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charts/chart8.xml" ContentType="application/vnd.openxmlformats-officedocument.drawingml.chart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charts/chart9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charts/chart10.xml" ContentType="application/vnd.openxmlformats-officedocument.drawingml.chart+xml"/>
  <Override PartName="/xl/drawings/drawing9.xml" ContentType="application/vnd.openxmlformats-officedocument.drawing+xml"/>
  <Override PartName="/xl/tables/table9.xml" ContentType="application/vnd.openxmlformats-officedocument.spreadsheetml.table+xml"/>
  <Override PartName="/xl/charts/chart11.xml" ContentType="application/vnd.openxmlformats-officedocument.drawingml.chart+xml"/>
  <Override PartName="/xl/drawings/drawing10.xml" ContentType="application/vnd.openxmlformats-officedocument.drawing+xml"/>
  <Override PartName="/xl/tables/table10.xml" ContentType="application/vnd.openxmlformats-officedocument.spreadsheetml.table+xml"/>
  <Override PartName="/xl/charts/chart12.xml" ContentType="application/vnd.openxmlformats-officedocument.drawingml.chart+xml"/>
  <Override PartName="/xl/drawings/drawing11.xml" ContentType="application/vnd.openxmlformats-officedocument.drawing+xml"/>
  <Override PartName="/xl/tables/table11.xml" ContentType="application/vnd.openxmlformats-officedocument.spreadsheetml.table+xml"/>
  <Override PartName="/xl/charts/chart13.xml" ContentType="application/vnd.openxmlformats-officedocument.drawingml.chart+xml"/>
  <Override PartName="/xl/drawings/drawing12.xml" ContentType="application/vnd.openxmlformats-officedocument.drawing+xml"/>
  <Override PartName="/xl/tables/table12.xml" ContentType="application/vnd.openxmlformats-officedocument.spreadsheetml.table+xml"/>
  <Override PartName="/xl/charts/chart14.xml" ContentType="application/vnd.openxmlformats-officedocument.drawingml.chart+xml"/>
  <Override PartName="/xl/drawings/drawing13.xml" ContentType="application/vnd.openxmlformats-officedocument.drawing+xml"/>
  <Override PartName="/xl/tables/table13.xml" ContentType="application/vnd.openxmlformats-officedocument.spreadsheetml.table+xml"/>
  <Override PartName="/xl/charts/chart15.xml" ContentType="application/vnd.openxmlformats-officedocument.drawingml.chart+xml"/>
  <Override PartName="/xl/drawings/drawing14.xml" ContentType="application/vnd.openxmlformats-officedocument.drawing+xml"/>
  <Override PartName="/xl/tables/table14.xml" ContentType="application/vnd.openxmlformats-officedocument.spreadsheetml.table+xml"/>
  <Override PartName="/xl/charts/chart16.xml" ContentType="application/vnd.openxmlformats-officedocument.drawingml.chart+xml"/>
  <Override PartName="/xl/drawings/drawing15.xml" ContentType="application/vnd.openxmlformats-officedocument.drawing+xml"/>
  <Override PartName="/xl/tables/table15.xml" ContentType="application/vnd.openxmlformats-officedocument.spreadsheetml.table+xml"/>
  <Override PartName="/xl/charts/chart17.xml" ContentType="application/vnd.openxmlformats-officedocument.drawingml.chart+xml"/>
  <Override PartName="/xl/drawings/drawing16.xml" ContentType="application/vnd.openxmlformats-officedocument.drawing+xml"/>
  <Override PartName="/xl/tables/table16.xml" ContentType="application/vnd.openxmlformats-officedocument.spreadsheetml.table+xml"/>
  <Override PartName="/xl/charts/chart18.xml" ContentType="application/vnd.openxmlformats-officedocument.drawingml.chart+xml"/>
  <Override PartName="/xl/drawings/drawing17.xml" ContentType="application/vnd.openxmlformats-officedocument.drawing+xml"/>
  <Override PartName="/xl/tables/table17.xml" ContentType="application/vnd.openxmlformats-officedocument.spreadsheetml.table+xml"/>
  <Override PartName="/xl/charts/chart19.xml" ContentType="application/vnd.openxmlformats-officedocument.drawingml.chart+xml"/>
  <Override PartName="/xl/drawings/drawing18.xml" ContentType="application/vnd.openxmlformats-officedocument.drawing+xml"/>
  <Override PartName="/xl/tables/table18.xml" ContentType="application/vnd.openxmlformats-officedocument.spreadsheetml.table+xml"/>
  <Override PartName="/xl/charts/chart20.xml" ContentType="application/vnd.openxmlformats-officedocument.drawingml.chart+xml"/>
  <Override PartName="/xl/drawings/drawing19.xml" ContentType="application/vnd.openxmlformats-officedocument.drawing+xml"/>
  <Override PartName="/xl/tables/table19.xml" ContentType="application/vnd.openxmlformats-officedocument.spreadsheetml.table+xml"/>
  <Override PartName="/xl/charts/chart21.xml" ContentType="application/vnd.openxmlformats-officedocument.drawingml.chart+xml"/>
  <Override PartName="/xl/drawings/drawing20.xml" ContentType="application/vnd.openxmlformats-officedocument.drawing+xml"/>
  <Override PartName="/xl/tables/table20.xml" ContentType="application/vnd.openxmlformats-officedocument.spreadsheetml.table+xml"/>
  <Override PartName="/xl/charts/chart22.xml" ContentType="application/vnd.openxmlformats-officedocument.drawingml.chart+xml"/>
  <Override PartName="/xl/drawings/drawing21.xml" ContentType="application/vnd.openxmlformats-officedocument.drawing+xml"/>
  <Override PartName="/xl/tables/table21.xml" ContentType="application/vnd.openxmlformats-officedocument.spreadsheetml.table+xml"/>
  <Override PartName="/xl/charts/chart23.xml" ContentType="application/vnd.openxmlformats-officedocument.drawingml.chart+xml"/>
  <Override PartName="/xl/drawings/drawing22.xml" ContentType="application/vnd.openxmlformats-officedocument.drawing+xml"/>
  <Override PartName="/xl/tables/table22.xml" ContentType="application/vnd.openxmlformats-officedocument.spreadsheetml.table+xml"/>
  <Override PartName="/xl/charts/chart24.xml" ContentType="application/vnd.openxmlformats-officedocument.drawingml.chart+xml"/>
  <Override PartName="/xl/drawings/drawing23.xml" ContentType="application/vnd.openxmlformats-officedocument.drawing+xml"/>
  <Override PartName="/xl/tables/table23.xml" ContentType="application/vnd.openxmlformats-officedocument.spreadsheetml.table+xml"/>
  <Override PartName="/xl/charts/chart2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4.xml" ContentType="application/vnd.openxmlformats-officedocument.drawing+xml"/>
  <Override PartName="/xl/tables/table24.xml" ContentType="application/vnd.openxmlformats-officedocument.spreadsheetml.table+xml"/>
  <Override PartName="/xl/charts/chart26.xml" ContentType="application/vnd.openxmlformats-officedocument.drawingml.chart+xml"/>
  <Override PartName="/xl/drawings/drawing25.xml" ContentType="application/vnd.openxmlformats-officedocument.drawing+xml"/>
  <Override PartName="/xl/tables/table25.xml" ContentType="application/vnd.openxmlformats-officedocument.spreadsheetml.table+xml"/>
  <Override PartName="/xl/charts/chart2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6.xml" ContentType="application/vnd.openxmlformats-officedocument.drawing+xml"/>
  <Override PartName="/xl/tables/table26.xml" ContentType="application/vnd.openxmlformats-officedocument.spreadsheetml.table+xml"/>
  <Override PartName="/xl/charts/chart28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7.xml" ContentType="application/vnd.openxmlformats-officedocument.drawing+xml"/>
  <Override PartName="/xl/tables/table27.xml" ContentType="application/vnd.openxmlformats-officedocument.spreadsheetml.table+xml"/>
  <Override PartName="/xl/charts/chart29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8.xml" ContentType="application/vnd.openxmlformats-officedocument.drawing+xml"/>
  <Override PartName="/xl/tables/table28.xml" ContentType="application/vnd.openxmlformats-officedocument.spreadsheetml.table+xml"/>
  <Override PartName="/xl/charts/chart30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9.xml" ContentType="application/vnd.openxmlformats-officedocument.drawing+xml"/>
  <Override PartName="/xl/tables/table29.xml" ContentType="application/vnd.openxmlformats-officedocument.spreadsheetml.table+xml"/>
  <Override PartName="/xl/charts/chart31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0.xml" ContentType="application/vnd.openxmlformats-officedocument.drawing+xml"/>
  <Override PartName="/xl/tables/table30.xml" ContentType="application/vnd.openxmlformats-officedocument.spreadsheetml.table+xml"/>
  <Override PartName="/xl/comments1.xml" ContentType="application/vnd.openxmlformats-officedocument.spreadsheetml.comments+xml"/>
  <Override PartName="/xl/charts/chart32.xml" ContentType="application/vnd.openxmlformats-officedocument.drawingml.chart+xml"/>
  <Override PartName="/xl/drawings/drawing31.xml" ContentType="application/vnd.openxmlformats-officedocument.drawing+xml"/>
  <Override PartName="/xl/tables/table31.xml" ContentType="application/vnd.openxmlformats-officedocument.spreadsheetml.table+xml"/>
  <Override PartName="/xl/comments2.xml" ContentType="application/vnd.openxmlformats-officedocument.spreadsheetml.comments+xml"/>
  <Override PartName="/xl/charts/chart33.xml" ContentType="application/vnd.openxmlformats-officedocument.drawingml.chart+xml"/>
  <Override PartName="/xl/drawings/drawing32.xml" ContentType="application/vnd.openxmlformats-officedocument.drawing+xml"/>
  <Override PartName="/xl/tables/table32.xml" ContentType="application/vnd.openxmlformats-officedocument.spreadsheetml.table+xml"/>
  <Override PartName="/xl/charts/chart34.xml" ContentType="application/vnd.openxmlformats-officedocument.drawingml.chart+xml"/>
  <Override PartName="/xl/drawings/drawing33.xml" ContentType="application/vnd.openxmlformats-officedocument.drawing+xml"/>
  <Override PartName="/xl/tables/table33.xml" ContentType="application/vnd.openxmlformats-officedocument.spreadsheetml.table+xml"/>
  <Override PartName="/xl/charts/chart35.xml" ContentType="application/vnd.openxmlformats-officedocument.drawingml.chart+xml"/>
  <Override PartName="/xl/drawings/drawing34.xml" ContentType="application/vnd.openxmlformats-officedocument.drawing+xml"/>
  <Override PartName="/xl/tables/table34.xml" ContentType="application/vnd.openxmlformats-officedocument.spreadsheetml.table+xml"/>
  <Override PartName="/xl/charts/chart36.xml" ContentType="application/vnd.openxmlformats-officedocument.drawingml.chart+xml"/>
  <Override PartName="/xl/drawings/drawing35.xml" ContentType="application/vnd.openxmlformats-officedocument.drawing+xml"/>
  <Override PartName="/xl/tables/table35.xml" ContentType="application/vnd.openxmlformats-officedocument.spreadsheetml.table+xml"/>
  <Override PartName="/xl/charts/chart37.xml" ContentType="application/vnd.openxmlformats-officedocument.drawingml.chart+xml"/>
  <Override PartName="/xl/drawings/drawing36.xml" ContentType="application/vnd.openxmlformats-officedocument.drawing+xml"/>
  <Override PartName="/xl/tables/table36.xml" ContentType="application/vnd.openxmlformats-officedocument.spreadsheetml.table+xml"/>
  <Override PartName="/xl/charts/chart38.xml" ContentType="application/vnd.openxmlformats-officedocument.drawingml.chart+xml"/>
  <Override PartName="/xl/drawings/drawing37.xml" ContentType="application/vnd.openxmlformats-officedocument.drawing+xml"/>
  <Override PartName="/xl/tables/table37.xml" ContentType="application/vnd.openxmlformats-officedocument.spreadsheetml.table+xml"/>
  <Override PartName="/xl/charts/chart39.xml" ContentType="application/vnd.openxmlformats-officedocument.drawingml.chart+xml"/>
  <Override PartName="/xl/drawings/drawing38.xml" ContentType="application/vnd.openxmlformats-officedocument.drawing+xml"/>
  <Override PartName="/xl/tables/table38.xml" ContentType="application/vnd.openxmlformats-officedocument.spreadsheetml.table+xml"/>
  <Override PartName="/xl/charts/chart40.xml" ContentType="application/vnd.openxmlformats-officedocument.drawingml.chart+xml"/>
  <Override PartName="/xl/drawings/drawing39.xml" ContentType="application/vnd.openxmlformats-officedocument.drawing+xml"/>
  <Override PartName="/xl/tables/table39.xml" ContentType="application/vnd.openxmlformats-officedocument.spreadsheetml.table+xml"/>
  <Override PartName="/xl/comments3.xml" ContentType="application/vnd.openxmlformats-officedocument.spreadsheetml.comments+xml"/>
  <Override PartName="/xl/charts/chart41.xml" ContentType="application/vnd.openxmlformats-officedocument.drawingml.chart+xml"/>
  <Override PartName="/xl/drawings/drawing40.xml" ContentType="application/vnd.openxmlformats-officedocument.drawing+xml"/>
  <Override PartName="/xl/tables/table40.xml" ContentType="application/vnd.openxmlformats-officedocument.spreadsheetml.table+xml"/>
  <Override PartName="/xl/charts/chart42.xml" ContentType="application/vnd.openxmlformats-officedocument.drawingml.chart+xml"/>
  <Override PartName="/xl/drawings/drawing41.xml" ContentType="application/vnd.openxmlformats-officedocument.drawing+xml"/>
  <Override PartName="/xl/tables/table41.xml" ContentType="application/vnd.openxmlformats-officedocument.spreadsheetml.table+xml"/>
  <Override PartName="/xl/charts/chart43.xml" ContentType="application/vnd.openxmlformats-officedocument.drawingml.chart+xml"/>
  <Override PartName="/xl/drawings/drawing42.xml" ContentType="application/vnd.openxmlformats-officedocument.drawing+xml"/>
  <Override PartName="/xl/tables/table42.xml" ContentType="application/vnd.openxmlformats-officedocument.spreadsheetml.table+xml"/>
  <Override PartName="/xl/charts/chart44.xml" ContentType="application/vnd.openxmlformats-officedocument.drawingml.chart+xml"/>
  <Override PartName="/xl/drawings/drawing43.xml" ContentType="application/vnd.openxmlformats-officedocument.drawing+xml"/>
  <Override PartName="/xl/tables/table43.xml" ContentType="application/vnd.openxmlformats-officedocument.spreadsheetml.table+xml"/>
  <Override PartName="/xl/charts/chart45.xml" ContentType="application/vnd.openxmlformats-officedocument.drawingml.chart+xml"/>
  <Override PartName="/xl/drawings/drawing44.xml" ContentType="application/vnd.openxmlformats-officedocument.drawing+xml"/>
  <Override PartName="/xl/tables/table44.xml" ContentType="application/vnd.openxmlformats-officedocument.spreadsheetml.table+xml"/>
  <Override PartName="/xl/charts/chart46.xml" ContentType="application/vnd.openxmlformats-officedocument.drawingml.chart+xml"/>
  <Override PartName="/xl/drawings/drawing45.xml" ContentType="application/vnd.openxmlformats-officedocument.drawing+xml"/>
  <Override PartName="/xl/tables/table45.xml" ContentType="application/vnd.openxmlformats-officedocument.spreadsheetml.table+xml"/>
  <Override PartName="/xl/charts/chart4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华闻期货资管产品\2-华闻优选稳健FOF一号\"/>
    </mc:Choice>
  </mc:AlternateContent>
  <bookViews>
    <workbookView xWindow="0" yWindow="0" windowWidth="29070" windowHeight="15870" tabRatio="753" firstSheet="13" activeTab="15"/>
  </bookViews>
  <sheets>
    <sheet name="爱凡哲六号" sheetId="4" r:id="rId1"/>
    <sheet name="新视野1号" sheetId="7" r:id="rId2"/>
    <sheet name="社润悟林二号" sheetId="24" r:id="rId3"/>
    <sheet name="纯享CTA三期" sheetId="12" r:id="rId4"/>
    <sheet name="塑造者2号" sheetId="18" r:id="rId5"/>
    <sheet name="爱凡哲八号" sheetId="19" r:id="rId6"/>
    <sheet name="爱凡哲九号" sheetId="25" r:id="rId7"/>
    <sheet name="琅琊一号" sheetId="20" r:id="rId8"/>
    <sheet name="琅琊二号" sheetId="23" r:id="rId9"/>
    <sheet name="海纳一号" sheetId="14" r:id="rId10"/>
    <sheet name="蒙玺分形3号" sheetId="28" r:id="rId11"/>
    <sheet name="蒙玺中证500指增" sheetId="29" r:id="rId12"/>
    <sheet name="爱凡哲英安一号" sheetId="30" r:id="rId13"/>
    <sheet name="因诺聚配500指增" sheetId="32" r:id="rId14"/>
    <sheet name="衍复聚砾一号" sheetId="37" r:id="rId15"/>
    <sheet name="量派500增强8号" sheetId="46" r:id="rId16"/>
    <sheet name="量客卓宇一号" sheetId="47" r:id="rId17"/>
    <sheet name="银杏1号" sheetId="33" r:id="rId18"/>
    <sheet name="玉数聚配专享2号" sheetId="38" r:id="rId19"/>
    <sheet name="燧石聚配专享一号" sheetId="41" r:id="rId20"/>
    <sheet name="华云瑾尚二号" sheetId="45" r:id="rId21"/>
    <sheet name="量客长阳一号" sheetId="40" r:id="rId22"/>
    <sheet name="爱凡哲睿哲二号" sheetId="48" r:id="rId23"/>
    <sheet name="均泰衡山量化一号" sheetId="50" r:id="rId24"/>
    <sheet name="鼎一精粹" sheetId="49" r:id="rId25"/>
    <sheet name="知睿一号" sheetId="51" r:id="rId26"/>
    <sheet name="鼎一超越" sheetId="56" r:id="rId27"/>
    <sheet name="鹏鑫二号" sheetId="58" r:id="rId28"/>
    <sheet name="同余1号" sheetId="57" r:id="rId29"/>
    <sheet name="合绎塑造者三号" sheetId="52" r:id="rId30"/>
    <sheet name="集微投资2期" sheetId="59" r:id="rId31"/>
    <sheet name="量典长青二号" sheetId="35" r:id="rId32"/>
    <sheet name="筹优量化" sheetId="11" r:id="rId33"/>
    <sheet name="洛书瑞乾元封" sheetId="5" r:id="rId34"/>
    <sheet name="品赋赤霄" sheetId="13" r:id="rId35"/>
    <sheet name="龙珠聚配 " sheetId="43" r:id="rId36"/>
    <sheet name="鼎一兑弈" sheetId="22" r:id="rId37"/>
    <sheet name="抱朴聚配" sheetId="42" r:id="rId38"/>
    <sheet name="沪深300单利宝1号" sheetId="6" r:id="rId39"/>
    <sheet name="格量稳健1号" sheetId="2" r:id="rId40"/>
    <sheet name="银极启航" sheetId="16" r:id="rId41"/>
    <sheet name="思博量道十五号" sheetId="26" r:id="rId42"/>
    <sheet name="顽岩烽火" sheetId="9" r:id="rId43"/>
    <sheet name="拉普拉斯一号" sheetId="10" r:id="rId44"/>
    <sheet name="千朔量化六号" sheetId="8" r:id="rId45"/>
  </sheets>
  <externalReferences>
    <externalReference r:id="rId46"/>
    <externalReference r:id="rId47"/>
  </externalReferences>
  <definedNames>
    <definedName name="_xlnm._FilterDatabase" localSheetId="5" hidden="1">爱凡哲八号!$A$20:$E$271</definedName>
    <definedName name="_xlnm._FilterDatabase" localSheetId="6" hidden="1">爱凡哲九号!$A$20:$E$391</definedName>
    <definedName name="_xlnm._FilterDatabase" localSheetId="0" hidden="1">爱凡哲六号!$A$20:$E$439</definedName>
    <definedName name="_xlnm._FilterDatabase" localSheetId="12" hidden="1">爱凡哲英安一号!$A$20:$E$221</definedName>
    <definedName name="_xlnm._FilterDatabase" localSheetId="37" hidden="1">抱朴聚配!$A$20:$E$55</definedName>
    <definedName name="_xlnm._FilterDatabase" localSheetId="32" hidden="1">筹优量化!$A$20:$E$403</definedName>
    <definedName name="_xlnm._FilterDatabase" localSheetId="3" hidden="1">纯享CTA三期!$A$20:$E$371</definedName>
    <definedName name="_xlnm._FilterDatabase" localSheetId="36" hidden="1">鼎一兑弈!$A$20:$E$213</definedName>
    <definedName name="_xlnm._FilterDatabase" localSheetId="39" hidden="1">格量稳健1号!$A$20:$E$252</definedName>
    <definedName name="_xlnm._FilterDatabase" localSheetId="9" hidden="1">海纳一号!$A$20:$E$340</definedName>
    <definedName name="_xlnm._FilterDatabase" localSheetId="38" hidden="1">沪深300单利宝1号!$A$20:$E$298</definedName>
    <definedName name="_xlnm._FilterDatabase" localSheetId="20" hidden="1">华云瑾尚二号!$A$20:$E$200</definedName>
    <definedName name="_xlnm._FilterDatabase" localSheetId="23" hidden="1">均泰衡山量化一号!$A$20:$E$76</definedName>
    <definedName name="_xlnm._FilterDatabase" localSheetId="43" hidden="1">拉普拉斯一号!$A$20:$E$142</definedName>
    <definedName name="_xlnm._FilterDatabase" localSheetId="8" hidden="1">琅琊二号!$A$20:$E$324</definedName>
    <definedName name="_xlnm._FilterDatabase" localSheetId="7" hidden="1">琅琊一号!$A$20:$E$263</definedName>
    <definedName name="_xlnm._FilterDatabase" localSheetId="31" hidden="1">量典长青二号!$A$20:$E$198</definedName>
    <definedName name="_xlnm._FilterDatabase" localSheetId="21" hidden="1">量客长阳一号!$A$20:$E$140</definedName>
    <definedName name="_xlnm._FilterDatabase" localSheetId="16" hidden="1">量客卓宇一号!$A$20:$E$126</definedName>
    <definedName name="_xlnm._FilterDatabase" localSheetId="15" hidden="1">量派500增强8号!$A$20:$E$125</definedName>
    <definedName name="_xlnm._FilterDatabase" localSheetId="35" hidden="1">'龙珠聚配 '!$A$20:$E$83</definedName>
    <definedName name="_xlnm._FilterDatabase" localSheetId="33" hidden="1">洛书瑞乾元封!$A$20:$E$438</definedName>
    <definedName name="_xlnm._FilterDatabase" localSheetId="10" hidden="1">蒙玺分形3号!$A$20:$E$224</definedName>
    <definedName name="_xlnm._FilterDatabase" localSheetId="11" hidden="1">蒙玺中证500指增!$A$20:$E$224</definedName>
    <definedName name="_xlnm._FilterDatabase" localSheetId="34" hidden="1">品赋赤霄!$A$20:$E$325</definedName>
    <definedName name="_xlnm._FilterDatabase" localSheetId="44" hidden="1">千朔量化六号!$A$20:$E$150</definedName>
    <definedName name="_xlnm._FilterDatabase" localSheetId="2" hidden="1">社润悟林二号!$A$20:$E$390</definedName>
    <definedName name="_xlnm._FilterDatabase" localSheetId="41" hidden="1">思博量道十五号!$A$20:$E$174</definedName>
    <definedName name="_xlnm._FilterDatabase" localSheetId="4" hidden="1">塑造者2号!$A$20:$E$274</definedName>
    <definedName name="_xlnm._FilterDatabase" localSheetId="19" hidden="1">燧石聚配专享一号!$A$20:$E$140</definedName>
    <definedName name="_xlnm._FilterDatabase" localSheetId="42" hidden="1">顽岩烽火!$A$20:$E$194</definedName>
    <definedName name="_xlnm._FilterDatabase" localSheetId="1" hidden="1">新视野1号!$A$20:$E$436</definedName>
    <definedName name="_xlnm._FilterDatabase" localSheetId="14" hidden="1">衍复聚砾一号!$A$20:$E$190</definedName>
    <definedName name="_xlnm._FilterDatabase" localSheetId="13" hidden="1">因诺聚配500指增!$A$20:$E$220</definedName>
    <definedName name="_xlnm._FilterDatabase" localSheetId="40" hidden="1">银极启航!$A$20:$E$107</definedName>
    <definedName name="_xlnm._FilterDatabase" localSheetId="17" hidden="1">银杏1号!$A$20:$E$207</definedName>
    <definedName name="_xlnm._FilterDatabase" localSheetId="18" hidden="1">玉数聚配专享2号!$A$20:$E$189</definedName>
  </definedName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25" i="46" l="1"/>
  <c r="C125" i="46"/>
  <c r="D125" i="46"/>
  <c r="E21" i="46"/>
  <c r="E22" i="46"/>
  <c r="E23" i="46"/>
  <c r="E24" i="46"/>
  <c r="E25" i="46"/>
  <c r="E26" i="46"/>
  <c r="E27" i="46"/>
  <c r="E28" i="46"/>
  <c r="E29" i="46"/>
  <c r="E30" i="46"/>
  <c r="E31" i="46"/>
  <c r="E32" i="46"/>
  <c r="E33" i="46"/>
  <c r="E34" i="46"/>
  <c r="E35" i="46"/>
  <c r="E36" i="46"/>
  <c r="E37" i="46"/>
  <c r="E38" i="46"/>
  <c r="E39" i="46"/>
  <c r="E40" i="46"/>
  <c r="E41" i="46"/>
  <c r="E42" i="46"/>
  <c r="E43" i="46"/>
  <c r="E44" i="46"/>
  <c r="E45" i="46"/>
  <c r="E46" i="46"/>
  <c r="E47" i="46"/>
  <c r="E48" i="46"/>
  <c r="E49" i="46"/>
  <c r="E50" i="46"/>
  <c r="E51" i="46"/>
  <c r="E52" i="46"/>
  <c r="E53" i="46"/>
  <c r="E54" i="46"/>
  <c r="E55" i="46"/>
  <c r="E56" i="46"/>
  <c r="E57" i="46"/>
  <c r="E58" i="46"/>
  <c r="E59" i="46"/>
  <c r="E60" i="46"/>
  <c r="E61" i="46"/>
  <c r="E62" i="46"/>
  <c r="E63" i="46"/>
  <c r="E64" i="46"/>
  <c r="E65" i="46"/>
  <c r="E66" i="46"/>
  <c r="E67" i="46"/>
  <c r="E68" i="46"/>
  <c r="E69" i="46"/>
  <c r="E70" i="46"/>
  <c r="E71" i="46"/>
  <c r="E72" i="46"/>
  <c r="E73" i="46"/>
  <c r="E74" i="46"/>
  <c r="E75" i="46"/>
  <c r="E76" i="46"/>
  <c r="E77" i="46"/>
  <c r="E78" i="46"/>
  <c r="E79" i="46"/>
  <c r="E80" i="46"/>
  <c r="E81" i="46"/>
  <c r="E82" i="46"/>
  <c r="E83" i="46"/>
  <c r="E84" i="46"/>
  <c r="E85" i="46"/>
  <c r="E86" i="46"/>
  <c r="E87" i="46"/>
  <c r="E88" i="46"/>
  <c r="E89" i="46"/>
  <c r="E90" i="46"/>
  <c r="E91" i="46"/>
  <c r="E92" i="46"/>
  <c r="E93" i="46"/>
  <c r="E94" i="46"/>
  <c r="E95" i="46"/>
  <c r="E96" i="46"/>
  <c r="E97" i="46"/>
  <c r="E98" i="46"/>
  <c r="E99" i="46"/>
  <c r="E100" i="46"/>
  <c r="E101" i="46"/>
  <c r="E102" i="46"/>
  <c r="E103" i="46"/>
  <c r="E104" i="46"/>
  <c r="E105" i="46"/>
  <c r="E106" i="46"/>
  <c r="E107" i="46"/>
  <c r="E108" i="46"/>
  <c r="E109" i="46"/>
  <c r="E110" i="46"/>
  <c r="E111" i="46"/>
  <c r="E112" i="46"/>
  <c r="E113" i="46"/>
  <c r="E114" i="46"/>
  <c r="E115" i="46"/>
  <c r="E116" i="46"/>
  <c r="E117" i="46"/>
  <c r="E118" i="46"/>
  <c r="E119" i="46"/>
  <c r="E120" i="46"/>
  <c r="E121" i="46"/>
  <c r="E122" i="46"/>
  <c r="E123" i="46"/>
  <c r="E124" i="46"/>
  <c r="E125" i="46"/>
  <c r="F125" i="46"/>
  <c r="G75" i="50"/>
  <c r="G76" i="50"/>
  <c r="C76" i="50"/>
  <c r="D76" i="50"/>
  <c r="E21" i="50"/>
  <c r="E22" i="50"/>
  <c r="E23" i="50"/>
  <c r="E24" i="50"/>
  <c r="E25" i="50"/>
  <c r="E26" i="50"/>
  <c r="E27" i="50"/>
  <c r="E28" i="50"/>
  <c r="E29" i="50"/>
  <c r="E30" i="50"/>
  <c r="E31" i="50"/>
  <c r="E32" i="50"/>
  <c r="E33" i="50"/>
  <c r="E34" i="50"/>
  <c r="E35" i="50"/>
  <c r="E36" i="50"/>
  <c r="E37" i="50"/>
  <c r="E38" i="50"/>
  <c r="E39" i="50"/>
  <c r="E40" i="50"/>
  <c r="E41" i="50"/>
  <c r="E42" i="50"/>
  <c r="E43" i="50"/>
  <c r="E44" i="50"/>
  <c r="E45" i="50"/>
  <c r="E46" i="50"/>
  <c r="E47" i="50"/>
  <c r="E48" i="50"/>
  <c r="E49" i="50"/>
  <c r="E50" i="50"/>
  <c r="E51" i="50"/>
  <c r="E52" i="50"/>
  <c r="E53" i="50"/>
  <c r="E54" i="50"/>
  <c r="E55" i="50"/>
  <c r="E56" i="50"/>
  <c r="E57" i="50"/>
  <c r="E58" i="50"/>
  <c r="E59" i="50"/>
  <c r="E60" i="50"/>
  <c r="E61" i="50"/>
  <c r="E62" i="50"/>
  <c r="E63" i="50"/>
  <c r="E64" i="50"/>
  <c r="E65" i="50"/>
  <c r="E66" i="50"/>
  <c r="E67" i="50"/>
  <c r="E68" i="50"/>
  <c r="E69" i="50"/>
  <c r="E70" i="50"/>
  <c r="E71" i="50"/>
  <c r="E72" i="50"/>
  <c r="E73" i="50"/>
  <c r="E74" i="50"/>
  <c r="E75" i="50"/>
  <c r="E76" i="50"/>
  <c r="F76" i="50"/>
  <c r="C75" i="50"/>
  <c r="D75" i="50"/>
  <c r="F75" i="50"/>
  <c r="G207" i="33"/>
  <c r="C207" i="33"/>
  <c r="D207" i="33"/>
  <c r="E21" i="33"/>
  <c r="E22" i="33"/>
  <c r="E23" i="33"/>
  <c r="E24" i="33"/>
  <c r="E25" i="33"/>
  <c r="E26" i="33"/>
  <c r="E27" i="33"/>
  <c r="E28" i="33"/>
  <c r="E29" i="33"/>
  <c r="E30" i="33"/>
  <c r="E31" i="33"/>
  <c r="E32" i="33"/>
  <c r="E33" i="33"/>
  <c r="E34" i="33"/>
  <c r="E35" i="33"/>
  <c r="E36" i="33"/>
  <c r="E37" i="33"/>
  <c r="E38" i="33"/>
  <c r="E39" i="33"/>
  <c r="E40" i="33"/>
  <c r="E41" i="33"/>
  <c r="E42" i="33"/>
  <c r="E43" i="33"/>
  <c r="E44" i="33"/>
  <c r="E45" i="33"/>
  <c r="E46" i="33"/>
  <c r="E47" i="33"/>
  <c r="E48" i="33"/>
  <c r="E49" i="33"/>
  <c r="E50" i="33"/>
  <c r="E51" i="33"/>
  <c r="E52" i="33"/>
  <c r="E53" i="33"/>
  <c r="E54" i="33"/>
  <c r="E55" i="33"/>
  <c r="E56" i="33"/>
  <c r="E57" i="33"/>
  <c r="E58" i="33"/>
  <c r="E59" i="33"/>
  <c r="E60" i="33"/>
  <c r="E61" i="33"/>
  <c r="E62" i="33"/>
  <c r="E63" i="33"/>
  <c r="E64" i="33"/>
  <c r="E65" i="33"/>
  <c r="E66" i="33"/>
  <c r="E67" i="33"/>
  <c r="E68" i="33"/>
  <c r="E69" i="33"/>
  <c r="E70" i="33"/>
  <c r="E71" i="33"/>
  <c r="E72" i="33"/>
  <c r="E73" i="33"/>
  <c r="E74" i="33"/>
  <c r="E75" i="33"/>
  <c r="E76" i="33"/>
  <c r="E77" i="33"/>
  <c r="E78" i="33"/>
  <c r="E79" i="33"/>
  <c r="E80" i="33"/>
  <c r="E81" i="33"/>
  <c r="E82" i="33"/>
  <c r="E83" i="33"/>
  <c r="E84" i="33"/>
  <c r="E85" i="33"/>
  <c r="E86" i="33"/>
  <c r="E87" i="33"/>
  <c r="E88" i="33"/>
  <c r="E89" i="33"/>
  <c r="E90" i="33"/>
  <c r="E91" i="33"/>
  <c r="E92" i="33"/>
  <c r="E93" i="33"/>
  <c r="E94" i="33"/>
  <c r="E95" i="33"/>
  <c r="E96" i="33"/>
  <c r="E97" i="33"/>
  <c r="E98" i="33"/>
  <c r="E99" i="33"/>
  <c r="E100" i="33"/>
  <c r="E101" i="33"/>
  <c r="E102" i="33"/>
  <c r="E103" i="33"/>
  <c r="E104" i="33"/>
  <c r="E105" i="33"/>
  <c r="E106" i="33"/>
  <c r="E107" i="33"/>
  <c r="E108" i="33"/>
  <c r="E109" i="33"/>
  <c r="E110" i="33"/>
  <c r="E111" i="33"/>
  <c r="E112" i="33"/>
  <c r="E113" i="33"/>
  <c r="E114" i="33"/>
  <c r="E115" i="33"/>
  <c r="E116" i="33"/>
  <c r="E117" i="33"/>
  <c r="E118" i="33"/>
  <c r="E119" i="33"/>
  <c r="E120" i="33"/>
  <c r="E121" i="33"/>
  <c r="E122" i="33"/>
  <c r="E123" i="33"/>
  <c r="E124" i="33"/>
  <c r="E125" i="33"/>
  <c r="E126" i="33"/>
  <c r="E127" i="33"/>
  <c r="E128" i="33"/>
  <c r="E129" i="33"/>
  <c r="E130" i="33"/>
  <c r="E131" i="33"/>
  <c r="E132" i="33"/>
  <c r="E133" i="33"/>
  <c r="E134" i="33"/>
  <c r="E135" i="33"/>
  <c r="E136" i="33"/>
  <c r="E137" i="33"/>
  <c r="E138" i="33"/>
  <c r="E139" i="33"/>
  <c r="E140" i="33"/>
  <c r="E141" i="33"/>
  <c r="E142" i="33"/>
  <c r="E143" i="33"/>
  <c r="E144" i="33"/>
  <c r="E145" i="33"/>
  <c r="E146" i="33"/>
  <c r="E147" i="33"/>
  <c r="E148" i="33"/>
  <c r="E149" i="33"/>
  <c r="E150" i="33"/>
  <c r="E151" i="33"/>
  <c r="E152" i="33"/>
  <c r="E153" i="33"/>
  <c r="E154" i="33"/>
  <c r="E155" i="33"/>
  <c r="E156" i="33"/>
  <c r="E157" i="33"/>
  <c r="E158" i="33"/>
  <c r="E159" i="33"/>
  <c r="E160" i="33"/>
  <c r="E161" i="33"/>
  <c r="E162" i="33"/>
  <c r="E163" i="33"/>
  <c r="E164" i="33"/>
  <c r="E165" i="33"/>
  <c r="E166" i="33"/>
  <c r="E167" i="33"/>
  <c r="E168" i="33"/>
  <c r="E169" i="33"/>
  <c r="E170" i="33"/>
  <c r="E171" i="33"/>
  <c r="E172" i="33"/>
  <c r="E173" i="33"/>
  <c r="E174" i="33"/>
  <c r="E175" i="33"/>
  <c r="E176" i="33"/>
  <c r="E177" i="33"/>
  <c r="E178" i="33"/>
  <c r="E179" i="33"/>
  <c r="E180" i="33"/>
  <c r="E181" i="33"/>
  <c r="E182" i="33"/>
  <c r="E183" i="33"/>
  <c r="E184" i="33"/>
  <c r="E185" i="33"/>
  <c r="E186" i="33"/>
  <c r="E187" i="33"/>
  <c r="E188" i="33"/>
  <c r="E189" i="33"/>
  <c r="E190" i="33"/>
  <c r="E191" i="33"/>
  <c r="E192" i="33"/>
  <c r="E193" i="33"/>
  <c r="E194" i="33"/>
  <c r="E195" i="33"/>
  <c r="E196" i="33"/>
  <c r="E197" i="33"/>
  <c r="E198" i="33"/>
  <c r="E199" i="33"/>
  <c r="E200" i="33"/>
  <c r="E201" i="33"/>
  <c r="E202" i="33"/>
  <c r="E203" i="33"/>
  <c r="E204" i="33"/>
  <c r="E205" i="33"/>
  <c r="E206" i="33"/>
  <c r="E207" i="33"/>
  <c r="F207" i="33"/>
  <c r="G124" i="46"/>
  <c r="C124" i="46"/>
  <c r="D124" i="46"/>
  <c r="F124" i="46"/>
  <c r="G140" i="41"/>
  <c r="C140" i="41"/>
  <c r="D140" i="41"/>
  <c r="E21" i="41"/>
  <c r="E22" i="41"/>
  <c r="E23" i="41"/>
  <c r="E24" i="41"/>
  <c r="E25" i="41"/>
  <c r="E26" i="41"/>
  <c r="E27" i="41"/>
  <c r="E28" i="41"/>
  <c r="E29" i="41"/>
  <c r="E30" i="41"/>
  <c r="E31" i="41"/>
  <c r="E32" i="41"/>
  <c r="E33" i="41"/>
  <c r="E34" i="41"/>
  <c r="E35" i="41"/>
  <c r="E36" i="41"/>
  <c r="E37" i="41"/>
  <c r="E38" i="41"/>
  <c r="E39" i="41"/>
  <c r="E40" i="41"/>
  <c r="E41" i="41"/>
  <c r="E42" i="41"/>
  <c r="E43" i="41"/>
  <c r="E44" i="41"/>
  <c r="E45" i="41"/>
  <c r="E46" i="41"/>
  <c r="E47" i="41"/>
  <c r="E48" i="41"/>
  <c r="E49" i="41"/>
  <c r="E50" i="41"/>
  <c r="E51" i="41"/>
  <c r="E52" i="41"/>
  <c r="E53" i="41"/>
  <c r="E54" i="41"/>
  <c r="E55" i="41"/>
  <c r="E56" i="41"/>
  <c r="E57" i="41"/>
  <c r="E58" i="41"/>
  <c r="E59" i="41"/>
  <c r="E60" i="41"/>
  <c r="E61" i="41"/>
  <c r="E62" i="41"/>
  <c r="E63" i="41"/>
  <c r="E64" i="41"/>
  <c r="E65" i="41"/>
  <c r="E66" i="41"/>
  <c r="E67" i="41"/>
  <c r="E68" i="41"/>
  <c r="E69" i="41"/>
  <c r="E70" i="41"/>
  <c r="E71" i="41"/>
  <c r="E72" i="41"/>
  <c r="E73" i="41"/>
  <c r="E74" i="41"/>
  <c r="E75" i="41"/>
  <c r="E76" i="41"/>
  <c r="E77" i="41"/>
  <c r="E78" i="41"/>
  <c r="E79" i="41"/>
  <c r="E80" i="41"/>
  <c r="E81" i="41"/>
  <c r="E82" i="41"/>
  <c r="E83" i="41"/>
  <c r="E84" i="41"/>
  <c r="E85" i="41"/>
  <c r="E86" i="41"/>
  <c r="E87" i="41"/>
  <c r="E88" i="41"/>
  <c r="E89" i="41"/>
  <c r="E90" i="41"/>
  <c r="E91" i="41"/>
  <c r="E92" i="41"/>
  <c r="E93" i="41"/>
  <c r="E94" i="41"/>
  <c r="E95" i="41"/>
  <c r="E96" i="41"/>
  <c r="E97" i="41"/>
  <c r="E98" i="41"/>
  <c r="E99" i="41"/>
  <c r="E100" i="41"/>
  <c r="E101" i="41"/>
  <c r="E102" i="41"/>
  <c r="E103" i="41"/>
  <c r="E104" i="41"/>
  <c r="E105" i="41"/>
  <c r="E106" i="41"/>
  <c r="E107" i="41"/>
  <c r="E108" i="41"/>
  <c r="E109" i="41"/>
  <c r="E110" i="41"/>
  <c r="E111" i="41"/>
  <c r="E112" i="41"/>
  <c r="E113" i="41"/>
  <c r="E114" i="41"/>
  <c r="E115" i="41"/>
  <c r="E116" i="41"/>
  <c r="E117" i="41"/>
  <c r="E118" i="41"/>
  <c r="E119" i="41"/>
  <c r="E120" i="41"/>
  <c r="E121" i="41"/>
  <c r="E122" i="41"/>
  <c r="E123" i="41"/>
  <c r="E124" i="41"/>
  <c r="E125" i="41"/>
  <c r="E126" i="41"/>
  <c r="E127" i="41"/>
  <c r="E128" i="41"/>
  <c r="E129" i="41"/>
  <c r="E130" i="41"/>
  <c r="E131" i="41"/>
  <c r="E132" i="41"/>
  <c r="E133" i="41"/>
  <c r="E134" i="41"/>
  <c r="E135" i="41"/>
  <c r="E136" i="41"/>
  <c r="E137" i="41"/>
  <c r="E138" i="41"/>
  <c r="E139" i="41"/>
  <c r="E140" i="41"/>
  <c r="F140" i="41"/>
  <c r="I242" i="7"/>
  <c r="F436" i="7"/>
  <c r="G436" i="7"/>
  <c r="C436" i="7"/>
  <c r="D436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G126" i="47"/>
  <c r="C126" i="47"/>
  <c r="D126" i="47"/>
  <c r="E21" i="47"/>
  <c r="E22" i="47"/>
  <c r="E23" i="47"/>
  <c r="E24" i="47"/>
  <c r="E25" i="47"/>
  <c r="E26" i="47"/>
  <c r="E27" i="47"/>
  <c r="E28" i="47"/>
  <c r="E29" i="47"/>
  <c r="E30" i="47"/>
  <c r="E31" i="47"/>
  <c r="E32" i="47"/>
  <c r="E33" i="47"/>
  <c r="E34" i="47"/>
  <c r="E35" i="47"/>
  <c r="E36" i="47"/>
  <c r="E37" i="47"/>
  <c r="E38" i="47"/>
  <c r="E39" i="47"/>
  <c r="E40" i="47"/>
  <c r="E41" i="47"/>
  <c r="E42" i="47"/>
  <c r="E43" i="47"/>
  <c r="E44" i="47"/>
  <c r="E45" i="47"/>
  <c r="E46" i="47"/>
  <c r="E47" i="47"/>
  <c r="E48" i="47"/>
  <c r="E49" i="47"/>
  <c r="E50" i="47"/>
  <c r="E51" i="47"/>
  <c r="E52" i="47"/>
  <c r="E53" i="47"/>
  <c r="E54" i="47"/>
  <c r="E55" i="47"/>
  <c r="E56" i="47"/>
  <c r="E57" i="47"/>
  <c r="E58" i="47"/>
  <c r="E59" i="47"/>
  <c r="E60" i="47"/>
  <c r="E61" i="47"/>
  <c r="E62" i="47"/>
  <c r="E63" i="47"/>
  <c r="E64" i="47"/>
  <c r="E65" i="47"/>
  <c r="E66" i="47"/>
  <c r="E67" i="47"/>
  <c r="E68" i="47"/>
  <c r="E69" i="47"/>
  <c r="E70" i="47"/>
  <c r="E71" i="47"/>
  <c r="E72" i="47"/>
  <c r="E73" i="47"/>
  <c r="E74" i="47"/>
  <c r="E75" i="47"/>
  <c r="E76" i="47"/>
  <c r="E77" i="47"/>
  <c r="E78" i="47"/>
  <c r="E79" i="47"/>
  <c r="E80" i="47"/>
  <c r="E81" i="47"/>
  <c r="E82" i="47"/>
  <c r="E83" i="47"/>
  <c r="E84" i="47"/>
  <c r="E85" i="47"/>
  <c r="E86" i="47"/>
  <c r="E87" i="47"/>
  <c r="E88" i="47"/>
  <c r="E89" i="47"/>
  <c r="E90" i="47"/>
  <c r="E91" i="47"/>
  <c r="E92" i="47"/>
  <c r="E93" i="47"/>
  <c r="E94" i="47"/>
  <c r="E95" i="47"/>
  <c r="E96" i="47"/>
  <c r="E97" i="47"/>
  <c r="E98" i="47"/>
  <c r="E99" i="47"/>
  <c r="E100" i="47"/>
  <c r="E101" i="47"/>
  <c r="E102" i="47"/>
  <c r="E103" i="47"/>
  <c r="E104" i="47"/>
  <c r="E105" i="47"/>
  <c r="E106" i="47"/>
  <c r="E107" i="47"/>
  <c r="E108" i="47"/>
  <c r="E109" i="47"/>
  <c r="E110" i="47"/>
  <c r="E111" i="47"/>
  <c r="E112" i="47"/>
  <c r="E113" i="47"/>
  <c r="E114" i="47"/>
  <c r="E115" i="47"/>
  <c r="E116" i="47"/>
  <c r="E117" i="47"/>
  <c r="E118" i="47"/>
  <c r="E119" i="47"/>
  <c r="E120" i="47"/>
  <c r="E121" i="47"/>
  <c r="E122" i="47"/>
  <c r="E123" i="47"/>
  <c r="E124" i="47"/>
  <c r="E125" i="47"/>
  <c r="E126" i="47"/>
  <c r="F126" i="47"/>
  <c r="G224" i="29"/>
  <c r="C224" i="29"/>
  <c r="D224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3" i="29"/>
  <c r="E44" i="29"/>
  <c r="E45" i="29"/>
  <c r="E46" i="29"/>
  <c r="E47" i="29"/>
  <c r="E48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E63" i="29"/>
  <c r="E64" i="29"/>
  <c r="E65" i="29"/>
  <c r="E66" i="29"/>
  <c r="E67" i="29"/>
  <c r="E68" i="29"/>
  <c r="E69" i="29"/>
  <c r="E70" i="29"/>
  <c r="E71" i="29"/>
  <c r="E72" i="29"/>
  <c r="E73" i="29"/>
  <c r="E74" i="29"/>
  <c r="E75" i="29"/>
  <c r="E76" i="29"/>
  <c r="E77" i="29"/>
  <c r="E78" i="29"/>
  <c r="E79" i="29"/>
  <c r="E80" i="29"/>
  <c r="E81" i="29"/>
  <c r="E82" i="29"/>
  <c r="E83" i="29"/>
  <c r="E84" i="29"/>
  <c r="E85" i="29"/>
  <c r="E86" i="29"/>
  <c r="E87" i="29"/>
  <c r="E88" i="29"/>
  <c r="E89" i="29"/>
  <c r="E90" i="29"/>
  <c r="E91" i="29"/>
  <c r="E92" i="29"/>
  <c r="E93" i="29"/>
  <c r="E94" i="29"/>
  <c r="E95" i="29"/>
  <c r="E96" i="29"/>
  <c r="E97" i="29"/>
  <c r="E98" i="29"/>
  <c r="E99" i="29"/>
  <c r="E100" i="29"/>
  <c r="E101" i="29"/>
  <c r="E102" i="29"/>
  <c r="E103" i="29"/>
  <c r="E104" i="29"/>
  <c r="E105" i="29"/>
  <c r="E106" i="29"/>
  <c r="E107" i="29"/>
  <c r="E108" i="29"/>
  <c r="E109" i="29"/>
  <c r="E110" i="29"/>
  <c r="E111" i="29"/>
  <c r="E112" i="29"/>
  <c r="E113" i="29"/>
  <c r="E114" i="29"/>
  <c r="E115" i="29"/>
  <c r="E116" i="29"/>
  <c r="E117" i="29"/>
  <c r="E118" i="29"/>
  <c r="E119" i="29"/>
  <c r="E120" i="29"/>
  <c r="E121" i="29"/>
  <c r="E122" i="29"/>
  <c r="E123" i="29"/>
  <c r="E124" i="29"/>
  <c r="E125" i="29"/>
  <c r="E126" i="29"/>
  <c r="E127" i="29"/>
  <c r="E128" i="29"/>
  <c r="E129" i="29"/>
  <c r="E130" i="29"/>
  <c r="E131" i="29"/>
  <c r="E132" i="29"/>
  <c r="E133" i="29"/>
  <c r="E134" i="29"/>
  <c r="E135" i="29"/>
  <c r="E136" i="29"/>
  <c r="E137" i="29"/>
  <c r="E138" i="29"/>
  <c r="E139" i="29"/>
  <c r="E140" i="29"/>
  <c r="E141" i="29"/>
  <c r="E142" i="29"/>
  <c r="E143" i="29"/>
  <c r="E144" i="29"/>
  <c r="E145" i="29"/>
  <c r="E146" i="29"/>
  <c r="E147" i="29"/>
  <c r="E148" i="29"/>
  <c r="E149" i="29"/>
  <c r="E150" i="29"/>
  <c r="E151" i="29"/>
  <c r="E152" i="29"/>
  <c r="E153" i="29"/>
  <c r="E154" i="29"/>
  <c r="E155" i="29"/>
  <c r="E156" i="29"/>
  <c r="E157" i="29"/>
  <c r="E158" i="29"/>
  <c r="E159" i="29"/>
  <c r="E160" i="29"/>
  <c r="E161" i="29"/>
  <c r="E162" i="29"/>
  <c r="E163" i="29"/>
  <c r="E164" i="29"/>
  <c r="E165" i="29"/>
  <c r="E166" i="29"/>
  <c r="E167" i="29"/>
  <c r="E168" i="29"/>
  <c r="E169" i="29"/>
  <c r="E170" i="29"/>
  <c r="E171" i="29"/>
  <c r="E172" i="29"/>
  <c r="E173" i="29"/>
  <c r="E174" i="29"/>
  <c r="E175" i="29"/>
  <c r="E176" i="29"/>
  <c r="E177" i="29"/>
  <c r="E178" i="29"/>
  <c r="E179" i="29"/>
  <c r="E180" i="29"/>
  <c r="E181" i="29"/>
  <c r="E182" i="29"/>
  <c r="E183" i="29"/>
  <c r="E184" i="29"/>
  <c r="E185" i="29"/>
  <c r="E186" i="29"/>
  <c r="E187" i="29"/>
  <c r="E188" i="29"/>
  <c r="E189" i="29"/>
  <c r="E190" i="29"/>
  <c r="E191" i="29"/>
  <c r="E192" i="29"/>
  <c r="E193" i="29"/>
  <c r="E194" i="29"/>
  <c r="E195" i="29"/>
  <c r="E196" i="29"/>
  <c r="E197" i="29"/>
  <c r="E198" i="29"/>
  <c r="E199" i="29"/>
  <c r="E200" i="29"/>
  <c r="E201" i="29"/>
  <c r="E202" i="29"/>
  <c r="E203" i="29"/>
  <c r="E204" i="29"/>
  <c r="E205" i="29"/>
  <c r="E206" i="29"/>
  <c r="E207" i="29"/>
  <c r="E208" i="29"/>
  <c r="E209" i="29"/>
  <c r="E210" i="29"/>
  <c r="E211" i="29"/>
  <c r="E212" i="29"/>
  <c r="E213" i="29"/>
  <c r="E214" i="29"/>
  <c r="E215" i="29"/>
  <c r="E216" i="29"/>
  <c r="E217" i="29"/>
  <c r="E218" i="29"/>
  <c r="E219" i="29"/>
  <c r="E220" i="29"/>
  <c r="E221" i="29"/>
  <c r="E222" i="29"/>
  <c r="E223" i="29"/>
  <c r="E224" i="29"/>
  <c r="F224" i="29"/>
  <c r="G190" i="37"/>
  <c r="C190" i="37"/>
  <c r="D190" i="37"/>
  <c r="E21" i="37"/>
  <c r="E22" i="37"/>
  <c r="E23" i="37"/>
  <c r="E24" i="37"/>
  <c r="E25" i="37"/>
  <c r="E26" i="37"/>
  <c r="E27" i="37"/>
  <c r="E28" i="37"/>
  <c r="E29" i="37"/>
  <c r="E30" i="37"/>
  <c r="E31" i="37"/>
  <c r="E32" i="37"/>
  <c r="E33" i="37"/>
  <c r="E34" i="37"/>
  <c r="E35" i="37"/>
  <c r="E36" i="37"/>
  <c r="E37" i="37"/>
  <c r="E38" i="37"/>
  <c r="E39" i="37"/>
  <c r="E40" i="37"/>
  <c r="E41" i="37"/>
  <c r="E42" i="37"/>
  <c r="E43" i="37"/>
  <c r="E44" i="37"/>
  <c r="E45" i="37"/>
  <c r="E46" i="37"/>
  <c r="E47" i="37"/>
  <c r="E48" i="37"/>
  <c r="E49" i="37"/>
  <c r="E50" i="37"/>
  <c r="E51" i="37"/>
  <c r="E52" i="37"/>
  <c r="E53" i="37"/>
  <c r="E54" i="37"/>
  <c r="E55" i="37"/>
  <c r="E56" i="37"/>
  <c r="E57" i="37"/>
  <c r="E58" i="37"/>
  <c r="E59" i="37"/>
  <c r="E60" i="37"/>
  <c r="E61" i="37"/>
  <c r="E62" i="37"/>
  <c r="E63" i="37"/>
  <c r="E64" i="37"/>
  <c r="E65" i="37"/>
  <c r="E66" i="37"/>
  <c r="E67" i="37"/>
  <c r="E68" i="37"/>
  <c r="E69" i="37"/>
  <c r="E70" i="37"/>
  <c r="E71" i="37"/>
  <c r="E72" i="37"/>
  <c r="E73" i="37"/>
  <c r="E74" i="37"/>
  <c r="E75" i="37"/>
  <c r="E76" i="37"/>
  <c r="E77" i="37"/>
  <c r="E78" i="37"/>
  <c r="E79" i="37"/>
  <c r="E80" i="37"/>
  <c r="E81" i="37"/>
  <c r="E82" i="37"/>
  <c r="E83" i="37"/>
  <c r="E84" i="37"/>
  <c r="E85" i="37"/>
  <c r="E86" i="37"/>
  <c r="E87" i="37"/>
  <c r="E88" i="37"/>
  <c r="E89" i="37"/>
  <c r="E90" i="37"/>
  <c r="E91" i="37"/>
  <c r="E92" i="37"/>
  <c r="E93" i="37"/>
  <c r="E94" i="37"/>
  <c r="E95" i="37"/>
  <c r="E96" i="37"/>
  <c r="E97" i="37"/>
  <c r="E98" i="37"/>
  <c r="E99" i="37"/>
  <c r="E100" i="37"/>
  <c r="E101" i="37"/>
  <c r="E102" i="37"/>
  <c r="E103" i="37"/>
  <c r="E104" i="37"/>
  <c r="E105" i="37"/>
  <c r="E106" i="37"/>
  <c r="E107" i="37"/>
  <c r="E108" i="37"/>
  <c r="E109" i="37"/>
  <c r="E110" i="37"/>
  <c r="E111" i="37"/>
  <c r="E112" i="37"/>
  <c r="E113" i="37"/>
  <c r="E114" i="37"/>
  <c r="E115" i="37"/>
  <c r="E116" i="37"/>
  <c r="E117" i="37"/>
  <c r="E118" i="37"/>
  <c r="E119" i="37"/>
  <c r="E120" i="37"/>
  <c r="E121" i="37"/>
  <c r="E122" i="37"/>
  <c r="E123" i="37"/>
  <c r="E124" i="37"/>
  <c r="E125" i="37"/>
  <c r="E126" i="37"/>
  <c r="E127" i="37"/>
  <c r="E128" i="37"/>
  <c r="E129" i="37"/>
  <c r="E130" i="37"/>
  <c r="E131" i="37"/>
  <c r="E132" i="37"/>
  <c r="E133" i="37"/>
  <c r="E134" i="37"/>
  <c r="E135" i="37"/>
  <c r="E136" i="37"/>
  <c r="E137" i="37"/>
  <c r="E138" i="37"/>
  <c r="E139" i="37"/>
  <c r="E140" i="37"/>
  <c r="E141" i="37"/>
  <c r="E142" i="37"/>
  <c r="E143" i="37"/>
  <c r="E144" i="37"/>
  <c r="E145" i="37"/>
  <c r="E146" i="37"/>
  <c r="E147" i="37"/>
  <c r="E148" i="37"/>
  <c r="E149" i="37"/>
  <c r="E150" i="37"/>
  <c r="E151" i="37"/>
  <c r="E152" i="37"/>
  <c r="E153" i="37"/>
  <c r="E154" i="37"/>
  <c r="E155" i="37"/>
  <c r="E156" i="37"/>
  <c r="E157" i="37"/>
  <c r="E158" i="37"/>
  <c r="E159" i="37"/>
  <c r="E160" i="37"/>
  <c r="E161" i="37"/>
  <c r="E162" i="37"/>
  <c r="E163" i="37"/>
  <c r="E164" i="37"/>
  <c r="E165" i="37"/>
  <c r="E166" i="37"/>
  <c r="E167" i="37"/>
  <c r="E168" i="37"/>
  <c r="E169" i="37"/>
  <c r="E170" i="37"/>
  <c r="E171" i="37"/>
  <c r="E172" i="37"/>
  <c r="E173" i="37"/>
  <c r="E174" i="37"/>
  <c r="E175" i="37"/>
  <c r="E176" i="37"/>
  <c r="E177" i="37"/>
  <c r="E178" i="37"/>
  <c r="E179" i="37"/>
  <c r="E180" i="37"/>
  <c r="E181" i="37"/>
  <c r="E182" i="37"/>
  <c r="E183" i="37"/>
  <c r="E184" i="37"/>
  <c r="E185" i="37"/>
  <c r="E186" i="37"/>
  <c r="E187" i="37"/>
  <c r="E188" i="37"/>
  <c r="E189" i="37"/>
  <c r="E190" i="37"/>
  <c r="F190" i="37"/>
  <c r="F438" i="5"/>
  <c r="G438" i="5"/>
  <c r="C438" i="5"/>
  <c r="D438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G189" i="37"/>
  <c r="C189" i="37"/>
  <c r="D189" i="37"/>
  <c r="F189" i="37"/>
  <c r="G223" i="29"/>
  <c r="C223" i="29"/>
  <c r="D223" i="29"/>
  <c r="F223" i="29"/>
  <c r="F437" i="5"/>
  <c r="G437" i="5"/>
  <c r="C437" i="5"/>
  <c r="D437" i="5"/>
  <c r="C140" i="40"/>
  <c r="D140" i="40"/>
  <c r="E21" i="40"/>
  <c r="E22" i="40"/>
  <c r="E23" i="40"/>
  <c r="E24" i="40"/>
  <c r="E25" i="40"/>
  <c r="E26" i="40"/>
  <c r="E27" i="40"/>
  <c r="E28" i="40"/>
  <c r="E29" i="40"/>
  <c r="E30" i="40"/>
  <c r="E31" i="40"/>
  <c r="E32" i="40"/>
  <c r="E33" i="40"/>
  <c r="E34" i="40"/>
  <c r="E35" i="40"/>
  <c r="E36" i="40"/>
  <c r="E37" i="40"/>
  <c r="E38" i="40"/>
  <c r="E39" i="40"/>
  <c r="E40" i="40"/>
  <c r="E41" i="40"/>
  <c r="E42" i="40"/>
  <c r="E43" i="40"/>
  <c r="E44" i="40"/>
  <c r="E45" i="40"/>
  <c r="E46" i="40"/>
  <c r="E47" i="40"/>
  <c r="E48" i="40"/>
  <c r="E49" i="40"/>
  <c r="E50" i="40"/>
  <c r="E51" i="40"/>
  <c r="E52" i="40"/>
  <c r="E53" i="40"/>
  <c r="E54" i="40"/>
  <c r="E55" i="40"/>
  <c r="E56" i="40"/>
  <c r="E57" i="40"/>
  <c r="E58" i="40"/>
  <c r="E59" i="40"/>
  <c r="E60" i="40"/>
  <c r="E61" i="40"/>
  <c r="E62" i="40"/>
  <c r="E63" i="40"/>
  <c r="E64" i="40"/>
  <c r="E65" i="40"/>
  <c r="E66" i="40"/>
  <c r="E67" i="40"/>
  <c r="E68" i="40"/>
  <c r="E69" i="40"/>
  <c r="E70" i="40"/>
  <c r="E71" i="40"/>
  <c r="E72" i="40"/>
  <c r="E73" i="40"/>
  <c r="E74" i="40"/>
  <c r="E75" i="40"/>
  <c r="E76" i="40"/>
  <c r="E77" i="40"/>
  <c r="E78" i="40"/>
  <c r="E79" i="40"/>
  <c r="E80" i="40"/>
  <c r="E81" i="40"/>
  <c r="E82" i="40"/>
  <c r="E83" i="40"/>
  <c r="E84" i="40"/>
  <c r="E85" i="40"/>
  <c r="E86" i="40"/>
  <c r="E87" i="40"/>
  <c r="E88" i="40"/>
  <c r="E89" i="40"/>
  <c r="E90" i="40"/>
  <c r="E91" i="40"/>
  <c r="E92" i="40"/>
  <c r="E93" i="40"/>
  <c r="E94" i="40"/>
  <c r="E95" i="40"/>
  <c r="E96" i="40"/>
  <c r="E97" i="40"/>
  <c r="E98" i="40"/>
  <c r="E99" i="40"/>
  <c r="E100" i="40"/>
  <c r="E101" i="40"/>
  <c r="E102" i="40"/>
  <c r="E103" i="40"/>
  <c r="E104" i="40"/>
  <c r="E105" i="40"/>
  <c r="E106" i="40"/>
  <c r="E107" i="40"/>
  <c r="E108" i="40"/>
  <c r="E109" i="40"/>
  <c r="E110" i="40"/>
  <c r="E111" i="40"/>
  <c r="E112" i="40"/>
  <c r="E113" i="40"/>
  <c r="E114" i="40"/>
  <c r="E115" i="40"/>
  <c r="E116" i="40"/>
  <c r="E117" i="40"/>
  <c r="E118" i="40"/>
  <c r="E119" i="40"/>
  <c r="E120" i="40"/>
  <c r="E121" i="40"/>
  <c r="E122" i="40"/>
  <c r="E123" i="40"/>
  <c r="E124" i="40"/>
  <c r="E125" i="40"/>
  <c r="E126" i="40"/>
  <c r="E127" i="40"/>
  <c r="E128" i="40"/>
  <c r="E129" i="40"/>
  <c r="E130" i="40"/>
  <c r="E131" i="40"/>
  <c r="E132" i="40"/>
  <c r="E133" i="40"/>
  <c r="E134" i="40"/>
  <c r="E135" i="40"/>
  <c r="E136" i="40"/>
  <c r="E137" i="40"/>
  <c r="E138" i="40"/>
  <c r="E139" i="40"/>
  <c r="E140" i="40"/>
  <c r="F140" i="40"/>
  <c r="G206" i="33"/>
  <c r="C206" i="33"/>
  <c r="D206" i="33"/>
  <c r="F206" i="33"/>
  <c r="G198" i="35"/>
  <c r="C198" i="35"/>
  <c r="D198" i="35"/>
  <c r="E21" i="35"/>
  <c r="E22" i="35"/>
  <c r="E23" i="35"/>
  <c r="E24" i="35"/>
  <c r="E25" i="35"/>
  <c r="E26" i="35"/>
  <c r="E27" i="35"/>
  <c r="E28" i="35"/>
  <c r="E29" i="35"/>
  <c r="E30" i="35"/>
  <c r="E31" i="35"/>
  <c r="E32" i="35"/>
  <c r="E33" i="35"/>
  <c r="E34" i="35"/>
  <c r="E35" i="35"/>
  <c r="E36" i="35"/>
  <c r="E37" i="35"/>
  <c r="E38" i="35"/>
  <c r="E39" i="35"/>
  <c r="E40" i="35"/>
  <c r="E41" i="35"/>
  <c r="E42" i="35"/>
  <c r="E43" i="35"/>
  <c r="E44" i="35"/>
  <c r="E45" i="35"/>
  <c r="E46" i="35"/>
  <c r="E47" i="35"/>
  <c r="E48" i="35"/>
  <c r="E49" i="35"/>
  <c r="E50" i="35"/>
  <c r="E51" i="35"/>
  <c r="E52" i="35"/>
  <c r="E53" i="35"/>
  <c r="E54" i="35"/>
  <c r="E55" i="35"/>
  <c r="E56" i="35"/>
  <c r="E57" i="35"/>
  <c r="E58" i="35"/>
  <c r="E59" i="35"/>
  <c r="E60" i="35"/>
  <c r="E61" i="35"/>
  <c r="E62" i="35"/>
  <c r="E63" i="35"/>
  <c r="E64" i="35"/>
  <c r="E65" i="35"/>
  <c r="E66" i="35"/>
  <c r="E67" i="35"/>
  <c r="E68" i="35"/>
  <c r="E69" i="35"/>
  <c r="E70" i="35"/>
  <c r="E71" i="35"/>
  <c r="E72" i="35"/>
  <c r="E73" i="35"/>
  <c r="E74" i="35"/>
  <c r="E75" i="35"/>
  <c r="E76" i="35"/>
  <c r="E77" i="35"/>
  <c r="E78" i="35"/>
  <c r="E79" i="35"/>
  <c r="E80" i="35"/>
  <c r="E81" i="35"/>
  <c r="E82" i="35"/>
  <c r="E83" i="35"/>
  <c r="E84" i="35"/>
  <c r="E85" i="35"/>
  <c r="E86" i="35"/>
  <c r="E87" i="35"/>
  <c r="E88" i="35"/>
  <c r="E89" i="35"/>
  <c r="E90" i="35"/>
  <c r="E91" i="35"/>
  <c r="E92" i="35"/>
  <c r="E93" i="35"/>
  <c r="E94" i="35"/>
  <c r="E95" i="35"/>
  <c r="E96" i="35"/>
  <c r="E97" i="35"/>
  <c r="E98" i="35"/>
  <c r="E99" i="35"/>
  <c r="E100" i="35"/>
  <c r="E101" i="35"/>
  <c r="E102" i="35"/>
  <c r="E103" i="35"/>
  <c r="E104" i="35"/>
  <c r="E105" i="35"/>
  <c r="E106" i="35"/>
  <c r="E107" i="35"/>
  <c r="E108" i="35"/>
  <c r="E109" i="35"/>
  <c r="E110" i="35"/>
  <c r="E111" i="35"/>
  <c r="E112" i="35"/>
  <c r="E113" i="35"/>
  <c r="E114" i="35"/>
  <c r="E115" i="35"/>
  <c r="E116" i="35"/>
  <c r="E117" i="35"/>
  <c r="E118" i="35"/>
  <c r="E119" i="35"/>
  <c r="E120" i="35"/>
  <c r="E121" i="35"/>
  <c r="E122" i="35"/>
  <c r="E123" i="35"/>
  <c r="E124" i="35"/>
  <c r="E125" i="35"/>
  <c r="E126" i="35"/>
  <c r="E127" i="35"/>
  <c r="E128" i="35"/>
  <c r="E129" i="35"/>
  <c r="E130" i="35"/>
  <c r="E131" i="35"/>
  <c r="E132" i="35"/>
  <c r="E133" i="35"/>
  <c r="E134" i="35"/>
  <c r="E135" i="35"/>
  <c r="E136" i="35"/>
  <c r="E137" i="35"/>
  <c r="E138" i="35"/>
  <c r="E139" i="35"/>
  <c r="E140" i="35"/>
  <c r="E141" i="35"/>
  <c r="E142" i="35"/>
  <c r="E143" i="35"/>
  <c r="E144" i="35"/>
  <c r="E145" i="35"/>
  <c r="E146" i="35"/>
  <c r="E147" i="35"/>
  <c r="E148" i="35"/>
  <c r="E149" i="35"/>
  <c r="E150" i="35"/>
  <c r="E151" i="35"/>
  <c r="E152" i="35"/>
  <c r="E153" i="35"/>
  <c r="E154" i="35"/>
  <c r="E155" i="35"/>
  <c r="E156" i="35"/>
  <c r="E157" i="35"/>
  <c r="E158" i="35"/>
  <c r="E159" i="35"/>
  <c r="E160" i="35"/>
  <c r="E161" i="35"/>
  <c r="E162" i="35"/>
  <c r="E163" i="35"/>
  <c r="E164" i="35"/>
  <c r="E165" i="35"/>
  <c r="E166" i="35"/>
  <c r="E167" i="35"/>
  <c r="E168" i="35"/>
  <c r="E169" i="35"/>
  <c r="E170" i="35"/>
  <c r="E171" i="35"/>
  <c r="E172" i="35"/>
  <c r="E173" i="35"/>
  <c r="E174" i="35"/>
  <c r="E175" i="35"/>
  <c r="E176" i="35"/>
  <c r="E177" i="35"/>
  <c r="E178" i="35"/>
  <c r="E179" i="35"/>
  <c r="E180" i="35"/>
  <c r="E181" i="35"/>
  <c r="E182" i="35"/>
  <c r="E183" i="35"/>
  <c r="E184" i="35"/>
  <c r="E185" i="35"/>
  <c r="E186" i="35"/>
  <c r="E187" i="35"/>
  <c r="E188" i="35"/>
  <c r="E189" i="35"/>
  <c r="E190" i="35"/>
  <c r="E191" i="35"/>
  <c r="E192" i="35"/>
  <c r="E193" i="35"/>
  <c r="E194" i="35"/>
  <c r="E195" i="35"/>
  <c r="E196" i="35"/>
  <c r="E197" i="35"/>
  <c r="E198" i="35"/>
  <c r="F198" i="35"/>
  <c r="F435" i="7"/>
  <c r="G435" i="7"/>
  <c r="C435" i="7"/>
  <c r="D435" i="7"/>
  <c r="F438" i="4"/>
  <c r="G438" i="4"/>
  <c r="F439" i="4"/>
  <c r="G439" i="4"/>
  <c r="C438" i="4"/>
  <c r="C439" i="4"/>
  <c r="D438" i="4"/>
  <c r="D439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C114" i="46"/>
  <c r="C115" i="46"/>
  <c r="C116" i="46"/>
  <c r="C117" i="46"/>
  <c r="C118" i="46"/>
  <c r="C119" i="46"/>
  <c r="C120" i="46"/>
  <c r="C121" i="46"/>
  <c r="C122" i="46"/>
  <c r="C123" i="46"/>
  <c r="G123" i="46"/>
  <c r="D123" i="46"/>
  <c r="F123" i="46"/>
  <c r="F270" i="19"/>
  <c r="G270" i="19"/>
  <c r="F271" i="19"/>
  <c r="G271" i="19"/>
  <c r="C271" i="19"/>
  <c r="D271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90" i="19"/>
  <c r="E91" i="19"/>
  <c r="E92" i="19"/>
  <c r="E93" i="19"/>
  <c r="E94" i="19"/>
  <c r="E95" i="19"/>
  <c r="E96" i="19"/>
  <c r="E97" i="19"/>
  <c r="E98" i="19"/>
  <c r="E99" i="19"/>
  <c r="E100" i="19"/>
  <c r="E101" i="19"/>
  <c r="E102" i="19"/>
  <c r="E103" i="19"/>
  <c r="E104" i="19"/>
  <c r="E105" i="19"/>
  <c r="E106" i="19"/>
  <c r="E107" i="19"/>
  <c r="E108" i="19"/>
  <c r="E109" i="19"/>
  <c r="E110" i="19"/>
  <c r="E111" i="19"/>
  <c r="E112" i="19"/>
  <c r="E113" i="19"/>
  <c r="E114" i="19"/>
  <c r="E115" i="19"/>
  <c r="E116" i="19"/>
  <c r="E117" i="19"/>
  <c r="E118" i="19"/>
  <c r="E119" i="19"/>
  <c r="E120" i="19"/>
  <c r="E121" i="19"/>
  <c r="E122" i="19"/>
  <c r="E123" i="19"/>
  <c r="E124" i="19"/>
  <c r="E125" i="19"/>
  <c r="E126" i="19"/>
  <c r="E127" i="19"/>
  <c r="E128" i="19"/>
  <c r="E129" i="19"/>
  <c r="E130" i="19"/>
  <c r="E131" i="19"/>
  <c r="E132" i="19"/>
  <c r="E133" i="19"/>
  <c r="E134" i="19"/>
  <c r="E135" i="19"/>
  <c r="E136" i="19"/>
  <c r="E137" i="19"/>
  <c r="E138" i="19"/>
  <c r="E139" i="19"/>
  <c r="E140" i="19"/>
  <c r="E141" i="19"/>
  <c r="E142" i="19"/>
  <c r="E143" i="19"/>
  <c r="E144" i="19"/>
  <c r="E145" i="19"/>
  <c r="E146" i="19"/>
  <c r="E147" i="19"/>
  <c r="E148" i="19"/>
  <c r="E149" i="19"/>
  <c r="E150" i="19"/>
  <c r="E151" i="19"/>
  <c r="E152" i="19"/>
  <c r="E153" i="19"/>
  <c r="E154" i="19"/>
  <c r="E155" i="19"/>
  <c r="E156" i="19"/>
  <c r="E157" i="19"/>
  <c r="E158" i="19"/>
  <c r="E159" i="19"/>
  <c r="E160" i="19"/>
  <c r="E161" i="19"/>
  <c r="E162" i="19"/>
  <c r="E163" i="19"/>
  <c r="E164" i="19"/>
  <c r="E165" i="19"/>
  <c r="E166" i="19"/>
  <c r="E167" i="19"/>
  <c r="E168" i="19"/>
  <c r="E169" i="19"/>
  <c r="E170" i="19"/>
  <c r="E171" i="19"/>
  <c r="E172" i="19"/>
  <c r="E173" i="19"/>
  <c r="E174" i="19"/>
  <c r="E175" i="19"/>
  <c r="E176" i="19"/>
  <c r="E177" i="19"/>
  <c r="E178" i="19"/>
  <c r="E179" i="19"/>
  <c r="E180" i="19"/>
  <c r="E181" i="19"/>
  <c r="E182" i="19"/>
  <c r="E183" i="19"/>
  <c r="E184" i="19"/>
  <c r="E185" i="19"/>
  <c r="E186" i="19"/>
  <c r="E187" i="19"/>
  <c r="E188" i="19"/>
  <c r="E189" i="19"/>
  <c r="E190" i="19"/>
  <c r="E191" i="19"/>
  <c r="E192" i="19"/>
  <c r="E193" i="19"/>
  <c r="E194" i="19"/>
  <c r="E195" i="19"/>
  <c r="E196" i="19"/>
  <c r="E197" i="19"/>
  <c r="E198" i="19"/>
  <c r="E199" i="19"/>
  <c r="E200" i="19"/>
  <c r="E201" i="19"/>
  <c r="E202" i="19"/>
  <c r="E203" i="19"/>
  <c r="E204" i="19"/>
  <c r="E205" i="19"/>
  <c r="E206" i="19"/>
  <c r="E207" i="19"/>
  <c r="E208" i="19"/>
  <c r="E209" i="19"/>
  <c r="E210" i="19"/>
  <c r="E211" i="19"/>
  <c r="E212" i="19"/>
  <c r="E213" i="19"/>
  <c r="E214" i="19"/>
  <c r="E215" i="19"/>
  <c r="E216" i="19"/>
  <c r="E217" i="19"/>
  <c r="E218" i="19"/>
  <c r="E219" i="19"/>
  <c r="E220" i="19"/>
  <c r="E221" i="19"/>
  <c r="E222" i="19"/>
  <c r="E223" i="19"/>
  <c r="E224" i="19"/>
  <c r="E225" i="19"/>
  <c r="E226" i="19"/>
  <c r="E227" i="19"/>
  <c r="E228" i="19"/>
  <c r="E229" i="19"/>
  <c r="E230" i="19"/>
  <c r="E231" i="19"/>
  <c r="E232" i="19"/>
  <c r="E233" i="19"/>
  <c r="E234" i="19"/>
  <c r="E235" i="19"/>
  <c r="E236" i="19"/>
  <c r="E237" i="19"/>
  <c r="E238" i="19"/>
  <c r="E239" i="19"/>
  <c r="E240" i="19"/>
  <c r="E241" i="19"/>
  <c r="E242" i="19"/>
  <c r="E243" i="19"/>
  <c r="E244" i="19"/>
  <c r="E245" i="19"/>
  <c r="E246" i="19"/>
  <c r="E247" i="19"/>
  <c r="E248" i="19"/>
  <c r="E249" i="19"/>
  <c r="E250" i="19"/>
  <c r="E251" i="19"/>
  <c r="E252" i="19"/>
  <c r="E253" i="19"/>
  <c r="E254" i="19"/>
  <c r="E255" i="19"/>
  <c r="E256" i="19"/>
  <c r="E257" i="19"/>
  <c r="E258" i="19"/>
  <c r="E259" i="19"/>
  <c r="E260" i="19"/>
  <c r="E261" i="19"/>
  <c r="E262" i="19"/>
  <c r="E263" i="19"/>
  <c r="E264" i="19"/>
  <c r="E265" i="19"/>
  <c r="E266" i="19"/>
  <c r="E267" i="19"/>
  <c r="E268" i="19"/>
  <c r="E269" i="19"/>
  <c r="E270" i="19"/>
  <c r="E271" i="19"/>
  <c r="F390" i="24"/>
  <c r="G390" i="24"/>
  <c r="H390" i="24"/>
  <c r="C390" i="24"/>
  <c r="D390" i="24"/>
  <c r="E21" i="24"/>
  <c r="E22" i="24"/>
  <c r="E23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53" i="24"/>
  <c r="E54" i="24"/>
  <c r="E55" i="24"/>
  <c r="E56" i="24"/>
  <c r="E57" i="24"/>
  <c r="E58" i="24"/>
  <c r="E59" i="24"/>
  <c r="E60" i="24"/>
  <c r="E61" i="24"/>
  <c r="E62" i="24"/>
  <c r="E63" i="24"/>
  <c r="E64" i="24"/>
  <c r="E65" i="24"/>
  <c r="E66" i="24"/>
  <c r="E67" i="24"/>
  <c r="E68" i="24"/>
  <c r="E69" i="24"/>
  <c r="E70" i="24"/>
  <c r="E71" i="24"/>
  <c r="E72" i="24"/>
  <c r="E73" i="24"/>
  <c r="E74" i="24"/>
  <c r="E75" i="24"/>
  <c r="E76" i="24"/>
  <c r="E77" i="24"/>
  <c r="E78" i="24"/>
  <c r="E79" i="24"/>
  <c r="E80" i="24"/>
  <c r="E81" i="24"/>
  <c r="E82" i="24"/>
  <c r="E83" i="24"/>
  <c r="E84" i="24"/>
  <c r="E85" i="24"/>
  <c r="E86" i="24"/>
  <c r="E87" i="24"/>
  <c r="E88" i="24"/>
  <c r="E89" i="24"/>
  <c r="E90" i="24"/>
  <c r="E91" i="24"/>
  <c r="E92" i="24"/>
  <c r="E93" i="24"/>
  <c r="E94" i="24"/>
  <c r="E95" i="24"/>
  <c r="E96" i="24"/>
  <c r="E97" i="24"/>
  <c r="E98" i="24"/>
  <c r="E99" i="24"/>
  <c r="E100" i="24"/>
  <c r="E101" i="24"/>
  <c r="E102" i="24"/>
  <c r="E103" i="24"/>
  <c r="E104" i="24"/>
  <c r="E105" i="24"/>
  <c r="E106" i="24"/>
  <c r="E107" i="24"/>
  <c r="E108" i="24"/>
  <c r="E109" i="24"/>
  <c r="E110" i="24"/>
  <c r="E111" i="24"/>
  <c r="E112" i="24"/>
  <c r="E113" i="24"/>
  <c r="E114" i="24"/>
  <c r="E115" i="24"/>
  <c r="E116" i="24"/>
  <c r="E117" i="24"/>
  <c r="E118" i="24"/>
  <c r="E119" i="24"/>
  <c r="E120" i="24"/>
  <c r="E121" i="24"/>
  <c r="E122" i="24"/>
  <c r="E123" i="24"/>
  <c r="E124" i="24"/>
  <c r="E125" i="24"/>
  <c r="E126" i="24"/>
  <c r="E127" i="24"/>
  <c r="E128" i="24"/>
  <c r="E129" i="24"/>
  <c r="E130" i="24"/>
  <c r="E131" i="24"/>
  <c r="E132" i="24"/>
  <c r="E133" i="24"/>
  <c r="E134" i="24"/>
  <c r="E135" i="24"/>
  <c r="E136" i="24"/>
  <c r="E137" i="24"/>
  <c r="E138" i="24"/>
  <c r="E139" i="24"/>
  <c r="E140" i="24"/>
  <c r="E141" i="24"/>
  <c r="E142" i="24"/>
  <c r="E143" i="24"/>
  <c r="E144" i="24"/>
  <c r="E145" i="24"/>
  <c r="E146" i="24"/>
  <c r="E147" i="24"/>
  <c r="E148" i="24"/>
  <c r="E149" i="24"/>
  <c r="E150" i="24"/>
  <c r="E151" i="24"/>
  <c r="E152" i="24"/>
  <c r="E153" i="24"/>
  <c r="E154" i="24"/>
  <c r="E155" i="24"/>
  <c r="E156" i="24"/>
  <c r="E157" i="24"/>
  <c r="E158" i="24"/>
  <c r="E159" i="24"/>
  <c r="E160" i="24"/>
  <c r="E161" i="24"/>
  <c r="E162" i="24"/>
  <c r="E163" i="24"/>
  <c r="E164" i="24"/>
  <c r="E165" i="24"/>
  <c r="E166" i="24"/>
  <c r="E167" i="24"/>
  <c r="E168" i="24"/>
  <c r="E169" i="24"/>
  <c r="E170" i="24"/>
  <c r="E171" i="24"/>
  <c r="E172" i="24"/>
  <c r="E173" i="24"/>
  <c r="E174" i="24"/>
  <c r="E175" i="24"/>
  <c r="E176" i="24"/>
  <c r="E177" i="24"/>
  <c r="E178" i="24"/>
  <c r="E179" i="24"/>
  <c r="E180" i="24"/>
  <c r="E181" i="24"/>
  <c r="E182" i="24"/>
  <c r="E183" i="24"/>
  <c r="E184" i="24"/>
  <c r="E185" i="24"/>
  <c r="E186" i="24"/>
  <c r="E187" i="24"/>
  <c r="E188" i="24"/>
  <c r="E189" i="24"/>
  <c r="E190" i="24"/>
  <c r="E191" i="24"/>
  <c r="E192" i="24"/>
  <c r="E193" i="24"/>
  <c r="E194" i="24"/>
  <c r="E195" i="24"/>
  <c r="E196" i="24"/>
  <c r="E197" i="24"/>
  <c r="E198" i="24"/>
  <c r="E199" i="24"/>
  <c r="E200" i="24"/>
  <c r="E201" i="24"/>
  <c r="E202" i="24"/>
  <c r="E203" i="24"/>
  <c r="E204" i="24"/>
  <c r="E205" i="24"/>
  <c r="E206" i="24"/>
  <c r="E207" i="24"/>
  <c r="E208" i="24"/>
  <c r="E209" i="24"/>
  <c r="E210" i="24"/>
  <c r="E211" i="24"/>
  <c r="E212" i="24"/>
  <c r="E213" i="24"/>
  <c r="E214" i="24"/>
  <c r="E215" i="24"/>
  <c r="E216" i="24"/>
  <c r="E217" i="24"/>
  <c r="E218" i="24"/>
  <c r="E219" i="24"/>
  <c r="E220" i="24"/>
  <c r="E221" i="24"/>
  <c r="E222" i="24"/>
  <c r="E223" i="24"/>
  <c r="E224" i="24"/>
  <c r="E225" i="24"/>
  <c r="E226" i="24"/>
  <c r="E227" i="24"/>
  <c r="E228" i="24"/>
  <c r="E229" i="24"/>
  <c r="E230" i="24"/>
  <c r="E231" i="24"/>
  <c r="E232" i="24"/>
  <c r="E233" i="24"/>
  <c r="E234" i="24"/>
  <c r="E235" i="24"/>
  <c r="E236" i="24"/>
  <c r="E237" i="24"/>
  <c r="E238" i="24"/>
  <c r="E239" i="24"/>
  <c r="E240" i="24"/>
  <c r="E241" i="24"/>
  <c r="E242" i="24"/>
  <c r="E243" i="24"/>
  <c r="E244" i="24"/>
  <c r="E245" i="24"/>
  <c r="E246" i="24"/>
  <c r="E247" i="24"/>
  <c r="E248" i="24"/>
  <c r="E249" i="24"/>
  <c r="E250" i="24"/>
  <c r="E251" i="24"/>
  <c r="E252" i="24"/>
  <c r="E253" i="24"/>
  <c r="E254" i="24"/>
  <c r="E255" i="24"/>
  <c r="E256" i="24"/>
  <c r="E257" i="24"/>
  <c r="E258" i="24"/>
  <c r="E259" i="24"/>
  <c r="E260" i="24"/>
  <c r="E261" i="24"/>
  <c r="E262" i="24"/>
  <c r="E263" i="24"/>
  <c r="E264" i="24"/>
  <c r="E265" i="24"/>
  <c r="E266" i="24"/>
  <c r="E267" i="24"/>
  <c r="E268" i="24"/>
  <c r="E269" i="24"/>
  <c r="E270" i="24"/>
  <c r="E271" i="24"/>
  <c r="E272" i="24"/>
  <c r="E273" i="24"/>
  <c r="E274" i="24"/>
  <c r="E275" i="24"/>
  <c r="E276" i="24"/>
  <c r="E277" i="24"/>
  <c r="E278" i="24"/>
  <c r="E279" i="24"/>
  <c r="E280" i="24"/>
  <c r="E281" i="24"/>
  <c r="E282" i="24"/>
  <c r="E283" i="24"/>
  <c r="E284" i="24"/>
  <c r="E285" i="24"/>
  <c r="E286" i="24"/>
  <c r="E287" i="24"/>
  <c r="E288" i="24"/>
  <c r="E289" i="24"/>
  <c r="E290" i="24"/>
  <c r="E291" i="24"/>
  <c r="E292" i="24"/>
  <c r="E293" i="24"/>
  <c r="E294" i="24"/>
  <c r="E295" i="24"/>
  <c r="E296" i="24"/>
  <c r="E297" i="24"/>
  <c r="E298" i="24"/>
  <c r="E299" i="24"/>
  <c r="E300" i="24"/>
  <c r="E301" i="24"/>
  <c r="E302" i="24"/>
  <c r="E303" i="24"/>
  <c r="E304" i="24"/>
  <c r="E305" i="24"/>
  <c r="E306" i="24"/>
  <c r="E307" i="24"/>
  <c r="E308" i="24"/>
  <c r="E309" i="24"/>
  <c r="E310" i="24"/>
  <c r="E311" i="24"/>
  <c r="E312" i="24"/>
  <c r="E313" i="24"/>
  <c r="E314" i="24"/>
  <c r="E315" i="24"/>
  <c r="E316" i="24"/>
  <c r="E317" i="24"/>
  <c r="E318" i="24"/>
  <c r="E319" i="24"/>
  <c r="E320" i="24"/>
  <c r="E321" i="24"/>
  <c r="E322" i="24"/>
  <c r="E323" i="24"/>
  <c r="E324" i="24"/>
  <c r="E325" i="24"/>
  <c r="E326" i="24"/>
  <c r="E327" i="24"/>
  <c r="E328" i="24"/>
  <c r="E329" i="24"/>
  <c r="E330" i="24"/>
  <c r="E331" i="24"/>
  <c r="E332" i="24"/>
  <c r="E333" i="24"/>
  <c r="E334" i="24"/>
  <c r="E335" i="24"/>
  <c r="E336" i="24"/>
  <c r="E337" i="24"/>
  <c r="E338" i="24"/>
  <c r="E339" i="24"/>
  <c r="E340" i="24"/>
  <c r="E341" i="24"/>
  <c r="E342" i="24"/>
  <c r="E343" i="24"/>
  <c r="E344" i="24"/>
  <c r="E345" i="24"/>
  <c r="E346" i="24"/>
  <c r="E347" i="24"/>
  <c r="E348" i="24"/>
  <c r="E349" i="24"/>
  <c r="E350" i="24"/>
  <c r="E351" i="24"/>
  <c r="E352" i="24"/>
  <c r="E353" i="24"/>
  <c r="E354" i="24"/>
  <c r="E355" i="24"/>
  <c r="E356" i="24"/>
  <c r="E357" i="24"/>
  <c r="E358" i="24"/>
  <c r="E359" i="24"/>
  <c r="E360" i="24"/>
  <c r="E361" i="24"/>
  <c r="E362" i="24"/>
  <c r="E363" i="24"/>
  <c r="E364" i="24"/>
  <c r="E365" i="24"/>
  <c r="E366" i="24"/>
  <c r="E367" i="24"/>
  <c r="E368" i="24"/>
  <c r="E369" i="24"/>
  <c r="E370" i="24"/>
  <c r="E371" i="24"/>
  <c r="E372" i="24"/>
  <c r="E373" i="24"/>
  <c r="E374" i="24"/>
  <c r="E375" i="24"/>
  <c r="E376" i="24"/>
  <c r="E377" i="24"/>
  <c r="E378" i="24"/>
  <c r="E379" i="24"/>
  <c r="E380" i="24"/>
  <c r="E381" i="24"/>
  <c r="E382" i="24"/>
  <c r="E383" i="24"/>
  <c r="E384" i="24"/>
  <c r="E385" i="24"/>
  <c r="E386" i="24"/>
  <c r="E387" i="24"/>
  <c r="E388" i="24"/>
  <c r="E389" i="24"/>
  <c r="E390" i="24"/>
  <c r="G263" i="20"/>
  <c r="H263" i="20"/>
  <c r="C263" i="20"/>
  <c r="D263" i="20"/>
  <c r="E21" i="20"/>
  <c r="E22" i="20"/>
  <c r="E23" i="20"/>
  <c r="E24" i="20"/>
  <c r="E25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E40" i="20"/>
  <c r="E41" i="20"/>
  <c r="E42" i="20"/>
  <c r="E43" i="20"/>
  <c r="E44" i="20"/>
  <c r="E45" i="20"/>
  <c r="E46" i="20"/>
  <c r="E47" i="20"/>
  <c r="E48" i="20"/>
  <c r="E49" i="20"/>
  <c r="E50" i="20"/>
  <c r="E51" i="20"/>
  <c r="E52" i="20"/>
  <c r="E53" i="20"/>
  <c r="E54" i="20"/>
  <c r="E55" i="20"/>
  <c r="E56" i="20"/>
  <c r="E57" i="20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90" i="20"/>
  <c r="E91" i="20"/>
  <c r="E92" i="20"/>
  <c r="E93" i="20"/>
  <c r="E94" i="20"/>
  <c r="E95" i="20"/>
  <c r="E96" i="20"/>
  <c r="E97" i="20"/>
  <c r="E98" i="20"/>
  <c r="E99" i="20"/>
  <c r="E100" i="20"/>
  <c r="E101" i="20"/>
  <c r="E102" i="20"/>
  <c r="E103" i="20"/>
  <c r="E104" i="20"/>
  <c r="E105" i="20"/>
  <c r="E106" i="20"/>
  <c r="E107" i="20"/>
  <c r="E108" i="20"/>
  <c r="E109" i="20"/>
  <c r="E110" i="20"/>
  <c r="E111" i="20"/>
  <c r="E112" i="20"/>
  <c r="E113" i="20"/>
  <c r="E114" i="20"/>
  <c r="E115" i="20"/>
  <c r="E116" i="20"/>
  <c r="E117" i="20"/>
  <c r="E118" i="20"/>
  <c r="E119" i="20"/>
  <c r="E120" i="20"/>
  <c r="E121" i="20"/>
  <c r="E122" i="20"/>
  <c r="E123" i="20"/>
  <c r="E124" i="20"/>
  <c r="E125" i="20"/>
  <c r="E126" i="20"/>
  <c r="E127" i="20"/>
  <c r="E128" i="20"/>
  <c r="E129" i="20"/>
  <c r="E130" i="20"/>
  <c r="E131" i="20"/>
  <c r="E132" i="20"/>
  <c r="E133" i="20"/>
  <c r="E134" i="20"/>
  <c r="E135" i="20"/>
  <c r="E136" i="20"/>
  <c r="E137" i="20"/>
  <c r="E138" i="20"/>
  <c r="E139" i="20"/>
  <c r="E140" i="20"/>
  <c r="E141" i="20"/>
  <c r="E142" i="20"/>
  <c r="E143" i="20"/>
  <c r="E144" i="20"/>
  <c r="E145" i="20"/>
  <c r="E146" i="20"/>
  <c r="E147" i="20"/>
  <c r="E148" i="20"/>
  <c r="E149" i="20"/>
  <c r="E150" i="20"/>
  <c r="E151" i="20"/>
  <c r="E152" i="20"/>
  <c r="E153" i="20"/>
  <c r="E154" i="20"/>
  <c r="E155" i="20"/>
  <c r="E156" i="20"/>
  <c r="E157" i="20"/>
  <c r="E158" i="20"/>
  <c r="E159" i="20"/>
  <c r="E160" i="20"/>
  <c r="E161" i="20"/>
  <c r="E162" i="20"/>
  <c r="E163" i="20"/>
  <c r="E164" i="20"/>
  <c r="E165" i="20"/>
  <c r="E166" i="20"/>
  <c r="E167" i="20"/>
  <c r="E168" i="20"/>
  <c r="E169" i="20"/>
  <c r="E170" i="20"/>
  <c r="E171" i="20"/>
  <c r="E172" i="20"/>
  <c r="E173" i="20"/>
  <c r="E174" i="20"/>
  <c r="E175" i="20"/>
  <c r="E176" i="20"/>
  <c r="E177" i="20"/>
  <c r="E178" i="20"/>
  <c r="E179" i="20"/>
  <c r="E180" i="20"/>
  <c r="E181" i="20"/>
  <c r="E182" i="20"/>
  <c r="E183" i="20"/>
  <c r="E184" i="20"/>
  <c r="E185" i="20"/>
  <c r="E186" i="20"/>
  <c r="E187" i="20"/>
  <c r="E188" i="20"/>
  <c r="E189" i="20"/>
  <c r="E190" i="20"/>
  <c r="E191" i="20"/>
  <c r="E192" i="20"/>
  <c r="E193" i="20"/>
  <c r="E194" i="20"/>
  <c r="E195" i="20"/>
  <c r="E196" i="20"/>
  <c r="E197" i="20"/>
  <c r="E198" i="20"/>
  <c r="E199" i="20"/>
  <c r="E200" i="20"/>
  <c r="E201" i="20"/>
  <c r="E202" i="20"/>
  <c r="E203" i="20"/>
  <c r="E204" i="20"/>
  <c r="E205" i="20"/>
  <c r="E206" i="20"/>
  <c r="E207" i="20"/>
  <c r="E208" i="20"/>
  <c r="E209" i="20"/>
  <c r="E210" i="20"/>
  <c r="E211" i="20"/>
  <c r="E212" i="20"/>
  <c r="E213" i="20"/>
  <c r="E214" i="20"/>
  <c r="E215" i="20"/>
  <c r="E216" i="20"/>
  <c r="E217" i="20"/>
  <c r="E218" i="20"/>
  <c r="E219" i="20"/>
  <c r="E220" i="20"/>
  <c r="E221" i="20"/>
  <c r="E222" i="20"/>
  <c r="E223" i="20"/>
  <c r="E224" i="20"/>
  <c r="E225" i="20"/>
  <c r="E226" i="20"/>
  <c r="E227" i="20"/>
  <c r="E228" i="20"/>
  <c r="E229" i="20"/>
  <c r="E230" i="20"/>
  <c r="E231" i="20"/>
  <c r="E232" i="20"/>
  <c r="E233" i="20"/>
  <c r="E234" i="20"/>
  <c r="E235" i="20"/>
  <c r="E236" i="20"/>
  <c r="E237" i="20"/>
  <c r="E238" i="20"/>
  <c r="E239" i="20"/>
  <c r="E240" i="20"/>
  <c r="E241" i="20"/>
  <c r="E242" i="20"/>
  <c r="E243" i="20"/>
  <c r="E244" i="20"/>
  <c r="E245" i="20"/>
  <c r="E246" i="20"/>
  <c r="E247" i="20"/>
  <c r="E248" i="20"/>
  <c r="E249" i="20"/>
  <c r="E250" i="20"/>
  <c r="E251" i="20"/>
  <c r="E252" i="20"/>
  <c r="E253" i="20"/>
  <c r="E254" i="20"/>
  <c r="E255" i="20"/>
  <c r="E256" i="20"/>
  <c r="E257" i="20"/>
  <c r="E258" i="20"/>
  <c r="E259" i="20"/>
  <c r="E260" i="20"/>
  <c r="E261" i="20"/>
  <c r="E262" i="20"/>
  <c r="E263" i="20"/>
  <c r="F263" i="20"/>
  <c r="G340" i="14"/>
  <c r="H340" i="14"/>
  <c r="C340" i="14"/>
  <c r="D34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F340" i="14"/>
  <c r="G224" i="28"/>
  <c r="C224" i="28"/>
  <c r="D224" i="28"/>
  <c r="E21" i="28"/>
  <c r="E22" i="28"/>
  <c r="E23" i="28"/>
  <c r="E24" i="28"/>
  <c r="E25" i="28"/>
  <c r="E26" i="28"/>
  <c r="E27" i="28"/>
  <c r="E28" i="28"/>
  <c r="E29" i="28"/>
  <c r="E30" i="28"/>
  <c r="E31" i="28"/>
  <c r="E32" i="28"/>
  <c r="E33" i="28"/>
  <c r="E34" i="28"/>
  <c r="E35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70" i="28"/>
  <c r="E71" i="28"/>
  <c r="E72" i="28"/>
  <c r="E73" i="28"/>
  <c r="E74" i="28"/>
  <c r="E75" i="28"/>
  <c r="E76" i="28"/>
  <c r="E77" i="28"/>
  <c r="E78" i="28"/>
  <c r="E79" i="28"/>
  <c r="E80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5" i="28"/>
  <c r="E96" i="28"/>
  <c r="E97" i="28"/>
  <c r="E98" i="28"/>
  <c r="E99" i="28"/>
  <c r="E100" i="28"/>
  <c r="E101" i="28"/>
  <c r="E102" i="28"/>
  <c r="E103" i="28"/>
  <c r="E104" i="28"/>
  <c r="E105" i="28"/>
  <c r="E106" i="28"/>
  <c r="E107" i="28"/>
  <c r="E108" i="28"/>
  <c r="E109" i="28"/>
  <c r="E110" i="28"/>
  <c r="E111" i="28"/>
  <c r="E112" i="28"/>
  <c r="E113" i="28"/>
  <c r="E114" i="28"/>
  <c r="E115" i="28"/>
  <c r="E116" i="28"/>
  <c r="E117" i="28"/>
  <c r="E118" i="28"/>
  <c r="E119" i="28"/>
  <c r="E120" i="28"/>
  <c r="E121" i="28"/>
  <c r="E122" i="28"/>
  <c r="E123" i="28"/>
  <c r="E124" i="28"/>
  <c r="E125" i="28"/>
  <c r="E126" i="28"/>
  <c r="E127" i="28"/>
  <c r="E128" i="28"/>
  <c r="E129" i="28"/>
  <c r="E130" i="28"/>
  <c r="E131" i="28"/>
  <c r="E132" i="28"/>
  <c r="E133" i="28"/>
  <c r="E134" i="28"/>
  <c r="E135" i="28"/>
  <c r="E136" i="28"/>
  <c r="E137" i="28"/>
  <c r="E138" i="28"/>
  <c r="E139" i="28"/>
  <c r="E140" i="28"/>
  <c r="E141" i="28"/>
  <c r="E142" i="28"/>
  <c r="E143" i="28"/>
  <c r="E144" i="28"/>
  <c r="E145" i="28"/>
  <c r="E146" i="28"/>
  <c r="E147" i="28"/>
  <c r="E148" i="28"/>
  <c r="E149" i="28"/>
  <c r="E150" i="28"/>
  <c r="E151" i="28"/>
  <c r="E152" i="28"/>
  <c r="E153" i="28"/>
  <c r="E154" i="28"/>
  <c r="E155" i="28"/>
  <c r="E156" i="28"/>
  <c r="E157" i="28"/>
  <c r="E158" i="28"/>
  <c r="E159" i="28"/>
  <c r="E160" i="28"/>
  <c r="E161" i="28"/>
  <c r="E162" i="28"/>
  <c r="E163" i="28"/>
  <c r="E164" i="28"/>
  <c r="E165" i="28"/>
  <c r="E166" i="28"/>
  <c r="E167" i="28"/>
  <c r="E168" i="28"/>
  <c r="E169" i="28"/>
  <c r="E170" i="28"/>
  <c r="E171" i="28"/>
  <c r="E172" i="28"/>
  <c r="E173" i="28"/>
  <c r="E174" i="28"/>
  <c r="E175" i="28"/>
  <c r="E176" i="28"/>
  <c r="E177" i="28"/>
  <c r="E178" i="28"/>
  <c r="E179" i="28"/>
  <c r="E180" i="28"/>
  <c r="E181" i="28"/>
  <c r="E182" i="28"/>
  <c r="E183" i="28"/>
  <c r="E184" i="28"/>
  <c r="E185" i="28"/>
  <c r="E186" i="28"/>
  <c r="E187" i="28"/>
  <c r="E188" i="28"/>
  <c r="E189" i="28"/>
  <c r="E190" i="28"/>
  <c r="E191" i="28"/>
  <c r="E192" i="28"/>
  <c r="E193" i="28"/>
  <c r="E194" i="28"/>
  <c r="E195" i="28"/>
  <c r="E196" i="28"/>
  <c r="E197" i="28"/>
  <c r="E198" i="28"/>
  <c r="E199" i="28"/>
  <c r="E200" i="28"/>
  <c r="E201" i="28"/>
  <c r="E202" i="28"/>
  <c r="E203" i="28"/>
  <c r="E204" i="28"/>
  <c r="E205" i="28"/>
  <c r="E206" i="28"/>
  <c r="E207" i="28"/>
  <c r="E208" i="28"/>
  <c r="E209" i="28"/>
  <c r="E210" i="28"/>
  <c r="E211" i="28"/>
  <c r="E212" i="28"/>
  <c r="E213" i="28"/>
  <c r="E214" i="28"/>
  <c r="E215" i="28"/>
  <c r="E216" i="28"/>
  <c r="E217" i="28"/>
  <c r="E218" i="28"/>
  <c r="E219" i="28"/>
  <c r="E220" i="28"/>
  <c r="E221" i="28"/>
  <c r="E222" i="28"/>
  <c r="E223" i="28"/>
  <c r="E224" i="28"/>
  <c r="F224" i="28"/>
  <c r="G221" i="30"/>
  <c r="C221" i="30"/>
  <c r="D221" i="30"/>
  <c r="E21" i="30"/>
  <c r="E22" i="30"/>
  <c r="E23" i="30"/>
  <c r="E24" i="30"/>
  <c r="E25" i="30"/>
  <c r="E26" i="30"/>
  <c r="E27" i="30"/>
  <c r="E28" i="30"/>
  <c r="E29" i="30"/>
  <c r="E30" i="30"/>
  <c r="E31" i="30"/>
  <c r="E32" i="30"/>
  <c r="E33" i="30"/>
  <c r="E34" i="30"/>
  <c r="E35" i="30"/>
  <c r="E36" i="30"/>
  <c r="E37" i="30"/>
  <c r="E38" i="30"/>
  <c r="E39" i="30"/>
  <c r="E40" i="30"/>
  <c r="E41" i="30"/>
  <c r="E42" i="30"/>
  <c r="E43" i="30"/>
  <c r="E44" i="30"/>
  <c r="E45" i="30"/>
  <c r="E46" i="30"/>
  <c r="E47" i="30"/>
  <c r="E48" i="30"/>
  <c r="E49" i="30"/>
  <c r="E50" i="30"/>
  <c r="E51" i="30"/>
  <c r="E52" i="30"/>
  <c r="E53" i="30"/>
  <c r="E54" i="30"/>
  <c r="E55" i="30"/>
  <c r="E56" i="30"/>
  <c r="E57" i="30"/>
  <c r="E58" i="30"/>
  <c r="E59" i="30"/>
  <c r="E60" i="30"/>
  <c r="E61" i="30"/>
  <c r="E62" i="30"/>
  <c r="E63" i="30"/>
  <c r="E64" i="30"/>
  <c r="E65" i="30"/>
  <c r="E66" i="30"/>
  <c r="E67" i="30"/>
  <c r="E68" i="30"/>
  <c r="E69" i="30"/>
  <c r="E70" i="30"/>
  <c r="E71" i="30"/>
  <c r="E72" i="30"/>
  <c r="E73" i="30"/>
  <c r="E74" i="30"/>
  <c r="E75" i="30"/>
  <c r="E76" i="30"/>
  <c r="E77" i="30"/>
  <c r="E78" i="30"/>
  <c r="E79" i="30"/>
  <c r="E80" i="30"/>
  <c r="E81" i="30"/>
  <c r="E82" i="30"/>
  <c r="E83" i="30"/>
  <c r="E84" i="30"/>
  <c r="E85" i="30"/>
  <c r="E86" i="30"/>
  <c r="E87" i="30"/>
  <c r="E88" i="30"/>
  <c r="E89" i="30"/>
  <c r="E90" i="30"/>
  <c r="E91" i="30"/>
  <c r="E92" i="30"/>
  <c r="E93" i="30"/>
  <c r="E94" i="30"/>
  <c r="E95" i="30"/>
  <c r="E96" i="30"/>
  <c r="E97" i="30"/>
  <c r="E98" i="30"/>
  <c r="E99" i="30"/>
  <c r="E100" i="30"/>
  <c r="E101" i="30"/>
  <c r="E102" i="30"/>
  <c r="E103" i="30"/>
  <c r="E104" i="30"/>
  <c r="E105" i="30"/>
  <c r="E106" i="30"/>
  <c r="E107" i="30"/>
  <c r="E108" i="30"/>
  <c r="E109" i="30"/>
  <c r="E110" i="30"/>
  <c r="E111" i="30"/>
  <c r="E112" i="30"/>
  <c r="E113" i="30"/>
  <c r="E114" i="30"/>
  <c r="E115" i="30"/>
  <c r="E116" i="30"/>
  <c r="E117" i="30"/>
  <c r="E118" i="30"/>
  <c r="E119" i="30"/>
  <c r="E120" i="30"/>
  <c r="E121" i="30"/>
  <c r="E122" i="30"/>
  <c r="E123" i="30"/>
  <c r="E124" i="30"/>
  <c r="E125" i="30"/>
  <c r="E126" i="30"/>
  <c r="E127" i="30"/>
  <c r="E128" i="30"/>
  <c r="E129" i="30"/>
  <c r="E130" i="30"/>
  <c r="E131" i="30"/>
  <c r="E132" i="30"/>
  <c r="E133" i="30"/>
  <c r="E134" i="30"/>
  <c r="E135" i="30"/>
  <c r="E136" i="30"/>
  <c r="E137" i="30"/>
  <c r="E138" i="30"/>
  <c r="E139" i="30"/>
  <c r="E140" i="30"/>
  <c r="E141" i="30"/>
  <c r="E142" i="30"/>
  <c r="E143" i="30"/>
  <c r="E144" i="30"/>
  <c r="E145" i="30"/>
  <c r="E146" i="30"/>
  <c r="E147" i="30"/>
  <c r="E148" i="30"/>
  <c r="E149" i="30"/>
  <c r="E150" i="30"/>
  <c r="E151" i="30"/>
  <c r="E152" i="30"/>
  <c r="E153" i="30"/>
  <c r="E154" i="30"/>
  <c r="E155" i="30"/>
  <c r="E156" i="30"/>
  <c r="E157" i="30"/>
  <c r="E158" i="30"/>
  <c r="E159" i="30"/>
  <c r="E160" i="30"/>
  <c r="E161" i="30"/>
  <c r="E162" i="30"/>
  <c r="E163" i="30"/>
  <c r="E164" i="30"/>
  <c r="E165" i="30"/>
  <c r="E166" i="30"/>
  <c r="E167" i="30"/>
  <c r="E168" i="30"/>
  <c r="E169" i="30"/>
  <c r="E170" i="30"/>
  <c r="E171" i="30"/>
  <c r="E172" i="30"/>
  <c r="E173" i="30"/>
  <c r="E174" i="30"/>
  <c r="E175" i="30"/>
  <c r="E176" i="30"/>
  <c r="E177" i="30"/>
  <c r="E178" i="30"/>
  <c r="E179" i="30"/>
  <c r="E180" i="30"/>
  <c r="E181" i="30"/>
  <c r="E182" i="30"/>
  <c r="E183" i="30"/>
  <c r="E184" i="30"/>
  <c r="E185" i="30"/>
  <c r="E186" i="30"/>
  <c r="E187" i="30"/>
  <c r="E188" i="30"/>
  <c r="E189" i="30"/>
  <c r="E190" i="30"/>
  <c r="E191" i="30"/>
  <c r="E192" i="30"/>
  <c r="E193" i="30"/>
  <c r="E194" i="30"/>
  <c r="E195" i="30"/>
  <c r="E196" i="30"/>
  <c r="E197" i="30"/>
  <c r="E198" i="30"/>
  <c r="E199" i="30"/>
  <c r="E200" i="30"/>
  <c r="E201" i="30"/>
  <c r="E202" i="30"/>
  <c r="E203" i="30"/>
  <c r="E204" i="30"/>
  <c r="E205" i="30"/>
  <c r="E206" i="30"/>
  <c r="E207" i="30"/>
  <c r="E208" i="30"/>
  <c r="E209" i="30"/>
  <c r="E210" i="30"/>
  <c r="E211" i="30"/>
  <c r="E212" i="30"/>
  <c r="E213" i="30"/>
  <c r="E214" i="30"/>
  <c r="E215" i="30"/>
  <c r="E216" i="30"/>
  <c r="E217" i="30"/>
  <c r="E218" i="30"/>
  <c r="E219" i="30"/>
  <c r="E220" i="30"/>
  <c r="E221" i="30"/>
  <c r="F221" i="30"/>
  <c r="G220" i="32"/>
  <c r="C220" i="32"/>
  <c r="D220" i="32"/>
  <c r="E21" i="32"/>
  <c r="E22" i="32"/>
  <c r="E23" i="32"/>
  <c r="E24" i="32"/>
  <c r="E25" i="32"/>
  <c r="E26" i="32"/>
  <c r="E27" i="32"/>
  <c r="E28" i="32"/>
  <c r="E29" i="32"/>
  <c r="E30" i="32"/>
  <c r="E31" i="32"/>
  <c r="E32" i="32"/>
  <c r="E33" i="32"/>
  <c r="E34" i="32"/>
  <c r="E35" i="32"/>
  <c r="E36" i="32"/>
  <c r="E37" i="32"/>
  <c r="E38" i="32"/>
  <c r="E39" i="32"/>
  <c r="E40" i="32"/>
  <c r="E41" i="32"/>
  <c r="E42" i="32"/>
  <c r="E43" i="32"/>
  <c r="E44" i="32"/>
  <c r="E45" i="32"/>
  <c r="E46" i="32"/>
  <c r="E47" i="32"/>
  <c r="E48" i="32"/>
  <c r="E49" i="32"/>
  <c r="E50" i="32"/>
  <c r="E51" i="32"/>
  <c r="E52" i="32"/>
  <c r="E53" i="32"/>
  <c r="E54" i="32"/>
  <c r="E55" i="32"/>
  <c r="E56" i="32"/>
  <c r="E57" i="32"/>
  <c r="E58" i="32"/>
  <c r="E59" i="32"/>
  <c r="E60" i="32"/>
  <c r="E61" i="32"/>
  <c r="E62" i="32"/>
  <c r="E63" i="32"/>
  <c r="E64" i="32"/>
  <c r="E65" i="32"/>
  <c r="E66" i="32"/>
  <c r="E67" i="32"/>
  <c r="E68" i="32"/>
  <c r="E69" i="32"/>
  <c r="E70" i="32"/>
  <c r="E71" i="32"/>
  <c r="E72" i="32"/>
  <c r="E73" i="32"/>
  <c r="E74" i="32"/>
  <c r="E75" i="32"/>
  <c r="E76" i="32"/>
  <c r="E77" i="32"/>
  <c r="E78" i="32"/>
  <c r="E79" i="32"/>
  <c r="E80" i="32"/>
  <c r="E81" i="32"/>
  <c r="E82" i="32"/>
  <c r="E83" i="32"/>
  <c r="E84" i="32"/>
  <c r="E85" i="32"/>
  <c r="E86" i="32"/>
  <c r="E87" i="32"/>
  <c r="E88" i="32"/>
  <c r="E89" i="32"/>
  <c r="E90" i="32"/>
  <c r="E91" i="32"/>
  <c r="E92" i="32"/>
  <c r="E93" i="32"/>
  <c r="E94" i="32"/>
  <c r="E95" i="32"/>
  <c r="E96" i="32"/>
  <c r="E97" i="32"/>
  <c r="E98" i="32"/>
  <c r="E99" i="32"/>
  <c r="E100" i="32"/>
  <c r="E101" i="32"/>
  <c r="E102" i="32"/>
  <c r="E103" i="32"/>
  <c r="E104" i="32"/>
  <c r="E105" i="32"/>
  <c r="E106" i="32"/>
  <c r="E107" i="32"/>
  <c r="E108" i="32"/>
  <c r="E109" i="32"/>
  <c r="E110" i="32"/>
  <c r="E111" i="32"/>
  <c r="E112" i="32"/>
  <c r="E113" i="32"/>
  <c r="E114" i="32"/>
  <c r="E115" i="32"/>
  <c r="E116" i="32"/>
  <c r="E117" i="32"/>
  <c r="E118" i="32"/>
  <c r="E119" i="32"/>
  <c r="E120" i="32"/>
  <c r="E121" i="32"/>
  <c r="E122" i="32"/>
  <c r="E123" i="32"/>
  <c r="E124" i="32"/>
  <c r="E125" i="32"/>
  <c r="E126" i="32"/>
  <c r="E127" i="32"/>
  <c r="E128" i="32"/>
  <c r="E129" i="32"/>
  <c r="E130" i="32"/>
  <c r="E131" i="32"/>
  <c r="E132" i="32"/>
  <c r="E133" i="32"/>
  <c r="E134" i="32"/>
  <c r="E135" i="32"/>
  <c r="E136" i="32"/>
  <c r="E137" i="32"/>
  <c r="E138" i="32"/>
  <c r="E139" i="32"/>
  <c r="E140" i="32"/>
  <c r="E141" i="32"/>
  <c r="E142" i="32"/>
  <c r="E143" i="32"/>
  <c r="E144" i="32"/>
  <c r="E145" i="32"/>
  <c r="E146" i="32"/>
  <c r="E147" i="32"/>
  <c r="E148" i="32"/>
  <c r="E149" i="32"/>
  <c r="E150" i="32"/>
  <c r="E151" i="32"/>
  <c r="E152" i="32"/>
  <c r="E153" i="32"/>
  <c r="E154" i="32"/>
  <c r="E155" i="32"/>
  <c r="E156" i="32"/>
  <c r="E157" i="32"/>
  <c r="E158" i="32"/>
  <c r="E159" i="32"/>
  <c r="E160" i="32"/>
  <c r="E161" i="32"/>
  <c r="E162" i="32"/>
  <c r="E163" i="32"/>
  <c r="E164" i="32"/>
  <c r="E165" i="32"/>
  <c r="E166" i="32"/>
  <c r="E167" i="32"/>
  <c r="E168" i="32"/>
  <c r="E169" i="32"/>
  <c r="E170" i="32"/>
  <c r="E171" i="32"/>
  <c r="E172" i="32"/>
  <c r="E173" i="32"/>
  <c r="E174" i="32"/>
  <c r="E175" i="32"/>
  <c r="E176" i="32"/>
  <c r="E177" i="32"/>
  <c r="E178" i="32"/>
  <c r="E179" i="32"/>
  <c r="E180" i="32"/>
  <c r="E181" i="32"/>
  <c r="E182" i="32"/>
  <c r="E183" i="32"/>
  <c r="E184" i="32"/>
  <c r="E185" i="32"/>
  <c r="E186" i="32"/>
  <c r="E187" i="32"/>
  <c r="E188" i="32"/>
  <c r="E189" i="32"/>
  <c r="E190" i="32"/>
  <c r="E191" i="32"/>
  <c r="E192" i="32"/>
  <c r="E193" i="32"/>
  <c r="E194" i="32"/>
  <c r="E195" i="32"/>
  <c r="E196" i="32"/>
  <c r="E197" i="32"/>
  <c r="E198" i="32"/>
  <c r="E199" i="32"/>
  <c r="E200" i="32"/>
  <c r="E201" i="32"/>
  <c r="E202" i="32"/>
  <c r="E203" i="32"/>
  <c r="E204" i="32"/>
  <c r="E205" i="32"/>
  <c r="E206" i="32"/>
  <c r="E207" i="32"/>
  <c r="E208" i="32"/>
  <c r="E209" i="32"/>
  <c r="E210" i="32"/>
  <c r="E211" i="32"/>
  <c r="E212" i="32"/>
  <c r="E213" i="32"/>
  <c r="E214" i="32"/>
  <c r="E215" i="32"/>
  <c r="E216" i="32"/>
  <c r="E217" i="32"/>
  <c r="E218" i="32"/>
  <c r="E219" i="32"/>
  <c r="E220" i="32"/>
  <c r="F220" i="32"/>
  <c r="G324" i="23"/>
  <c r="H324" i="23"/>
  <c r="C324" i="23"/>
  <c r="D324" i="23"/>
  <c r="E21" i="23"/>
  <c r="E22" i="23"/>
  <c r="E23" i="23"/>
  <c r="E24" i="23"/>
  <c r="E25" i="23"/>
  <c r="E26" i="23"/>
  <c r="E27" i="23"/>
  <c r="E28" i="23"/>
  <c r="E29" i="23"/>
  <c r="E30" i="23"/>
  <c r="E31" i="23"/>
  <c r="E32" i="23"/>
  <c r="E33" i="23"/>
  <c r="E34" i="23"/>
  <c r="E35" i="23"/>
  <c r="E36" i="23"/>
  <c r="E37" i="23"/>
  <c r="E38" i="23"/>
  <c r="E39" i="23"/>
  <c r="E40" i="23"/>
  <c r="E41" i="23"/>
  <c r="E42" i="23"/>
  <c r="E43" i="23"/>
  <c r="E44" i="23"/>
  <c r="E45" i="23"/>
  <c r="E46" i="23"/>
  <c r="E47" i="23"/>
  <c r="E48" i="23"/>
  <c r="E49" i="23"/>
  <c r="E50" i="23"/>
  <c r="E51" i="23"/>
  <c r="E52" i="23"/>
  <c r="E53" i="23"/>
  <c r="E54" i="23"/>
  <c r="E55" i="23"/>
  <c r="E56" i="23"/>
  <c r="E57" i="23"/>
  <c r="E58" i="23"/>
  <c r="E59" i="23"/>
  <c r="E60" i="23"/>
  <c r="E61" i="23"/>
  <c r="E62" i="23"/>
  <c r="E63" i="23"/>
  <c r="E64" i="23"/>
  <c r="E65" i="23"/>
  <c r="E66" i="23"/>
  <c r="E67" i="23"/>
  <c r="E68" i="23"/>
  <c r="E69" i="23"/>
  <c r="E70" i="23"/>
  <c r="E71" i="23"/>
  <c r="E72" i="23"/>
  <c r="E73" i="23"/>
  <c r="E74" i="23"/>
  <c r="E75" i="23"/>
  <c r="E76" i="23"/>
  <c r="E77" i="23"/>
  <c r="E78" i="23"/>
  <c r="E79" i="23"/>
  <c r="E80" i="23"/>
  <c r="E81" i="23"/>
  <c r="E82" i="23"/>
  <c r="E83" i="23"/>
  <c r="E84" i="23"/>
  <c r="E85" i="23"/>
  <c r="E86" i="23"/>
  <c r="E87" i="23"/>
  <c r="E88" i="23"/>
  <c r="E89" i="23"/>
  <c r="E90" i="23"/>
  <c r="E91" i="23"/>
  <c r="E92" i="23"/>
  <c r="E93" i="23"/>
  <c r="E94" i="23"/>
  <c r="E95" i="23"/>
  <c r="E96" i="23"/>
  <c r="E97" i="23"/>
  <c r="E98" i="23"/>
  <c r="E99" i="23"/>
  <c r="E100" i="23"/>
  <c r="E101" i="23"/>
  <c r="E102" i="23"/>
  <c r="E103" i="23"/>
  <c r="E104" i="23"/>
  <c r="E105" i="23"/>
  <c r="E106" i="23"/>
  <c r="E107" i="23"/>
  <c r="E108" i="23"/>
  <c r="E109" i="23"/>
  <c r="E110" i="23"/>
  <c r="E111" i="23"/>
  <c r="E112" i="23"/>
  <c r="E113" i="23"/>
  <c r="E114" i="23"/>
  <c r="E115" i="23"/>
  <c r="E116" i="23"/>
  <c r="E117" i="23"/>
  <c r="E118" i="23"/>
  <c r="E119" i="23"/>
  <c r="E120" i="23"/>
  <c r="E121" i="23"/>
  <c r="E122" i="23"/>
  <c r="E123" i="23"/>
  <c r="E124" i="23"/>
  <c r="E125" i="23"/>
  <c r="E126" i="23"/>
  <c r="E127" i="23"/>
  <c r="E128" i="23"/>
  <c r="E129" i="23"/>
  <c r="E130" i="23"/>
  <c r="E131" i="23"/>
  <c r="E132" i="23"/>
  <c r="E133" i="23"/>
  <c r="E134" i="23"/>
  <c r="E135" i="23"/>
  <c r="E136" i="23"/>
  <c r="E137" i="23"/>
  <c r="E138" i="23"/>
  <c r="E139" i="23"/>
  <c r="E140" i="23"/>
  <c r="E141" i="23"/>
  <c r="E142" i="23"/>
  <c r="E143" i="23"/>
  <c r="E144" i="23"/>
  <c r="E145" i="23"/>
  <c r="E146" i="23"/>
  <c r="E147" i="23"/>
  <c r="E148" i="23"/>
  <c r="E149" i="23"/>
  <c r="E150" i="23"/>
  <c r="E151" i="23"/>
  <c r="E152" i="23"/>
  <c r="E153" i="23"/>
  <c r="E154" i="23"/>
  <c r="E155" i="23"/>
  <c r="E156" i="23"/>
  <c r="E157" i="23"/>
  <c r="E158" i="23"/>
  <c r="E159" i="23"/>
  <c r="E160" i="23"/>
  <c r="E161" i="23"/>
  <c r="E162" i="23"/>
  <c r="E163" i="23"/>
  <c r="E164" i="23"/>
  <c r="E165" i="23"/>
  <c r="E166" i="23"/>
  <c r="E167" i="23"/>
  <c r="E168" i="23"/>
  <c r="E169" i="23"/>
  <c r="E170" i="23"/>
  <c r="E171" i="23"/>
  <c r="E172" i="23"/>
  <c r="E173" i="23"/>
  <c r="E174" i="23"/>
  <c r="E175" i="23"/>
  <c r="E176" i="23"/>
  <c r="E177" i="23"/>
  <c r="E178" i="23"/>
  <c r="E179" i="23"/>
  <c r="E180" i="23"/>
  <c r="E181" i="23"/>
  <c r="E182" i="23"/>
  <c r="E183" i="23"/>
  <c r="E184" i="23"/>
  <c r="E185" i="23"/>
  <c r="E186" i="23"/>
  <c r="E187" i="23"/>
  <c r="E188" i="23"/>
  <c r="E189" i="23"/>
  <c r="E190" i="23"/>
  <c r="E191" i="23"/>
  <c r="E192" i="23"/>
  <c r="E193" i="23"/>
  <c r="E194" i="23"/>
  <c r="E195" i="23"/>
  <c r="E196" i="23"/>
  <c r="E197" i="23"/>
  <c r="E198" i="23"/>
  <c r="E199" i="23"/>
  <c r="E200" i="23"/>
  <c r="E201" i="23"/>
  <c r="E202" i="23"/>
  <c r="E203" i="23"/>
  <c r="E204" i="23"/>
  <c r="E205" i="23"/>
  <c r="E206" i="23"/>
  <c r="E207" i="23"/>
  <c r="E208" i="23"/>
  <c r="E209" i="23"/>
  <c r="E210" i="23"/>
  <c r="E211" i="23"/>
  <c r="E212" i="23"/>
  <c r="E213" i="23"/>
  <c r="E214" i="23"/>
  <c r="E215" i="23"/>
  <c r="E216" i="23"/>
  <c r="E217" i="23"/>
  <c r="E218" i="23"/>
  <c r="E219" i="23"/>
  <c r="E220" i="23"/>
  <c r="E221" i="23"/>
  <c r="E222" i="23"/>
  <c r="E223" i="23"/>
  <c r="E224" i="23"/>
  <c r="E225" i="23"/>
  <c r="E226" i="23"/>
  <c r="E227" i="23"/>
  <c r="E228" i="23"/>
  <c r="E229" i="23"/>
  <c r="E230" i="23"/>
  <c r="E231" i="23"/>
  <c r="E232" i="23"/>
  <c r="E233" i="23"/>
  <c r="E234" i="23"/>
  <c r="E235" i="23"/>
  <c r="E236" i="23"/>
  <c r="E237" i="23"/>
  <c r="E238" i="23"/>
  <c r="E239" i="23"/>
  <c r="E240" i="23"/>
  <c r="E241" i="23"/>
  <c r="E242" i="23"/>
  <c r="E243" i="23"/>
  <c r="E244" i="23"/>
  <c r="E245" i="23"/>
  <c r="E246" i="23"/>
  <c r="E247" i="23"/>
  <c r="E248" i="23"/>
  <c r="E249" i="23"/>
  <c r="E250" i="23"/>
  <c r="E251" i="23"/>
  <c r="E252" i="23"/>
  <c r="E253" i="23"/>
  <c r="E254" i="23"/>
  <c r="E255" i="23"/>
  <c r="E256" i="23"/>
  <c r="E257" i="23"/>
  <c r="E258" i="23"/>
  <c r="E259" i="23"/>
  <c r="E260" i="23"/>
  <c r="E261" i="23"/>
  <c r="E262" i="23"/>
  <c r="E263" i="23"/>
  <c r="E264" i="23"/>
  <c r="E265" i="23"/>
  <c r="E266" i="23"/>
  <c r="E267" i="23"/>
  <c r="E268" i="23"/>
  <c r="E269" i="23"/>
  <c r="E270" i="23"/>
  <c r="E271" i="23"/>
  <c r="E272" i="23"/>
  <c r="E273" i="23"/>
  <c r="E274" i="23"/>
  <c r="E275" i="23"/>
  <c r="E276" i="23"/>
  <c r="E277" i="23"/>
  <c r="E278" i="23"/>
  <c r="E279" i="23"/>
  <c r="E280" i="23"/>
  <c r="E281" i="23"/>
  <c r="E282" i="23"/>
  <c r="E283" i="23"/>
  <c r="E284" i="23"/>
  <c r="E285" i="23"/>
  <c r="E286" i="23"/>
  <c r="E287" i="23"/>
  <c r="E288" i="23"/>
  <c r="E289" i="23"/>
  <c r="E290" i="23"/>
  <c r="E291" i="23"/>
  <c r="E292" i="23"/>
  <c r="E293" i="23"/>
  <c r="E294" i="23"/>
  <c r="E295" i="23"/>
  <c r="E296" i="23"/>
  <c r="E297" i="23"/>
  <c r="E298" i="23"/>
  <c r="E299" i="23"/>
  <c r="E300" i="23"/>
  <c r="E301" i="23"/>
  <c r="E302" i="23"/>
  <c r="E303" i="23"/>
  <c r="E304" i="23"/>
  <c r="E305" i="23"/>
  <c r="E306" i="23"/>
  <c r="E307" i="23"/>
  <c r="E308" i="23"/>
  <c r="E309" i="23"/>
  <c r="E310" i="23"/>
  <c r="E311" i="23"/>
  <c r="E312" i="23"/>
  <c r="E313" i="23"/>
  <c r="E314" i="23"/>
  <c r="E315" i="23"/>
  <c r="E316" i="23"/>
  <c r="E317" i="23"/>
  <c r="E318" i="23"/>
  <c r="E319" i="23"/>
  <c r="E320" i="23"/>
  <c r="E321" i="23"/>
  <c r="E322" i="23"/>
  <c r="E323" i="23"/>
  <c r="E324" i="23"/>
  <c r="F324" i="23"/>
  <c r="F391" i="25"/>
  <c r="G391" i="25"/>
  <c r="F196" i="25"/>
  <c r="H391" i="25"/>
  <c r="C391" i="25"/>
  <c r="D391" i="25"/>
  <c r="E21" i="25"/>
  <c r="E22" i="25"/>
  <c r="E23" i="25"/>
  <c r="E24" i="25"/>
  <c r="E25" i="25"/>
  <c r="E26" i="25"/>
  <c r="E27" i="25"/>
  <c r="E28" i="25"/>
  <c r="E29" i="25"/>
  <c r="E30" i="25"/>
  <c r="E31" i="25"/>
  <c r="E32" i="25"/>
  <c r="E33" i="25"/>
  <c r="E34" i="25"/>
  <c r="E35" i="25"/>
  <c r="E36" i="25"/>
  <c r="E37" i="25"/>
  <c r="E38" i="25"/>
  <c r="E39" i="25"/>
  <c r="E40" i="25"/>
  <c r="E41" i="25"/>
  <c r="E42" i="25"/>
  <c r="E43" i="25"/>
  <c r="E44" i="25"/>
  <c r="E45" i="25"/>
  <c r="E46" i="25"/>
  <c r="E47" i="25"/>
  <c r="E48" i="25"/>
  <c r="E49" i="25"/>
  <c r="E50" i="25"/>
  <c r="E51" i="25"/>
  <c r="E52" i="25"/>
  <c r="E53" i="25"/>
  <c r="E54" i="25"/>
  <c r="E55" i="25"/>
  <c r="E56" i="25"/>
  <c r="E57" i="25"/>
  <c r="E58" i="25"/>
  <c r="E59" i="25"/>
  <c r="E60" i="25"/>
  <c r="E61" i="25"/>
  <c r="E62" i="25"/>
  <c r="E63" i="25"/>
  <c r="E64" i="25"/>
  <c r="E65" i="25"/>
  <c r="E66" i="25"/>
  <c r="E67" i="25"/>
  <c r="E68" i="25"/>
  <c r="E69" i="25"/>
  <c r="E70" i="25"/>
  <c r="E71" i="25"/>
  <c r="E72" i="25"/>
  <c r="E73" i="25"/>
  <c r="E74" i="25"/>
  <c r="E75" i="25"/>
  <c r="E76" i="25"/>
  <c r="E77" i="25"/>
  <c r="E78" i="25"/>
  <c r="E79" i="25"/>
  <c r="E80" i="25"/>
  <c r="E81" i="25"/>
  <c r="E82" i="25"/>
  <c r="E83" i="25"/>
  <c r="E84" i="25"/>
  <c r="E85" i="25"/>
  <c r="E86" i="25"/>
  <c r="E87" i="25"/>
  <c r="E88" i="25"/>
  <c r="E89" i="25"/>
  <c r="E90" i="25"/>
  <c r="E91" i="25"/>
  <c r="E92" i="25"/>
  <c r="E93" i="25"/>
  <c r="E94" i="25"/>
  <c r="E95" i="25"/>
  <c r="E96" i="25"/>
  <c r="E97" i="25"/>
  <c r="E98" i="25"/>
  <c r="E99" i="25"/>
  <c r="E100" i="25"/>
  <c r="E101" i="25"/>
  <c r="E102" i="25"/>
  <c r="E103" i="25"/>
  <c r="E104" i="25"/>
  <c r="E105" i="25"/>
  <c r="E106" i="25"/>
  <c r="E107" i="25"/>
  <c r="E108" i="25"/>
  <c r="E109" i="25"/>
  <c r="E110" i="25"/>
  <c r="E111" i="25"/>
  <c r="E112" i="25"/>
  <c r="E113" i="25"/>
  <c r="E114" i="25"/>
  <c r="E115" i="25"/>
  <c r="E116" i="25"/>
  <c r="E117" i="25"/>
  <c r="E118" i="25"/>
  <c r="E119" i="25"/>
  <c r="E120" i="25"/>
  <c r="E121" i="25"/>
  <c r="E122" i="25"/>
  <c r="E123" i="25"/>
  <c r="E124" i="25"/>
  <c r="E125" i="25"/>
  <c r="E126" i="25"/>
  <c r="E127" i="25"/>
  <c r="E128" i="25"/>
  <c r="E129" i="25"/>
  <c r="E130" i="25"/>
  <c r="E131" i="25"/>
  <c r="E132" i="25"/>
  <c r="E133" i="25"/>
  <c r="E134" i="25"/>
  <c r="E135" i="25"/>
  <c r="E136" i="25"/>
  <c r="E137" i="25"/>
  <c r="E138" i="25"/>
  <c r="E139" i="25"/>
  <c r="E140" i="25"/>
  <c r="E141" i="25"/>
  <c r="E142" i="25"/>
  <c r="E143" i="25"/>
  <c r="E144" i="25"/>
  <c r="E145" i="25"/>
  <c r="E146" i="25"/>
  <c r="E147" i="25"/>
  <c r="E148" i="25"/>
  <c r="E149" i="25"/>
  <c r="E150" i="25"/>
  <c r="E151" i="25"/>
  <c r="E152" i="25"/>
  <c r="E153" i="25"/>
  <c r="E154" i="25"/>
  <c r="E155" i="25"/>
  <c r="E156" i="25"/>
  <c r="E157" i="25"/>
  <c r="E158" i="25"/>
  <c r="E159" i="25"/>
  <c r="E160" i="25"/>
  <c r="E161" i="25"/>
  <c r="E162" i="25"/>
  <c r="E163" i="25"/>
  <c r="E164" i="25"/>
  <c r="E165" i="25"/>
  <c r="E166" i="25"/>
  <c r="E167" i="25"/>
  <c r="E168" i="25"/>
  <c r="E169" i="25"/>
  <c r="E170" i="25"/>
  <c r="E171" i="25"/>
  <c r="E172" i="25"/>
  <c r="E173" i="25"/>
  <c r="E174" i="25"/>
  <c r="E175" i="25"/>
  <c r="E176" i="25"/>
  <c r="E177" i="25"/>
  <c r="E178" i="25"/>
  <c r="E179" i="25"/>
  <c r="E180" i="25"/>
  <c r="E181" i="25"/>
  <c r="E182" i="25"/>
  <c r="E183" i="25"/>
  <c r="E184" i="25"/>
  <c r="E185" i="25"/>
  <c r="E186" i="25"/>
  <c r="E187" i="25"/>
  <c r="E188" i="25"/>
  <c r="E189" i="25"/>
  <c r="E190" i="25"/>
  <c r="E191" i="25"/>
  <c r="E192" i="25"/>
  <c r="E193" i="25"/>
  <c r="E194" i="25"/>
  <c r="E195" i="25"/>
  <c r="E196" i="25"/>
  <c r="E197" i="25"/>
  <c r="E198" i="25"/>
  <c r="E199" i="25"/>
  <c r="E200" i="25"/>
  <c r="E201" i="25"/>
  <c r="E202" i="25"/>
  <c r="E203" i="25"/>
  <c r="E204" i="25"/>
  <c r="E205" i="25"/>
  <c r="E206" i="25"/>
  <c r="E207" i="25"/>
  <c r="E208" i="25"/>
  <c r="E209" i="25"/>
  <c r="E210" i="25"/>
  <c r="E211" i="25"/>
  <c r="E212" i="25"/>
  <c r="E213" i="25"/>
  <c r="E214" i="25"/>
  <c r="E215" i="25"/>
  <c r="E216" i="25"/>
  <c r="E217" i="25"/>
  <c r="E218" i="25"/>
  <c r="E219" i="25"/>
  <c r="E220" i="25"/>
  <c r="E221" i="25"/>
  <c r="E222" i="25"/>
  <c r="E223" i="25"/>
  <c r="E224" i="25"/>
  <c r="E225" i="25"/>
  <c r="E226" i="25"/>
  <c r="E227" i="25"/>
  <c r="E228" i="25"/>
  <c r="E229" i="25"/>
  <c r="E230" i="25"/>
  <c r="E231" i="25"/>
  <c r="E232" i="25"/>
  <c r="E233" i="25"/>
  <c r="E234" i="25"/>
  <c r="E235" i="25"/>
  <c r="E236" i="25"/>
  <c r="E237" i="25"/>
  <c r="E238" i="25"/>
  <c r="E239" i="25"/>
  <c r="E240" i="25"/>
  <c r="E241" i="25"/>
  <c r="E242" i="25"/>
  <c r="E243" i="25"/>
  <c r="E244" i="25"/>
  <c r="E245" i="25"/>
  <c r="E246" i="25"/>
  <c r="E247" i="25"/>
  <c r="E248" i="25"/>
  <c r="E249" i="25"/>
  <c r="E250" i="25"/>
  <c r="E251" i="25"/>
  <c r="E252" i="25"/>
  <c r="E253" i="25"/>
  <c r="E254" i="25"/>
  <c r="E255" i="25"/>
  <c r="E256" i="25"/>
  <c r="E257" i="25"/>
  <c r="E258" i="25"/>
  <c r="E259" i="25"/>
  <c r="E260" i="25"/>
  <c r="E261" i="25"/>
  <c r="E262" i="25"/>
  <c r="E263" i="25"/>
  <c r="E264" i="25"/>
  <c r="E265" i="25"/>
  <c r="E266" i="25"/>
  <c r="E267" i="25"/>
  <c r="E268" i="25"/>
  <c r="E269" i="25"/>
  <c r="E270" i="25"/>
  <c r="E271" i="25"/>
  <c r="E272" i="25"/>
  <c r="E273" i="25"/>
  <c r="E274" i="25"/>
  <c r="E275" i="25"/>
  <c r="E276" i="25"/>
  <c r="E277" i="25"/>
  <c r="E278" i="25"/>
  <c r="E279" i="25"/>
  <c r="E280" i="25"/>
  <c r="E281" i="25"/>
  <c r="E282" i="25"/>
  <c r="E283" i="25"/>
  <c r="E284" i="25"/>
  <c r="E285" i="25"/>
  <c r="E286" i="25"/>
  <c r="E287" i="25"/>
  <c r="E288" i="25"/>
  <c r="E289" i="25"/>
  <c r="E290" i="25"/>
  <c r="E291" i="25"/>
  <c r="E292" i="25"/>
  <c r="E293" i="25"/>
  <c r="E294" i="25"/>
  <c r="E295" i="25"/>
  <c r="E296" i="25"/>
  <c r="E297" i="25"/>
  <c r="E298" i="25"/>
  <c r="E299" i="25"/>
  <c r="E300" i="25"/>
  <c r="E301" i="25"/>
  <c r="E302" i="25"/>
  <c r="E303" i="25"/>
  <c r="E304" i="25"/>
  <c r="E305" i="25"/>
  <c r="E306" i="25"/>
  <c r="E307" i="25"/>
  <c r="E308" i="25"/>
  <c r="E309" i="25"/>
  <c r="E310" i="25"/>
  <c r="E311" i="25"/>
  <c r="E312" i="25"/>
  <c r="E313" i="25"/>
  <c r="E314" i="25"/>
  <c r="E315" i="25"/>
  <c r="E316" i="25"/>
  <c r="E317" i="25"/>
  <c r="E318" i="25"/>
  <c r="E319" i="25"/>
  <c r="E320" i="25"/>
  <c r="E321" i="25"/>
  <c r="E322" i="25"/>
  <c r="E323" i="25"/>
  <c r="E324" i="25"/>
  <c r="E325" i="25"/>
  <c r="E326" i="25"/>
  <c r="E327" i="25"/>
  <c r="E328" i="25"/>
  <c r="E329" i="25"/>
  <c r="E330" i="25"/>
  <c r="E331" i="25"/>
  <c r="E332" i="25"/>
  <c r="E333" i="25"/>
  <c r="E334" i="25"/>
  <c r="E335" i="25"/>
  <c r="E336" i="25"/>
  <c r="E337" i="25"/>
  <c r="E338" i="25"/>
  <c r="E339" i="25"/>
  <c r="E340" i="25"/>
  <c r="E341" i="25"/>
  <c r="E342" i="25"/>
  <c r="E343" i="25"/>
  <c r="E344" i="25"/>
  <c r="E345" i="25"/>
  <c r="E346" i="25"/>
  <c r="E347" i="25"/>
  <c r="E348" i="25"/>
  <c r="E349" i="25"/>
  <c r="E350" i="25"/>
  <c r="E351" i="25"/>
  <c r="E352" i="25"/>
  <c r="E353" i="25"/>
  <c r="E354" i="25"/>
  <c r="E355" i="25"/>
  <c r="E356" i="25"/>
  <c r="E357" i="25"/>
  <c r="E358" i="25"/>
  <c r="E359" i="25"/>
  <c r="E360" i="25"/>
  <c r="E361" i="25"/>
  <c r="E362" i="25"/>
  <c r="E363" i="25"/>
  <c r="E364" i="25"/>
  <c r="E365" i="25"/>
  <c r="E366" i="25"/>
  <c r="E367" i="25"/>
  <c r="E368" i="25"/>
  <c r="E369" i="25"/>
  <c r="E370" i="25"/>
  <c r="E371" i="25"/>
  <c r="E372" i="25"/>
  <c r="E373" i="25"/>
  <c r="E374" i="25"/>
  <c r="E375" i="25"/>
  <c r="E376" i="25"/>
  <c r="E377" i="25"/>
  <c r="E378" i="25"/>
  <c r="E379" i="25"/>
  <c r="E380" i="25"/>
  <c r="E381" i="25"/>
  <c r="E382" i="25"/>
  <c r="E383" i="25"/>
  <c r="E384" i="25"/>
  <c r="E385" i="25"/>
  <c r="E386" i="25"/>
  <c r="E387" i="25"/>
  <c r="E388" i="25"/>
  <c r="E389" i="25"/>
  <c r="E390" i="25"/>
  <c r="E391" i="25"/>
  <c r="G50" i="51"/>
  <c r="C50" i="51"/>
  <c r="D50" i="51"/>
  <c r="E22" i="51"/>
  <c r="E23" i="51"/>
  <c r="E24" i="51"/>
  <c r="E25" i="51"/>
  <c r="E26" i="51"/>
  <c r="E27" i="51"/>
  <c r="E28" i="51"/>
  <c r="E29" i="51"/>
  <c r="E30" i="51"/>
  <c r="E31" i="51"/>
  <c r="E32" i="51"/>
  <c r="E33" i="51"/>
  <c r="E34" i="51"/>
  <c r="E35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E50" i="51"/>
  <c r="F50" i="51"/>
  <c r="G34" i="56"/>
  <c r="C34" i="56"/>
  <c r="D34" i="56"/>
  <c r="E22" i="56"/>
  <c r="E23" i="56"/>
  <c r="E24" i="56"/>
  <c r="E25" i="56"/>
  <c r="E26" i="56"/>
  <c r="E27" i="56"/>
  <c r="E28" i="56"/>
  <c r="E29" i="56"/>
  <c r="E30" i="56"/>
  <c r="E31" i="56"/>
  <c r="E32" i="56"/>
  <c r="E33" i="56"/>
  <c r="E34" i="56"/>
  <c r="F34" i="56"/>
  <c r="C77" i="49"/>
  <c r="D77" i="49"/>
  <c r="E22" i="49"/>
  <c r="E23" i="49"/>
  <c r="E24" i="49"/>
  <c r="E25" i="49"/>
  <c r="E26" i="49"/>
  <c r="E27" i="49"/>
  <c r="E28" i="49"/>
  <c r="E29" i="49"/>
  <c r="E30" i="49"/>
  <c r="E31" i="49"/>
  <c r="E32" i="49"/>
  <c r="E33" i="49"/>
  <c r="E34" i="49"/>
  <c r="E35" i="49"/>
  <c r="E36" i="49"/>
  <c r="E37" i="49"/>
  <c r="E38" i="49"/>
  <c r="E39" i="49"/>
  <c r="E40" i="49"/>
  <c r="E41" i="49"/>
  <c r="E42" i="49"/>
  <c r="E43" i="49"/>
  <c r="E44" i="49"/>
  <c r="E45" i="49"/>
  <c r="E46" i="49"/>
  <c r="E47" i="49"/>
  <c r="E48" i="49"/>
  <c r="E49" i="49"/>
  <c r="E50" i="49"/>
  <c r="E51" i="49"/>
  <c r="E52" i="49"/>
  <c r="E53" i="49"/>
  <c r="E54" i="49"/>
  <c r="E55" i="49"/>
  <c r="E56" i="49"/>
  <c r="E57" i="49"/>
  <c r="E58" i="49"/>
  <c r="E59" i="49"/>
  <c r="E60" i="49"/>
  <c r="E61" i="49"/>
  <c r="E62" i="49"/>
  <c r="E63" i="49"/>
  <c r="E64" i="49"/>
  <c r="E65" i="49"/>
  <c r="E66" i="49"/>
  <c r="E67" i="49"/>
  <c r="E68" i="49"/>
  <c r="E69" i="49"/>
  <c r="E70" i="49"/>
  <c r="E71" i="49"/>
  <c r="E72" i="49"/>
  <c r="E73" i="49"/>
  <c r="E74" i="49"/>
  <c r="E75" i="49"/>
  <c r="E76" i="49"/>
  <c r="E77" i="49"/>
  <c r="F77" i="49"/>
  <c r="G74" i="50"/>
  <c r="C74" i="50"/>
  <c r="D74" i="50"/>
  <c r="F74" i="50"/>
  <c r="G274" i="18"/>
  <c r="C274" i="18"/>
  <c r="D274" i="18"/>
  <c r="E21" i="18"/>
  <c r="E22" i="18"/>
  <c r="E23" i="18"/>
  <c r="E24" i="18"/>
  <c r="E25" i="18"/>
  <c r="E26" i="18"/>
  <c r="E27" i="18"/>
  <c r="E28" i="18"/>
  <c r="E29" i="18"/>
  <c r="E30" i="18"/>
  <c r="E31" i="18"/>
  <c r="E32" i="18"/>
  <c r="E33" i="18"/>
  <c r="E34" i="18"/>
  <c r="E35" i="18"/>
  <c r="E36" i="18"/>
  <c r="E37" i="18"/>
  <c r="E38" i="18"/>
  <c r="E39" i="18"/>
  <c r="E40" i="18"/>
  <c r="E41" i="18"/>
  <c r="E42" i="18"/>
  <c r="E43" i="18"/>
  <c r="E44" i="18"/>
  <c r="E45" i="18"/>
  <c r="E46" i="18"/>
  <c r="E47" i="18"/>
  <c r="E48" i="18"/>
  <c r="E49" i="18"/>
  <c r="E50" i="18"/>
  <c r="E51" i="18"/>
  <c r="E52" i="18"/>
  <c r="E53" i="18"/>
  <c r="E54" i="18"/>
  <c r="E55" i="18"/>
  <c r="E56" i="18"/>
  <c r="E57" i="18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90" i="18"/>
  <c r="E91" i="18"/>
  <c r="E92" i="18"/>
  <c r="E93" i="18"/>
  <c r="E94" i="18"/>
  <c r="E95" i="18"/>
  <c r="E96" i="18"/>
  <c r="E97" i="18"/>
  <c r="E98" i="18"/>
  <c r="E99" i="18"/>
  <c r="E100" i="18"/>
  <c r="E101" i="18"/>
  <c r="E102" i="18"/>
  <c r="E103" i="18"/>
  <c r="E104" i="18"/>
  <c r="E105" i="18"/>
  <c r="E106" i="18"/>
  <c r="E107" i="18"/>
  <c r="E108" i="18"/>
  <c r="E109" i="18"/>
  <c r="E110" i="18"/>
  <c r="E111" i="18"/>
  <c r="E112" i="18"/>
  <c r="E113" i="18"/>
  <c r="E114" i="18"/>
  <c r="E115" i="18"/>
  <c r="E116" i="18"/>
  <c r="E117" i="18"/>
  <c r="E118" i="18"/>
  <c r="E119" i="18"/>
  <c r="E120" i="18"/>
  <c r="E121" i="18"/>
  <c r="E122" i="18"/>
  <c r="E123" i="18"/>
  <c r="E124" i="18"/>
  <c r="E125" i="18"/>
  <c r="E126" i="18"/>
  <c r="E127" i="18"/>
  <c r="E128" i="18"/>
  <c r="E129" i="18"/>
  <c r="E130" i="18"/>
  <c r="E131" i="18"/>
  <c r="E132" i="18"/>
  <c r="E133" i="18"/>
  <c r="E134" i="18"/>
  <c r="E135" i="18"/>
  <c r="E136" i="18"/>
  <c r="E137" i="18"/>
  <c r="E138" i="18"/>
  <c r="E139" i="18"/>
  <c r="E140" i="18"/>
  <c r="E141" i="18"/>
  <c r="E142" i="18"/>
  <c r="E143" i="18"/>
  <c r="E144" i="18"/>
  <c r="E145" i="18"/>
  <c r="E146" i="18"/>
  <c r="E147" i="18"/>
  <c r="E148" i="18"/>
  <c r="E149" i="18"/>
  <c r="E150" i="18"/>
  <c r="E151" i="18"/>
  <c r="E152" i="18"/>
  <c r="E153" i="18"/>
  <c r="E154" i="18"/>
  <c r="E155" i="18"/>
  <c r="E156" i="18"/>
  <c r="E157" i="18"/>
  <c r="E158" i="18"/>
  <c r="E159" i="18"/>
  <c r="E160" i="18"/>
  <c r="E161" i="18"/>
  <c r="E162" i="18"/>
  <c r="E163" i="18"/>
  <c r="E164" i="18"/>
  <c r="E165" i="18"/>
  <c r="E166" i="18"/>
  <c r="E167" i="18"/>
  <c r="E168" i="18"/>
  <c r="E169" i="18"/>
  <c r="E170" i="18"/>
  <c r="E171" i="18"/>
  <c r="E172" i="18"/>
  <c r="E173" i="18"/>
  <c r="E174" i="18"/>
  <c r="E175" i="18"/>
  <c r="E176" i="18"/>
  <c r="E177" i="18"/>
  <c r="E178" i="18"/>
  <c r="E179" i="18"/>
  <c r="E180" i="18"/>
  <c r="E181" i="18"/>
  <c r="E182" i="18"/>
  <c r="E183" i="18"/>
  <c r="E184" i="18"/>
  <c r="E185" i="18"/>
  <c r="E186" i="18"/>
  <c r="E187" i="18"/>
  <c r="E188" i="18"/>
  <c r="E189" i="18"/>
  <c r="E190" i="18"/>
  <c r="E191" i="18"/>
  <c r="E192" i="18"/>
  <c r="E193" i="18"/>
  <c r="E194" i="18"/>
  <c r="E195" i="18"/>
  <c r="E196" i="18"/>
  <c r="E197" i="18"/>
  <c r="E198" i="18"/>
  <c r="E199" i="18"/>
  <c r="E200" i="18"/>
  <c r="E201" i="18"/>
  <c r="E202" i="18"/>
  <c r="E203" i="18"/>
  <c r="E204" i="18"/>
  <c r="E205" i="18"/>
  <c r="E206" i="18"/>
  <c r="E207" i="18"/>
  <c r="E208" i="18"/>
  <c r="E209" i="18"/>
  <c r="E210" i="18"/>
  <c r="E211" i="18"/>
  <c r="E212" i="18"/>
  <c r="E213" i="18"/>
  <c r="E214" i="18"/>
  <c r="E215" i="18"/>
  <c r="E216" i="18"/>
  <c r="E217" i="18"/>
  <c r="E218" i="18"/>
  <c r="E219" i="18"/>
  <c r="E220" i="18"/>
  <c r="E221" i="18"/>
  <c r="E222" i="18"/>
  <c r="E223" i="18"/>
  <c r="E224" i="18"/>
  <c r="E225" i="18"/>
  <c r="E226" i="18"/>
  <c r="E227" i="18"/>
  <c r="E228" i="18"/>
  <c r="E229" i="18"/>
  <c r="E230" i="18"/>
  <c r="E231" i="18"/>
  <c r="E232" i="18"/>
  <c r="E233" i="18"/>
  <c r="E234" i="18"/>
  <c r="E235" i="18"/>
  <c r="E236" i="18"/>
  <c r="E237" i="18"/>
  <c r="E238" i="18"/>
  <c r="E239" i="18"/>
  <c r="E240" i="18"/>
  <c r="E241" i="18"/>
  <c r="E242" i="18"/>
  <c r="E243" i="18"/>
  <c r="E244" i="18"/>
  <c r="E245" i="18"/>
  <c r="E246" i="18"/>
  <c r="E247" i="18"/>
  <c r="E248" i="18"/>
  <c r="E249" i="18"/>
  <c r="E250" i="18"/>
  <c r="E251" i="18"/>
  <c r="E252" i="18"/>
  <c r="E253" i="18"/>
  <c r="E254" i="18"/>
  <c r="E255" i="18"/>
  <c r="E256" i="18"/>
  <c r="E257" i="18"/>
  <c r="E258" i="18"/>
  <c r="E259" i="18"/>
  <c r="E260" i="18"/>
  <c r="E261" i="18"/>
  <c r="E262" i="18"/>
  <c r="E263" i="18"/>
  <c r="E264" i="18"/>
  <c r="E265" i="18"/>
  <c r="E266" i="18"/>
  <c r="E267" i="18"/>
  <c r="E268" i="18"/>
  <c r="E269" i="18"/>
  <c r="E270" i="18"/>
  <c r="E271" i="18"/>
  <c r="E272" i="18"/>
  <c r="E273" i="18"/>
  <c r="E274" i="18"/>
  <c r="F274" i="18"/>
  <c r="F368" i="12"/>
  <c r="G368" i="12"/>
  <c r="F369" i="12"/>
  <c r="G369" i="12"/>
  <c r="F370" i="12"/>
  <c r="G370" i="12"/>
  <c r="F371" i="12"/>
  <c r="G371" i="12"/>
  <c r="C371" i="12"/>
  <c r="D371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G31" i="58"/>
  <c r="C31" i="58"/>
  <c r="D31" i="58"/>
  <c r="E22" i="58"/>
  <c r="E23" i="58"/>
  <c r="E24" i="58"/>
  <c r="E25" i="58"/>
  <c r="E26" i="58"/>
  <c r="E27" i="58"/>
  <c r="E28" i="58"/>
  <c r="E29" i="58"/>
  <c r="E30" i="58"/>
  <c r="E31" i="58"/>
  <c r="F31" i="58"/>
  <c r="F200" i="45"/>
  <c r="G200" i="45"/>
  <c r="C200" i="45"/>
  <c r="D200" i="45"/>
  <c r="E21" i="45"/>
  <c r="E22" i="45"/>
  <c r="E23" i="45"/>
  <c r="E24" i="45"/>
  <c r="E25" i="45"/>
  <c r="E26" i="45"/>
  <c r="E27" i="45"/>
  <c r="E28" i="45"/>
  <c r="E29" i="45"/>
  <c r="E30" i="45"/>
  <c r="E31" i="45"/>
  <c r="E32" i="45"/>
  <c r="E33" i="45"/>
  <c r="E34" i="45"/>
  <c r="E35" i="45"/>
  <c r="E36" i="45"/>
  <c r="E37" i="45"/>
  <c r="E38" i="45"/>
  <c r="E39" i="45"/>
  <c r="E40" i="45"/>
  <c r="E41" i="45"/>
  <c r="E42" i="45"/>
  <c r="E43" i="45"/>
  <c r="E44" i="45"/>
  <c r="E45" i="45"/>
  <c r="E46" i="45"/>
  <c r="E47" i="45"/>
  <c r="E48" i="45"/>
  <c r="E49" i="45"/>
  <c r="E50" i="45"/>
  <c r="E51" i="45"/>
  <c r="E52" i="45"/>
  <c r="E53" i="45"/>
  <c r="E54" i="45"/>
  <c r="E55" i="45"/>
  <c r="E56" i="45"/>
  <c r="E57" i="45"/>
  <c r="E58" i="45"/>
  <c r="E59" i="45"/>
  <c r="E60" i="45"/>
  <c r="E61" i="45"/>
  <c r="E62" i="45"/>
  <c r="E63" i="45"/>
  <c r="E64" i="45"/>
  <c r="B65" i="45"/>
  <c r="E65" i="45"/>
  <c r="B66" i="45"/>
  <c r="E66" i="45"/>
  <c r="B67" i="45"/>
  <c r="E67" i="45"/>
  <c r="B68" i="45"/>
  <c r="E68" i="45"/>
  <c r="B69" i="45"/>
  <c r="E69" i="45"/>
  <c r="E70" i="45"/>
  <c r="E71" i="45"/>
  <c r="E72" i="45"/>
  <c r="E73" i="45"/>
  <c r="E74" i="45"/>
  <c r="E75" i="45"/>
  <c r="E76" i="45"/>
  <c r="E77" i="45"/>
  <c r="E78" i="45"/>
  <c r="E79" i="45"/>
  <c r="E80" i="45"/>
  <c r="E81" i="45"/>
  <c r="E82" i="45"/>
  <c r="E83" i="45"/>
  <c r="E84" i="45"/>
  <c r="E85" i="45"/>
  <c r="E86" i="45"/>
  <c r="E87" i="45"/>
  <c r="E88" i="45"/>
  <c r="E89" i="45"/>
  <c r="E90" i="45"/>
  <c r="E91" i="45"/>
  <c r="E92" i="45"/>
  <c r="E93" i="45"/>
  <c r="E94" i="45"/>
  <c r="E95" i="45"/>
  <c r="E96" i="45"/>
  <c r="E97" i="45"/>
  <c r="E98" i="45"/>
  <c r="E99" i="45"/>
  <c r="E100" i="45"/>
  <c r="E101" i="45"/>
  <c r="E102" i="45"/>
  <c r="E103" i="45"/>
  <c r="E104" i="45"/>
  <c r="E105" i="45"/>
  <c r="E106" i="45"/>
  <c r="E107" i="45"/>
  <c r="E108" i="45"/>
  <c r="E109" i="45"/>
  <c r="E110" i="45"/>
  <c r="E111" i="45"/>
  <c r="E112" i="45"/>
  <c r="E113" i="45"/>
  <c r="E114" i="45"/>
  <c r="E115" i="45"/>
  <c r="E116" i="45"/>
  <c r="E117" i="45"/>
  <c r="E118" i="45"/>
  <c r="E119" i="45"/>
  <c r="E120" i="45"/>
  <c r="E121" i="45"/>
  <c r="E122" i="45"/>
  <c r="E123" i="45"/>
  <c r="E124" i="45"/>
  <c r="E125" i="45"/>
  <c r="E126" i="45"/>
  <c r="E127" i="45"/>
  <c r="E128" i="45"/>
  <c r="E129" i="45"/>
  <c r="E130" i="45"/>
  <c r="E131" i="45"/>
  <c r="E132" i="45"/>
  <c r="E133" i="45"/>
  <c r="E134" i="45"/>
  <c r="E135" i="45"/>
  <c r="E136" i="45"/>
  <c r="E137" i="45"/>
  <c r="E138" i="45"/>
  <c r="E139" i="45"/>
  <c r="E140" i="45"/>
  <c r="E141" i="45"/>
  <c r="E142" i="45"/>
  <c r="E143" i="45"/>
  <c r="E144" i="45"/>
  <c r="E145" i="45"/>
  <c r="E146" i="45"/>
  <c r="E147" i="45"/>
  <c r="E148" i="45"/>
  <c r="E149" i="45"/>
  <c r="E150" i="45"/>
  <c r="E151" i="45"/>
  <c r="E152" i="45"/>
  <c r="E153" i="45"/>
  <c r="E154" i="45"/>
  <c r="E155" i="45"/>
  <c r="E156" i="45"/>
  <c r="E157" i="45"/>
  <c r="E158" i="45"/>
  <c r="E159" i="45"/>
  <c r="E160" i="45"/>
  <c r="E161" i="45"/>
  <c r="E162" i="45"/>
  <c r="E163" i="45"/>
  <c r="E164" i="45"/>
  <c r="E165" i="45"/>
  <c r="E166" i="45"/>
  <c r="E167" i="45"/>
  <c r="E168" i="45"/>
  <c r="E169" i="45"/>
  <c r="E170" i="45"/>
  <c r="E171" i="45"/>
  <c r="E172" i="45"/>
  <c r="E173" i="45"/>
  <c r="E174" i="45"/>
  <c r="E175" i="45"/>
  <c r="E176" i="45"/>
  <c r="E177" i="45"/>
  <c r="E178" i="45"/>
  <c r="E179" i="45"/>
  <c r="E180" i="45"/>
  <c r="E181" i="45"/>
  <c r="E182" i="45"/>
  <c r="E183" i="45"/>
  <c r="E184" i="45"/>
  <c r="E185" i="45"/>
  <c r="E186" i="45"/>
  <c r="E187" i="45"/>
  <c r="E188" i="45"/>
  <c r="E189" i="45"/>
  <c r="E190" i="45"/>
  <c r="E191" i="45"/>
  <c r="E192" i="45"/>
  <c r="E193" i="45"/>
  <c r="E194" i="45"/>
  <c r="E195" i="45"/>
  <c r="E196" i="45"/>
  <c r="E197" i="45"/>
  <c r="E198" i="45"/>
  <c r="E199" i="45"/>
  <c r="E200" i="45"/>
  <c r="G30" i="57"/>
  <c r="C30" i="57"/>
  <c r="D30" i="57"/>
  <c r="E22" i="57"/>
  <c r="E23" i="57"/>
  <c r="E24" i="57"/>
  <c r="E25" i="57"/>
  <c r="E26" i="57"/>
  <c r="E27" i="57"/>
  <c r="E28" i="57"/>
  <c r="E29" i="57"/>
  <c r="E30" i="57"/>
  <c r="F30" i="57"/>
  <c r="C24" i="59"/>
  <c r="D24" i="59"/>
  <c r="E20" i="59"/>
  <c r="E21" i="59"/>
  <c r="E22" i="59"/>
  <c r="E23" i="59"/>
  <c r="E24" i="59"/>
  <c r="F24" i="59"/>
  <c r="F20" i="59"/>
  <c r="G24" i="59"/>
  <c r="C25" i="59"/>
  <c r="D25" i="59"/>
  <c r="E25" i="59"/>
  <c r="F25" i="59"/>
  <c r="G25" i="59"/>
  <c r="C26" i="59"/>
  <c r="D26" i="59"/>
  <c r="E26" i="59"/>
  <c r="F26" i="59"/>
  <c r="G26" i="59"/>
  <c r="C27" i="59"/>
  <c r="D27" i="59"/>
  <c r="E27" i="59"/>
  <c r="F27" i="59"/>
  <c r="G27" i="59"/>
  <c r="C28" i="59"/>
  <c r="D28" i="59"/>
  <c r="E28" i="59"/>
  <c r="F28" i="59"/>
  <c r="G28" i="59"/>
  <c r="C29" i="59"/>
  <c r="D29" i="59"/>
  <c r="E29" i="59"/>
  <c r="F29" i="59"/>
  <c r="G29" i="59"/>
  <c r="C30" i="59"/>
  <c r="D30" i="59"/>
  <c r="E30" i="59"/>
  <c r="F30" i="59"/>
  <c r="G30" i="59"/>
  <c r="C31" i="59"/>
  <c r="D31" i="59"/>
  <c r="E31" i="59"/>
  <c r="F31" i="59"/>
  <c r="G31" i="59"/>
  <c r="C32" i="59"/>
  <c r="D32" i="59"/>
  <c r="E32" i="59"/>
  <c r="F32" i="59"/>
  <c r="G125" i="47"/>
  <c r="C125" i="47"/>
  <c r="D125" i="47"/>
  <c r="F125" i="47"/>
  <c r="G219" i="32"/>
  <c r="C219" i="32"/>
  <c r="D219" i="32"/>
  <c r="F219" i="32"/>
  <c r="G76" i="49"/>
  <c r="C76" i="49"/>
  <c r="D76" i="49"/>
  <c r="F76" i="49"/>
  <c r="G33" i="56"/>
  <c r="C33" i="56"/>
  <c r="D33" i="56"/>
  <c r="F33" i="56"/>
  <c r="G323" i="23"/>
  <c r="H323" i="23"/>
  <c r="C323" i="23"/>
  <c r="D323" i="23"/>
  <c r="F323" i="23"/>
  <c r="G81" i="48"/>
  <c r="C81" i="48"/>
  <c r="D81" i="48"/>
  <c r="F81" i="48"/>
  <c r="G139" i="41"/>
  <c r="C139" i="41"/>
  <c r="D139" i="41"/>
  <c r="F139" i="41"/>
  <c r="G49" i="51"/>
  <c r="C49" i="51"/>
  <c r="D49" i="51"/>
  <c r="F49" i="51"/>
  <c r="G223" i="28"/>
  <c r="C223" i="28"/>
  <c r="D223" i="28"/>
  <c r="F223" i="28"/>
  <c r="G30" i="58"/>
  <c r="C30" i="58"/>
  <c r="D30" i="58"/>
  <c r="F30" i="58"/>
  <c r="G220" i="30"/>
  <c r="C220" i="30"/>
  <c r="D220" i="30"/>
  <c r="F220" i="30"/>
  <c r="G339" i="14"/>
  <c r="H339" i="14"/>
  <c r="C339" i="14"/>
  <c r="D339" i="14"/>
  <c r="F339" i="14"/>
  <c r="C270" i="19"/>
  <c r="D270" i="19"/>
  <c r="F199" i="45"/>
  <c r="G199" i="45"/>
  <c r="C199" i="45"/>
  <c r="D199" i="45"/>
  <c r="G189" i="38"/>
  <c r="C189" i="38"/>
  <c r="D189" i="38"/>
  <c r="F189" i="38"/>
  <c r="F389" i="24"/>
  <c r="G389" i="24"/>
  <c r="H389" i="24"/>
  <c r="C389" i="24"/>
  <c r="D389" i="24"/>
  <c r="F390" i="25"/>
  <c r="G390" i="25"/>
  <c r="H390" i="25"/>
  <c r="C390" i="25"/>
  <c r="D390" i="25"/>
  <c r="G29" i="57"/>
  <c r="C29" i="57"/>
  <c r="D29" i="57"/>
  <c r="F29" i="57"/>
  <c r="G73" i="50"/>
  <c r="C73" i="50"/>
  <c r="D73" i="50"/>
  <c r="F73" i="50"/>
  <c r="G205" i="33"/>
  <c r="C205" i="33"/>
  <c r="D205" i="33"/>
  <c r="F205" i="33"/>
  <c r="G197" i="35"/>
  <c r="C197" i="35"/>
  <c r="D197" i="35"/>
  <c r="F197" i="35"/>
  <c r="G121" i="46"/>
  <c r="G122" i="46"/>
  <c r="D122" i="46"/>
  <c r="F122" i="46"/>
  <c r="C139" i="40"/>
  <c r="D139" i="40"/>
  <c r="F139" i="40"/>
  <c r="G188" i="37"/>
  <c r="C188" i="37"/>
  <c r="D188" i="37"/>
  <c r="F188" i="37"/>
  <c r="G273" i="18"/>
  <c r="C273" i="18"/>
  <c r="D273" i="18"/>
  <c r="F273" i="18"/>
  <c r="G322" i="23"/>
  <c r="H322" i="23"/>
  <c r="C322" i="23"/>
  <c r="D322" i="23"/>
  <c r="F322" i="23"/>
  <c r="C370" i="12"/>
  <c r="D370" i="12"/>
  <c r="G434" i="7"/>
  <c r="C434" i="7"/>
  <c r="D434" i="7"/>
  <c r="F436" i="5"/>
  <c r="G436" i="5"/>
  <c r="C436" i="5"/>
  <c r="D436" i="5"/>
  <c r="F437" i="4"/>
  <c r="G437" i="4"/>
  <c r="C437" i="4"/>
  <c r="D437" i="4"/>
  <c r="G222" i="29"/>
  <c r="C222" i="29"/>
  <c r="D222" i="29"/>
  <c r="F222" i="29"/>
  <c r="G218" i="32"/>
  <c r="C218" i="32"/>
  <c r="D218" i="32"/>
  <c r="F218" i="32"/>
  <c r="G32" i="56"/>
  <c r="C32" i="56"/>
  <c r="D32" i="56"/>
  <c r="F32" i="56"/>
  <c r="G75" i="49"/>
  <c r="C75" i="49"/>
  <c r="D75" i="49"/>
  <c r="F75" i="49"/>
  <c r="G80" i="48"/>
  <c r="C80" i="48"/>
  <c r="D80" i="48"/>
  <c r="F80" i="48"/>
  <c r="G219" i="30"/>
  <c r="C219" i="30"/>
  <c r="D219" i="30"/>
  <c r="F219" i="30"/>
  <c r="G262" i="20"/>
  <c r="H262" i="20"/>
  <c r="C262" i="20"/>
  <c r="D262" i="20"/>
  <c r="F262" i="20"/>
  <c r="F389" i="25"/>
  <c r="G389" i="25"/>
  <c r="C389" i="25"/>
  <c r="D389" i="25"/>
  <c r="G48" i="51"/>
  <c r="C48" i="51"/>
  <c r="D48" i="51"/>
  <c r="F48" i="51"/>
  <c r="G124" i="47"/>
  <c r="C124" i="47"/>
  <c r="D124" i="47"/>
  <c r="F124" i="47"/>
  <c r="G138" i="41"/>
  <c r="C138" i="41"/>
  <c r="D138" i="41"/>
  <c r="F138" i="41"/>
  <c r="G338" i="14"/>
  <c r="H338" i="14"/>
  <c r="C338" i="14"/>
  <c r="D338" i="14"/>
  <c r="F338" i="14"/>
  <c r="G29" i="58"/>
  <c r="C29" i="58"/>
  <c r="D29" i="58"/>
  <c r="F29" i="58"/>
  <c r="F388" i="24"/>
  <c r="G388" i="24"/>
  <c r="H388" i="24"/>
  <c r="C388" i="24"/>
  <c r="D388" i="24"/>
  <c r="G188" i="38"/>
  <c r="C188" i="38"/>
  <c r="D188" i="38"/>
  <c r="F188" i="38"/>
  <c r="G28" i="57"/>
  <c r="C28" i="57"/>
  <c r="D28" i="57"/>
  <c r="F28" i="57"/>
  <c r="G222" i="28"/>
  <c r="C222" i="28"/>
  <c r="D222" i="28"/>
  <c r="F222" i="28"/>
  <c r="F387" i="24"/>
  <c r="G387" i="24"/>
  <c r="H387" i="24"/>
  <c r="C387" i="24"/>
  <c r="D387" i="24"/>
  <c r="F435" i="5"/>
  <c r="G435" i="5"/>
  <c r="C435" i="5"/>
  <c r="D435" i="5"/>
  <c r="G31" i="56"/>
  <c r="C31" i="56"/>
  <c r="D31" i="56"/>
  <c r="F31" i="56"/>
  <c r="G221" i="29"/>
  <c r="C221" i="29"/>
  <c r="D221" i="29"/>
  <c r="F221" i="29"/>
  <c r="G74" i="49"/>
  <c r="C74" i="49"/>
  <c r="D74" i="49"/>
  <c r="F74" i="49"/>
  <c r="G433" i="7"/>
  <c r="C433" i="7"/>
  <c r="D433" i="7"/>
  <c r="G187" i="37"/>
  <c r="C187" i="37"/>
  <c r="D187" i="37"/>
  <c r="F187" i="37"/>
  <c r="G72" i="50"/>
  <c r="C72" i="50"/>
  <c r="D72" i="50"/>
  <c r="F72" i="50"/>
  <c r="G204" i="33"/>
  <c r="C204" i="33"/>
  <c r="D204" i="33"/>
  <c r="F204" i="33"/>
  <c r="G79" i="48"/>
  <c r="C79" i="48"/>
  <c r="D79" i="48"/>
  <c r="F79" i="48"/>
  <c r="G272" i="18"/>
  <c r="C272" i="18"/>
  <c r="D272" i="18"/>
  <c r="F272" i="18"/>
  <c r="G217" i="32"/>
  <c r="C217" i="32"/>
  <c r="D217" i="32"/>
  <c r="F217" i="32"/>
  <c r="C138" i="40"/>
  <c r="D138" i="40"/>
  <c r="F138" i="40"/>
  <c r="D121" i="46"/>
  <c r="F121" i="46"/>
  <c r="G196" i="35"/>
  <c r="C196" i="35"/>
  <c r="D196" i="35"/>
  <c r="F196" i="35"/>
  <c r="C198" i="45"/>
  <c r="D198" i="45"/>
  <c r="F198" i="45"/>
  <c r="G198" i="45"/>
  <c r="F269" i="19"/>
  <c r="G269" i="19"/>
  <c r="C269" i="19"/>
  <c r="D269" i="19"/>
  <c r="G321" i="23"/>
  <c r="H321" i="23"/>
  <c r="C321" i="23"/>
  <c r="D321" i="23"/>
  <c r="F321" i="23"/>
  <c r="G261" i="20"/>
  <c r="H261" i="20"/>
  <c r="C261" i="20"/>
  <c r="D261" i="20"/>
  <c r="F261" i="20"/>
  <c r="G218" i="30"/>
  <c r="C218" i="30"/>
  <c r="D218" i="30"/>
  <c r="F218" i="30"/>
  <c r="F388" i="25"/>
  <c r="G388" i="25"/>
  <c r="C388" i="25"/>
  <c r="D388" i="25"/>
  <c r="C369" i="12"/>
  <c r="D369" i="12"/>
  <c r="G137" i="41"/>
  <c r="C137" i="41"/>
  <c r="D137" i="41"/>
  <c r="F137" i="41"/>
  <c r="F436" i="4"/>
  <c r="G436" i="4"/>
  <c r="C436" i="4"/>
  <c r="D436" i="4"/>
  <c r="G47" i="51"/>
  <c r="C47" i="51"/>
  <c r="D47" i="51"/>
  <c r="F47" i="51"/>
  <c r="G28" i="58"/>
  <c r="C28" i="58"/>
  <c r="D28" i="58"/>
  <c r="F28" i="58"/>
  <c r="G195" i="35"/>
  <c r="C195" i="35"/>
  <c r="D195" i="35"/>
  <c r="F195" i="35"/>
  <c r="G26" i="57"/>
  <c r="G27" i="57"/>
  <c r="G71" i="50"/>
  <c r="C71" i="50"/>
  <c r="D71" i="50"/>
  <c r="F71" i="50"/>
  <c r="C197" i="45"/>
  <c r="D197" i="45"/>
  <c r="F197" i="45"/>
  <c r="G197" i="45"/>
  <c r="C368" i="12"/>
  <c r="D368" i="12"/>
  <c r="F386" i="24"/>
  <c r="G386" i="24"/>
  <c r="H386" i="24"/>
  <c r="C386" i="24"/>
  <c r="D386" i="24"/>
  <c r="G337" i="14"/>
  <c r="H337" i="14"/>
  <c r="C337" i="14"/>
  <c r="D337" i="14"/>
  <c r="F337" i="14"/>
  <c r="G221" i="28"/>
  <c r="C221" i="28"/>
  <c r="D221" i="28"/>
  <c r="F221" i="28"/>
  <c r="C27" i="57"/>
  <c r="D27" i="57"/>
  <c r="F27" i="57"/>
  <c r="C26" i="57"/>
  <c r="D26" i="57"/>
  <c r="F26" i="57"/>
  <c r="G187" i="38"/>
  <c r="C187" i="38"/>
  <c r="D187" i="38"/>
  <c r="F187" i="38"/>
  <c r="F268" i="19"/>
  <c r="G268" i="19"/>
  <c r="C268" i="19"/>
  <c r="D268" i="19"/>
  <c r="G123" i="47"/>
  <c r="C123" i="47"/>
  <c r="D123" i="47"/>
  <c r="F123" i="47"/>
  <c r="G120" i="46"/>
  <c r="D120" i="46"/>
  <c r="F120" i="46"/>
  <c r="G30" i="56"/>
  <c r="C30" i="56"/>
  <c r="D30" i="56"/>
  <c r="F30" i="56"/>
  <c r="C137" i="40"/>
  <c r="D137" i="40"/>
  <c r="F137" i="40"/>
  <c r="G271" i="18"/>
  <c r="C271" i="18"/>
  <c r="D271" i="18"/>
  <c r="F271" i="18"/>
  <c r="G122" i="47"/>
  <c r="C122" i="47"/>
  <c r="D122" i="47"/>
  <c r="F122" i="47"/>
  <c r="G78" i="48"/>
  <c r="C78" i="48"/>
  <c r="D78" i="48"/>
  <c r="F78" i="48"/>
  <c r="G432" i="7"/>
  <c r="C432" i="7"/>
  <c r="D432" i="7"/>
  <c r="G220" i="29"/>
  <c r="C220" i="29"/>
  <c r="D220" i="29"/>
  <c r="F220" i="29"/>
  <c r="G186" i="37"/>
  <c r="C186" i="37"/>
  <c r="D186" i="37"/>
  <c r="F186" i="37"/>
  <c r="G203" i="33"/>
  <c r="C203" i="33"/>
  <c r="D203" i="33"/>
  <c r="F203" i="33"/>
  <c r="F434" i="5"/>
  <c r="G434" i="5"/>
  <c r="C434" i="5"/>
  <c r="D434" i="5"/>
  <c r="G73" i="49"/>
  <c r="C73" i="49"/>
  <c r="D73" i="49"/>
  <c r="F73" i="49"/>
  <c r="G46" i="51"/>
  <c r="C46" i="51"/>
  <c r="D46" i="51"/>
  <c r="F46" i="51"/>
  <c r="G260" i="20"/>
  <c r="H260" i="20"/>
  <c r="C260" i="20"/>
  <c r="D260" i="20"/>
  <c r="F260" i="20"/>
  <c r="G320" i="23"/>
  <c r="H320" i="23"/>
  <c r="C320" i="23"/>
  <c r="D320" i="23"/>
  <c r="F320" i="23"/>
  <c r="F387" i="25"/>
  <c r="G387" i="25"/>
  <c r="C387" i="25"/>
  <c r="D387" i="25"/>
  <c r="F435" i="4"/>
  <c r="G435" i="4"/>
  <c r="C435" i="4"/>
  <c r="D435" i="4"/>
  <c r="G216" i="32"/>
  <c r="C216" i="32"/>
  <c r="D216" i="32"/>
  <c r="F216" i="32"/>
  <c r="G136" i="41"/>
  <c r="C136" i="41"/>
  <c r="D136" i="41"/>
  <c r="F136" i="41"/>
  <c r="G336" i="14"/>
  <c r="H336" i="14"/>
  <c r="C336" i="14"/>
  <c r="D336" i="14"/>
  <c r="F336" i="14"/>
  <c r="G217" i="30"/>
  <c r="C217" i="30"/>
  <c r="D217" i="30"/>
  <c r="F217" i="30"/>
  <c r="G27" i="58"/>
  <c r="C27" i="58"/>
  <c r="D27" i="58"/>
  <c r="F27" i="58"/>
  <c r="G220" i="28"/>
  <c r="C220" i="28"/>
  <c r="D220" i="28"/>
  <c r="F220" i="28"/>
  <c r="G70" i="50"/>
  <c r="C70" i="50"/>
  <c r="D70" i="50"/>
  <c r="F70" i="50"/>
  <c r="G319" i="23"/>
  <c r="H319" i="23"/>
  <c r="C319" i="23"/>
  <c r="D319" i="23"/>
  <c r="F319" i="23"/>
  <c r="G270" i="18"/>
  <c r="C270" i="18"/>
  <c r="D270" i="18"/>
  <c r="F270" i="18"/>
  <c r="G259" i="20"/>
  <c r="H259" i="20"/>
  <c r="C259" i="20"/>
  <c r="D259" i="20"/>
  <c r="F259" i="20"/>
  <c r="G431" i="7"/>
  <c r="C431" i="7"/>
  <c r="D431" i="7"/>
  <c r="G118" i="46"/>
  <c r="G119" i="46"/>
  <c r="D119" i="46"/>
  <c r="F119" i="46"/>
  <c r="G194" i="35"/>
  <c r="C194" i="35"/>
  <c r="D194" i="35"/>
  <c r="F194" i="35"/>
  <c r="C136" i="40"/>
  <c r="D136" i="40"/>
  <c r="F136" i="40"/>
  <c r="F366" i="12"/>
  <c r="G366" i="12"/>
  <c r="F367" i="12"/>
  <c r="G367" i="12"/>
  <c r="C367" i="12"/>
  <c r="D367" i="12"/>
  <c r="F267" i="19"/>
  <c r="G267" i="19"/>
  <c r="C267" i="19"/>
  <c r="D267" i="19"/>
  <c r="C196" i="45"/>
  <c r="D196" i="45"/>
  <c r="F196" i="45"/>
  <c r="G196" i="45"/>
  <c r="G186" i="38"/>
  <c r="C186" i="38"/>
  <c r="D186" i="38"/>
  <c r="F186" i="38"/>
  <c r="G45" i="51"/>
  <c r="G77" i="48"/>
  <c r="C77" i="48"/>
  <c r="D77" i="48"/>
  <c r="F77" i="48"/>
  <c r="G219" i="29"/>
  <c r="C219" i="29"/>
  <c r="D219" i="29"/>
  <c r="F219" i="29"/>
  <c r="G202" i="33"/>
  <c r="C202" i="33"/>
  <c r="D202" i="33"/>
  <c r="F202" i="33"/>
  <c r="F434" i="4"/>
  <c r="G434" i="4"/>
  <c r="C434" i="4"/>
  <c r="D434" i="4"/>
  <c r="G185" i="37"/>
  <c r="C185" i="37"/>
  <c r="D185" i="37"/>
  <c r="F185" i="37"/>
  <c r="F433" i="5"/>
  <c r="G433" i="5"/>
  <c r="C433" i="5"/>
  <c r="D433" i="5"/>
  <c r="G216" i="30"/>
  <c r="C216" i="30"/>
  <c r="D216" i="30"/>
  <c r="F216" i="30"/>
  <c r="F386" i="25"/>
  <c r="G386" i="25"/>
  <c r="C386" i="25"/>
  <c r="D386" i="25"/>
  <c r="G29" i="56"/>
  <c r="C29" i="56"/>
  <c r="D29" i="56"/>
  <c r="F29" i="56"/>
  <c r="G72" i="49"/>
  <c r="C72" i="49"/>
  <c r="D72" i="49"/>
  <c r="F72" i="49"/>
  <c r="C45" i="51"/>
  <c r="D45" i="51"/>
  <c r="F45" i="51"/>
  <c r="G215" i="32"/>
  <c r="C215" i="32"/>
  <c r="D215" i="32"/>
  <c r="F215" i="32"/>
  <c r="G335" i="14"/>
  <c r="H335" i="14"/>
  <c r="C335" i="14"/>
  <c r="D335" i="14"/>
  <c r="F335" i="14"/>
  <c r="F385" i="24"/>
  <c r="G385" i="24"/>
  <c r="H385" i="24"/>
  <c r="C385" i="24"/>
  <c r="D385" i="24"/>
  <c r="G26" i="58"/>
  <c r="C26" i="58"/>
  <c r="D26" i="58"/>
  <c r="F26" i="58"/>
  <c r="G121" i="47"/>
  <c r="C121" i="47"/>
  <c r="D121" i="47"/>
  <c r="F121" i="47"/>
  <c r="G219" i="28"/>
  <c r="C219" i="28"/>
  <c r="D219" i="28"/>
  <c r="F219" i="28"/>
  <c r="G185" i="38"/>
  <c r="C185" i="38"/>
  <c r="D185" i="38"/>
  <c r="F185" i="38"/>
  <c r="G135" i="41"/>
  <c r="C135" i="41"/>
  <c r="D135" i="41"/>
  <c r="F135" i="41"/>
  <c r="C195" i="45"/>
  <c r="D195" i="45"/>
  <c r="F195" i="45"/>
  <c r="G195" i="45"/>
  <c r="C135" i="40"/>
  <c r="D135" i="40"/>
  <c r="F135" i="40"/>
  <c r="G193" i="35"/>
  <c r="C193" i="35"/>
  <c r="D193" i="35"/>
  <c r="F193" i="35"/>
  <c r="D118" i="46"/>
  <c r="F118" i="46"/>
  <c r="G69" i="50"/>
  <c r="C69" i="50"/>
  <c r="D69" i="50"/>
  <c r="F69" i="50"/>
  <c r="F266" i="19"/>
  <c r="G266" i="19"/>
  <c r="C266" i="19"/>
  <c r="D266" i="19"/>
  <c r="G269" i="18"/>
  <c r="C269" i="18"/>
  <c r="D269" i="18"/>
  <c r="F269" i="18"/>
  <c r="G201" i="33"/>
  <c r="C201" i="33"/>
  <c r="D201" i="33"/>
  <c r="F201" i="33"/>
  <c r="C366" i="12"/>
  <c r="D366" i="12"/>
  <c r="G117" i="46"/>
  <c r="D117" i="46"/>
  <c r="F117" i="46"/>
  <c r="G184" i="37"/>
  <c r="C184" i="37"/>
  <c r="D184" i="37"/>
  <c r="F184" i="37"/>
  <c r="G44" i="51"/>
  <c r="C44" i="51"/>
  <c r="D44" i="51"/>
  <c r="F44" i="51"/>
  <c r="G76" i="48"/>
  <c r="C76" i="48"/>
  <c r="D76" i="48"/>
  <c r="F76" i="48"/>
  <c r="G218" i="29"/>
  <c r="C218" i="29"/>
  <c r="D218" i="29"/>
  <c r="F218" i="29"/>
  <c r="G430" i="7"/>
  <c r="C430" i="7"/>
  <c r="D430" i="7"/>
  <c r="F432" i="5"/>
  <c r="G432" i="5"/>
  <c r="C432" i="5"/>
  <c r="D432" i="5"/>
  <c r="G28" i="56"/>
  <c r="C28" i="56"/>
  <c r="D28" i="56"/>
  <c r="F28" i="56"/>
  <c r="G71" i="49"/>
  <c r="C71" i="49"/>
  <c r="D71" i="49"/>
  <c r="F71" i="49"/>
  <c r="G214" i="30"/>
  <c r="G215" i="30"/>
  <c r="C215" i="30"/>
  <c r="D215" i="30"/>
  <c r="F215" i="30"/>
  <c r="F385" i="25"/>
  <c r="G385" i="25"/>
  <c r="C385" i="25"/>
  <c r="D385" i="25"/>
  <c r="G318" i="23"/>
  <c r="H318" i="23"/>
  <c r="C318" i="23"/>
  <c r="D318" i="23"/>
  <c r="F318" i="23"/>
  <c r="G258" i="20"/>
  <c r="H258" i="20"/>
  <c r="C258" i="20"/>
  <c r="D258" i="20"/>
  <c r="F258" i="20"/>
  <c r="G214" i="32"/>
  <c r="C214" i="32"/>
  <c r="D214" i="32"/>
  <c r="F214" i="32"/>
  <c r="F433" i="4"/>
  <c r="G433" i="4"/>
  <c r="C433" i="4"/>
  <c r="D433" i="4"/>
  <c r="G134" i="41"/>
  <c r="G120" i="47"/>
  <c r="C120" i="47"/>
  <c r="D120" i="47"/>
  <c r="F120" i="47"/>
  <c r="G218" i="28"/>
  <c r="C218" i="28"/>
  <c r="D218" i="28"/>
  <c r="F218" i="28"/>
  <c r="F383" i="24"/>
  <c r="G383" i="24"/>
  <c r="H383" i="24"/>
  <c r="F384" i="24"/>
  <c r="G384" i="24"/>
  <c r="H384" i="24"/>
  <c r="C384" i="24"/>
  <c r="D384" i="24"/>
  <c r="G334" i="14"/>
  <c r="H334" i="14"/>
  <c r="C334" i="14"/>
  <c r="D334" i="14"/>
  <c r="F334" i="14"/>
  <c r="G211" i="32"/>
  <c r="G212" i="32"/>
  <c r="G213" i="32"/>
  <c r="G427" i="7"/>
  <c r="G428" i="7"/>
  <c r="G429" i="7"/>
  <c r="G266" i="18"/>
  <c r="G267" i="18"/>
  <c r="G268" i="18"/>
  <c r="G255" i="20"/>
  <c r="H255" i="20"/>
  <c r="G256" i="20"/>
  <c r="H256" i="20"/>
  <c r="G257" i="20"/>
  <c r="H257" i="20"/>
  <c r="G198" i="33"/>
  <c r="G199" i="33"/>
  <c r="G200" i="33"/>
  <c r="G41" i="51"/>
  <c r="G42" i="51"/>
  <c r="G43" i="51"/>
  <c r="F363" i="12"/>
  <c r="G363" i="12"/>
  <c r="F364" i="12"/>
  <c r="G364" i="12"/>
  <c r="F365" i="12"/>
  <c r="G365" i="12"/>
  <c r="G182" i="38"/>
  <c r="G183" i="38"/>
  <c r="G184" i="38"/>
  <c r="G332" i="14"/>
  <c r="H332" i="14"/>
  <c r="G333" i="14"/>
  <c r="H333" i="14"/>
  <c r="F382" i="24"/>
  <c r="G382" i="24"/>
  <c r="H382" i="24"/>
  <c r="C382" i="24"/>
  <c r="D382" i="24"/>
  <c r="C383" i="24"/>
  <c r="D383" i="24"/>
  <c r="G132" i="41"/>
  <c r="G133" i="41"/>
  <c r="F383" i="25"/>
  <c r="G383" i="25"/>
  <c r="F384" i="25"/>
  <c r="G384" i="25"/>
  <c r="G213" i="30"/>
  <c r="G26" i="56"/>
  <c r="G27" i="56"/>
  <c r="G118" i="47"/>
  <c r="G119" i="47"/>
  <c r="F429" i="5"/>
  <c r="G429" i="5"/>
  <c r="F430" i="5"/>
  <c r="G430" i="5"/>
  <c r="F431" i="5"/>
  <c r="G431" i="5"/>
  <c r="G216" i="29"/>
  <c r="G217" i="29"/>
  <c r="G182" i="37"/>
  <c r="G183" i="37"/>
  <c r="G316" i="23"/>
  <c r="H316" i="23"/>
  <c r="G317" i="23"/>
  <c r="H317" i="23"/>
  <c r="G67" i="50"/>
  <c r="G68" i="50"/>
  <c r="F402" i="11"/>
  <c r="G402" i="11"/>
  <c r="F403" i="11"/>
  <c r="G403" i="11"/>
  <c r="G115" i="46"/>
  <c r="G116" i="46"/>
  <c r="G216" i="28"/>
  <c r="G217" i="28"/>
  <c r="G74" i="48"/>
  <c r="G75" i="48"/>
  <c r="G191" i="35"/>
  <c r="G192" i="35"/>
  <c r="G69" i="49"/>
  <c r="G70" i="49"/>
  <c r="C118" i="47"/>
  <c r="D118" i="47"/>
  <c r="C119" i="47"/>
  <c r="D119" i="47"/>
  <c r="F118" i="47"/>
  <c r="F119" i="47"/>
  <c r="C332" i="14"/>
  <c r="D332" i="14"/>
  <c r="C333" i="14"/>
  <c r="D333" i="14"/>
  <c r="F332" i="14"/>
  <c r="F333" i="14"/>
  <c r="C211" i="32"/>
  <c r="D211" i="32"/>
  <c r="C212" i="32"/>
  <c r="D212" i="32"/>
  <c r="C213" i="32"/>
  <c r="D213" i="32"/>
  <c r="F211" i="32"/>
  <c r="F212" i="32"/>
  <c r="F213" i="32"/>
  <c r="C132" i="41"/>
  <c r="D132" i="41"/>
  <c r="C133" i="41"/>
  <c r="D133" i="41"/>
  <c r="C134" i="41"/>
  <c r="D134" i="41"/>
  <c r="F132" i="41"/>
  <c r="F133" i="41"/>
  <c r="F134" i="41"/>
  <c r="C213" i="30"/>
  <c r="D213" i="30"/>
  <c r="C214" i="30"/>
  <c r="D214" i="30"/>
  <c r="F213" i="30"/>
  <c r="F214" i="30"/>
  <c r="C26" i="56"/>
  <c r="D26" i="56"/>
  <c r="C27" i="56"/>
  <c r="D27" i="56"/>
  <c r="F26" i="56"/>
  <c r="F27" i="56"/>
  <c r="C430" i="5"/>
  <c r="D430" i="5"/>
  <c r="C431" i="5"/>
  <c r="D431" i="5"/>
  <c r="C182" i="37"/>
  <c r="D182" i="37"/>
  <c r="C183" i="37"/>
  <c r="D183" i="37"/>
  <c r="F182" i="37"/>
  <c r="F183" i="37"/>
  <c r="C383" i="25"/>
  <c r="D383" i="25"/>
  <c r="C384" i="25"/>
  <c r="D384" i="25"/>
  <c r="C216" i="29"/>
  <c r="D216" i="29"/>
  <c r="C217" i="29"/>
  <c r="D217" i="29"/>
  <c r="F216" i="29"/>
  <c r="F217" i="29"/>
  <c r="C216" i="28"/>
  <c r="D216" i="28"/>
  <c r="C217" i="28"/>
  <c r="D217" i="28"/>
  <c r="F216" i="28"/>
  <c r="F217" i="28"/>
  <c r="C427" i="7"/>
  <c r="D427" i="7"/>
  <c r="C428" i="7"/>
  <c r="D428" i="7"/>
  <c r="C429" i="7"/>
  <c r="D429" i="7"/>
  <c r="C69" i="49"/>
  <c r="D69" i="49"/>
  <c r="C70" i="49"/>
  <c r="D70" i="49"/>
  <c r="F69" i="49"/>
  <c r="F70" i="49"/>
  <c r="F431" i="4"/>
  <c r="G431" i="4"/>
  <c r="F432" i="4"/>
  <c r="G432" i="4"/>
  <c r="C431" i="4"/>
  <c r="D431" i="4"/>
  <c r="C432" i="4"/>
  <c r="D432" i="4"/>
  <c r="C257" i="20"/>
  <c r="D257" i="20"/>
  <c r="F257" i="20"/>
  <c r="C255" i="20"/>
  <c r="D255" i="20"/>
  <c r="C256" i="20"/>
  <c r="D256" i="20"/>
  <c r="F255" i="20"/>
  <c r="F256" i="20"/>
  <c r="C402" i="11"/>
  <c r="D402" i="11"/>
  <c r="C403" i="11"/>
  <c r="D403" i="11"/>
  <c r="C74" i="48"/>
  <c r="D74" i="48"/>
  <c r="C75" i="48"/>
  <c r="D75" i="48"/>
  <c r="F74" i="48"/>
  <c r="F75" i="48"/>
  <c r="C43" i="51"/>
  <c r="D43" i="51"/>
  <c r="F43" i="51"/>
  <c r="C41" i="51"/>
  <c r="D41" i="51"/>
  <c r="C42" i="51"/>
  <c r="D42" i="51"/>
  <c r="F41" i="51"/>
  <c r="F42" i="51"/>
  <c r="C316" i="23"/>
  <c r="D316" i="23"/>
  <c r="C317" i="23"/>
  <c r="D317" i="23"/>
  <c r="F316" i="23"/>
  <c r="F317" i="23"/>
  <c r="C132" i="40"/>
  <c r="D132" i="40"/>
  <c r="C133" i="40"/>
  <c r="D133" i="40"/>
  <c r="C134" i="40"/>
  <c r="D134" i="40"/>
  <c r="F132" i="40"/>
  <c r="F133" i="40"/>
  <c r="F134" i="40"/>
  <c r="D115" i="46"/>
  <c r="D116" i="46"/>
  <c r="F115" i="46"/>
  <c r="F116" i="46"/>
  <c r="C198" i="33"/>
  <c r="D198" i="33"/>
  <c r="C199" i="33"/>
  <c r="D199" i="33"/>
  <c r="C200" i="33"/>
  <c r="D200" i="33"/>
  <c r="F198" i="33"/>
  <c r="F199" i="33"/>
  <c r="F200" i="33"/>
  <c r="C266" i="18"/>
  <c r="D266" i="18"/>
  <c r="C267" i="18"/>
  <c r="D267" i="18"/>
  <c r="C268" i="18"/>
  <c r="D268" i="18"/>
  <c r="F266" i="18"/>
  <c r="F267" i="18"/>
  <c r="F268" i="18"/>
  <c r="C191" i="35"/>
  <c r="D191" i="35"/>
  <c r="C192" i="35"/>
  <c r="D192" i="35"/>
  <c r="F191" i="35"/>
  <c r="F192" i="35"/>
  <c r="F263" i="19"/>
  <c r="G263" i="19"/>
  <c r="F264" i="19"/>
  <c r="G264" i="19"/>
  <c r="F265" i="19"/>
  <c r="G265" i="19"/>
  <c r="C263" i="19"/>
  <c r="D263" i="19"/>
  <c r="C264" i="19"/>
  <c r="D264" i="19"/>
  <c r="C265" i="19"/>
  <c r="D265" i="19"/>
  <c r="C67" i="50"/>
  <c r="D67" i="50"/>
  <c r="C68" i="50"/>
  <c r="D68" i="50"/>
  <c r="F67" i="50"/>
  <c r="F68" i="50"/>
  <c r="C363" i="12"/>
  <c r="D363" i="12"/>
  <c r="C364" i="12"/>
  <c r="D364" i="12"/>
  <c r="C365" i="12"/>
  <c r="D365" i="12"/>
  <c r="C184" i="38"/>
  <c r="D184" i="38"/>
  <c r="F184" i="38"/>
  <c r="C182" i="38"/>
  <c r="D182" i="38"/>
  <c r="C183" i="38"/>
  <c r="D183" i="38"/>
  <c r="F182" i="38"/>
  <c r="F183" i="38"/>
  <c r="C194" i="45"/>
  <c r="D194" i="45"/>
  <c r="F194" i="45"/>
  <c r="G194" i="45"/>
  <c r="C192" i="45"/>
  <c r="D192" i="45"/>
  <c r="C193" i="45"/>
  <c r="D193" i="45"/>
  <c r="F192" i="45"/>
  <c r="G192" i="45"/>
  <c r="F193" i="45"/>
  <c r="G193" i="45"/>
  <c r="G190" i="35"/>
  <c r="C190" i="35"/>
  <c r="D190" i="35"/>
  <c r="F190" i="35"/>
  <c r="G315" i="23"/>
  <c r="H315" i="23"/>
  <c r="C315" i="23"/>
  <c r="D315" i="23"/>
  <c r="F315" i="23"/>
  <c r="G66" i="50"/>
  <c r="C66" i="50"/>
  <c r="D66" i="50"/>
  <c r="F66" i="50"/>
  <c r="F381" i="24"/>
  <c r="G381" i="24"/>
  <c r="H381" i="24"/>
  <c r="C381" i="24"/>
  <c r="D381" i="24"/>
  <c r="G181" i="37"/>
  <c r="C181" i="37"/>
  <c r="D181" i="37"/>
  <c r="F181" i="37"/>
  <c r="G212" i="30"/>
  <c r="C429" i="5"/>
  <c r="D429" i="5"/>
  <c r="C212" i="30"/>
  <c r="D212" i="30"/>
  <c r="F212" i="30"/>
  <c r="G25" i="56"/>
  <c r="F401" i="11"/>
  <c r="G401" i="11"/>
  <c r="C401" i="11"/>
  <c r="D401" i="11"/>
  <c r="G68" i="49"/>
  <c r="C68" i="49"/>
  <c r="D68" i="49"/>
  <c r="F68" i="49"/>
  <c r="G215" i="29"/>
  <c r="C215" i="29"/>
  <c r="D215" i="29"/>
  <c r="F215" i="29"/>
  <c r="F382" i="25"/>
  <c r="G382" i="25"/>
  <c r="C382" i="25"/>
  <c r="D382" i="25"/>
  <c r="G329" i="14"/>
  <c r="H329" i="14"/>
  <c r="G330" i="14"/>
  <c r="H330" i="14"/>
  <c r="G331" i="14"/>
  <c r="H331" i="14"/>
  <c r="C331" i="14"/>
  <c r="D331" i="14"/>
  <c r="F331" i="14"/>
  <c r="G73" i="48"/>
  <c r="C73" i="48"/>
  <c r="D73" i="48"/>
  <c r="F73" i="48"/>
  <c r="G131" i="41"/>
  <c r="C131" i="41"/>
  <c r="D131" i="41"/>
  <c r="F131" i="41"/>
  <c r="F430" i="4"/>
  <c r="G430" i="4"/>
  <c r="C430" i="4"/>
  <c r="D430" i="4"/>
  <c r="F23" i="59"/>
  <c r="C23" i="59"/>
  <c r="D23" i="59"/>
  <c r="F22" i="59"/>
  <c r="C22" i="59"/>
  <c r="D22" i="59"/>
  <c r="F21" i="59"/>
  <c r="C21" i="59"/>
  <c r="D21" i="59"/>
  <c r="D20" i="59"/>
  <c r="B7" i="59"/>
  <c r="B14" i="59"/>
  <c r="G2" i="59"/>
  <c r="G210" i="32"/>
  <c r="C210" i="32"/>
  <c r="D210" i="32"/>
  <c r="F210" i="32"/>
  <c r="G22" i="59"/>
  <c r="B9" i="59"/>
  <c r="B3" i="59"/>
  <c r="G23" i="59"/>
  <c r="B1" i="59"/>
  <c r="B8" i="59"/>
  <c r="E8" i="59"/>
  <c r="B2" i="59"/>
  <c r="E9" i="59"/>
  <c r="E10" i="59"/>
  <c r="D14" i="59"/>
  <c r="G21" i="59"/>
  <c r="A14" i="59"/>
  <c r="B4" i="59"/>
  <c r="E4" i="59"/>
  <c r="C14" i="59"/>
  <c r="B11" i="59"/>
  <c r="B10" i="59"/>
  <c r="E2" i="59"/>
  <c r="F14" i="59"/>
  <c r="G215" i="28"/>
  <c r="C215" i="28"/>
  <c r="D215" i="28"/>
  <c r="F215" i="28"/>
  <c r="G25" i="58"/>
  <c r="F25" i="58"/>
  <c r="C25" i="58"/>
  <c r="D25" i="58"/>
  <c r="G24" i="58"/>
  <c r="F24" i="58"/>
  <c r="C24" i="58"/>
  <c r="D24" i="58"/>
  <c r="G23" i="58"/>
  <c r="F23" i="58"/>
  <c r="C23" i="58"/>
  <c r="D23" i="58"/>
  <c r="G22" i="58"/>
  <c r="F22" i="58"/>
  <c r="C22" i="58"/>
  <c r="F21" i="58"/>
  <c r="C21" i="58"/>
  <c r="B8" i="58"/>
  <c r="G4" i="58"/>
  <c r="G25" i="57"/>
  <c r="F25" i="57"/>
  <c r="C25" i="57"/>
  <c r="D25" i="57"/>
  <c r="G24" i="57"/>
  <c r="F24" i="57"/>
  <c r="C24" i="57"/>
  <c r="D24" i="57"/>
  <c r="G23" i="57"/>
  <c r="F23" i="57"/>
  <c r="C23" i="57"/>
  <c r="D23" i="57"/>
  <c r="G22" i="57"/>
  <c r="F22" i="57"/>
  <c r="C22" i="57"/>
  <c r="D22" i="57"/>
  <c r="F21" i="57"/>
  <c r="C21" i="57"/>
  <c r="B8" i="57"/>
  <c r="G4" i="57"/>
  <c r="G117" i="47"/>
  <c r="C117" i="47"/>
  <c r="D117" i="47"/>
  <c r="F117" i="47"/>
  <c r="E10" i="57"/>
  <c r="E11" i="57"/>
  <c r="C15" i="57"/>
  <c r="B3" i="58"/>
  <c r="E10" i="58"/>
  <c r="E11" i="58"/>
  <c r="C15" i="58"/>
  <c r="D21" i="58"/>
  <c r="B4" i="58"/>
  <c r="D22" i="58"/>
  <c r="B2" i="58"/>
  <c r="B10" i="58"/>
  <c r="B3" i="57"/>
  <c r="B4" i="57"/>
  <c r="B2" i="57"/>
  <c r="B10" i="57"/>
  <c r="D21" i="57"/>
  <c r="E9" i="57"/>
  <c r="G181" i="38"/>
  <c r="C181" i="38"/>
  <c r="D181" i="38"/>
  <c r="F181" i="38"/>
  <c r="E9" i="58"/>
  <c r="E5" i="58"/>
  <c r="B12" i="58"/>
  <c r="A15" i="58"/>
  <c r="B9" i="58"/>
  <c r="B5" i="58"/>
  <c r="B11" i="58"/>
  <c r="E3" i="58"/>
  <c r="E15" i="58"/>
  <c r="A15" i="57"/>
  <c r="B9" i="57"/>
  <c r="B5" i="57"/>
  <c r="B12" i="57"/>
  <c r="B11" i="57"/>
  <c r="E5" i="57"/>
  <c r="E3" i="57"/>
  <c r="E15" i="57"/>
  <c r="B15" i="58"/>
  <c r="B15" i="57"/>
  <c r="G189" i="35"/>
  <c r="C189" i="35"/>
  <c r="D189" i="35"/>
  <c r="F189" i="35"/>
  <c r="C131" i="40"/>
  <c r="D131" i="40"/>
  <c r="F131" i="40"/>
  <c r="G197" i="33"/>
  <c r="C197" i="33"/>
  <c r="D197" i="33"/>
  <c r="F197" i="33"/>
  <c r="C191" i="45"/>
  <c r="D191" i="45"/>
  <c r="F191" i="45"/>
  <c r="G191" i="45"/>
  <c r="F362" i="12"/>
  <c r="G362" i="12"/>
  <c r="C362" i="12"/>
  <c r="D362" i="12"/>
  <c r="F262" i="19"/>
  <c r="G262" i="19"/>
  <c r="C262" i="19"/>
  <c r="D262" i="19"/>
  <c r="G265" i="18"/>
  <c r="C265" i="18"/>
  <c r="D265" i="18"/>
  <c r="F265" i="18"/>
  <c r="G40" i="51"/>
  <c r="C40" i="51"/>
  <c r="D40" i="51"/>
  <c r="F40" i="51"/>
  <c r="C190" i="45"/>
  <c r="D190" i="45"/>
  <c r="F190" i="45"/>
  <c r="G190" i="45"/>
  <c r="F380" i="24"/>
  <c r="G380" i="24"/>
  <c r="H380" i="24"/>
  <c r="C380" i="24"/>
  <c r="D380" i="24"/>
  <c r="F379" i="24"/>
  <c r="G379" i="24"/>
  <c r="H379" i="24"/>
  <c r="C379" i="24"/>
  <c r="D379" i="24"/>
  <c r="G65" i="50"/>
  <c r="C65" i="50"/>
  <c r="D65" i="50"/>
  <c r="F65" i="50"/>
  <c r="G214" i="29"/>
  <c r="C214" i="29"/>
  <c r="D214" i="29"/>
  <c r="F214" i="29"/>
  <c r="G180" i="37"/>
  <c r="C180" i="37"/>
  <c r="D180" i="37"/>
  <c r="F180" i="37"/>
  <c r="E8" i="57"/>
  <c r="E4" i="57"/>
  <c r="F15" i="57"/>
  <c r="G426" i="7"/>
  <c r="C426" i="7"/>
  <c r="D426" i="7"/>
  <c r="E8" i="58"/>
  <c r="E4" i="58"/>
  <c r="F15" i="58"/>
  <c r="D15" i="57"/>
  <c r="D15" i="58"/>
  <c r="E7" i="59"/>
  <c r="C25" i="56"/>
  <c r="D25" i="56"/>
  <c r="F25" i="56"/>
  <c r="G24" i="56"/>
  <c r="F24" i="56"/>
  <c r="C24" i="56"/>
  <c r="D24" i="56"/>
  <c r="G23" i="56"/>
  <c r="F23" i="56"/>
  <c r="C23" i="56"/>
  <c r="D23" i="56"/>
  <c r="G22" i="56"/>
  <c r="F22" i="56"/>
  <c r="C22" i="56"/>
  <c r="D22" i="56"/>
  <c r="F21" i="56"/>
  <c r="C21" i="56"/>
  <c r="D21" i="56"/>
  <c r="B8" i="56"/>
  <c r="G4" i="56"/>
  <c r="F428" i="5"/>
  <c r="G428" i="5"/>
  <c r="C428" i="5"/>
  <c r="D428" i="5"/>
  <c r="E3" i="59"/>
  <c r="G14" i="59"/>
  <c r="E14" i="59"/>
  <c r="E9" i="56"/>
  <c r="B3" i="56"/>
  <c r="E10" i="56"/>
  <c r="E11" i="56"/>
  <c r="C15" i="56"/>
  <c r="B4" i="56"/>
  <c r="B2" i="56"/>
  <c r="B10" i="56"/>
  <c r="B12" i="56"/>
  <c r="B11" i="56"/>
  <c r="E5" i="56"/>
  <c r="E3" i="56"/>
  <c r="E15" i="56"/>
  <c r="B9" i="56"/>
  <c r="B5" i="56"/>
  <c r="A15" i="56"/>
  <c r="B15" i="56"/>
  <c r="G129" i="41"/>
  <c r="G130" i="41"/>
  <c r="F399" i="11"/>
  <c r="G399" i="11"/>
  <c r="F400" i="11"/>
  <c r="G400" i="11"/>
  <c r="F380" i="25"/>
  <c r="G380" i="25"/>
  <c r="F381" i="25"/>
  <c r="G381" i="25"/>
  <c r="G253" i="20"/>
  <c r="H253" i="20"/>
  <c r="G254" i="20"/>
  <c r="H254" i="20"/>
  <c r="G313" i="23"/>
  <c r="H313" i="23"/>
  <c r="G314" i="23"/>
  <c r="H314" i="23"/>
  <c r="G196" i="33"/>
  <c r="C196" i="33"/>
  <c r="D196" i="33"/>
  <c r="F196" i="33"/>
  <c r="G66" i="49"/>
  <c r="G67" i="49"/>
  <c r="G179" i="37"/>
  <c r="C179" i="37"/>
  <c r="D179" i="37"/>
  <c r="F179" i="37"/>
  <c r="G210" i="30"/>
  <c r="G211" i="30"/>
  <c r="F427" i="5"/>
  <c r="G427" i="5"/>
  <c r="C427" i="5"/>
  <c r="D427" i="5"/>
  <c r="G425" i="7"/>
  <c r="C425" i="7"/>
  <c r="D425" i="7"/>
  <c r="G188" i="35"/>
  <c r="C188" i="35"/>
  <c r="D188" i="35"/>
  <c r="F188" i="35"/>
  <c r="G64" i="50"/>
  <c r="C64" i="50"/>
  <c r="D64" i="50"/>
  <c r="F64" i="50"/>
  <c r="G264" i="18"/>
  <c r="C264" i="18"/>
  <c r="D264" i="18"/>
  <c r="F264" i="18"/>
  <c r="C130" i="40"/>
  <c r="D130" i="40"/>
  <c r="F130" i="40"/>
  <c r="G71" i="48"/>
  <c r="G72" i="48"/>
  <c r="G39" i="51"/>
  <c r="C39" i="51"/>
  <c r="D39" i="51"/>
  <c r="F39" i="51"/>
  <c r="F261" i="19"/>
  <c r="G261" i="19"/>
  <c r="C261" i="19"/>
  <c r="D261" i="19"/>
  <c r="G179" i="38"/>
  <c r="G180" i="38"/>
  <c r="C179" i="38"/>
  <c r="D179" i="38"/>
  <c r="C180" i="38"/>
  <c r="D180" i="38"/>
  <c r="F179" i="38"/>
  <c r="F180" i="38"/>
  <c r="G209" i="32"/>
  <c r="C209" i="32"/>
  <c r="D209" i="32"/>
  <c r="F209" i="32"/>
  <c r="G115" i="47"/>
  <c r="G116" i="47"/>
  <c r="C116" i="47"/>
  <c r="D116" i="47"/>
  <c r="F116" i="47"/>
  <c r="G214" i="28"/>
  <c r="C214" i="28"/>
  <c r="D214" i="28"/>
  <c r="F214" i="28"/>
  <c r="C329" i="14"/>
  <c r="D329" i="14"/>
  <c r="C330" i="14"/>
  <c r="D330" i="14"/>
  <c r="F329" i="14"/>
  <c r="F330" i="14"/>
  <c r="G114" i="46"/>
  <c r="C113" i="46"/>
  <c r="D114" i="46"/>
  <c r="F114" i="46"/>
  <c r="C130" i="41"/>
  <c r="D130" i="41"/>
  <c r="F130" i="41"/>
  <c r="C129" i="41"/>
  <c r="D129" i="41"/>
  <c r="F129" i="41"/>
  <c r="C210" i="30"/>
  <c r="D210" i="30"/>
  <c r="C211" i="30"/>
  <c r="D211" i="30"/>
  <c r="F210" i="30"/>
  <c r="F211" i="30"/>
  <c r="F361" i="12"/>
  <c r="G361" i="12"/>
  <c r="C361" i="12"/>
  <c r="D361" i="12"/>
  <c r="C71" i="48"/>
  <c r="D71" i="48"/>
  <c r="C72" i="48"/>
  <c r="D72" i="48"/>
  <c r="F71" i="48"/>
  <c r="F72" i="48"/>
  <c r="F428" i="4"/>
  <c r="G428" i="4"/>
  <c r="F429" i="4"/>
  <c r="G429" i="4"/>
  <c r="C429" i="4"/>
  <c r="D429" i="4"/>
  <c r="C380" i="25"/>
  <c r="D380" i="25"/>
  <c r="C381" i="25"/>
  <c r="D381" i="25"/>
  <c r="C313" i="23"/>
  <c r="D313" i="23"/>
  <c r="C314" i="23"/>
  <c r="D314" i="23"/>
  <c r="F313" i="23"/>
  <c r="F314" i="23"/>
  <c r="C253" i="20"/>
  <c r="D253" i="20"/>
  <c r="C254" i="20"/>
  <c r="D254" i="20"/>
  <c r="F253" i="20"/>
  <c r="F254" i="20"/>
  <c r="C399" i="11"/>
  <c r="D399" i="11"/>
  <c r="C400" i="11"/>
  <c r="D400" i="11"/>
  <c r="C66" i="49"/>
  <c r="D66" i="49"/>
  <c r="C67" i="49"/>
  <c r="D67" i="49"/>
  <c r="F66" i="49"/>
  <c r="F67" i="49"/>
  <c r="C428" i="4"/>
  <c r="D428" i="4"/>
  <c r="G208" i="32"/>
  <c r="C208" i="32"/>
  <c r="D208" i="32"/>
  <c r="F208" i="32"/>
  <c r="G213" i="29"/>
  <c r="C213" i="29"/>
  <c r="D213" i="29"/>
  <c r="F213" i="29"/>
  <c r="G113" i="46"/>
  <c r="C112" i="46"/>
  <c r="D113" i="46"/>
  <c r="F113" i="46"/>
  <c r="G213" i="28"/>
  <c r="C213" i="28"/>
  <c r="D213" i="28"/>
  <c r="F213" i="28"/>
  <c r="C115" i="47"/>
  <c r="D115" i="47"/>
  <c r="F115" i="47"/>
  <c r="C22" i="52"/>
  <c r="E8" i="56"/>
  <c r="E4" i="56"/>
  <c r="F15" i="56"/>
  <c r="D15" i="56"/>
  <c r="C189" i="45"/>
  <c r="D189" i="45"/>
  <c r="F189" i="45"/>
  <c r="G189" i="45"/>
  <c r="G114" i="47"/>
  <c r="C114" i="47"/>
  <c r="D114" i="47"/>
  <c r="F114" i="47"/>
  <c r="F398" i="11"/>
  <c r="G398" i="11"/>
  <c r="C398" i="11"/>
  <c r="D398" i="11"/>
  <c r="G112" i="46"/>
  <c r="D112" i="46"/>
  <c r="F112" i="46"/>
  <c r="F379" i="25"/>
  <c r="G379" i="25"/>
  <c r="C379" i="25"/>
  <c r="D379" i="25"/>
  <c r="G424" i="7"/>
  <c r="C424" i="7"/>
  <c r="D424" i="7"/>
  <c r="G178" i="37"/>
  <c r="C178" i="37"/>
  <c r="D178" i="37"/>
  <c r="F178" i="37"/>
  <c r="G312" i="23"/>
  <c r="H312" i="23"/>
  <c r="C312" i="23"/>
  <c r="D312" i="23"/>
  <c r="F312" i="23"/>
  <c r="G63" i="50"/>
  <c r="C63" i="50"/>
  <c r="D63" i="50"/>
  <c r="F63" i="50"/>
  <c r="G65" i="49"/>
  <c r="C65" i="49"/>
  <c r="D65" i="49"/>
  <c r="F65" i="49"/>
  <c r="C188" i="45"/>
  <c r="D188" i="45"/>
  <c r="F188" i="45"/>
  <c r="G188" i="45"/>
  <c r="G212" i="29"/>
  <c r="C212" i="29"/>
  <c r="D212" i="29"/>
  <c r="F212" i="29"/>
  <c r="F378" i="24"/>
  <c r="G378" i="24"/>
  <c r="H378" i="24"/>
  <c r="C378" i="24"/>
  <c r="D378" i="24"/>
  <c r="G128" i="41"/>
  <c r="C128" i="41"/>
  <c r="D128" i="41"/>
  <c r="F128" i="41"/>
  <c r="G328" i="14"/>
  <c r="H328" i="14"/>
  <c r="C328" i="14"/>
  <c r="D328" i="14"/>
  <c r="F328" i="14"/>
  <c r="G207" i="32"/>
  <c r="C207" i="32"/>
  <c r="D207" i="32"/>
  <c r="F207" i="32"/>
  <c r="G209" i="30"/>
  <c r="C209" i="30"/>
  <c r="D209" i="30"/>
  <c r="F209" i="30"/>
  <c r="G212" i="28"/>
  <c r="C212" i="28"/>
  <c r="D212" i="28"/>
  <c r="F212" i="28"/>
  <c r="F377" i="24"/>
  <c r="G377" i="24"/>
  <c r="H377" i="24"/>
  <c r="C377" i="24"/>
  <c r="D377" i="24"/>
  <c r="G186" i="35"/>
  <c r="G187" i="35"/>
  <c r="G262" i="18"/>
  <c r="G263" i="18"/>
  <c r="C262" i="18"/>
  <c r="D262" i="18"/>
  <c r="C263" i="18"/>
  <c r="D263" i="18"/>
  <c r="F262" i="18"/>
  <c r="F263" i="18"/>
  <c r="G62" i="50"/>
  <c r="C62" i="50"/>
  <c r="D62" i="50"/>
  <c r="F62" i="50"/>
  <c r="F397" i="11"/>
  <c r="G397" i="11"/>
  <c r="C397" i="11"/>
  <c r="D397" i="11"/>
  <c r="G69" i="48"/>
  <c r="G70" i="48"/>
  <c r="G37" i="51"/>
  <c r="G38" i="51"/>
  <c r="F251" i="20"/>
  <c r="G251" i="20"/>
  <c r="H251" i="20"/>
  <c r="F252" i="20"/>
  <c r="G252" i="20"/>
  <c r="H252" i="20"/>
  <c r="C252" i="20"/>
  <c r="D252" i="20"/>
  <c r="C251" i="20"/>
  <c r="D251" i="20"/>
  <c r="F358" i="12"/>
  <c r="G358" i="12"/>
  <c r="F359" i="12"/>
  <c r="G359" i="12"/>
  <c r="F360" i="12"/>
  <c r="G360" i="12"/>
  <c r="F426" i="5"/>
  <c r="G426" i="5"/>
  <c r="C426" i="5"/>
  <c r="D426" i="5"/>
  <c r="C69" i="48"/>
  <c r="D69" i="48"/>
  <c r="C70" i="48"/>
  <c r="D70" i="48"/>
  <c r="F69" i="48"/>
  <c r="F70" i="48"/>
  <c r="C37" i="51"/>
  <c r="D37" i="51"/>
  <c r="C38" i="51"/>
  <c r="D38" i="51"/>
  <c r="F37" i="51"/>
  <c r="F38" i="51"/>
  <c r="G195" i="33"/>
  <c r="C195" i="33"/>
  <c r="D195" i="33"/>
  <c r="F195" i="33"/>
  <c r="C186" i="35"/>
  <c r="D186" i="35"/>
  <c r="C187" i="35"/>
  <c r="D187" i="35"/>
  <c r="F186" i="35"/>
  <c r="F187" i="35"/>
  <c r="C128" i="40"/>
  <c r="D128" i="40"/>
  <c r="C129" i="40"/>
  <c r="D129" i="40"/>
  <c r="F128" i="40"/>
  <c r="F129" i="40"/>
  <c r="G178" i="38"/>
  <c r="C178" i="38"/>
  <c r="D178" i="38"/>
  <c r="F178" i="38"/>
  <c r="C360" i="12"/>
  <c r="D360" i="12"/>
  <c r="C359" i="12"/>
  <c r="D359" i="12"/>
  <c r="F426" i="4"/>
  <c r="G426" i="4"/>
  <c r="F427" i="4"/>
  <c r="G427" i="4"/>
  <c r="C426" i="4"/>
  <c r="D426" i="4"/>
  <c r="C427" i="4"/>
  <c r="D427" i="4"/>
  <c r="F259" i="19"/>
  <c r="G259" i="19"/>
  <c r="F260" i="19"/>
  <c r="G260" i="19"/>
  <c r="C259" i="19"/>
  <c r="D259" i="19"/>
  <c r="C260" i="19"/>
  <c r="D260" i="19"/>
  <c r="G111" i="46"/>
  <c r="C111" i="46"/>
  <c r="D111" i="46"/>
  <c r="F111" i="46"/>
  <c r="F425" i="5"/>
  <c r="G425" i="5"/>
  <c r="C425" i="5"/>
  <c r="D425" i="5"/>
  <c r="G423" i="7"/>
  <c r="C423" i="7"/>
  <c r="D423" i="7"/>
  <c r="G194" i="33"/>
  <c r="C194" i="33"/>
  <c r="D194" i="33"/>
  <c r="F194" i="33"/>
  <c r="G211" i="29"/>
  <c r="C211" i="29"/>
  <c r="D211" i="29"/>
  <c r="F211" i="29"/>
  <c r="G177" i="37"/>
  <c r="C177" i="37"/>
  <c r="D177" i="37"/>
  <c r="F177" i="37"/>
  <c r="G311" i="23"/>
  <c r="H311" i="23"/>
  <c r="C311" i="23"/>
  <c r="D311" i="23"/>
  <c r="F311" i="23"/>
  <c r="G64" i="49"/>
  <c r="C64" i="49"/>
  <c r="D64" i="49"/>
  <c r="F64" i="49"/>
  <c r="G327" i="14"/>
  <c r="H327" i="14"/>
  <c r="C327" i="14"/>
  <c r="D327" i="14"/>
  <c r="F327" i="14"/>
  <c r="G208" i="30"/>
  <c r="C208" i="30"/>
  <c r="D208" i="30"/>
  <c r="F208" i="30"/>
  <c r="G127" i="41"/>
  <c r="C127" i="41"/>
  <c r="D127" i="41"/>
  <c r="F127" i="41"/>
  <c r="F378" i="25"/>
  <c r="G378" i="25"/>
  <c r="C378" i="25"/>
  <c r="D378" i="25"/>
  <c r="G206" i="32"/>
  <c r="C206" i="32"/>
  <c r="D206" i="32"/>
  <c r="F206" i="32"/>
  <c r="G113" i="47"/>
  <c r="C113" i="47"/>
  <c r="D113" i="47"/>
  <c r="F113" i="47"/>
  <c r="G211" i="28"/>
  <c r="C211" i="28"/>
  <c r="D211" i="28"/>
  <c r="F211" i="28"/>
  <c r="G2" i="52"/>
  <c r="D22" i="52"/>
  <c r="D20" i="52"/>
  <c r="E20" i="52"/>
  <c r="C21" i="52"/>
  <c r="D21" i="52"/>
  <c r="E8" i="52"/>
  <c r="B9" i="52"/>
  <c r="B7" i="52"/>
  <c r="E21" i="52"/>
  <c r="B2" i="52"/>
  <c r="B1" i="52"/>
  <c r="A14" i="52"/>
  <c r="E9" i="52"/>
  <c r="E10" i="52"/>
  <c r="D14" i="52"/>
  <c r="B3" i="52"/>
  <c r="E4" i="52"/>
  <c r="B14" i="52"/>
  <c r="E22" i="52"/>
  <c r="B8" i="52"/>
  <c r="C14" i="52"/>
  <c r="B11" i="52"/>
  <c r="E7" i="52"/>
  <c r="E14" i="52"/>
  <c r="E2" i="52"/>
  <c r="F14" i="52"/>
  <c r="B4" i="52"/>
  <c r="B10" i="52"/>
  <c r="E3" i="52"/>
  <c r="G14" i="52"/>
  <c r="C127" i="40"/>
  <c r="D127" i="40"/>
  <c r="F127" i="40"/>
  <c r="C187" i="45"/>
  <c r="D187" i="45"/>
  <c r="F187" i="45"/>
  <c r="G187" i="45"/>
  <c r="F258" i="19"/>
  <c r="G258" i="19"/>
  <c r="C258" i="19"/>
  <c r="D258" i="19"/>
  <c r="C358" i="12"/>
  <c r="D358" i="12"/>
  <c r="G177" i="38"/>
  <c r="C177" i="38"/>
  <c r="D177" i="38"/>
  <c r="F177" i="38"/>
  <c r="C110" i="46"/>
  <c r="G310" i="23"/>
  <c r="H310" i="23"/>
  <c r="C310" i="23"/>
  <c r="D310" i="23"/>
  <c r="F310" i="23"/>
  <c r="G36" i="51"/>
  <c r="C36" i="51"/>
  <c r="D36" i="51"/>
  <c r="F36" i="51"/>
  <c r="G61" i="50"/>
  <c r="C61" i="50"/>
  <c r="D61" i="50"/>
  <c r="F61" i="50"/>
  <c r="G193" i="33"/>
  <c r="C193" i="33"/>
  <c r="D193" i="33"/>
  <c r="F193" i="33"/>
  <c r="G176" i="37"/>
  <c r="C176" i="37"/>
  <c r="D176" i="37"/>
  <c r="F176" i="37"/>
  <c r="G185" i="35"/>
  <c r="C185" i="35"/>
  <c r="D185" i="35"/>
  <c r="F185" i="35"/>
  <c r="G68" i="48"/>
  <c r="C68" i="48"/>
  <c r="D68" i="48"/>
  <c r="F68" i="48"/>
  <c r="F396" i="11"/>
  <c r="G396" i="11"/>
  <c r="C396" i="11"/>
  <c r="D396" i="11"/>
  <c r="G110" i="46"/>
  <c r="D110" i="46"/>
  <c r="F110" i="46"/>
  <c r="G210" i="28"/>
  <c r="C210" i="28"/>
  <c r="D210" i="28"/>
  <c r="F210" i="28"/>
  <c r="F257" i="19"/>
  <c r="G257" i="19"/>
  <c r="C257" i="19"/>
  <c r="D257" i="19"/>
  <c r="F424" i="5"/>
  <c r="G424" i="5"/>
  <c r="C424" i="5"/>
  <c r="D424" i="5"/>
  <c r="G422" i="7"/>
  <c r="C422" i="7"/>
  <c r="D422" i="7"/>
  <c r="G63" i="49"/>
  <c r="C63" i="49"/>
  <c r="D63" i="49"/>
  <c r="F63" i="49"/>
  <c r="G250" i="20"/>
  <c r="H250" i="20"/>
  <c r="C250" i="20"/>
  <c r="D250" i="20"/>
  <c r="F250" i="20"/>
  <c r="G207" i="30"/>
  <c r="C207" i="30"/>
  <c r="D207" i="30"/>
  <c r="F207" i="30"/>
  <c r="G261" i="18"/>
  <c r="C261" i="18"/>
  <c r="D261" i="18"/>
  <c r="F261" i="18"/>
  <c r="G126" i="41"/>
  <c r="C126" i="41"/>
  <c r="D126" i="41"/>
  <c r="F126" i="41"/>
  <c r="F377" i="25"/>
  <c r="G377" i="25"/>
  <c r="C377" i="25"/>
  <c r="D377" i="25"/>
  <c r="G205" i="32"/>
  <c r="C205" i="32"/>
  <c r="D205" i="32"/>
  <c r="F205" i="32"/>
  <c r="G210" i="29"/>
  <c r="C210" i="29"/>
  <c r="D210" i="29"/>
  <c r="F210" i="29"/>
  <c r="G112" i="47"/>
  <c r="C112" i="47"/>
  <c r="D112" i="47"/>
  <c r="F112" i="47"/>
  <c r="F376" i="24"/>
  <c r="G376" i="24"/>
  <c r="H376" i="24"/>
  <c r="C376" i="24"/>
  <c r="D376" i="24"/>
  <c r="F425" i="4"/>
  <c r="G425" i="4"/>
  <c r="C425" i="4"/>
  <c r="D425" i="4"/>
  <c r="G326" i="14"/>
  <c r="H326" i="14"/>
  <c r="C326" i="14"/>
  <c r="D326" i="14"/>
  <c r="F326" i="14"/>
  <c r="F357" i="12"/>
  <c r="G357" i="12"/>
  <c r="C357" i="12"/>
  <c r="D357" i="12"/>
  <c r="C186" i="45"/>
  <c r="D186" i="45"/>
  <c r="F186" i="45"/>
  <c r="G186" i="45"/>
  <c r="G176" i="38"/>
  <c r="C176" i="38"/>
  <c r="D176" i="38"/>
  <c r="F176" i="38"/>
  <c r="C126" i="40"/>
  <c r="D126" i="40"/>
  <c r="F126" i="40"/>
  <c r="F376" i="25"/>
  <c r="G376" i="25"/>
  <c r="G60" i="50"/>
  <c r="C60" i="50"/>
  <c r="D60" i="50"/>
  <c r="F60" i="50"/>
  <c r="G260" i="18"/>
  <c r="C260" i="18"/>
  <c r="D260" i="18"/>
  <c r="F260" i="18"/>
  <c r="G35" i="51"/>
  <c r="C35" i="51"/>
  <c r="D35" i="51"/>
  <c r="F35" i="51"/>
  <c r="G192" i="33"/>
  <c r="C192" i="33"/>
  <c r="D192" i="33"/>
  <c r="F192" i="33"/>
  <c r="F395" i="11"/>
  <c r="G395" i="11"/>
  <c r="C395" i="11"/>
  <c r="D395" i="11"/>
  <c r="G175" i="37"/>
  <c r="C175" i="37"/>
  <c r="D175" i="37"/>
  <c r="F175" i="37"/>
  <c r="G309" i="23"/>
  <c r="H309" i="23"/>
  <c r="C309" i="23"/>
  <c r="D309" i="23"/>
  <c r="F309" i="23"/>
  <c r="G109" i="46"/>
  <c r="C108" i="46"/>
  <c r="C109" i="46"/>
  <c r="D109" i="46"/>
  <c r="F109" i="46"/>
  <c r="G67" i="48"/>
  <c r="C67" i="48"/>
  <c r="D67" i="48"/>
  <c r="F67" i="48"/>
  <c r="F422" i="5"/>
  <c r="G422" i="5"/>
  <c r="F423" i="5"/>
  <c r="G423" i="5"/>
  <c r="C423" i="5"/>
  <c r="D423" i="5"/>
  <c r="G421" i="7"/>
  <c r="C421" i="7"/>
  <c r="D421" i="7"/>
  <c r="G125" i="41"/>
  <c r="C125" i="41"/>
  <c r="D125" i="41"/>
  <c r="F125" i="41"/>
  <c r="G23" i="49"/>
  <c r="G24" i="49"/>
  <c r="G25" i="49"/>
  <c r="G26" i="49"/>
  <c r="G27" i="49"/>
  <c r="G28" i="49"/>
  <c r="G29" i="49"/>
  <c r="G30" i="49"/>
  <c r="G31" i="49"/>
  <c r="G32" i="49"/>
  <c r="G33" i="49"/>
  <c r="G34" i="49"/>
  <c r="G35" i="49"/>
  <c r="G36" i="49"/>
  <c r="G37" i="49"/>
  <c r="G38" i="49"/>
  <c r="G39" i="49"/>
  <c r="G40" i="49"/>
  <c r="G41" i="49"/>
  <c r="G42" i="49"/>
  <c r="G43" i="49"/>
  <c r="G44" i="49"/>
  <c r="G45" i="49"/>
  <c r="G46" i="49"/>
  <c r="G47" i="49"/>
  <c r="G48" i="49"/>
  <c r="G49" i="49"/>
  <c r="G50" i="49"/>
  <c r="G51" i="49"/>
  <c r="G52" i="49"/>
  <c r="G53" i="49"/>
  <c r="G54" i="49"/>
  <c r="G55" i="49"/>
  <c r="G56" i="49"/>
  <c r="G57" i="49"/>
  <c r="G58" i="49"/>
  <c r="G59" i="49"/>
  <c r="G60" i="49"/>
  <c r="G61" i="49"/>
  <c r="G62" i="49"/>
  <c r="G22" i="49"/>
  <c r="C62" i="49"/>
  <c r="D62" i="49"/>
  <c r="F62" i="49"/>
  <c r="F424" i="4"/>
  <c r="G424" i="4"/>
  <c r="C424" i="4"/>
  <c r="D424" i="4"/>
  <c r="G325" i="14"/>
  <c r="H325" i="14"/>
  <c r="C325" i="14"/>
  <c r="D325" i="14"/>
  <c r="F325" i="14"/>
  <c r="G249" i="20"/>
  <c r="H249" i="20"/>
  <c r="C249" i="20"/>
  <c r="D249" i="20"/>
  <c r="F249" i="20"/>
  <c r="G206" i="30"/>
  <c r="C206" i="30"/>
  <c r="D206" i="30"/>
  <c r="F206" i="30"/>
  <c r="G209" i="29"/>
  <c r="C209" i="29"/>
  <c r="D209" i="29"/>
  <c r="F209" i="29"/>
  <c r="G204" i="32"/>
  <c r="C204" i="32"/>
  <c r="D204" i="32"/>
  <c r="F204" i="32"/>
  <c r="C376" i="25"/>
  <c r="D376" i="25"/>
  <c r="G209" i="28"/>
  <c r="C209" i="28"/>
  <c r="D209" i="28"/>
  <c r="F209" i="28"/>
  <c r="F375" i="24"/>
  <c r="G375" i="24"/>
  <c r="H375" i="24"/>
  <c r="C375" i="24"/>
  <c r="D375" i="24"/>
  <c r="G184" i="35"/>
  <c r="C184" i="35"/>
  <c r="D184" i="35"/>
  <c r="F184" i="35"/>
  <c r="C185" i="45"/>
  <c r="D185" i="45"/>
  <c r="F185" i="45"/>
  <c r="G185" i="45"/>
  <c r="C125" i="40"/>
  <c r="D125" i="40"/>
  <c r="F125" i="40"/>
  <c r="F374" i="24"/>
  <c r="G374" i="24"/>
  <c r="H374" i="24"/>
  <c r="C374" i="24"/>
  <c r="D374" i="24"/>
  <c r="F256" i="19"/>
  <c r="G256" i="19"/>
  <c r="C256" i="19"/>
  <c r="D256" i="19"/>
  <c r="G175" i="38"/>
  <c r="C175" i="38"/>
  <c r="D175" i="38"/>
  <c r="F175" i="38"/>
  <c r="G111" i="47"/>
  <c r="C111" i="47"/>
  <c r="D111" i="47"/>
  <c r="F111" i="47"/>
  <c r="F356" i="12"/>
  <c r="G356" i="12"/>
  <c r="C356" i="12"/>
  <c r="D356" i="12"/>
  <c r="C61" i="49"/>
  <c r="D61" i="49"/>
  <c r="F61" i="49"/>
  <c r="G259" i="18"/>
  <c r="C259" i="18"/>
  <c r="D259" i="18"/>
  <c r="F259" i="18"/>
  <c r="G59" i="50"/>
  <c r="C59" i="50"/>
  <c r="D59" i="50"/>
  <c r="F59" i="50"/>
  <c r="G191" i="33"/>
  <c r="C191" i="33"/>
  <c r="D191" i="33"/>
  <c r="F191" i="33"/>
  <c r="G182" i="35"/>
  <c r="G183" i="35"/>
  <c r="C183" i="35"/>
  <c r="D183" i="35"/>
  <c r="F183" i="35"/>
  <c r="C182" i="35"/>
  <c r="D182" i="35"/>
  <c r="F182" i="35"/>
  <c r="G34" i="51"/>
  <c r="C34" i="51"/>
  <c r="D34" i="51"/>
  <c r="F34" i="51"/>
  <c r="B8" i="46"/>
  <c r="D108" i="46"/>
  <c r="G108" i="46"/>
  <c r="F108" i="46"/>
  <c r="F394" i="11"/>
  <c r="G394" i="11"/>
  <c r="C394" i="11"/>
  <c r="D394" i="11"/>
  <c r="G66" i="48"/>
  <c r="C66" i="48"/>
  <c r="D66" i="48"/>
  <c r="F66" i="48"/>
  <c r="F21" i="37"/>
  <c r="F22" i="37"/>
  <c r="F23" i="37"/>
  <c r="F24" i="37"/>
  <c r="F25" i="37"/>
  <c r="F26" i="37"/>
  <c r="F27" i="37"/>
  <c r="F28" i="37"/>
  <c r="F29" i="37"/>
  <c r="F30" i="37"/>
  <c r="F31" i="37"/>
  <c r="F32" i="37"/>
  <c r="F33" i="37"/>
  <c r="F34" i="37"/>
  <c r="F35" i="37"/>
  <c r="F36" i="37"/>
  <c r="F37" i="37"/>
  <c r="F38" i="37"/>
  <c r="F39" i="37"/>
  <c r="F40" i="37"/>
  <c r="F41" i="37"/>
  <c r="F42" i="37"/>
  <c r="F43" i="37"/>
  <c r="F44" i="37"/>
  <c r="F45" i="37"/>
  <c r="F46" i="37"/>
  <c r="F47" i="37"/>
  <c r="F48" i="37"/>
  <c r="F49" i="37"/>
  <c r="F50" i="37"/>
  <c r="F51" i="37"/>
  <c r="F52" i="37"/>
  <c r="F53" i="37"/>
  <c r="F54" i="37"/>
  <c r="F55" i="37"/>
  <c r="F56" i="37"/>
  <c r="F57" i="37"/>
  <c r="F58" i="37"/>
  <c r="F59" i="37"/>
  <c r="F60" i="37"/>
  <c r="F61" i="37"/>
  <c r="F62" i="37"/>
  <c r="F63" i="37"/>
  <c r="F64" i="37"/>
  <c r="F65" i="37"/>
  <c r="F66" i="37"/>
  <c r="F67" i="37"/>
  <c r="F68" i="37"/>
  <c r="F69" i="37"/>
  <c r="F70" i="37"/>
  <c r="F71" i="37"/>
  <c r="F72" i="37"/>
  <c r="F73" i="37"/>
  <c r="F74" i="37"/>
  <c r="F75" i="37"/>
  <c r="F76" i="37"/>
  <c r="F77" i="37"/>
  <c r="F78" i="37"/>
  <c r="F79" i="37"/>
  <c r="F80" i="37"/>
  <c r="F81" i="37"/>
  <c r="F82" i="37"/>
  <c r="F83" i="37"/>
  <c r="F84" i="37"/>
  <c r="F85" i="37"/>
  <c r="F86" i="37"/>
  <c r="F87" i="37"/>
  <c r="F88" i="37"/>
  <c r="F89" i="37"/>
  <c r="F90" i="37"/>
  <c r="F91" i="37"/>
  <c r="F92" i="37"/>
  <c r="F93" i="37"/>
  <c r="F94" i="37"/>
  <c r="F95" i="37"/>
  <c r="F96" i="37"/>
  <c r="F97" i="37"/>
  <c r="F98" i="37"/>
  <c r="F99" i="37"/>
  <c r="F100" i="37"/>
  <c r="F101" i="37"/>
  <c r="F102" i="37"/>
  <c r="F103" i="37"/>
  <c r="F104" i="37"/>
  <c r="F105" i="37"/>
  <c r="F106" i="37"/>
  <c r="F107" i="37"/>
  <c r="F108" i="37"/>
  <c r="F109" i="37"/>
  <c r="F110" i="37"/>
  <c r="F111" i="37"/>
  <c r="F112" i="37"/>
  <c r="F113" i="37"/>
  <c r="F114" i="37"/>
  <c r="F115" i="37"/>
  <c r="F116" i="37"/>
  <c r="F117" i="37"/>
  <c r="F118" i="37"/>
  <c r="F119" i="37"/>
  <c r="F120" i="37"/>
  <c r="F121" i="37"/>
  <c r="F122" i="37"/>
  <c r="F123" i="37"/>
  <c r="F124" i="37"/>
  <c r="F125" i="37"/>
  <c r="F126" i="37"/>
  <c r="F127" i="37"/>
  <c r="F128" i="37"/>
  <c r="F129" i="37"/>
  <c r="F130" i="37"/>
  <c r="F131" i="37"/>
  <c r="F132" i="37"/>
  <c r="F133" i="37"/>
  <c r="F134" i="37"/>
  <c r="F135" i="37"/>
  <c r="F136" i="37"/>
  <c r="F137" i="37"/>
  <c r="F138" i="37"/>
  <c r="F139" i="37"/>
  <c r="F140" i="37"/>
  <c r="F141" i="37"/>
  <c r="F142" i="37"/>
  <c r="F143" i="37"/>
  <c r="F144" i="37"/>
  <c r="F145" i="37"/>
  <c r="F146" i="37"/>
  <c r="F147" i="37"/>
  <c r="F148" i="37"/>
  <c r="F149" i="37"/>
  <c r="F150" i="37"/>
  <c r="F151" i="37"/>
  <c r="F152" i="37"/>
  <c r="F153" i="37"/>
  <c r="F154" i="37"/>
  <c r="F155" i="37"/>
  <c r="F156" i="37"/>
  <c r="F157" i="37"/>
  <c r="F158" i="37"/>
  <c r="F159" i="37"/>
  <c r="F160" i="37"/>
  <c r="F161" i="37"/>
  <c r="F162" i="37"/>
  <c r="F163" i="37"/>
  <c r="F164" i="37"/>
  <c r="F165" i="37"/>
  <c r="F166" i="37"/>
  <c r="F167" i="37"/>
  <c r="F168" i="37"/>
  <c r="F169" i="37"/>
  <c r="F170" i="37"/>
  <c r="F171" i="37"/>
  <c r="F172" i="37"/>
  <c r="F173" i="37"/>
  <c r="F174" i="37"/>
  <c r="G174" i="37"/>
  <c r="C174" i="37"/>
  <c r="D174" i="37"/>
  <c r="G419" i="7"/>
  <c r="G420" i="7"/>
  <c r="C420" i="7"/>
  <c r="D420" i="7"/>
  <c r="C419" i="7"/>
  <c r="D419" i="7"/>
  <c r="G308" i="23"/>
  <c r="H308" i="23"/>
  <c r="C308" i="23"/>
  <c r="D308" i="23"/>
  <c r="F308" i="23"/>
  <c r="C422" i="5"/>
  <c r="D422" i="5"/>
  <c r="G205" i="30"/>
  <c r="C205" i="30"/>
  <c r="D205" i="30"/>
  <c r="F205" i="30"/>
  <c r="G248" i="20"/>
  <c r="H248" i="20"/>
  <c r="C248" i="20"/>
  <c r="D248" i="20"/>
  <c r="F248" i="20"/>
  <c r="G124" i="41"/>
  <c r="C124" i="41"/>
  <c r="D124" i="41"/>
  <c r="F124" i="41"/>
  <c r="G208" i="28"/>
  <c r="C208" i="28"/>
  <c r="D208" i="28"/>
  <c r="F208" i="28"/>
  <c r="G208" i="29"/>
  <c r="C208" i="29"/>
  <c r="D208" i="29"/>
  <c r="F208" i="29"/>
  <c r="G202" i="32"/>
  <c r="G203" i="32"/>
  <c r="C203" i="32"/>
  <c r="D203" i="32"/>
  <c r="F203" i="32"/>
  <c r="F375" i="25"/>
  <c r="G375" i="25"/>
  <c r="C375" i="25"/>
  <c r="D375" i="25"/>
  <c r="F423" i="4"/>
  <c r="G423" i="4"/>
  <c r="C423" i="4"/>
  <c r="D423" i="4"/>
  <c r="G324" i="14"/>
  <c r="H324" i="14"/>
  <c r="C324" i="14"/>
  <c r="D324" i="14"/>
  <c r="F324" i="14"/>
  <c r="G110" i="47"/>
  <c r="C110" i="47"/>
  <c r="D110" i="47"/>
  <c r="F110" i="47"/>
  <c r="G173" i="38"/>
  <c r="G174" i="38"/>
  <c r="G190" i="33"/>
  <c r="C190" i="33"/>
  <c r="D190" i="33"/>
  <c r="F190" i="33"/>
  <c r="G258" i="18"/>
  <c r="C258" i="18"/>
  <c r="D258" i="18"/>
  <c r="F258" i="18"/>
  <c r="C174" i="38"/>
  <c r="D174" i="38"/>
  <c r="F174" i="38"/>
  <c r="C173" i="38"/>
  <c r="D173" i="38"/>
  <c r="F173" i="38"/>
  <c r="C184" i="45"/>
  <c r="D184" i="45"/>
  <c r="F184" i="45"/>
  <c r="G184" i="45"/>
  <c r="F355" i="12"/>
  <c r="G355" i="12"/>
  <c r="C355" i="12"/>
  <c r="D355" i="12"/>
  <c r="F255" i="19"/>
  <c r="G255" i="19"/>
  <c r="C255" i="19"/>
  <c r="D255" i="19"/>
  <c r="G33" i="51"/>
  <c r="C33" i="51"/>
  <c r="D33" i="51"/>
  <c r="F33" i="51"/>
  <c r="G58" i="50"/>
  <c r="C58" i="50"/>
  <c r="D58" i="50"/>
  <c r="F58" i="50"/>
  <c r="F393" i="11"/>
  <c r="G393" i="11"/>
  <c r="C393" i="11"/>
  <c r="D393" i="11"/>
  <c r="G107" i="46"/>
  <c r="C106" i="46"/>
  <c r="C107" i="46"/>
  <c r="D107" i="46"/>
  <c r="F107" i="46"/>
  <c r="C124" i="40"/>
  <c r="D124" i="40"/>
  <c r="F124" i="40"/>
  <c r="G64" i="48"/>
  <c r="G65" i="48"/>
  <c r="C65" i="48"/>
  <c r="D65" i="48"/>
  <c r="F65" i="48"/>
  <c r="G307" i="23"/>
  <c r="H307" i="23"/>
  <c r="C307" i="23"/>
  <c r="D307" i="23"/>
  <c r="F307" i="23"/>
  <c r="G247" i="20"/>
  <c r="H247" i="20"/>
  <c r="C247" i="20"/>
  <c r="D247" i="20"/>
  <c r="F247" i="20"/>
  <c r="F374" i="25"/>
  <c r="G374" i="25"/>
  <c r="C374" i="25"/>
  <c r="D374" i="25"/>
  <c r="F421" i="5"/>
  <c r="G421" i="5"/>
  <c r="C421" i="5"/>
  <c r="D421" i="5"/>
  <c r="G173" i="37"/>
  <c r="C173" i="37"/>
  <c r="D173" i="37"/>
  <c r="C60" i="49"/>
  <c r="D60" i="49"/>
  <c r="F60" i="49"/>
  <c r="G123" i="41"/>
  <c r="C123" i="41"/>
  <c r="D123" i="41"/>
  <c r="F123" i="41"/>
  <c r="C202" i="32"/>
  <c r="D202" i="32"/>
  <c r="F202" i="32"/>
  <c r="G204" i="30"/>
  <c r="C204" i="30"/>
  <c r="D204" i="30"/>
  <c r="F204" i="30"/>
  <c r="F373" i="24"/>
  <c r="G373" i="24"/>
  <c r="H373" i="24"/>
  <c r="C373" i="24"/>
  <c r="D373" i="24"/>
  <c r="G323" i="14"/>
  <c r="H323" i="14"/>
  <c r="C323" i="14"/>
  <c r="D323" i="14"/>
  <c r="F323" i="14"/>
  <c r="G172" i="38"/>
  <c r="C172" i="38"/>
  <c r="D172" i="38"/>
  <c r="F172" i="38"/>
  <c r="F422" i="4"/>
  <c r="G422" i="4"/>
  <c r="C422" i="4"/>
  <c r="D422" i="4"/>
  <c r="G207" i="29"/>
  <c r="C207" i="29"/>
  <c r="D207" i="29"/>
  <c r="F207" i="29"/>
  <c r="G207" i="28"/>
  <c r="C207" i="28"/>
  <c r="D207" i="28"/>
  <c r="F207" i="28"/>
  <c r="G109" i="47"/>
  <c r="C109" i="47"/>
  <c r="D109" i="47"/>
  <c r="F109" i="47"/>
  <c r="C183" i="45"/>
  <c r="D183" i="45"/>
  <c r="F183" i="45"/>
  <c r="G183" i="45"/>
  <c r="F392" i="11"/>
  <c r="G392" i="11"/>
  <c r="C392" i="11"/>
  <c r="D392" i="11"/>
  <c r="C123" i="40"/>
  <c r="D123" i="40"/>
  <c r="F123" i="40"/>
  <c r="G32" i="51"/>
  <c r="C32" i="51"/>
  <c r="D32" i="51"/>
  <c r="F32" i="51"/>
  <c r="G57" i="50"/>
  <c r="C57" i="50"/>
  <c r="D57" i="50"/>
  <c r="F57" i="50"/>
  <c r="G257" i="18"/>
  <c r="C257" i="18"/>
  <c r="D257" i="18"/>
  <c r="F257" i="18"/>
  <c r="G418" i="7"/>
  <c r="C418" i="7"/>
  <c r="D418" i="7"/>
  <c r="F354" i="12"/>
  <c r="G354" i="12"/>
  <c r="C354" i="12"/>
  <c r="D354" i="12"/>
  <c r="F254" i="19"/>
  <c r="G254" i="19"/>
  <c r="C254" i="19"/>
  <c r="D254" i="19"/>
  <c r="G172" i="37"/>
  <c r="C172" i="37"/>
  <c r="D172" i="37"/>
  <c r="G188" i="33"/>
  <c r="G189" i="33"/>
  <c r="C189" i="33"/>
  <c r="D189" i="33"/>
  <c r="F189" i="33"/>
  <c r="C64" i="48"/>
  <c r="D64" i="48"/>
  <c r="F64" i="48"/>
  <c r="G306" i="23"/>
  <c r="H306" i="23"/>
  <c r="C306" i="23"/>
  <c r="D306" i="23"/>
  <c r="F306" i="23"/>
  <c r="G106" i="46"/>
  <c r="C105" i="46"/>
  <c r="D106" i="46"/>
  <c r="F106" i="46"/>
  <c r="G206" i="29"/>
  <c r="C206" i="29"/>
  <c r="D206" i="29"/>
  <c r="F206" i="29"/>
  <c r="G246" i="20"/>
  <c r="H246" i="20"/>
  <c r="C246" i="20"/>
  <c r="D246" i="20"/>
  <c r="F246" i="20"/>
  <c r="C59" i="49"/>
  <c r="D59" i="49"/>
  <c r="F59" i="49"/>
  <c r="G206" i="28"/>
  <c r="C206" i="28"/>
  <c r="D206" i="28"/>
  <c r="F206" i="28"/>
  <c r="G122" i="41"/>
  <c r="C122" i="41"/>
  <c r="D122" i="41"/>
  <c r="F122" i="41"/>
  <c r="F420" i="5"/>
  <c r="G420" i="5"/>
  <c r="C420" i="5"/>
  <c r="D420" i="5"/>
  <c r="F373" i="25"/>
  <c r="G373" i="25"/>
  <c r="C373" i="25"/>
  <c r="D373" i="25"/>
  <c r="F421" i="4"/>
  <c r="G421" i="4"/>
  <c r="C421" i="4"/>
  <c r="D421" i="4"/>
  <c r="G203" i="30"/>
  <c r="C203" i="30"/>
  <c r="D203" i="30"/>
  <c r="F203" i="30"/>
  <c r="G201" i="32"/>
  <c r="C201" i="32"/>
  <c r="D201" i="32"/>
  <c r="F201" i="32"/>
  <c r="F372" i="24"/>
  <c r="G372" i="24"/>
  <c r="H372" i="24"/>
  <c r="C372" i="24"/>
  <c r="D372" i="24"/>
  <c r="G322" i="14"/>
  <c r="H322" i="14"/>
  <c r="C322" i="14"/>
  <c r="D322" i="14"/>
  <c r="F322" i="14"/>
  <c r="G108" i="47"/>
  <c r="C108" i="47"/>
  <c r="D108" i="47"/>
  <c r="F108" i="47"/>
  <c r="G107" i="47"/>
  <c r="C107" i="47"/>
  <c r="D107" i="47"/>
  <c r="F107" i="47"/>
  <c r="C102" i="46"/>
  <c r="C103" i="46"/>
  <c r="C104" i="46"/>
  <c r="G181" i="35"/>
  <c r="C181" i="35"/>
  <c r="D181" i="35"/>
  <c r="F181" i="35"/>
  <c r="C182" i="45"/>
  <c r="D182" i="45"/>
  <c r="F182" i="45"/>
  <c r="G182" i="45"/>
  <c r="G171" i="37"/>
  <c r="C171" i="37"/>
  <c r="D171" i="37"/>
  <c r="F419" i="5"/>
  <c r="G419" i="5"/>
  <c r="C419" i="5"/>
  <c r="D419" i="5"/>
  <c r="G305" i="23"/>
  <c r="H305" i="23"/>
  <c r="C305" i="23"/>
  <c r="D305" i="23"/>
  <c r="F305" i="23"/>
  <c r="G417" i="7"/>
  <c r="C417" i="7"/>
  <c r="D417" i="7"/>
  <c r="G321" i="14"/>
  <c r="H321" i="14"/>
  <c r="C321" i="14"/>
  <c r="D321" i="14"/>
  <c r="F321" i="14"/>
  <c r="C58" i="49"/>
  <c r="D58" i="49"/>
  <c r="F58" i="49"/>
  <c r="G205" i="28"/>
  <c r="C205" i="28"/>
  <c r="D205" i="28"/>
  <c r="F205" i="28"/>
  <c r="F371" i="25"/>
  <c r="G371" i="25"/>
  <c r="F372" i="25"/>
  <c r="G372" i="25"/>
  <c r="C372" i="25"/>
  <c r="D372" i="25"/>
  <c r="C188" i="33"/>
  <c r="D188" i="33"/>
  <c r="F188" i="33"/>
  <c r="G56" i="50"/>
  <c r="C56" i="50"/>
  <c r="D56" i="50"/>
  <c r="F56" i="50"/>
  <c r="G63" i="48"/>
  <c r="C63" i="48"/>
  <c r="D63" i="48"/>
  <c r="F63" i="48"/>
  <c r="F390" i="11"/>
  <c r="G390" i="11"/>
  <c r="F391" i="11"/>
  <c r="G391" i="11"/>
  <c r="C391" i="11"/>
  <c r="D391" i="11"/>
  <c r="G171" i="38"/>
  <c r="C171" i="38"/>
  <c r="D171" i="38"/>
  <c r="F171" i="38"/>
  <c r="G31" i="51"/>
  <c r="C31" i="51"/>
  <c r="D31" i="51"/>
  <c r="F31" i="51"/>
  <c r="G256" i="18"/>
  <c r="C256" i="18"/>
  <c r="D256" i="18"/>
  <c r="F256" i="18"/>
  <c r="C122" i="40"/>
  <c r="D122" i="40"/>
  <c r="F122" i="40"/>
  <c r="F353" i="12"/>
  <c r="G353" i="12"/>
  <c r="C353" i="12"/>
  <c r="D353" i="12"/>
  <c r="F252" i="19"/>
  <c r="G252" i="19"/>
  <c r="F253" i="19"/>
  <c r="G253" i="19"/>
  <c r="C253" i="19"/>
  <c r="D253" i="19"/>
  <c r="G121" i="41"/>
  <c r="C121" i="41"/>
  <c r="D121" i="41"/>
  <c r="F121" i="41"/>
  <c r="G245" i="20"/>
  <c r="H245" i="20"/>
  <c r="C245" i="20"/>
  <c r="D245" i="20"/>
  <c r="F245" i="20"/>
  <c r="F371" i="24"/>
  <c r="G371" i="24"/>
  <c r="H371" i="24"/>
  <c r="C371" i="24"/>
  <c r="D371" i="24"/>
  <c r="G205" i="29"/>
  <c r="C205" i="29"/>
  <c r="D205" i="29"/>
  <c r="F205" i="29"/>
  <c r="G200" i="32"/>
  <c r="C200" i="32"/>
  <c r="D200" i="32"/>
  <c r="F200" i="32"/>
  <c r="G202" i="30"/>
  <c r="C202" i="30"/>
  <c r="D202" i="30"/>
  <c r="F202" i="30"/>
  <c r="F420" i="4"/>
  <c r="G420" i="4"/>
  <c r="C420" i="4"/>
  <c r="D420" i="4"/>
  <c r="G105" i="46"/>
  <c r="D105" i="46"/>
  <c r="F105" i="46"/>
  <c r="G180" i="35"/>
  <c r="C180" i="35"/>
  <c r="D180" i="35"/>
  <c r="F180" i="35"/>
  <c r="G187" i="33"/>
  <c r="C187" i="33"/>
  <c r="D187" i="33"/>
  <c r="F187" i="33"/>
  <c r="G106" i="47"/>
  <c r="C106" i="47"/>
  <c r="D106" i="47"/>
  <c r="F106" i="47"/>
  <c r="G169" i="37"/>
  <c r="G170" i="37"/>
  <c r="C170" i="37"/>
  <c r="D170" i="37"/>
  <c r="F418" i="5"/>
  <c r="G418" i="5"/>
  <c r="C418" i="5"/>
  <c r="D418" i="5"/>
  <c r="G62" i="48"/>
  <c r="C62" i="48"/>
  <c r="D62" i="48"/>
  <c r="F62" i="48"/>
  <c r="G320" i="14"/>
  <c r="H320" i="14"/>
  <c r="C320" i="14"/>
  <c r="D320" i="14"/>
  <c r="F320" i="14"/>
  <c r="C390" i="11"/>
  <c r="D390" i="11"/>
  <c r="G120" i="41"/>
  <c r="C120" i="41"/>
  <c r="D120" i="41"/>
  <c r="F120" i="41"/>
  <c r="C371" i="25"/>
  <c r="D371" i="25"/>
  <c r="G201" i="30"/>
  <c r="C201" i="30"/>
  <c r="D201" i="30"/>
  <c r="F201" i="30"/>
  <c r="C57" i="49"/>
  <c r="D57" i="49"/>
  <c r="F57" i="49"/>
  <c r="G30" i="51"/>
  <c r="C30" i="51"/>
  <c r="D30" i="51"/>
  <c r="F30" i="51"/>
  <c r="G415" i="7"/>
  <c r="G416" i="7"/>
  <c r="C416" i="7"/>
  <c r="D416" i="7"/>
  <c r="G104" i="46"/>
  <c r="D104" i="46"/>
  <c r="F104" i="46"/>
  <c r="G304" i="23"/>
  <c r="H304" i="23"/>
  <c r="C304" i="23"/>
  <c r="D304" i="23"/>
  <c r="F304" i="23"/>
  <c r="G55" i="50"/>
  <c r="C55" i="50"/>
  <c r="D55" i="50"/>
  <c r="F55" i="50"/>
  <c r="C121" i="40"/>
  <c r="D121" i="40"/>
  <c r="F121" i="40"/>
  <c r="G255" i="18"/>
  <c r="C255" i="18"/>
  <c r="D255" i="18"/>
  <c r="F255" i="18"/>
  <c r="F419" i="4"/>
  <c r="G419" i="4"/>
  <c r="C419" i="4"/>
  <c r="D419" i="4"/>
  <c r="G244" i="20"/>
  <c r="H244" i="20"/>
  <c r="C244" i="20"/>
  <c r="D244" i="20"/>
  <c r="F244" i="20"/>
  <c r="C181" i="45"/>
  <c r="D181" i="45"/>
  <c r="F181" i="45"/>
  <c r="G181" i="45"/>
  <c r="F352" i="12"/>
  <c r="G352" i="12"/>
  <c r="C352" i="12"/>
  <c r="D352" i="12"/>
  <c r="C252" i="19"/>
  <c r="D252" i="19"/>
  <c r="G204" i="28"/>
  <c r="C204" i="28"/>
  <c r="D204" i="28"/>
  <c r="F204" i="28"/>
  <c r="G199" i="32"/>
  <c r="C199" i="32"/>
  <c r="D199" i="32"/>
  <c r="F199" i="32"/>
  <c r="F370" i="24"/>
  <c r="G370" i="24"/>
  <c r="H370" i="24"/>
  <c r="C370" i="24"/>
  <c r="D370" i="24"/>
  <c r="G204" i="29"/>
  <c r="C204" i="29"/>
  <c r="D204" i="29"/>
  <c r="F204" i="29"/>
  <c r="C96" i="46"/>
  <c r="C97" i="46"/>
  <c r="C98" i="46"/>
  <c r="C99" i="46"/>
  <c r="C100" i="46"/>
  <c r="C101" i="46"/>
  <c r="F351" i="12"/>
  <c r="G351" i="12"/>
  <c r="C351" i="12"/>
  <c r="D351" i="12"/>
  <c r="G179" i="35"/>
  <c r="C179" i="35"/>
  <c r="D179" i="35"/>
  <c r="F179" i="35"/>
  <c r="C180" i="45"/>
  <c r="D180" i="45"/>
  <c r="F180" i="45"/>
  <c r="G180" i="45"/>
  <c r="F251" i="19"/>
  <c r="G251" i="19"/>
  <c r="C251" i="19"/>
  <c r="D251" i="19"/>
  <c r="G170" i="38"/>
  <c r="C170" i="38"/>
  <c r="D170" i="38"/>
  <c r="F170" i="38"/>
  <c r="G186" i="33"/>
  <c r="C186" i="33"/>
  <c r="D186" i="33"/>
  <c r="F186" i="33"/>
  <c r="G54" i="50"/>
  <c r="C54" i="50"/>
  <c r="D54" i="50"/>
  <c r="F54" i="50"/>
  <c r="G254" i="18"/>
  <c r="C254" i="18"/>
  <c r="D254" i="18"/>
  <c r="F254" i="18"/>
  <c r="C120" i="40"/>
  <c r="D120" i="40"/>
  <c r="F120" i="40"/>
  <c r="G105" i="47"/>
  <c r="C105" i="47"/>
  <c r="D105" i="47"/>
  <c r="F105" i="47"/>
  <c r="G102" i="46"/>
  <c r="G103" i="46"/>
  <c r="D103" i="46"/>
  <c r="F103" i="46"/>
  <c r="F389" i="11"/>
  <c r="G389" i="11"/>
  <c r="C389" i="11"/>
  <c r="D389" i="11"/>
  <c r="C415" i="7"/>
  <c r="D415" i="7"/>
  <c r="C169" i="37"/>
  <c r="D169" i="37"/>
  <c r="G243" i="20"/>
  <c r="H243" i="20"/>
  <c r="C243" i="20"/>
  <c r="D243" i="20"/>
  <c r="F243" i="20"/>
  <c r="G200" i="30"/>
  <c r="C200" i="30"/>
  <c r="D200" i="30"/>
  <c r="F200" i="30"/>
  <c r="G61" i="48"/>
  <c r="C61" i="48"/>
  <c r="D61" i="48"/>
  <c r="F61" i="48"/>
  <c r="F417" i="5"/>
  <c r="G417" i="5"/>
  <c r="C417" i="5"/>
  <c r="D417" i="5"/>
  <c r="G303" i="23"/>
  <c r="H303" i="23"/>
  <c r="C303" i="23"/>
  <c r="D303" i="23"/>
  <c r="F303" i="23"/>
  <c r="C56" i="49"/>
  <c r="D56" i="49"/>
  <c r="F56" i="49"/>
  <c r="G29" i="51"/>
  <c r="C29" i="51"/>
  <c r="D29" i="51"/>
  <c r="F29" i="51"/>
  <c r="G203" i="29"/>
  <c r="C203" i="29"/>
  <c r="D203" i="29"/>
  <c r="F203" i="29"/>
  <c r="F370" i="25"/>
  <c r="G370" i="25"/>
  <c r="C370" i="25"/>
  <c r="D370" i="25"/>
  <c r="F418" i="4"/>
  <c r="G418" i="4"/>
  <c r="C418" i="4"/>
  <c r="D418" i="4"/>
  <c r="G198" i="32"/>
  <c r="C198" i="32"/>
  <c r="D198" i="32"/>
  <c r="F198" i="32"/>
  <c r="G119" i="41"/>
  <c r="C119" i="41"/>
  <c r="D119" i="41"/>
  <c r="F119" i="41"/>
  <c r="G319" i="14"/>
  <c r="H319" i="14"/>
  <c r="C319" i="14"/>
  <c r="D319" i="14"/>
  <c r="F319" i="14"/>
  <c r="G203" i="28"/>
  <c r="C203" i="28"/>
  <c r="D203" i="28"/>
  <c r="F203" i="28"/>
  <c r="F369" i="24"/>
  <c r="G369" i="24"/>
  <c r="H369" i="24"/>
  <c r="C369" i="24"/>
  <c r="D369" i="24"/>
  <c r="G178" i="35"/>
  <c r="C178" i="35"/>
  <c r="D178" i="35"/>
  <c r="F178" i="35"/>
  <c r="G28" i="51"/>
  <c r="C28" i="51"/>
  <c r="D28" i="51"/>
  <c r="F28" i="51"/>
  <c r="G53" i="50"/>
  <c r="C53" i="50"/>
  <c r="D53" i="50"/>
  <c r="F53" i="50"/>
  <c r="G169" i="38"/>
  <c r="C169" i="38"/>
  <c r="D169" i="38"/>
  <c r="F169" i="38"/>
  <c r="F350" i="12"/>
  <c r="G350" i="12"/>
  <c r="C350" i="12"/>
  <c r="D350" i="12"/>
  <c r="C179" i="45"/>
  <c r="D179" i="45"/>
  <c r="F179" i="45"/>
  <c r="G179" i="45"/>
  <c r="F250" i="19"/>
  <c r="G250" i="19"/>
  <c r="C250" i="19"/>
  <c r="D250" i="19"/>
  <c r="G60" i="48"/>
  <c r="C60" i="48"/>
  <c r="D60" i="48"/>
  <c r="F60" i="48"/>
  <c r="G253" i="18"/>
  <c r="C253" i="18"/>
  <c r="D253" i="18"/>
  <c r="F253" i="18"/>
  <c r="G177" i="35"/>
  <c r="C177" i="35"/>
  <c r="D177" i="35"/>
  <c r="F177" i="35"/>
  <c r="G185" i="33"/>
  <c r="C185" i="33"/>
  <c r="D185" i="33"/>
  <c r="F185" i="33"/>
  <c r="F388" i="11"/>
  <c r="G388" i="11"/>
  <c r="C388" i="11"/>
  <c r="D388" i="11"/>
  <c r="D102" i="46"/>
  <c r="F102" i="46"/>
  <c r="G242" i="20"/>
  <c r="H242" i="20"/>
  <c r="C242" i="20"/>
  <c r="D242" i="20"/>
  <c r="F242" i="20"/>
  <c r="F368" i="24"/>
  <c r="G368" i="24"/>
  <c r="H368" i="24"/>
  <c r="C368" i="24"/>
  <c r="D368" i="24"/>
  <c r="G414" i="7"/>
  <c r="C414" i="7"/>
  <c r="D414" i="7"/>
  <c r="F369" i="25"/>
  <c r="G369" i="25"/>
  <c r="C369" i="25"/>
  <c r="D369" i="25"/>
  <c r="C119" i="40"/>
  <c r="D119" i="40"/>
  <c r="F119" i="40"/>
  <c r="G168" i="37"/>
  <c r="C168" i="37"/>
  <c r="D168" i="37"/>
  <c r="F368" i="25"/>
  <c r="G368" i="25"/>
  <c r="C368" i="25"/>
  <c r="D368" i="25"/>
  <c r="G302" i="23"/>
  <c r="H302" i="23"/>
  <c r="C302" i="23"/>
  <c r="D302" i="23"/>
  <c r="F302" i="23"/>
  <c r="F416" i="5"/>
  <c r="G416" i="5"/>
  <c r="C416" i="5"/>
  <c r="D416" i="5"/>
  <c r="C55" i="49"/>
  <c r="D55" i="49"/>
  <c r="F55" i="49"/>
  <c r="G104" i="47"/>
  <c r="C104" i="47"/>
  <c r="D104" i="47"/>
  <c r="F104" i="47"/>
  <c r="G202" i="28"/>
  <c r="C202" i="28"/>
  <c r="D202" i="28"/>
  <c r="F202" i="28"/>
  <c r="G318" i="14"/>
  <c r="H318" i="14"/>
  <c r="C318" i="14"/>
  <c r="D318" i="14"/>
  <c r="F318" i="14"/>
  <c r="G197" i="32"/>
  <c r="C197" i="32"/>
  <c r="D197" i="32"/>
  <c r="F197" i="32"/>
  <c r="G202" i="29"/>
  <c r="C202" i="29"/>
  <c r="D202" i="29"/>
  <c r="F202" i="29"/>
  <c r="C178" i="45"/>
  <c r="D178" i="45"/>
  <c r="F178" i="45"/>
  <c r="G178" i="45"/>
  <c r="G168" i="38"/>
  <c r="C168" i="38"/>
  <c r="D168" i="38"/>
  <c r="F168" i="38"/>
  <c r="C118" i="40"/>
  <c r="D118" i="40"/>
  <c r="F118" i="40"/>
  <c r="G252" i="18"/>
  <c r="C252" i="18"/>
  <c r="D252" i="18"/>
  <c r="F252" i="18"/>
  <c r="F249" i="19"/>
  <c r="G249" i="19"/>
  <c r="C249" i="19"/>
  <c r="D249" i="19"/>
  <c r="G199" i="30"/>
  <c r="C199" i="30"/>
  <c r="D199" i="30"/>
  <c r="F199" i="30"/>
  <c r="G118" i="41"/>
  <c r="C118" i="41"/>
  <c r="D118" i="41"/>
  <c r="F118" i="41"/>
  <c r="F417" i="4"/>
  <c r="G417" i="4"/>
  <c r="C417" i="4"/>
  <c r="D417" i="4"/>
  <c r="G301" i="23"/>
  <c r="H301" i="23"/>
  <c r="C301" i="23"/>
  <c r="D301" i="23"/>
  <c r="F301" i="23"/>
  <c r="G52" i="50"/>
  <c r="C52" i="50"/>
  <c r="D52" i="50"/>
  <c r="F52" i="50"/>
  <c r="F349" i="12"/>
  <c r="G349" i="12"/>
  <c r="C349" i="12"/>
  <c r="D349" i="12"/>
  <c r="G167" i="37"/>
  <c r="C167" i="37"/>
  <c r="D167" i="37"/>
  <c r="F387" i="11"/>
  <c r="G387" i="11"/>
  <c r="C387" i="11"/>
  <c r="D387" i="11"/>
  <c r="G413" i="7"/>
  <c r="C413" i="7"/>
  <c r="D413" i="7"/>
  <c r="G27" i="51"/>
  <c r="C27" i="51"/>
  <c r="D27" i="51"/>
  <c r="F27" i="51"/>
  <c r="G184" i="33"/>
  <c r="C184" i="33"/>
  <c r="D184" i="33"/>
  <c r="F184" i="33"/>
  <c r="F415" i="5"/>
  <c r="G415" i="5"/>
  <c r="C415" i="5"/>
  <c r="D415" i="5"/>
  <c r="G101" i="46"/>
  <c r="D101" i="46"/>
  <c r="F101" i="46"/>
  <c r="C54" i="49"/>
  <c r="D54" i="49"/>
  <c r="F54" i="49"/>
  <c r="G241" i="20"/>
  <c r="H241" i="20"/>
  <c r="C241" i="20"/>
  <c r="D241" i="20"/>
  <c r="F241" i="20"/>
  <c r="G201" i="29"/>
  <c r="C201" i="29"/>
  <c r="D201" i="29"/>
  <c r="F201" i="29"/>
  <c r="F416" i="4"/>
  <c r="G416" i="4"/>
  <c r="C416" i="4"/>
  <c r="D416" i="4"/>
  <c r="G117" i="41"/>
  <c r="C117" i="41"/>
  <c r="D117" i="41"/>
  <c r="F117" i="41"/>
  <c r="G176" i="35"/>
  <c r="C176" i="35"/>
  <c r="D176" i="35"/>
  <c r="F176" i="35"/>
  <c r="G59" i="48"/>
  <c r="C59" i="48"/>
  <c r="D59" i="48"/>
  <c r="F59" i="48"/>
  <c r="G196" i="32"/>
  <c r="C196" i="32"/>
  <c r="D196" i="32"/>
  <c r="F196" i="32"/>
  <c r="G317" i="14"/>
  <c r="H317" i="14"/>
  <c r="C317" i="14"/>
  <c r="D317" i="14"/>
  <c r="F317" i="14"/>
  <c r="G198" i="30"/>
  <c r="C198" i="30"/>
  <c r="D198" i="30"/>
  <c r="F198" i="30"/>
  <c r="G103" i="47"/>
  <c r="C103" i="47"/>
  <c r="D103" i="47"/>
  <c r="F103" i="47"/>
  <c r="F367" i="24"/>
  <c r="G367" i="24"/>
  <c r="H367" i="24"/>
  <c r="C367" i="24"/>
  <c r="D367" i="24"/>
  <c r="G201" i="28"/>
  <c r="C201" i="28"/>
  <c r="D201" i="28"/>
  <c r="F201" i="28"/>
  <c r="G25" i="51"/>
  <c r="G26" i="51"/>
  <c r="C53" i="49"/>
  <c r="D53" i="49"/>
  <c r="F53" i="49"/>
  <c r="C177" i="45"/>
  <c r="D177" i="45"/>
  <c r="F177" i="45"/>
  <c r="G177" i="45"/>
  <c r="F348" i="12"/>
  <c r="G348" i="12"/>
  <c r="C348" i="12"/>
  <c r="D348" i="12"/>
  <c r="G167" i="38"/>
  <c r="C167" i="38"/>
  <c r="D167" i="38"/>
  <c r="F167" i="38"/>
  <c r="F248" i="19"/>
  <c r="G248" i="19"/>
  <c r="C248" i="19"/>
  <c r="D248" i="19"/>
  <c r="C117" i="40"/>
  <c r="D117" i="40"/>
  <c r="F117" i="40"/>
  <c r="G251" i="18"/>
  <c r="C251" i="18"/>
  <c r="D251" i="18"/>
  <c r="F251" i="18"/>
  <c r="G300" i="23"/>
  <c r="H300" i="23"/>
  <c r="C300" i="23"/>
  <c r="D300" i="23"/>
  <c r="F300" i="23"/>
  <c r="G51" i="50"/>
  <c r="C51" i="50"/>
  <c r="D51" i="50"/>
  <c r="F51" i="50"/>
  <c r="C25" i="51"/>
  <c r="D25" i="51"/>
  <c r="C26" i="51"/>
  <c r="D26" i="51"/>
  <c r="F25" i="51"/>
  <c r="F26" i="51"/>
  <c r="G166" i="37"/>
  <c r="C166" i="37"/>
  <c r="D166" i="37"/>
  <c r="F367" i="25"/>
  <c r="G367" i="25"/>
  <c r="C367" i="25"/>
  <c r="D367" i="25"/>
  <c r="G100" i="46"/>
  <c r="D100" i="46"/>
  <c r="F100" i="46"/>
  <c r="F386" i="11"/>
  <c r="G386" i="11"/>
  <c r="C386" i="11"/>
  <c r="D386" i="11"/>
  <c r="G58" i="48"/>
  <c r="C58" i="48"/>
  <c r="D58" i="48"/>
  <c r="F58" i="48"/>
  <c r="G183" i="33"/>
  <c r="C183" i="33"/>
  <c r="D183" i="33"/>
  <c r="F183" i="33"/>
  <c r="G412" i="7"/>
  <c r="C412" i="7"/>
  <c r="D412" i="7"/>
  <c r="G200" i="29"/>
  <c r="C200" i="29"/>
  <c r="D200" i="29"/>
  <c r="F200" i="29"/>
  <c r="F415" i="4"/>
  <c r="G415" i="4"/>
  <c r="C415" i="4"/>
  <c r="D415" i="4"/>
  <c r="F414" i="5"/>
  <c r="G414" i="5"/>
  <c r="C414" i="5"/>
  <c r="D414" i="5"/>
  <c r="G240" i="20"/>
  <c r="H240" i="20"/>
  <c r="C240" i="20"/>
  <c r="D240" i="20"/>
  <c r="F240" i="20"/>
  <c r="G197" i="30"/>
  <c r="C197" i="30"/>
  <c r="D197" i="30"/>
  <c r="F197" i="30"/>
  <c r="G116" i="41"/>
  <c r="C116" i="41"/>
  <c r="D116" i="41"/>
  <c r="F116" i="41"/>
  <c r="G195" i="32"/>
  <c r="C195" i="32"/>
  <c r="D195" i="32"/>
  <c r="F195" i="32"/>
  <c r="G316" i="14"/>
  <c r="H316" i="14"/>
  <c r="C316" i="14"/>
  <c r="D316" i="14"/>
  <c r="F316" i="14"/>
  <c r="F366" i="24"/>
  <c r="G366" i="24"/>
  <c r="H366" i="24"/>
  <c r="C366" i="24"/>
  <c r="D366" i="24"/>
  <c r="G200" i="28"/>
  <c r="C200" i="28"/>
  <c r="D200" i="28"/>
  <c r="F200" i="28"/>
  <c r="F413" i="4"/>
  <c r="G413" i="4"/>
  <c r="F414" i="4"/>
  <c r="G414" i="4"/>
  <c r="C414" i="4"/>
  <c r="D414" i="4"/>
  <c r="G101" i="47"/>
  <c r="G102" i="47"/>
  <c r="C102" i="47"/>
  <c r="D102" i="47"/>
  <c r="F102" i="47"/>
  <c r="G175" i="35"/>
  <c r="C175" i="35"/>
  <c r="D175" i="35"/>
  <c r="F175" i="35"/>
  <c r="F347" i="12"/>
  <c r="G347" i="12"/>
  <c r="C347" i="12"/>
  <c r="D347" i="12"/>
  <c r="F247" i="19"/>
  <c r="G247" i="19"/>
  <c r="G246" i="19"/>
  <c r="C247" i="19"/>
  <c r="D247" i="19"/>
  <c r="G166" i="38"/>
  <c r="C166" i="38"/>
  <c r="D166" i="38"/>
  <c r="F166" i="38"/>
  <c r="C176" i="45"/>
  <c r="D176" i="45"/>
  <c r="F176" i="45"/>
  <c r="G176" i="45"/>
  <c r="G164" i="37"/>
  <c r="G165" i="37"/>
  <c r="G99" i="46"/>
  <c r="D99" i="46"/>
  <c r="F99" i="46"/>
  <c r="F413" i="5"/>
  <c r="G413" i="5"/>
  <c r="C413" i="5"/>
  <c r="D413" i="5"/>
  <c r="F385" i="11"/>
  <c r="G385" i="11"/>
  <c r="C385" i="11"/>
  <c r="D385" i="11"/>
  <c r="G194" i="32"/>
  <c r="C194" i="32"/>
  <c r="D194" i="32"/>
  <c r="F194" i="32"/>
  <c r="G315" i="14"/>
  <c r="H315" i="14"/>
  <c r="C315" i="14"/>
  <c r="D315" i="14"/>
  <c r="F315" i="14"/>
  <c r="G199" i="28"/>
  <c r="C199" i="28"/>
  <c r="D199" i="28"/>
  <c r="F199" i="28"/>
  <c r="G199" i="29"/>
  <c r="C199" i="29"/>
  <c r="D199" i="29"/>
  <c r="F199" i="29"/>
  <c r="F365" i="24"/>
  <c r="G365" i="24"/>
  <c r="H365" i="24"/>
  <c r="C365" i="24"/>
  <c r="D365" i="24"/>
  <c r="G239" i="20"/>
  <c r="H239" i="20"/>
  <c r="C239" i="20"/>
  <c r="D239" i="20"/>
  <c r="F239" i="20"/>
  <c r="G115" i="41"/>
  <c r="C115" i="41"/>
  <c r="D115" i="41"/>
  <c r="F115" i="41"/>
  <c r="G182" i="33"/>
  <c r="C182" i="33"/>
  <c r="D182" i="33"/>
  <c r="F182" i="33"/>
  <c r="G196" i="30"/>
  <c r="C196" i="30"/>
  <c r="D196" i="30"/>
  <c r="F196" i="30"/>
  <c r="C52" i="49"/>
  <c r="D52" i="49"/>
  <c r="F52" i="49"/>
  <c r="G299" i="23"/>
  <c r="H299" i="23"/>
  <c r="C299" i="23"/>
  <c r="D299" i="23"/>
  <c r="F299" i="23"/>
  <c r="G174" i="35"/>
  <c r="C174" i="35"/>
  <c r="D174" i="35"/>
  <c r="F174" i="35"/>
  <c r="G410" i="7"/>
  <c r="G411" i="7"/>
  <c r="C411" i="7"/>
  <c r="D411" i="7"/>
  <c r="C165" i="37"/>
  <c r="D165" i="37"/>
  <c r="C164" i="37"/>
  <c r="D164" i="37"/>
  <c r="F365" i="25"/>
  <c r="G365" i="25"/>
  <c r="F366" i="25"/>
  <c r="G366" i="25"/>
  <c r="C366" i="25"/>
  <c r="D366" i="25"/>
  <c r="C365" i="25"/>
  <c r="D365" i="25"/>
  <c r="C101" i="47"/>
  <c r="D101" i="47"/>
  <c r="F101" i="47"/>
  <c r="C116" i="40"/>
  <c r="D116" i="40"/>
  <c r="F116" i="40"/>
  <c r="G57" i="48"/>
  <c r="C57" i="48"/>
  <c r="D57" i="48"/>
  <c r="F57" i="48"/>
  <c r="G250" i="18"/>
  <c r="C250" i="18"/>
  <c r="D250" i="18"/>
  <c r="F250" i="18"/>
  <c r="G50" i="50"/>
  <c r="C50" i="50"/>
  <c r="D50" i="50"/>
  <c r="F50" i="50"/>
  <c r="G249" i="18"/>
  <c r="C249" i="18"/>
  <c r="D249" i="18"/>
  <c r="F249" i="18"/>
  <c r="G98" i="46"/>
  <c r="D98" i="46"/>
  <c r="F98" i="46"/>
  <c r="F384" i="11"/>
  <c r="G384" i="11"/>
  <c r="C384" i="11"/>
  <c r="D384" i="11"/>
  <c r="C410" i="7"/>
  <c r="D410" i="7"/>
  <c r="G298" i="23"/>
  <c r="H298" i="23"/>
  <c r="C298" i="23"/>
  <c r="D298" i="23"/>
  <c r="F298" i="23"/>
  <c r="G56" i="48"/>
  <c r="C56" i="48"/>
  <c r="D56" i="48"/>
  <c r="F56" i="48"/>
  <c r="G181" i="33"/>
  <c r="C181" i="33"/>
  <c r="D181" i="33"/>
  <c r="F181" i="33"/>
  <c r="C115" i="40"/>
  <c r="D115" i="40"/>
  <c r="F115" i="40"/>
  <c r="F412" i="4"/>
  <c r="G412" i="4"/>
  <c r="C412" i="4"/>
  <c r="D412" i="4"/>
  <c r="C413" i="4"/>
  <c r="D413" i="4"/>
  <c r="G238" i="20"/>
  <c r="H238" i="20"/>
  <c r="C238" i="20"/>
  <c r="D238" i="20"/>
  <c r="F238" i="20"/>
  <c r="G237" i="20"/>
  <c r="H237" i="20"/>
  <c r="C237" i="20"/>
  <c r="D237" i="20"/>
  <c r="F237" i="20"/>
  <c r="G49" i="50"/>
  <c r="C49" i="50"/>
  <c r="D49" i="50"/>
  <c r="F49" i="50"/>
  <c r="G195" i="30"/>
  <c r="C195" i="30"/>
  <c r="D195" i="30"/>
  <c r="F195" i="30"/>
  <c r="C175" i="45"/>
  <c r="D175" i="45"/>
  <c r="F175" i="45"/>
  <c r="G175" i="45"/>
  <c r="F346" i="12"/>
  <c r="G346" i="12"/>
  <c r="C346" i="12"/>
  <c r="D346" i="12"/>
  <c r="G165" i="38"/>
  <c r="C165" i="38"/>
  <c r="D165" i="38"/>
  <c r="F165" i="38"/>
  <c r="F246" i="19"/>
  <c r="C246" i="19"/>
  <c r="D246" i="19"/>
  <c r="F412" i="5"/>
  <c r="G412" i="5"/>
  <c r="C412" i="5"/>
  <c r="D412" i="5"/>
  <c r="C174" i="45"/>
  <c r="D174" i="45"/>
  <c r="F174" i="45"/>
  <c r="G174" i="45"/>
  <c r="F383" i="11"/>
  <c r="G383" i="11"/>
  <c r="C383" i="11"/>
  <c r="D383" i="11"/>
  <c r="G297" i="23"/>
  <c r="H297" i="23"/>
  <c r="C297" i="23"/>
  <c r="D297" i="23"/>
  <c r="F297" i="23"/>
  <c r="F411" i="5"/>
  <c r="G411" i="5"/>
  <c r="C411" i="5"/>
  <c r="D411" i="5"/>
  <c r="G24" i="51"/>
  <c r="F24" i="51"/>
  <c r="C24" i="51"/>
  <c r="D24" i="51"/>
  <c r="G23" i="51"/>
  <c r="F23" i="51"/>
  <c r="C23" i="51"/>
  <c r="D23" i="51"/>
  <c r="G22" i="51"/>
  <c r="F22" i="51"/>
  <c r="C22" i="51"/>
  <c r="D22" i="51"/>
  <c r="F21" i="51"/>
  <c r="C21" i="51"/>
  <c r="B8" i="51"/>
  <c r="G4" i="51"/>
  <c r="G198" i="29"/>
  <c r="G409" i="7"/>
  <c r="C409" i="7"/>
  <c r="D409" i="7"/>
  <c r="G163" i="37"/>
  <c r="C163" i="37"/>
  <c r="D163" i="37"/>
  <c r="G48" i="50"/>
  <c r="C48" i="50"/>
  <c r="D48" i="50"/>
  <c r="F48" i="50"/>
  <c r="G194" i="30"/>
  <c r="C194" i="30"/>
  <c r="D194" i="30"/>
  <c r="F194" i="30"/>
  <c r="C198" i="29"/>
  <c r="D198" i="29"/>
  <c r="F198" i="29"/>
  <c r="G100" i="47"/>
  <c r="C100" i="47"/>
  <c r="D100" i="47"/>
  <c r="F100" i="47"/>
  <c r="C114" i="40"/>
  <c r="D114" i="40"/>
  <c r="F114" i="40"/>
  <c r="G197" i="28"/>
  <c r="G198" i="28"/>
  <c r="G55" i="48"/>
  <c r="C55" i="48"/>
  <c r="D55" i="48"/>
  <c r="F55" i="48"/>
  <c r="G180" i="33"/>
  <c r="C180" i="33"/>
  <c r="D180" i="33"/>
  <c r="F180" i="33"/>
  <c r="G97" i="46"/>
  <c r="D97" i="46"/>
  <c r="F97" i="46"/>
  <c r="F364" i="25"/>
  <c r="G364" i="25"/>
  <c r="C364" i="25"/>
  <c r="D364" i="25"/>
  <c r="G248" i="18"/>
  <c r="C248" i="18"/>
  <c r="D248" i="18"/>
  <c r="F248" i="18"/>
  <c r="G173" i="35"/>
  <c r="C173" i="35"/>
  <c r="D173" i="35"/>
  <c r="F173" i="35"/>
  <c r="F345" i="12"/>
  <c r="G345" i="12"/>
  <c r="C345" i="12"/>
  <c r="D345" i="12"/>
  <c r="G164" i="38"/>
  <c r="C164" i="38"/>
  <c r="D164" i="38"/>
  <c r="F164" i="38"/>
  <c r="F244" i="19"/>
  <c r="G244" i="19"/>
  <c r="F245" i="19"/>
  <c r="G245" i="19"/>
  <c r="C245" i="19"/>
  <c r="D245" i="19"/>
  <c r="C197" i="28"/>
  <c r="D197" i="28"/>
  <c r="C198" i="28"/>
  <c r="D198" i="28"/>
  <c r="F197" i="28"/>
  <c r="F198" i="28"/>
  <c r="G114" i="41"/>
  <c r="C114" i="41"/>
  <c r="D114" i="41"/>
  <c r="F114" i="41"/>
  <c r="G197" i="29"/>
  <c r="C197" i="29"/>
  <c r="D197" i="29"/>
  <c r="F197" i="29"/>
  <c r="G99" i="47"/>
  <c r="C99" i="47"/>
  <c r="D99" i="47"/>
  <c r="F99" i="47"/>
  <c r="G193" i="32"/>
  <c r="C193" i="32"/>
  <c r="D193" i="32"/>
  <c r="F193" i="32"/>
  <c r="C51" i="49"/>
  <c r="D51" i="49"/>
  <c r="F51" i="49"/>
  <c r="G314" i="14"/>
  <c r="H314" i="14"/>
  <c r="C314" i="14"/>
  <c r="D314" i="14"/>
  <c r="F314" i="14"/>
  <c r="F364" i="24"/>
  <c r="G364" i="24"/>
  <c r="H364" i="24"/>
  <c r="C364" i="24"/>
  <c r="D364" i="24"/>
  <c r="C50" i="49"/>
  <c r="D50" i="49"/>
  <c r="F50" i="49"/>
  <c r="E10" i="51"/>
  <c r="E11" i="51"/>
  <c r="C15" i="51"/>
  <c r="B4" i="51"/>
  <c r="B2" i="51"/>
  <c r="B9" i="51"/>
  <c r="B10" i="51"/>
  <c r="D21" i="51"/>
  <c r="E9" i="51"/>
  <c r="B3" i="51"/>
  <c r="G113" i="41"/>
  <c r="C113" i="41"/>
  <c r="D113" i="41"/>
  <c r="F113" i="41"/>
  <c r="G313" i="14"/>
  <c r="H313" i="14"/>
  <c r="C313" i="14"/>
  <c r="D313" i="14"/>
  <c r="F313" i="14"/>
  <c r="G192" i="32"/>
  <c r="C192" i="32"/>
  <c r="D192" i="32"/>
  <c r="F192" i="32"/>
  <c r="B15" i="51"/>
  <c r="B11" i="51"/>
  <c r="B12" i="51"/>
  <c r="E3" i="51"/>
  <c r="E15" i="51"/>
  <c r="E5" i="51"/>
  <c r="B5" i="51"/>
  <c r="A15" i="51"/>
  <c r="F363" i="24"/>
  <c r="G363" i="24"/>
  <c r="H363" i="24"/>
  <c r="C363" i="24"/>
  <c r="D363" i="24"/>
  <c r="G172" i="35"/>
  <c r="C172" i="35"/>
  <c r="D172" i="35"/>
  <c r="F172" i="35"/>
  <c r="G47" i="50"/>
  <c r="C47" i="50"/>
  <c r="D47" i="50"/>
  <c r="F47" i="50"/>
  <c r="G96" i="46"/>
  <c r="D96" i="46"/>
  <c r="F96" i="46"/>
  <c r="G296" i="23"/>
  <c r="H296" i="23"/>
  <c r="C296" i="23"/>
  <c r="D296" i="23"/>
  <c r="F296" i="23"/>
  <c r="C173" i="45"/>
  <c r="D173" i="45"/>
  <c r="F173" i="45"/>
  <c r="G173" i="45"/>
  <c r="G163" i="38"/>
  <c r="C163" i="38"/>
  <c r="D163" i="38"/>
  <c r="F163" i="38"/>
  <c r="C244" i="19"/>
  <c r="D244" i="19"/>
  <c r="G179" i="33"/>
  <c r="C179" i="33"/>
  <c r="D179" i="33"/>
  <c r="F179" i="33"/>
  <c r="G247" i="18"/>
  <c r="C247" i="18"/>
  <c r="D247" i="18"/>
  <c r="F247" i="18"/>
  <c r="G171" i="35"/>
  <c r="C171" i="35"/>
  <c r="D171" i="35"/>
  <c r="F171" i="35"/>
  <c r="C113" i="40"/>
  <c r="D113" i="40"/>
  <c r="F113" i="40"/>
  <c r="F344" i="12"/>
  <c r="G344" i="12"/>
  <c r="C344" i="12"/>
  <c r="D344" i="12"/>
  <c r="G295" i="23"/>
  <c r="H295" i="23"/>
  <c r="C295" i="23"/>
  <c r="D295" i="23"/>
  <c r="F295" i="23"/>
  <c r="G54" i="48"/>
  <c r="C54" i="48"/>
  <c r="D54" i="48"/>
  <c r="F54" i="48"/>
  <c r="F342" i="12"/>
  <c r="G342" i="12"/>
  <c r="F343" i="12"/>
  <c r="G343" i="12"/>
  <c r="C343" i="12"/>
  <c r="D343" i="12"/>
  <c r="F382" i="11"/>
  <c r="G382" i="11"/>
  <c r="C382" i="11"/>
  <c r="D382" i="11"/>
  <c r="G408" i="7"/>
  <c r="C408" i="7"/>
  <c r="D408" i="7"/>
  <c r="F410" i="5"/>
  <c r="G410" i="5"/>
  <c r="C410" i="5"/>
  <c r="D410" i="5"/>
  <c r="G162" i="37"/>
  <c r="C162" i="37"/>
  <c r="D162" i="37"/>
  <c r="C49" i="49"/>
  <c r="D49" i="49"/>
  <c r="F49" i="49"/>
  <c r="F411" i="4"/>
  <c r="G411" i="4"/>
  <c r="C411" i="4"/>
  <c r="D411" i="4"/>
  <c r="G112" i="41"/>
  <c r="C112" i="41"/>
  <c r="D112" i="41"/>
  <c r="F112" i="41"/>
  <c r="G236" i="20"/>
  <c r="H236" i="20"/>
  <c r="C236" i="20"/>
  <c r="D236" i="20"/>
  <c r="F236" i="20"/>
  <c r="F363" i="25"/>
  <c r="G363" i="25"/>
  <c r="C363" i="25"/>
  <c r="D363" i="25"/>
  <c r="G312" i="14"/>
  <c r="H312" i="14"/>
  <c r="C312" i="14"/>
  <c r="D312" i="14"/>
  <c r="F312" i="14"/>
  <c r="G196" i="29"/>
  <c r="C196" i="29"/>
  <c r="D196" i="29"/>
  <c r="F196" i="29"/>
  <c r="G191" i="32"/>
  <c r="C191" i="32"/>
  <c r="D191" i="32"/>
  <c r="F191" i="32"/>
  <c r="G193" i="30"/>
  <c r="C193" i="30"/>
  <c r="D193" i="30"/>
  <c r="F193" i="30"/>
  <c r="F362" i="24"/>
  <c r="G362" i="24"/>
  <c r="H362" i="24"/>
  <c r="C362" i="24"/>
  <c r="D362" i="24"/>
  <c r="G196" i="28"/>
  <c r="C196" i="28"/>
  <c r="D196" i="28"/>
  <c r="F196" i="28"/>
  <c r="G98" i="47"/>
  <c r="C98" i="47"/>
  <c r="D98" i="47"/>
  <c r="F98" i="47"/>
  <c r="C172" i="45"/>
  <c r="D172" i="45"/>
  <c r="F172" i="45"/>
  <c r="G172" i="45"/>
  <c r="G52" i="48"/>
  <c r="G53" i="48"/>
  <c r="C53" i="48"/>
  <c r="D53" i="48"/>
  <c r="F53" i="48"/>
  <c r="G192" i="30"/>
  <c r="C192" i="30"/>
  <c r="D192" i="30"/>
  <c r="F192" i="30"/>
  <c r="G170" i="35"/>
  <c r="G169" i="35"/>
  <c r="C169" i="35"/>
  <c r="D169" i="35"/>
  <c r="C170" i="35"/>
  <c r="D170" i="35"/>
  <c r="F169" i="35"/>
  <c r="F170" i="35"/>
  <c r="F243" i="19"/>
  <c r="G243" i="19"/>
  <c r="C243" i="19"/>
  <c r="D243" i="19"/>
  <c r="G162" i="38"/>
  <c r="C162" i="38"/>
  <c r="D162" i="38"/>
  <c r="F162" i="38"/>
  <c r="G195" i="28"/>
  <c r="C195" i="28"/>
  <c r="D195" i="28"/>
  <c r="F195" i="28"/>
  <c r="F410" i="4"/>
  <c r="G410" i="4"/>
  <c r="C410" i="4"/>
  <c r="D410" i="4"/>
  <c r="G324" i="13"/>
  <c r="G325" i="13"/>
  <c r="C325" i="13"/>
  <c r="D325" i="13"/>
  <c r="F325" i="13"/>
  <c r="G161" i="37"/>
  <c r="C161" i="37"/>
  <c r="D161" i="37"/>
  <c r="G178" i="33"/>
  <c r="C178" i="33"/>
  <c r="D178" i="33"/>
  <c r="F178" i="33"/>
  <c r="C94" i="46"/>
  <c r="C95" i="46"/>
  <c r="D95" i="46"/>
  <c r="G95" i="46"/>
  <c r="F95" i="46"/>
  <c r="F408" i="5"/>
  <c r="G408" i="5"/>
  <c r="F409" i="5"/>
  <c r="G409" i="5"/>
  <c r="C409" i="5"/>
  <c r="D409" i="5"/>
  <c r="C408" i="5"/>
  <c r="D408" i="5"/>
  <c r="F362" i="25"/>
  <c r="G362" i="25"/>
  <c r="C362" i="25"/>
  <c r="D362" i="25"/>
  <c r="G235" i="20"/>
  <c r="H235" i="20"/>
  <c r="C235" i="20"/>
  <c r="D235" i="20"/>
  <c r="F235" i="20"/>
  <c r="F381" i="11"/>
  <c r="G381" i="11"/>
  <c r="C381" i="11"/>
  <c r="D381" i="11"/>
  <c r="G97" i="47"/>
  <c r="C97" i="47"/>
  <c r="D97" i="47"/>
  <c r="F97" i="47"/>
  <c r="G311" i="14"/>
  <c r="H311" i="14"/>
  <c r="C311" i="14"/>
  <c r="D311" i="14"/>
  <c r="F311" i="14"/>
  <c r="G195" i="29"/>
  <c r="C195" i="29"/>
  <c r="D195" i="29"/>
  <c r="F195" i="29"/>
  <c r="G190" i="32"/>
  <c r="C190" i="32"/>
  <c r="D190" i="32"/>
  <c r="F190" i="32"/>
  <c r="G161" i="38"/>
  <c r="C161" i="38"/>
  <c r="D161" i="38"/>
  <c r="F161" i="38"/>
  <c r="C342" i="12"/>
  <c r="D342" i="12"/>
  <c r="C171" i="45"/>
  <c r="D171" i="45"/>
  <c r="F171" i="45"/>
  <c r="G171" i="45"/>
  <c r="F361" i="24"/>
  <c r="G361" i="24"/>
  <c r="H361" i="24"/>
  <c r="C361" i="24"/>
  <c r="D361" i="24"/>
  <c r="C112" i="40"/>
  <c r="D112" i="40"/>
  <c r="F112" i="40"/>
  <c r="G177" i="33"/>
  <c r="C177" i="33"/>
  <c r="D177" i="33"/>
  <c r="F177" i="33"/>
  <c r="G404" i="7"/>
  <c r="G405" i="7"/>
  <c r="G406" i="7"/>
  <c r="G407" i="7"/>
  <c r="F360" i="24"/>
  <c r="G360" i="24"/>
  <c r="H360" i="24"/>
  <c r="C360" i="24"/>
  <c r="D360" i="24"/>
  <c r="F242" i="19"/>
  <c r="G242" i="19"/>
  <c r="C242" i="19"/>
  <c r="D242" i="19"/>
  <c r="G111" i="41"/>
  <c r="C111" i="41"/>
  <c r="D111" i="41"/>
  <c r="F111" i="41"/>
  <c r="G246" i="18"/>
  <c r="C246" i="18"/>
  <c r="D246" i="18"/>
  <c r="F246" i="18"/>
  <c r="C406" i="7"/>
  <c r="D406" i="7"/>
  <c r="C407" i="7"/>
  <c r="D407" i="7"/>
  <c r="G245" i="18"/>
  <c r="C245" i="18"/>
  <c r="D245" i="18"/>
  <c r="F245" i="18"/>
  <c r="C48" i="49"/>
  <c r="D48" i="49"/>
  <c r="F48" i="49"/>
  <c r="G46" i="50"/>
  <c r="C46" i="50"/>
  <c r="D46" i="50"/>
  <c r="F46" i="50"/>
  <c r="F361" i="25"/>
  <c r="G361" i="25"/>
  <c r="C361" i="25"/>
  <c r="D361" i="25"/>
  <c r="G194" i="28"/>
  <c r="C194" i="28"/>
  <c r="D194" i="28"/>
  <c r="F194" i="28"/>
  <c r="C111" i="40"/>
  <c r="D111" i="40"/>
  <c r="F111" i="40"/>
  <c r="C324" i="13"/>
  <c r="D324" i="13"/>
  <c r="F324" i="13"/>
  <c r="G45" i="50"/>
  <c r="C45" i="50"/>
  <c r="D45" i="50"/>
  <c r="F45" i="50"/>
  <c r="G294" i="23"/>
  <c r="H294" i="23"/>
  <c r="C294" i="23"/>
  <c r="D294" i="23"/>
  <c r="F294" i="23"/>
  <c r="F379" i="11"/>
  <c r="G379" i="11"/>
  <c r="F380" i="11"/>
  <c r="G380" i="11"/>
  <c r="C380" i="11"/>
  <c r="D380" i="11"/>
  <c r="C379" i="11"/>
  <c r="D379" i="11"/>
  <c r="G160" i="37"/>
  <c r="C160" i="37"/>
  <c r="D160" i="37"/>
  <c r="G234" i="20"/>
  <c r="H234" i="20"/>
  <c r="C234" i="20"/>
  <c r="D234" i="20"/>
  <c r="F234" i="20"/>
  <c r="G191" i="30"/>
  <c r="C191" i="30"/>
  <c r="D191" i="30"/>
  <c r="F191" i="30"/>
  <c r="G309" i="14"/>
  <c r="H309" i="14"/>
  <c r="G310" i="14"/>
  <c r="H310" i="14"/>
  <c r="C310" i="14"/>
  <c r="D310" i="14"/>
  <c r="F310" i="14"/>
  <c r="C52" i="48"/>
  <c r="D52" i="48"/>
  <c r="F52" i="48"/>
  <c r="F409" i="4"/>
  <c r="G409" i="4"/>
  <c r="C409" i="4"/>
  <c r="D409" i="4"/>
  <c r="G110" i="41"/>
  <c r="C110" i="41"/>
  <c r="D110" i="41"/>
  <c r="F110" i="41"/>
  <c r="C47" i="49"/>
  <c r="D47" i="49"/>
  <c r="F47" i="49"/>
  <c r="G194" i="29"/>
  <c r="C194" i="29"/>
  <c r="D194" i="29"/>
  <c r="F194" i="29"/>
  <c r="G189" i="32"/>
  <c r="C189" i="32"/>
  <c r="D189" i="32"/>
  <c r="F189" i="32"/>
  <c r="G42" i="46"/>
  <c r="G43" i="46"/>
  <c r="G44" i="46"/>
  <c r="G45" i="46"/>
  <c r="G46" i="46"/>
  <c r="G47" i="46"/>
  <c r="G48" i="46"/>
  <c r="G49" i="46"/>
  <c r="G50" i="46"/>
  <c r="G51" i="46"/>
  <c r="G52" i="46"/>
  <c r="G53" i="46"/>
  <c r="G54" i="46"/>
  <c r="G55" i="46"/>
  <c r="G56" i="46"/>
  <c r="G57" i="46"/>
  <c r="G58" i="46"/>
  <c r="G59" i="46"/>
  <c r="G60" i="46"/>
  <c r="G61" i="46"/>
  <c r="G62" i="46"/>
  <c r="G63" i="46"/>
  <c r="G64" i="46"/>
  <c r="G65" i="46"/>
  <c r="G66" i="46"/>
  <c r="G67" i="46"/>
  <c r="G68" i="46"/>
  <c r="G69" i="46"/>
  <c r="G70" i="46"/>
  <c r="G71" i="46"/>
  <c r="G72" i="46"/>
  <c r="G73" i="46"/>
  <c r="G74" i="46"/>
  <c r="G75" i="46"/>
  <c r="G76" i="46"/>
  <c r="G77" i="46"/>
  <c r="G78" i="46"/>
  <c r="G79" i="46"/>
  <c r="G80" i="46"/>
  <c r="G81" i="46"/>
  <c r="G82" i="46"/>
  <c r="G83" i="46"/>
  <c r="G84" i="46"/>
  <c r="G85" i="46"/>
  <c r="G86" i="46"/>
  <c r="G87" i="46"/>
  <c r="G88" i="46"/>
  <c r="G89" i="46"/>
  <c r="G90" i="46"/>
  <c r="G91" i="46"/>
  <c r="G92" i="46"/>
  <c r="G93" i="46"/>
  <c r="G94" i="46"/>
  <c r="G41" i="46"/>
  <c r="C23" i="46"/>
  <c r="C24" i="46"/>
  <c r="C25" i="46"/>
  <c r="C26" i="46"/>
  <c r="C27" i="46"/>
  <c r="C28" i="46"/>
  <c r="C29" i="46"/>
  <c r="C30" i="46"/>
  <c r="C31" i="46"/>
  <c r="C32" i="46"/>
  <c r="C33" i="46"/>
  <c r="C34" i="46"/>
  <c r="C35" i="46"/>
  <c r="C36" i="46"/>
  <c r="C37" i="46"/>
  <c r="C38" i="46"/>
  <c r="C39" i="46"/>
  <c r="C40" i="46"/>
  <c r="C41" i="46"/>
  <c r="C42" i="46"/>
  <c r="C43" i="46"/>
  <c r="C44" i="46"/>
  <c r="C45" i="46"/>
  <c r="C46" i="46"/>
  <c r="C47" i="46"/>
  <c r="C48" i="46"/>
  <c r="C49" i="46"/>
  <c r="C50" i="46"/>
  <c r="C51" i="46"/>
  <c r="C52" i="46"/>
  <c r="C53" i="46"/>
  <c r="C54" i="46"/>
  <c r="C55" i="46"/>
  <c r="C56" i="46"/>
  <c r="C57" i="46"/>
  <c r="C58" i="46"/>
  <c r="C59" i="46"/>
  <c r="C60" i="46"/>
  <c r="C61" i="46"/>
  <c r="C62" i="46"/>
  <c r="C63" i="46"/>
  <c r="C64" i="46"/>
  <c r="C65" i="46"/>
  <c r="C66" i="46"/>
  <c r="C67" i="46"/>
  <c r="C68" i="46"/>
  <c r="C69" i="46"/>
  <c r="C70" i="46"/>
  <c r="C71" i="46"/>
  <c r="C72" i="46"/>
  <c r="C73" i="46"/>
  <c r="C74" i="46"/>
  <c r="C75" i="46"/>
  <c r="C76" i="46"/>
  <c r="C77" i="46"/>
  <c r="C78" i="46"/>
  <c r="C79" i="46"/>
  <c r="C80" i="46"/>
  <c r="C81" i="46"/>
  <c r="C82" i="46"/>
  <c r="C83" i="46"/>
  <c r="C84" i="46"/>
  <c r="C85" i="46"/>
  <c r="C86" i="46"/>
  <c r="C87" i="46"/>
  <c r="C88" i="46"/>
  <c r="C89" i="46"/>
  <c r="C90" i="46"/>
  <c r="C91" i="46"/>
  <c r="C92" i="46"/>
  <c r="C93" i="46"/>
  <c r="C22" i="46"/>
  <c r="C21" i="46"/>
  <c r="D21" i="46"/>
  <c r="F21" i="46"/>
  <c r="D94" i="46"/>
  <c r="F94" i="46"/>
  <c r="G96" i="47"/>
  <c r="C96" i="47"/>
  <c r="D96" i="47"/>
  <c r="F96" i="47"/>
  <c r="C170" i="45"/>
  <c r="D170" i="45"/>
  <c r="F170" i="45"/>
  <c r="G170" i="45"/>
  <c r="G160" i="38"/>
  <c r="C160" i="38"/>
  <c r="D160" i="38"/>
  <c r="F160" i="38"/>
  <c r="F241" i="19"/>
  <c r="G241" i="19"/>
  <c r="G244" i="18"/>
  <c r="C244" i="18"/>
  <c r="D244" i="18"/>
  <c r="F244" i="18"/>
  <c r="F341" i="12"/>
  <c r="G341" i="12"/>
  <c r="C341" i="12"/>
  <c r="D341" i="12"/>
  <c r="G176" i="33"/>
  <c r="C176" i="33"/>
  <c r="D176" i="33"/>
  <c r="F176" i="33"/>
  <c r="G193" i="28"/>
  <c r="C193" i="28"/>
  <c r="D193" i="28"/>
  <c r="F193" i="28"/>
  <c r="G233" i="20"/>
  <c r="H233" i="20"/>
  <c r="C233" i="20"/>
  <c r="D233" i="20"/>
  <c r="F233" i="20"/>
  <c r="F360" i="25"/>
  <c r="G360" i="25"/>
  <c r="C360" i="25"/>
  <c r="D360" i="25"/>
  <c r="C241" i="19"/>
  <c r="D241" i="19"/>
  <c r="F408" i="4"/>
  <c r="G408" i="4"/>
  <c r="C408" i="4"/>
  <c r="D408" i="4"/>
  <c r="G323" i="13"/>
  <c r="C323" i="13"/>
  <c r="D323" i="13"/>
  <c r="F323" i="13"/>
  <c r="G44" i="50"/>
  <c r="C44" i="50"/>
  <c r="D44" i="50"/>
  <c r="F44" i="50"/>
  <c r="G159" i="38"/>
  <c r="C159" i="38"/>
  <c r="D159" i="38"/>
  <c r="F159" i="38"/>
  <c r="G159" i="37"/>
  <c r="C159" i="37"/>
  <c r="D159" i="37"/>
  <c r="C405" i="7"/>
  <c r="D405" i="7"/>
  <c r="G293" i="23"/>
  <c r="H293" i="23"/>
  <c r="C293" i="23"/>
  <c r="D293" i="23"/>
  <c r="F293" i="23"/>
  <c r="G51" i="48"/>
  <c r="C51" i="48"/>
  <c r="D51" i="48"/>
  <c r="F51" i="48"/>
  <c r="F407" i="5"/>
  <c r="G407" i="5"/>
  <c r="C110" i="40"/>
  <c r="D110" i="40"/>
  <c r="F110" i="40"/>
  <c r="G190" i="30"/>
  <c r="C190" i="30"/>
  <c r="D190" i="30"/>
  <c r="F190" i="30"/>
  <c r="G188" i="32"/>
  <c r="G109" i="41"/>
  <c r="C46" i="49"/>
  <c r="D46" i="49"/>
  <c r="F46" i="49"/>
  <c r="F359" i="24"/>
  <c r="G359" i="24"/>
  <c r="H359" i="24"/>
  <c r="C359" i="24"/>
  <c r="D359" i="24"/>
  <c r="G193" i="29"/>
  <c r="C193" i="29"/>
  <c r="D193" i="29"/>
  <c r="F193" i="29"/>
  <c r="C309" i="14"/>
  <c r="D309" i="14"/>
  <c r="F309" i="14"/>
  <c r="G95" i="47"/>
  <c r="C95" i="47"/>
  <c r="D95" i="47"/>
  <c r="F95" i="47"/>
  <c r="G168" i="35"/>
  <c r="C168" i="35"/>
  <c r="D168" i="35"/>
  <c r="F168" i="35"/>
  <c r="C109" i="40"/>
  <c r="D109" i="40"/>
  <c r="F109" i="40"/>
  <c r="F377" i="11"/>
  <c r="G377" i="11"/>
  <c r="F378" i="11"/>
  <c r="G378" i="11"/>
  <c r="G175" i="33"/>
  <c r="G50" i="48"/>
  <c r="F357" i="24"/>
  <c r="G357" i="24"/>
  <c r="H357" i="24"/>
  <c r="F358" i="24"/>
  <c r="G358" i="24"/>
  <c r="H358" i="24"/>
  <c r="G243" i="18"/>
  <c r="F407" i="4"/>
  <c r="G407" i="4"/>
  <c r="G43" i="50"/>
  <c r="C169" i="45"/>
  <c r="D169" i="45"/>
  <c r="F169" i="45"/>
  <c r="G169" i="45"/>
  <c r="F340" i="12"/>
  <c r="G340" i="12"/>
  <c r="F240" i="19"/>
  <c r="G240" i="19"/>
  <c r="G292" i="23"/>
  <c r="H292" i="23"/>
  <c r="F359" i="25"/>
  <c r="G359" i="25"/>
  <c r="G192" i="28"/>
  <c r="G322" i="13"/>
  <c r="G158" i="37"/>
  <c r="F406" i="5"/>
  <c r="G406" i="5"/>
  <c r="G192" i="29"/>
  <c r="G308" i="14"/>
  <c r="H308" i="14"/>
  <c r="G189" i="30"/>
  <c r="C42" i="48"/>
  <c r="D42" i="48"/>
  <c r="F42" i="48"/>
  <c r="G42" i="48"/>
  <c r="C43" i="48"/>
  <c r="D43" i="48"/>
  <c r="F43" i="48"/>
  <c r="G43" i="48"/>
  <c r="C44" i="48"/>
  <c r="D44" i="48"/>
  <c r="F44" i="48"/>
  <c r="G44" i="48"/>
  <c r="C45" i="48"/>
  <c r="D45" i="48"/>
  <c r="F45" i="48"/>
  <c r="G45" i="48"/>
  <c r="C46" i="48"/>
  <c r="D46" i="48"/>
  <c r="F46" i="48"/>
  <c r="G46" i="48"/>
  <c r="C47" i="48"/>
  <c r="D47" i="48"/>
  <c r="F47" i="48"/>
  <c r="G47" i="48"/>
  <c r="C48" i="48"/>
  <c r="D48" i="48"/>
  <c r="F48" i="48"/>
  <c r="G48" i="48"/>
  <c r="C49" i="48"/>
  <c r="D49" i="48"/>
  <c r="F49" i="48"/>
  <c r="G49" i="48"/>
  <c r="G155" i="37"/>
  <c r="G156" i="37"/>
  <c r="G157" i="37"/>
  <c r="G188" i="28"/>
  <c r="G189" i="28"/>
  <c r="G190" i="28"/>
  <c r="G191" i="28"/>
  <c r="G305" i="14"/>
  <c r="H305" i="14"/>
  <c r="G306" i="14"/>
  <c r="H306" i="14"/>
  <c r="G307" i="14"/>
  <c r="H307" i="14"/>
  <c r="G232" i="20"/>
  <c r="H232" i="20"/>
  <c r="G229" i="20"/>
  <c r="H229" i="20"/>
  <c r="G230" i="20"/>
  <c r="H230" i="20"/>
  <c r="G231" i="20"/>
  <c r="H231" i="20"/>
  <c r="G107" i="41"/>
  <c r="G108" i="41"/>
  <c r="G187" i="32"/>
  <c r="G291" i="23"/>
  <c r="H291" i="23"/>
  <c r="F318" i="13"/>
  <c r="G318" i="13"/>
  <c r="F319" i="13"/>
  <c r="G319" i="13"/>
  <c r="F320" i="13"/>
  <c r="G320" i="13"/>
  <c r="F321" i="13"/>
  <c r="G321" i="13"/>
  <c r="G239" i="18"/>
  <c r="G240" i="18"/>
  <c r="G241" i="18"/>
  <c r="G242" i="18"/>
  <c r="F353" i="24"/>
  <c r="G353" i="24"/>
  <c r="H353" i="24"/>
  <c r="F354" i="24"/>
  <c r="G354" i="24"/>
  <c r="H354" i="24"/>
  <c r="F355" i="24"/>
  <c r="G355" i="24"/>
  <c r="H355" i="24"/>
  <c r="F356" i="24"/>
  <c r="G356" i="24"/>
  <c r="H356" i="24"/>
  <c r="G39" i="50"/>
  <c r="G40" i="50"/>
  <c r="G41" i="50"/>
  <c r="G42" i="50"/>
  <c r="F235" i="19"/>
  <c r="G235" i="19"/>
  <c r="F236" i="19"/>
  <c r="G236" i="19"/>
  <c r="F237" i="19"/>
  <c r="G237" i="19"/>
  <c r="F238" i="19"/>
  <c r="G238" i="19"/>
  <c r="F239" i="19"/>
  <c r="G239" i="19"/>
  <c r="F335" i="12"/>
  <c r="G335" i="12"/>
  <c r="F336" i="12"/>
  <c r="G336" i="12"/>
  <c r="F337" i="12"/>
  <c r="G337" i="12"/>
  <c r="F338" i="12"/>
  <c r="G338" i="12"/>
  <c r="F339" i="12"/>
  <c r="G339" i="12"/>
  <c r="G91" i="47"/>
  <c r="G92" i="47"/>
  <c r="G93" i="47"/>
  <c r="G94" i="47"/>
  <c r="G184" i="32"/>
  <c r="G185" i="32"/>
  <c r="G186" i="32"/>
  <c r="F186" i="30"/>
  <c r="G186" i="30"/>
  <c r="F187" i="30"/>
  <c r="G187" i="30"/>
  <c r="F188" i="30"/>
  <c r="G188" i="30"/>
  <c r="G105" i="41"/>
  <c r="G106" i="41"/>
  <c r="F403" i="4"/>
  <c r="G403" i="4"/>
  <c r="F404" i="4"/>
  <c r="G404" i="4"/>
  <c r="F405" i="4"/>
  <c r="G405" i="4"/>
  <c r="F406" i="4"/>
  <c r="G406" i="4"/>
  <c r="G189" i="29"/>
  <c r="G190" i="29"/>
  <c r="G191" i="29"/>
  <c r="F374" i="11"/>
  <c r="G374" i="11"/>
  <c r="F375" i="11"/>
  <c r="G375" i="11"/>
  <c r="F376" i="11"/>
  <c r="G376" i="11"/>
  <c r="F402" i="5"/>
  <c r="G402" i="5"/>
  <c r="F403" i="5"/>
  <c r="G403" i="5"/>
  <c r="F404" i="5"/>
  <c r="G404" i="5"/>
  <c r="F405" i="5"/>
  <c r="G405" i="5"/>
  <c r="G400" i="7"/>
  <c r="G401" i="7"/>
  <c r="G402" i="7"/>
  <c r="G403" i="7"/>
  <c r="G164" i="35"/>
  <c r="G165" i="35"/>
  <c r="G166" i="35"/>
  <c r="G167" i="35"/>
  <c r="F171" i="33"/>
  <c r="G171" i="33"/>
  <c r="F172" i="33"/>
  <c r="G172" i="33"/>
  <c r="F173" i="33"/>
  <c r="G173" i="33"/>
  <c r="F174" i="33"/>
  <c r="G174" i="33"/>
  <c r="F155" i="38"/>
  <c r="G155" i="38"/>
  <c r="F156" i="38"/>
  <c r="G156" i="38"/>
  <c r="F157" i="38"/>
  <c r="G157" i="38"/>
  <c r="F158" i="38"/>
  <c r="G158" i="38"/>
  <c r="F355" i="25"/>
  <c r="G355" i="25"/>
  <c r="F356" i="25"/>
  <c r="G356" i="25"/>
  <c r="F357" i="25"/>
  <c r="G357" i="25"/>
  <c r="F358" i="25"/>
  <c r="G358" i="25"/>
  <c r="C108" i="40"/>
  <c r="D108" i="40"/>
  <c r="F108" i="40"/>
  <c r="C229" i="20"/>
  <c r="D229" i="20"/>
  <c r="C230" i="20"/>
  <c r="D230" i="20"/>
  <c r="C231" i="20"/>
  <c r="D231" i="20"/>
  <c r="C232" i="20"/>
  <c r="D232" i="20"/>
  <c r="F229" i="20"/>
  <c r="F230" i="20"/>
  <c r="F231" i="20"/>
  <c r="F232" i="20"/>
  <c r="C291" i="23"/>
  <c r="D291" i="23"/>
  <c r="C292" i="23"/>
  <c r="D292" i="23"/>
  <c r="F291" i="23"/>
  <c r="F292" i="23"/>
  <c r="C375" i="11"/>
  <c r="D375" i="11"/>
  <c r="C376" i="11"/>
  <c r="D376" i="11"/>
  <c r="C377" i="11"/>
  <c r="D377" i="11"/>
  <c r="C378" i="11"/>
  <c r="D378" i="11"/>
  <c r="C404" i="5"/>
  <c r="D404" i="5"/>
  <c r="C405" i="5"/>
  <c r="D405" i="5"/>
  <c r="C406" i="5"/>
  <c r="D406" i="5"/>
  <c r="C407" i="5"/>
  <c r="D407" i="5"/>
  <c r="C403" i="5"/>
  <c r="D403" i="5"/>
  <c r="C319" i="13"/>
  <c r="D319" i="13"/>
  <c r="C320" i="13"/>
  <c r="D320" i="13"/>
  <c r="C321" i="13"/>
  <c r="D321" i="13"/>
  <c r="C322" i="13"/>
  <c r="D322" i="13"/>
  <c r="F322" i="13"/>
  <c r="C318" i="13"/>
  <c r="D318" i="13"/>
  <c r="C155" i="37"/>
  <c r="D155" i="37"/>
  <c r="C156" i="37"/>
  <c r="D156" i="37"/>
  <c r="C157" i="37"/>
  <c r="D157" i="37"/>
  <c r="C158" i="37"/>
  <c r="D158" i="37"/>
  <c r="C164" i="35"/>
  <c r="D164" i="35"/>
  <c r="C165" i="35"/>
  <c r="D165" i="35"/>
  <c r="C166" i="35"/>
  <c r="D166" i="35"/>
  <c r="C167" i="35"/>
  <c r="D167" i="35"/>
  <c r="F164" i="35"/>
  <c r="F165" i="35"/>
  <c r="F166" i="35"/>
  <c r="F167" i="35"/>
  <c r="C356" i="25"/>
  <c r="D356" i="25"/>
  <c r="C357" i="25"/>
  <c r="D357" i="25"/>
  <c r="C358" i="25"/>
  <c r="D358" i="25"/>
  <c r="C359" i="25"/>
  <c r="D359" i="25"/>
  <c r="C91" i="47"/>
  <c r="D91" i="47"/>
  <c r="C92" i="47"/>
  <c r="D92" i="47"/>
  <c r="C93" i="47"/>
  <c r="D93" i="47"/>
  <c r="C94" i="47"/>
  <c r="D94" i="47"/>
  <c r="F91" i="47"/>
  <c r="F92" i="47"/>
  <c r="F93" i="47"/>
  <c r="F94" i="47"/>
  <c r="C50" i="48"/>
  <c r="D50" i="48"/>
  <c r="F50" i="48"/>
  <c r="C355" i="24"/>
  <c r="D355" i="24"/>
  <c r="C356" i="24"/>
  <c r="D356" i="24"/>
  <c r="C357" i="24"/>
  <c r="D357" i="24"/>
  <c r="C358" i="24"/>
  <c r="D358" i="24"/>
  <c r="C354" i="24"/>
  <c r="D354" i="24"/>
  <c r="C185" i="32"/>
  <c r="D185" i="32"/>
  <c r="C186" i="32"/>
  <c r="D186" i="32"/>
  <c r="C187" i="32"/>
  <c r="D187" i="32"/>
  <c r="C188" i="32"/>
  <c r="D188" i="32"/>
  <c r="F185" i="32"/>
  <c r="F186" i="32"/>
  <c r="F187" i="32"/>
  <c r="F188" i="32"/>
  <c r="C184" i="32"/>
  <c r="D184" i="32"/>
  <c r="F184" i="32"/>
  <c r="C186" i="30"/>
  <c r="D186" i="30"/>
  <c r="C187" i="30"/>
  <c r="D187" i="30"/>
  <c r="C188" i="30"/>
  <c r="D188" i="30"/>
  <c r="C189" i="30"/>
  <c r="D189" i="30"/>
  <c r="F189" i="30"/>
  <c r="C106" i="41"/>
  <c r="D106" i="41"/>
  <c r="C107" i="41"/>
  <c r="D107" i="41"/>
  <c r="C108" i="41"/>
  <c r="D108" i="41"/>
  <c r="C109" i="41"/>
  <c r="D109" i="41"/>
  <c r="F106" i="41"/>
  <c r="F107" i="41"/>
  <c r="F108" i="41"/>
  <c r="F109" i="41"/>
  <c r="C105" i="41"/>
  <c r="D105" i="41"/>
  <c r="F105" i="41"/>
  <c r="C190" i="29"/>
  <c r="D190" i="29"/>
  <c r="C191" i="29"/>
  <c r="D191" i="29"/>
  <c r="C192" i="29"/>
  <c r="D192" i="29"/>
  <c r="F190" i="29"/>
  <c r="F191" i="29"/>
  <c r="F192" i="29"/>
  <c r="C189" i="29"/>
  <c r="D189" i="29"/>
  <c r="F189" i="29"/>
  <c r="C305" i="14"/>
  <c r="D305" i="14"/>
  <c r="C306" i="14"/>
  <c r="D306" i="14"/>
  <c r="C307" i="14"/>
  <c r="D307" i="14"/>
  <c r="C308" i="14"/>
  <c r="D308" i="14"/>
  <c r="F305" i="14"/>
  <c r="F306" i="14"/>
  <c r="F307" i="14"/>
  <c r="F308" i="14"/>
  <c r="C240" i="18"/>
  <c r="D240" i="18"/>
  <c r="C241" i="18"/>
  <c r="D241" i="18"/>
  <c r="C242" i="18"/>
  <c r="D242" i="18"/>
  <c r="C243" i="18"/>
  <c r="D243" i="18"/>
  <c r="F240" i="18"/>
  <c r="F241" i="18"/>
  <c r="F242" i="18"/>
  <c r="F243" i="18"/>
  <c r="C239" i="18"/>
  <c r="D239" i="18"/>
  <c r="F239" i="18"/>
  <c r="C189" i="28"/>
  <c r="D189" i="28"/>
  <c r="C190" i="28"/>
  <c r="D190" i="28"/>
  <c r="C191" i="28"/>
  <c r="D191" i="28"/>
  <c r="C192" i="28"/>
  <c r="D192" i="28"/>
  <c r="F189" i="28"/>
  <c r="F190" i="28"/>
  <c r="F191" i="28"/>
  <c r="F192" i="28"/>
  <c r="C188" i="28"/>
  <c r="D188" i="28"/>
  <c r="F188" i="28"/>
  <c r="C401" i="7"/>
  <c r="D401" i="7"/>
  <c r="C402" i="7"/>
  <c r="D402" i="7"/>
  <c r="C403" i="7"/>
  <c r="D403" i="7"/>
  <c r="C404" i="7"/>
  <c r="D404" i="7"/>
  <c r="C42" i="49"/>
  <c r="D42" i="49"/>
  <c r="C43" i="49"/>
  <c r="D43" i="49"/>
  <c r="C44" i="49"/>
  <c r="D44" i="49"/>
  <c r="C45" i="49"/>
  <c r="D45" i="49"/>
  <c r="F42" i="49"/>
  <c r="F43" i="49"/>
  <c r="F44" i="49"/>
  <c r="F45" i="49"/>
  <c r="C404" i="4"/>
  <c r="D404" i="4"/>
  <c r="C405" i="4"/>
  <c r="D405" i="4"/>
  <c r="C406" i="4"/>
  <c r="D406" i="4"/>
  <c r="C407" i="4"/>
  <c r="D407" i="4"/>
  <c r="D90" i="46"/>
  <c r="D91" i="46"/>
  <c r="D92" i="46"/>
  <c r="D93" i="46"/>
  <c r="F90" i="46"/>
  <c r="F91" i="46"/>
  <c r="F92" i="46"/>
  <c r="F93" i="46"/>
  <c r="D89" i="46"/>
  <c r="F89" i="46"/>
  <c r="C172" i="33"/>
  <c r="D172" i="33"/>
  <c r="C173" i="33"/>
  <c r="D173" i="33"/>
  <c r="C174" i="33"/>
  <c r="D174" i="33"/>
  <c r="C175" i="33"/>
  <c r="D175" i="33"/>
  <c r="F175" i="33"/>
  <c r="C40" i="50"/>
  <c r="D40" i="50"/>
  <c r="C41" i="50"/>
  <c r="D41" i="50"/>
  <c r="C42" i="50"/>
  <c r="D42" i="50"/>
  <c r="C43" i="50"/>
  <c r="D43" i="50"/>
  <c r="F40" i="50"/>
  <c r="F41" i="50"/>
  <c r="F42" i="50"/>
  <c r="F43" i="50"/>
  <c r="C39" i="50"/>
  <c r="D39" i="50"/>
  <c r="F39" i="50"/>
  <c r="C165" i="45"/>
  <c r="D165" i="45"/>
  <c r="C166" i="45"/>
  <c r="D166" i="45"/>
  <c r="C167" i="45"/>
  <c r="D167" i="45"/>
  <c r="C168" i="45"/>
  <c r="D168" i="45"/>
  <c r="F165" i="45"/>
  <c r="G165" i="45"/>
  <c r="F166" i="45"/>
  <c r="G166" i="45"/>
  <c r="F167" i="45"/>
  <c r="G167" i="45"/>
  <c r="F168" i="45"/>
  <c r="G168" i="45"/>
  <c r="C337" i="12"/>
  <c r="D337" i="12"/>
  <c r="C338" i="12"/>
  <c r="D338" i="12"/>
  <c r="C339" i="12"/>
  <c r="D339" i="12"/>
  <c r="C340" i="12"/>
  <c r="D340" i="12"/>
  <c r="C336" i="12"/>
  <c r="D336" i="12"/>
  <c r="C237" i="19"/>
  <c r="D237" i="19"/>
  <c r="C238" i="19"/>
  <c r="D238" i="19"/>
  <c r="C239" i="19"/>
  <c r="D239" i="19"/>
  <c r="C240" i="19"/>
  <c r="D240" i="19"/>
  <c r="C236" i="19"/>
  <c r="D236" i="19"/>
  <c r="C155" i="38"/>
  <c r="D155" i="38"/>
  <c r="C156" i="38"/>
  <c r="D156" i="38"/>
  <c r="C157" i="38"/>
  <c r="D157" i="38"/>
  <c r="C158" i="38"/>
  <c r="D158" i="38"/>
  <c r="G154" i="37"/>
  <c r="C154" i="37"/>
  <c r="D154" i="37"/>
  <c r="C171" i="33"/>
  <c r="D171" i="33"/>
  <c r="G228" i="20"/>
  <c r="H228" i="20"/>
  <c r="C228" i="20"/>
  <c r="D228" i="20"/>
  <c r="F228" i="20"/>
  <c r="C400" i="7"/>
  <c r="D400" i="7"/>
  <c r="C355" i="25"/>
  <c r="D355" i="25"/>
  <c r="G188" i="29"/>
  <c r="C188" i="29"/>
  <c r="D188" i="29"/>
  <c r="F188" i="29"/>
  <c r="C374" i="11"/>
  <c r="D374" i="11"/>
  <c r="G238" i="18"/>
  <c r="C238" i="18"/>
  <c r="D238" i="18"/>
  <c r="F238" i="18"/>
  <c r="G185" i="30"/>
  <c r="C185" i="30"/>
  <c r="D185" i="30"/>
  <c r="F185" i="30"/>
  <c r="G90" i="47"/>
  <c r="C90" i="47"/>
  <c r="D90" i="47"/>
  <c r="F90" i="47"/>
  <c r="C41" i="49"/>
  <c r="D41" i="49"/>
  <c r="F41" i="49"/>
  <c r="G163" i="35"/>
  <c r="C163" i="35"/>
  <c r="D163" i="35"/>
  <c r="F163" i="35"/>
  <c r="G154" i="38"/>
  <c r="C24" i="50"/>
  <c r="D24" i="50"/>
  <c r="F24" i="50"/>
  <c r="G24" i="50"/>
  <c r="C25" i="50"/>
  <c r="D25" i="50"/>
  <c r="F25" i="50"/>
  <c r="G25" i="50"/>
  <c r="C26" i="50"/>
  <c r="D26" i="50"/>
  <c r="F26" i="50"/>
  <c r="G26" i="50"/>
  <c r="C27" i="50"/>
  <c r="D27" i="50"/>
  <c r="F27" i="50"/>
  <c r="G27" i="50"/>
  <c r="C28" i="50"/>
  <c r="D28" i="50"/>
  <c r="F28" i="50"/>
  <c r="G28" i="50"/>
  <c r="C29" i="50"/>
  <c r="D29" i="50"/>
  <c r="F29" i="50"/>
  <c r="G29" i="50"/>
  <c r="C30" i="50"/>
  <c r="D30" i="50"/>
  <c r="F30" i="50"/>
  <c r="G30" i="50"/>
  <c r="C31" i="50"/>
  <c r="D31" i="50"/>
  <c r="F31" i="50"/>
  <c r="G31" i="50"/>
  <c r="C32" i="50"/>
  <c r="D32" i="50"/>
  <c r="F32" i="50"/>
  <c r="G32" i="50"/>
  <c r="C33" i="50"/>
  <c r="D33" i="50"/>
  <c r="F33" i="50"/>
  <c r="G33" i="50"/>
  <c r="C34" i="50"/>
  <c r="D34" i="50"/>
  <c r="F34" i="50"/>
  <c r="G34" i="50"/>
  <c r="C35" i="50"/>
  <c r="D35" i="50"/>
  <c r="F35" i="50"/>
  <c r="G35" i="50"/>
  <c r="C36" i="50"/>
  <c r="D36" i="50"/>
  <c r="F36" i="50"/>
  <c r="G36" i="50"/>
  <c r="C37" i="50"/>
  <c r="D37" i="50"/>
  <c r="F37" i="50"/>
  <c r="G37" i="50"/>
  <c r="C38" i="50"/>
  <c r="D38" i="50"/>
  <c r="F38" i="50"/>
  <c r="G38" i="50"/>
  <c r="C104" i="40"/>
  <c r="D104" i="40"/>
  <c r="F104" i="40"/>
  <c r="C105" i="40"/>
  <c r="D105" i="40"/>
  <c r="F105" i="40"/>
  <c r="C106" i="40"/>
  <c r="D106" i="40"/>
  <c r="F106" i="40"/>
  <c r="C107" i="40"/>
  <c r="D107" i="40"/>
  <c r="F107" i="40"/>
  <c r="D88" i="46"/>
  <c r="F88" i="46"/>
  <c r="C235" i="19"/>
  <c r="D235" i="19"/>
  <c r="G304" i="14"/>
  <c r="H304" i="14"/>
  <c r="C304" i="14"/>
  <c r="D304" i="14"/>
  <c r="F304" i="14"/>
  <c r="G183" i="32"/>
  <c r="C183" i="32"/>
  <c r="D183" i="32"/>
  <c r="F183" i="32"/>
  <c r="C164" i="45"/>
  <c r="D164" i="45"/>
  <c r="F164" i="45"/>
  <c r="G164" i="45"/>
  <c r="G104" i="41"/>
  <c r="C104" i="41"/>
  <c r="D104" i="41"/>
  <c r="F104" i="41"/>
  <c r="C154" i="38"/>
  <c r="D154" i="38"/>
  <c r="F154" i="38"/>
  <c r="C403" i="4"/>
  <c r="D403" i="4"/>
  <c r="C335" i="12"/>
  <c r="D335" i="12"/>
  <c r="G162" i="35"/>
  <c r="C162" i="35"/>
  <c r="D162" i="35"/>
  <c r="F162" i="35"/>
  <c r="G399" i="7"/>
  <c r="C399" i="7"/>
  <c r="D399" i="7"/>
  <c r="G187" i="28"/>
  <c r="C187" i="28"/>
  <c r="D187" i="28"/>
  <c r="F187" i="28"/>
  <c r="G153" i="37"/>
  <c r="C153" i="37"/>
  <c r="D153" i="37"/>
  <c r="F373" i="11"/>
  <c r="G373" i="11"/>
  <c r="C373" i="11"/>
  <c r="D373" i="11"/>
  <c r="C287" i="23"/>
  <c r="D287" i="23"/>
  <c r="F287" i="23"/>
  <c r="G287" i="23"/>
  <c r="H287" i="23"/>
  <c r="C288" i="23"/>
  <c r="D288" i="23"/>
  <c r="F288" i="23"/>
  <c r="G288" i="23"/>
  <c r="H288" i="23"/>
  <c r="C289" i="23"/>
  <c r="D289" i="23"/>
  <c r="F289" i="23"/>
  <c r="G289" i="23"/>
  <c r="H289" i="23"/>
  <c r="C290" i="23"/>
  <c r="D290" i="23"/>
  <c r="F290" i="23"/>
  <c r="G290" i="23"/>
  <c r="H290" i="23"/>
  <c r="F354" i="25"/>
  <c r="G354" i="25"/>
  <c r="C354" i="25"/>
  <c r="D354" i="25"/>
  <c r="C353" i="24"/>
  <c r="D353" i="24"/>
  <c r="G170" i="33"/>
  <c r="C170" i="33"/>
  <c r="D170" i="33"/>
  <c r="F170" i="33"/>
  <c r="G317" i="13"/>
  <c r="C317" i="13"/>
  <c r="D317" i="13"/>
  <c r="F317" i="13"/>
  <c r="G103" i="41"/>
  <c r="C103" i="41"/>
  <c r="D103" i="41"/>
  <c r="F103" i="41"/>
  <c r="C40" i="49"/>
  <c r="D40" i="49"/>
  <c r="F40" i="49"/>
  <c r="G227" i="20"/>
  <c r="H227" i="20"/>
  <c r="C227" i="20"/>
  <c r="D227" i="20"/>
  <c r="F227" i="20"/>
  <c r="G187" i="29"/>
  <c r="C187" i="29"/>
  <c r="D187" i="29"/>
  <c r="F187" i="29"/>
  <c r="F402" i="4"/>
  <c r="G402" i="4"/>
  <c r="C402" i="4"/>
  <c r="D402" i="4"/>
  <c r="G184" i="30"/>
  <c r="C184" i="30"/>
  <c r="D184" i="30"/>
  <c r="F184" i="30"/>
  <c r="G182" i="32"/>
  <c r="C182" i="32"/>
  <c r="D182" i="32"/>
  <c r="F182" i="32"/>
  <c r="C163" i="45"/>
  <c r="D163" i="45"/>
  <c r="F163" i="45"/>
  <c r="G163" i="45"/>
  <c r="G303" i="14"/>
  <c r="H303" i="14"/>
  <c r="C303" i="14"/>
  <c r="D303" i="14"/>
  <c r="F303" i="14"/>
  <c r="G181" i="32"/>
  <c r="C181" i="32"/>
  <c r="D181" i="32"/>
  <c r="F181" i="32"/>
  <c r="G89" i="47"/>
  <c r="C89" i="47"/>
  <c r="D89" i="47"/>
  <c r="F89" i="47"/>
  <c r="F334" i="12"/>
  <c r="G334" i="12"/>
  <c r="C334" i="12"/>
  <c r="D334" i="12"/>
  <c r="F234" i="19"/>
  <c r="G234" i="19"/>
  <c r="C234" i="19"/>
  <c r="D234" i="19"/>
  <c r="G153" i="38"/>
  <c r="C153" i="38"/>
  <c r="D153" i="38"/>
  <c r="F153" i="38"/>
  <c r="G237" i="18"/>
  <c r="C237" i="18"/>
  <c r="D237" i="18"/>
  <c r="F237" i="18"/>
  <c r="F401" i="4"/>
  <c r="G401" i="4"/>
  <c r="C401" i="4"/>
  <c r="D401" i="4"/>
  <c r="G169" i="33"/>
  <c r="C169" i="33"/>
  <c r="D169" i="33"/>
  <c r="F169" i="33"/>
  <c r="F372" i="11"/>
  <c r="G372" i="11"/>
  <c r="C372" i="11"/>
  <c r="D372" i="11"/>
  <c r="G316" i="13"/>
  <c r="C316" i="13"/>
  <c r="D316" i="13"/>
  <c r="F316" i="13"/>
  <c r="D87" i="46"/>
  <c r="F87" i="46"/>
  <c r="G161" i="35"/>
  <c r="C161" i="35"/>
  <c r="D161" i="35"/>
  <c r="F161" i="35"/>
  <c r="G152" i="37"/>
  <c r="C152" i="37"/>
  <c r="D152" i="37"/>
  <c r="G186" i="28"/>
  <c r="C186" i="28"/>
  <c r="D186" i="28"/>
  <c r="F186" i="28"/>
  <c r="G398" i="7"/>
  <c r="C398" i="7"/>
  <c r="D398" i="7"/>
  <c r="F353" i="25"/>
  <c r="G353" i="25"/>
  <c r="C353" i="25"/>
  <c r="D353" i="25"/>
  <c r="C39" i="49"/>
  <c r="D39" i="49"/>
  <c r="F39" i="49"/>
  <c r="G186" i="29"/>
  <c r="C186" i="29"/>
  <c r="D186" i="29"/>
  <c r="F186" i="29"/>
  <c r="G226" i="20"/>
  <c r="H226" i="20"/>
  <c r="C226" i="20"/>
  <c r="D226" i="20"/>
  <c r="F226" i="20"/>
  <c r="F352" i="24"/>
  <c r="G352" i="24"/>
  <c r="H352" i="24"/>
  <c r="C352" i="24"/>
  <c r="D352" i="24"/>
  <c r="G160" i="35"/>
  <c r="C160" i="35"/>
  <c r="D160" i="35"/>
  <c r="F160" i="35"/>
  <c r="G102" i="41"/>
  <c r="C102" i="41"/>
  <c r="D102" i="41"/>
  <c r="F102" i="41"/>
  <c r="G183" i="30"/>
  <c r="C183" i="30"/>
  <c r="D183" i="30"/>
  <c r="F183" i="30"/>
  <c r="G302" i="14"/>
  <c r="H302" i="14"/>
  <c r="C302" i="14"/>
  <c r="D302" i="14"/>
  <c r="F302" i="14"/>
  <c r="G88" i="47"/>
  <c r="C88" i="47"/>
  <c r="D88" i="47"/>
  <c r="F88" i="47"/>
  <c r="F333" i="12"/>
  <c r="G333" i="12"/>
  <c r="C333" i="12"/>
  <c r="D333" i="12"/>
  <c r="C162" i="45"/>
  <c r="D162" i="45"/>
  <c r="F162" i="45"/>
  <c r="G162" i="45"/>
  <c r="F233" i="19"/>
  <c r="G233" i="19"/>
  <c r="C233" i="19"/>
  <c r="D233" i="19"/>
  <c r="G152" i="38"/>
  <c r="C152" i="38"/>
  <c r="D152" i="38"/>
  <c r="F152" i="38"/>
  <c r="G151" i="38"/>
  <c r="C151" i="38"/>
  <c r="D151" i="38"/>
  <c r="F151" i="38"/>
  <c r="G315" i="13"/>
  <c r="C315" i="13"/>
  <c r="D315" i="13"/>
  <c r="F315" i="13"/>
  <c r="G151" i="37"/>
  <c r="C151" i="37"/>
  <c r="D151" i="37"/>
  <c r="G185" i="28"/>
  <c r="C185" i="28"/>
  <c r="D185" i="28"/>
  <c r="F185" i="28"/>
  <c r="G168" i="33"/>
  <c r="C168" i="33"/>
  <c r="D168" i="33"/>
  <c r="F168" i="33"/>
  <c r="F400" i="4"/>
  <c r="G400" i="4"/>
  <c r="C400" i="4"/>
  <c r="D400" i="4"/>
  <c r="G397" i="7"/>
  <c r="C397" i="7"/>
  <c r="D397" i="7"/>
  <c r="G236" i="18"/>
  <c r="C236" i="18"/>
  <c r="D236" i="18"/>
  <c r="F236" i="18"/>
  <c r="F371" i="11"/>
  <c r="G371" i="11"/>
  <c r="C371" i="11"/>
  <c r="D371" i="11"/>
  <c r="C38" i="49"/>
  <c r="D38" i="49"/>
  <c r="F38" i="49"/>
  <c r="G101" i="41"/>
  <c r="C101" i="41"/>
  <c r="D101" i="41"/>
  <c r="F101" i="41"/>
  <c r="D86" i="46"/>
  <c r="F86" i="46"/>
  <c r="G301" i="14"/>
  <c r="H301" i="14"/>
  <c r="C301" i="14"/>
  <c r="D301" i="14"/>
  <c r="F301" i="14"/>
  <c r="G225" i="20"/>
  <c r="H225" i="20"/>
  <c r="C225" i="20"/>
  <c r="D225" i="20"/>
  <c r="F225" i="20"/>
  <c r="F352" i="25"/>
  <c r="G352" i="25"/>
  <c r="C352" i="25"/>
  <c r="D352" i="25"/>
  <c r="G185" i="29"/>
  <c r="C185" i="29"/>
  <c r="D185" i="29"/>
  <c r="F185" i="29"/>
  <c r="E8" i="51"/>
  <c r="G180" i="32"/>
  <c r="G182" i="30"/>
  <c r="C182" i="30"/>
  <c r="D182" i="30"/>
  <c r="F182" i="30"/>
  <c r="F399" i="4"/>
  <c r="G399" i="4"/>
  <c r="C399" i="4"/>
  <c r="D399" i="4"/>
  <c r="F351" i="24"/>
  <c r="G351" i="24"/>
  <c r="H351" i="24"/>
  <c r="C351" i="24"/>
  <c r="D351" i="24"/>
  <c r="G87" i="47"/>
  <c r="C87" i="47"/>
  <c r="D87" i="47"/>
  <c r="F87" i="47"/>
  <c r="D15" i="51"/>
  <c r="E4" i="51"/>
  <c r="F15" i="51"/>
  <c r="F232" i="19"/>
  <c r="G232" i="19"/>
  <c r="C232" i="19"/>
  <c r="D232" i="19"/>
  <c r="C161" i="45"/>
  <c r="D161" i="45"/>
  <c r="F161" i="45"/>
  <c r="G161" i="45"/>
  <c r="G159" i="35"/>
  <c r="C159" i="35"/>
  <c r="D159" i="35"/>
  <c r="F159" i="35"/>
  <c r="C213" i="22"/>
  <c r="D213" i="22"/>
  <c r="F213" i="22"/>
  <c r="G213" i="22"/>
  <c r="G235" i="18"/>
  <c r="C235" i="18"/>
  <c r="D235" i="18"/>
  <c r="F235" i="18"/>
  <c r="D85" i="46"/>
  <c r="F85" i="46"/>
  <c r="F332" i="12"/>
  <c r="G332" i="12"/>
  <c r="C332" i="12"/>
  <c r="D332" i="12"/>
  <c r="C37" i="49"/>
  <c r="D37" i="49"/>
  <c r="F37" i="49"/>
  <c r="F370" i="11"/>
  <c r="G370" i="11"/>
  <c r="C370" i="11"/>
  <c r="D370" i="11"/>
  <c r="G167" i="33"/>
  <c r="C167" i="33"/>
  <c r="D167" i="33"/>
  <c r="F167" i="33"/>
  <c r="G150" i="37"/>
  <c r="C150" i="37"/>
  <c r="D150" i="37"/>
  <c r="G396" i="7"/>
  <c r="C396" i="7"/>
  <c r="D396" i="7"/>
  <c r="G184" i="28"/>
  <c r="C184" i="28"/>
  <c r="D184" i="28"/>
  <c r="F184" i="28"/>
  <c r="G314" i="13"/>
  <c r="C314" i="13"/>
  <c r="D314" i="13"/>
  <c r="F314" i="13"/>
  <c r="C398" i="5"/>
  <c r="D398" i="5"/>
  <c r="F398" i="5"/>
  <c r="G398" i="5"/>
  <c r="C399" i="5"/>
  <c r="D399" i="5"/>
  <c r="F399" i="5"/>
  <c r="G399" i="5"/>
  <c r="C400" i="5"/>
  <c r="D400" i="5"/>
  <c r="F400" i="5"/>
  <c r="G400" i="5"/>
  <c r="C401" i="5"/>
  <c r="D401" i="5"/>
  <c r="F401" i="5"/>
  <c r="G401" i="5"/>
  <c r="C402" i="5"/>
  <c r="D402" i="5"/>
  <c r="G100" i="41"/>
  <c r="C100" i="41"/>
  <c r="D100" i="41"/>
  <c r="F100" i="41"/>
  <c r="G224" i="20"/>
  <c r="H224" i="20"/>
  <c r="C224" i="20"/>
  <c r="D224" i="20"/>
  <c r="F224" i="20"/>
  <c r="F351" i="25"/>
  <c r="G351" i="25"/>
  <c r="C351" i="25"/>
  <c r="D351" i="25"/>
  <c r="G300" i="14"/>
  <c r="H300" i="14"/>
  <c r="C300" i="14"/>
  <c r="D300" i="14"/>
  <c r="F300" i="14"/>
  <c r="C178" i="32"/>
  <c r="D178" i="32"/>
  <c r="F178" i="32"/>
  <c r="G178" i="32"/>
  <c r="C179" i="32"/>
  <c r="D179" i="32"/>
  <c r="F179" i="32"/>
  <c r="G179" i="32"/>
  <c r="G181" i="30"/>
  <c r="C181" i="30"/>
  <c r="D181" i="30"/>
  <c r="F181" i="30"/>
  <c r="F350" i="24"/>
  <c r="G350" i="24"/>
  <c r="H350" i="24"/>
  <c r="C350" i="24"/>
  <c r="D350" i="24"/>
  <c r="G184" i="29"/>
  <c r="C184" i="29"/>
  <c r="D184" i="29"/>
  <c r="F184" i="29"/>
  <c r="G86" i="47"/>
  <c r="C86" i="47"/>
  <c r="D86" i="47"/>
  <c r="F86" i="47"/>
  <c r="C160" i="45"/>
  <c r="D160" i="45"/>
  <c r="F160" i="45"/>
  <c r="G160" i="45"/>
  <c r="G150" i="38"/>
  <c r="C150" i="38"/>
  <c r="D150" i="38"/>
  <c r="F150" i="38"/>
  <c r="F331" i="12"/>
  <c r="G331" i="12"/>
  <c r="C331" i="12"/>
  <c r="D331" i="12"/>
  <c r="F231" i="19"/>
  <c r="G231" i="19"/>
  <c r="C231" i="19"/>
  <c r="D231" i="19"/>
  <c r="C212" i="22"/>
  <c r="D212" i="22"/>
  <c r="F212" i="22"/>
  <c r="G212" i="22"/>
  <c r="G234" i="18"/>
  <c r="C234" i="18"/>
  <c r="D234" i="18"/>
  <c r="F234" i="18"/>
  <c r="C183" i="28"/>
  <c r="D183" i="28"/>
  <c r="F183" i="28"/>
  <c r="G183" i="28"/>
  <c r="G395" i="7"/>
  <c r="C395" i="7"/>
  <c r="D395" i="7"/>
  <c r="C100" i="40"/>
  <c r="D100" i="40"/>
  <c r="F100" i="40"/>
  <c r="C101" i="40"/>
  <c r="D101" i="40"/>
  <c r="F101" i="40"/>
  <c r="C102" i="40"/>
  <c r="D102" i="40"/>
  <c r="F102" i="40"/>
  <c r="C103" i="40"/>
  <c r="D103" i="40"/>
  <c r="F103" i="40"/>
  <c r="D84" i="46"/>
  <c r="F84" i="46"/>
  <c r="F398" i="4"/>
  <c r="G398" i="4"/>
  <c r="F349" i="24"/>
  <c r="G349" i="24"/>
  <c r="H349" i="24"/>
  <c r="C349" i="24"/>
  <c r="D349" i="24"/>
  <c r="G166" i="33"/>
  <c r="C166" i="33"/>
  <c r="D166" i="33"/>
  <c r="F166" i="33"/>
  <c r="G313" i="13"/>
  <c r="C313" i="13"/>
  <c r="D313" i="13"/>
  <c r="F313" i="13"/>
  <c r="C398" i="4"/>
  <c r="D398" i="4"/>
  <c r="G149" i="37"/>
  <c r="C149" i="37"/>
  <c r="D149" i="37"/>
  <c r="F369" i="11"/>
  <c r="G369" i="11"/>
  <c r="C369" i="11"/>
  <c r="D369" i="11"/>
  <c r="G299" i="14"/>
  <c r="H299" i="14"/>
  <c r="C299" i="14"/>
  <c r="D299" i="14"/>
  <c r="F299" i="14"/>
  <c r="G183" i="29"/>
  <c r="C183" i="29"/>
  <c r="D183" i="29"/>
  <c r="F183" i="29"/>
  <c r="G223" i="20"/>
  <c r="H223" i="20"/>
  <c r="C223" i="20"/>
  <c r="D223" i="20"/>
  <c r="F223" i="20"/>
  <c r="G99" i="41"/>
  <c r="C99" i="41"/>
  <c r="D99" i="41"/>
  <c r="F99" i="41"/>
  <c r="G149" i="38"/>
  <c r="C149" i="38"/>
  <c r="D149" i="38"/>
  <c r="F149" i="38"/>
  <c r="G41" i="48"/>
  <c r="C41" i="48"/>
  <c r="D41" i="48"/>
  <c r="F41" i="48"/>
  <c r="G180" i="30"/>
  <c r="C180" i="30"/>
  <c r="D180" i="30"/>
  <c r="F180" i="30"/>
  <c r="G85" i="47"/>
  <c r="C85" i="47"/>
  <c r="D85" i="47"/>
  <c r="F85" i="47"/>
  <c r="G233" i="18"/>
  <c r="C233" i="18"/>
  <c r="D233" i="18"/>
  <c r="F233" i="18"/>
  <c r="G179" i="30"/>
  <c r="C179" i="30"/>
  <c r="D179" i="30"/>
  <c r="F179" i="30"/>
  <c r="F230" i="19"/>
  <c r="G230" i="19"/>
  <c r="C230" i="19"/>
  <c r="D230" i="19"/>
  <c r="F330" i="12"/>
  <c r="G330" i="12"/>
  <c r="C330" i="12"/>
  <c r="D330" i="12"/>
  <c r="C36" i="49"/>
  <c r="D36" i="49"/>
  <c r="F36" i="49"/>
  <c r="C159" i="45"/>
  <c r="D159" i="45"/>
  <c r="F159" i="45"/>
  <c r="G159" i="45"/>
  <c r="C211" i="22"/>
  <c r="D211" i="22"/>
  <c r="F211" i="22"/>
  <c r="G211" i="22"/>
  <c r="G222" i="20"/>
  <c r="H222" i="20"/>
  <c r="C222" i="20"/>
  <c r="D222" i="20"/>
  <c r="F222" i="20"/>
  <c r="G148" i="37"/>
  <c r="C148" i="37"/>
  <c r="D148" i="37"/>
  <c r="G312" i="13"/>
  <c r="C312" i="13"/>
  <c r="D312" i="13"/>
  <c r="F312" i="13"/>
  <c r="G40" i="48"/>
  <c r="C40" i="48"/>
  <c r="D40" i="48"/>
  <c r="F40" i="48"/>
  <c r="F368" i="11"/>
  <c r="G368" i="11"/>
  <c r="C368" i="11"/>
  <c r="D368" i="11"/>
  <c r="G394" i="7"/>
  <c r="C394" i="7"/>
  <c r="D394" i="7"/>
  <c r="F397" i="4"/>
  <c r="G397" i="4"/>
  <c r="C397" i="4"/>
  <c r="D397" i="4"/>
  <c r="G165" i="33"/>
  <c r="C165" i="33"/>
  <c r="D165" i="33"/>
  <c r="F165" i="33"/>
  <c r="C35" i="49"/>
  <c r="D35" i="49"/>
  <c r="F35" i="49"/>
  <c r="D83" i="46"/>
  <c r="F83" i="46"/>
  <c r="G182" i="29"/>
  <c r="G98" i="41"/>
  <c r="C98" i="41"/>
  <c r="D98" i="41"/>
  <c r="F98" i="41"/>
  <c r="G177" i="32"/>
  <c r="G298" i="14"/>
  <c r="H298" i="14"/>
  <c r="C298" i="14"/>
  <c r="D298" i="14"/>
  <c r="F298" i="14"/>
  <c r="G84" i="47"/>
  <c r="C84" i="47"/>
  <c r="D84" i="47"/>
  <c r="F84" i="47"/>
  <c r="F328" i="12"/>
  <c r="G328" i="12"/>
  <c r="F329" i="12"/>
  <c r="G329" i="12"/>
  <c r="C329" i="12"/>
  <c r="D329" i="12"/>
  <c r="G232" i="18"/>
  <c r="C232" i="18"/>
  <c r="D232" i="18"/>
  <c r="F232" i="18"/>
  <c r="F434" i="7"/>
  <c r="G393" i="7"/>
  <c r="C393" i="7"/>
  <c r="D393" i="7"/>
  <c r="F367" i="11"/>
  <c r="G367" i="11"/>
  <c r="C367" i="11"/>
  <c r="D367" i="11"/>
  <c r="C21" i="4"/>
  <c r="C22" i="4"/>
  <c r="D22" i="4"/>
  <c r="C23" i="4"/>
  <c r="D23" i="4"/>
  <c r="C24" i="4"/>
  <c r="D24" i="4"/>
  <c r="C25" i="4"/>
  <c r="D25" i="4"/>
  <c r="C26" i="4"/>
  <c r="C27" i="4"/>
  <c r="D27" i="4"/>
  <c r="C28" i="4"/>
  <c r="D28" i="4"/>
  <c r="C29" i="4"/>
  <c r="D29" i="4"/>
  <c r="C30" i="4"/>
  <c r="D30" i="4"/>
  <c r="C31" i="4"/>
  <c r="D31" i="4"/>
  <c r="C32" i="4"/>
  <c r="D32" i="4"/>
  <c r="C33" i="4"/>
  <c r="D33" i="4"/>
  <c r="C34" i="4"/>
  <c r="C35" i="4"/>
  <c r="D35" i="4"/>
  <c r="C36" i="4"/>
  <c r="D36" i="4"/>
  <c r="C37" i="4"/>
  <c r="D37" i="4"/>
  <c r="C38" i="4"/>
  <c r="D38" i="4"/>
  <c r="C39" i="4"/>
  <c r="D39" i="4"/>
  <c r="C40" i="4"/>
  <c r="D40" i="4"/>
  <c r="C41" i="4"/>
  <c r="D41" i="4"/>
  <c r="C42" i="4"/>
  <c r="D42" i="4"/>
  <c r="C43" i="4"/>
  <c r="D43" i="4"/>
  <c r="C44" i="4"/>
  <c r="D44" i="4"/>
  <c r="C45" i="4"/>
  <c r="D45" i="4"/>
  <c r="C46" i="4"/>
  <c r="D46" i="4"/>
  <c r="C47" i="4"/>
  <c r="D47" i="4"/>
  <c r="C48" i="4"/>
  <c r="D48" i="4"/>
  <c r="C49" i="4"/>
  <c r="D49" i="4"/>
  <c r="C50" i="4"/>
  <c r="D50" i="4"/>
  <c r="C51" i="4"/>
  <c r="D51" i="4"/>
  <c r="C52" i="4"/>
  <c r="D52" i="4"/>
  <c r="C53" i="4"/>
  <c r="D53" i="4"/>
  <c r="C54" i="4"/>
  <c r="D54" i="4"/>
  <c r="C55" i="4"/>
  <c r="D55" i="4"/>
  <c r="C56" i="4"/>
  <c r="C57" i="4"/>
  <c r="D57" i="4"/>
  <c r="C58" i="4"/>
  <c r="D58" i="4"/>
  <c r="C59" i="4"/>
  <c r="D59" i="4"/>
  <c r="C60" i="4"/>
  <c r="D60" i="4"/>
  <c r="C61" i="4"/>
  <c r="D61" i="4"/>
  <c r="C62" i="4"/>
  <c r="D62" i="4"/>
  <c r="C63" i="4"/>
  <c r="D63" i="4"/>
  <c r="C64" i="4"/>
  <c r="D64" i="4"/>
  <c r="C65" i="4"/>
  <c r="D65" i="4"/>
  <c r="C66" i="4"/>
  <c r="D66" i="4"/>
  <c r="C67" i="4"/>
  <c r="D67" i="4"/>
  <c r="C68" i="4"/>
  <c r="D68" i="4"/>
  <c r="C69" i="4"/>
  <c r="D69" i="4"/>
  <c r="C70" i="4"/>
  <c r="D70" i="4"/>
  <c r="C71" i="4"/>
  <c r="D71" i="4"/>
  <c r="C72" i="4"/>
  <c r="D72" i="4"/>
  <c r="C73" i="4"/>
  <c r="D73" i="4"/>
  <c r="C74" i="4"/>
  <c r="D74" i="4"/>
  <c r="C75" i="4"/>
  <c r="D75" i="4"/>
  <c r="C76" i="4"/>
  <c r="D76" i="4"/>
  <c r="C77" i="4"/>
  <c r="D77" i="4"/>
  <c r="C78" i="4"/>
  <c r="D78" i="4"/>
  <c r="C79" i="4"/>
  <c r="D79" i="4"/>
  <c r="C80" i="4"/>
  <c r="D80" i="4"/>
  <c r="C81" i="4"/>
  <c r="D81" i="4"/>
  <c r="C82" i="4"/>
  <c r="D82" i="4"/>
  <c r="C83" i="4"/>
  <c r="D83" i="4"/>
  <c r="C84" i="4"/>
  <c r="D84" i="4"/>
  <c r="C85" i="4"/>
  <c r="D85" i="4"/>
  <c r="C86" i="4"/>
  <c r="D86" i="4"/>
  <c r="C87" i="4"/>
  <c r="D87" i="4"/>
  <c r="C88" i="4"/>
  <c r="D88" i="4"/>
  <c r="C89" i="4"/>
  <c r="D89" i="4"/>
  <c r="C90" i="4"/>
  <c r="D90" i="4"/>
  <c r="C91" i="4"/>
  <c r="D91" i="4"/>
  <c r="C92" i="4"/>
  <c r="D92" i="4"/>
  <c r="C93" i="4"/>
  <c r="D93" i="4"/>
  <c r="C94" i="4"/>
  <c r="D94" i="4"/>
  <c r="C95" i="4"/>
  <c r="D95" i="4"/>
  <c r="C96" i="4"/>
  <c r="D96" i="4"/>
  <c r="C97" i="4"/>
  <c r="D97" i="4"/>
  <c r="C98" i="4"/>
  <c r="D98" i="4"/>
  <c r="C99" i="4"/>
  <c r="D99" i="4"/>
  <c r="C100" i="4"/>
  <c r="D100" i="4"/>
  <c r="C101" i="4"/>
  <c r="D101" i="4"/>
  <c r="C102" i="4"/>
  <c r="D102" i="4"/>
  <c r="C103" i="4"/>
  <c r="D103" i="4"/>
  <c r="C104" i="4"/>
  <c r="D104" i="4"/>
  <c r="C105" i="4"/>
  <c r="D105" i="4"/>
  <c r="C106" i="4"/>
  <c r="C107" i="4"/>
  <c r="D107" i="4"/>
  <c r="C108" i="4"/>
  <c r="D108" i="4"/>
  <c r="C109" i="4"/>
  <c r="D109" i="4"/>
  <c r="C110" i="4"/>
  <c r="D110" i="4"/>
  <c r="C111" i="4"/>
  <c r="D111" i="4"/>
  <c r="C112" i="4"/>
  <c r="D112" i="4"/>
  <c r="C113" i="4"/>
  <c r="D113" i="4"/>
  <c r="C114" i="4"/>
  <c r="D114" i="4"/>
  <c r="C115" i="4"/>
  <c r="D115" i="4"/>
  <c r="C116" i="4"/>
  <c r="D116" i="4"/>
  <c r="C117" i="4"/>
  <c r="D117" i="4"/>
  <c r="C118" i="4"/>
  <c r="D118" i="4"/>
  <c r="C119" i="4"/>
  <c r="D119" i="4"/>
  <c r="C120" i="4"/>
  <c r="D120" i="4"/>
  <c r="C121" i="4"/>
  <c r="D121" i="4"/>
  <c r="C122" i="4"/>
  <c r="D122" i="4"/>
  <c r="C123" i="4"/>
  <c r="D123" i="4"/>
  <c r="C124" i="4"/>
  <c r="D124" i="4"/>
  <c r="C125" i="4"/>
  <c r="D125" i="4"/>
  <c r="C126" i="4"/>
  <c r="D126" i="4"/>
  <c r="C127" i="4"/>
  <c r="D127" i="4"/>
  <c r="C128" i="4"/>
  <c r="D128" i="4"/>
  <c r="C129" i="4"/>
  <c r="D129" i="4"/>
  <c r="C130" i="4"/>
  <c r="D130" i="4"/>
  <c r="C131" i="4"/>
  <c r="D131" i="4"/>
  <c r="C132" i="4"/>
  <c r="D132" i="4"/>
  <c r="C133" i="4"/>
  <c r="D133" i="4"/>
  <c r="C134" i="4"/>
  <c r="D134" i="4"/>
  <c r="C135" i="4"/>
  <c r="D135" i="4"/>
  <c r="C136" i="4"/>
  <c r="D136" i="4"/>
  <c r="C137" i="4"/>
  <c r="D137" i="4"/>
  <c r="C138" i="4"/>
  <c r="C139" i="4"/>
  <c r="D139" i="4"/>
  <c r="C140" i="4"/>
  <c r="D140" i="4"/>
  <c r="C141" i="4"/>
  <c r="D141" i="4"/>
  <c r="C142" i="4"/>
  <c r="D142" i="4"/>
  <c r="C143" i="4"/>
  <c r="D143" i="4"/>
  <c r="C144" i="4"/>
  <c r="D144" i="4"/>
  <c r="C145" i="4"/>
  <c r="D145" i="4"/>
  <c r="C146" i="4"/>
  <c r="D146" i="4"/>
  <c r="C147" i="4"/>
  <c r="D147" i="4"/>
  <c r="C148" i="4"/>
  <c r="D148" i="4"/>
  <c r="C149" i="4"/>
  <c r="D149" i="4"/>
  <c r="C150" i="4"/>
  <c r="D150" i="4"/>
  <c r="C151" i="4"/>
  <c r="D151" i="4"/>
  <c r="C152" i="4"/>
  <c r="D152" i="4"/>
  <c r="C153" i="4"/>
  <c r="D153" i="4"/>
  <c r="C154" i="4"/>
  <c r="D154" i="4"/>
  <c r="C155" i="4"/>
  <c r="D155" i="4"/>
  <c r="C156" i="4"/>
  <c r="D156" i="4"/>
  <c r="C157" i="4"/>
  <c r="D157" i="4"/>
  <c r="C158" i="4"/>
  <c r="C159" i="4"/>
  <c r="D159" i="4"/>
  <c r="C160" i="4"/>
  <c r="D160" i="4"/>
  <c r="C161" i="4"/>
  <c r="D161" i="4"/>
  <c r="C162" i="4"/>
  <c r="D162" i="4"/>
  <c r="C163" i="4"/>
  <c r="D163" i="4"/>
  <c r="C164" i="4"/>
  <c r="D164" i="4"/>
  <c r="C165" i="4"/>
  <c r="D165" i="4"/>
  <c r="C166" i="4"/>
  <c r="D166" i="4"/>
  <c r="C167" i="4"/>
  <c r="D167" i="4"/>
  <c r="C168" i="4"/>
  <c r="D168" i="4"/>
  <c r="C169" i="4"/>
  <c r="D169" i="4"/>
  <c r="C170" i="4"/>
  <c r="D170" i="4"/>
  <c r="C171" i="4"/>
  <c r="D171" i="4"/>
  <c r="C172" i="4"/>
  <c r="D172" i="4"/>
  <c r="C173" i="4"/>
  <c r="D173" i="4"/>
  <c r="C174" i="4"/>
  <c r="D174" i="4"/>
  <c r="C175" i="4"/>
  <c r="D175" i="4"/>
  <c r="C176" i="4"/>
  <c r="D176" i="4"/>
  <c r="C177" i="4"/>
  <c r="D177" i="4"/>
  <c r="C178" i="4"/>
  <c r="C179" i="4"/>
  <c r="D179" i="4"/>
  <c r="C180" i="4"/>
  <c r="D180" i="4"/>
  <c r="C181" i="4"/>
  <c r="D181" i="4"/>
  <c r="C182" i="4"/>
  <c r="C183" i="4"/>
  <c r="D183" i="4"/>
  <c r="C184" i="4"/>
  <c r="D184" i="4"/>
  <c r="C185" i="4"/>
  <c r="D185" i="4"/>
  <c r="C186" i="4"/>
  <c r="D186" i="4"/>
  <c r="C187" i="4"/>
  <c r="D187" i="4"/>
  <c r="C188" i="4"/>
  <c r="D188" i="4"/>
  <c r="C189" i="4"/>
  <c r="D189" i="4"/>
  <c r="C190" i="4"/>
  <c r="D190" i="4"/>
  <c r="C191" i="4"/>
  <c r="D191" i="4"/>
  <c r="C192" i="4"/>
  <c r="D192" i="4"/>
  <c r="C193" i="4"/>
  <c r="D193" i="4"/>
  <c r="C194" i="4"/>
  <c r="D194" i="4"/>
  <c r="C195" i="4"/>
  <c r="D195" i="4"/>
  <c r="C196" i="4"/>
  <c r="D196" i="4"/>
  <c r="C197" i="4"/>
  <c r="D197" i="4"/>
  <c r="C198" i="4"/>
  <c r="D198" i="4"/>
  <c r="C199" i="4"/>
  <c r="D199" i="4"/>
  <c r="C200" i="4"/>
  <c r="D200" i="4"/>
  <c r="C201" i="4"/>
  <c r="D201" i="4"/>
  <c r="C202" i="4"/>
  <c r="D202" i="4"/>
  <c r="C203" i="4"/>
  <c r="D203" i="4"/>
  <c r="C204" i="4"/>
  <c r="D204" i="4"/>
  <c r="C205" i="4"/>
  <c r="D205" i="4"/>
  <c r="C206" i="4"/>
  <c r="D206" i="4"/>
  <c r="C207" i="4"/>
  <c r="D207" i="4"/>
  <c r="C208" i="4"/>
  <c r="D208" i="4"/>
  <c r="C209" i="4"/>
  <c r="D209" i="4"/>
  <c r="C210" i="4"/>
  <c r="D210" i="4"/>
  <c r="C211" i="4"/>
  <c r="D211" i="4"/>
  <c r="C212" i="4"/>
  <c r="D212" i="4"/>
  <c r="C213" i="4"/>
  <c r="D213" i="4"/>
  <c r="C214" i="4"/>
  <c r="D214" i="4"/>
  <c r="C215" i="4"/>
  <c r="D215" i="4"/>
  <c r="C216" i="4"/>
  <c r="D216" i="4"/>
  <c r="C217" i="4"/>
  <c r="D217" i="4"/>
  <c r="C218" i="4"/>
  <c r="D218" i="4"/>
  <c r="C219" i="4"/>
  <c r="D219" i="4"/>
  <c r="C220" i="4"/>
  <c r="D220" i="4"/>
  <c r="C221" i="4"/>
  <c r="D221" i="4"/>
  <c r="C222" i="4"/>
  <c r="C223" i="4"/>
  <c r="D223" i="4"/>
  <c r="C224" i="4"/>
  <c r="D224" i="4"/>
  <c r="C225" i="4"/>
  <c r="D225" i="4"/>
  <c r="C226" i="4"/>
  <c r="D226" i="4"/>
  <c r="C227" i="4"/>
  <c r="D227" i="4"/>
  <c r="C228" i="4"/>
  <c r="D228" i="4"/>
  <c r="C229" i="4"/>
  <c r="D229" i="4"/>
  <c r="C230" i="4"/>
  <c r="D230" i="4"/>
  <c r="C231" i="4"/>
  <c r="D231" i="4"/>
  <c r="C232" i="4"/>
  <c r="D232" i="4"/>
  <c r="C233" i="4"/>
  <c r="D233" i="4"/>
  <c r="C234" i="4"/>
  <c r="D234" i="4"/>
  <c r="C235" i="4"/>
  <c r="D235" i="4"/>
  <c r="C236" i="4"/>
  <c r="D236" i="4"/>
  <c r="C237" i="4"/>
  <c r="D237" i="4"/>
  <c r="C238" i="4"/>
  <c r="D238" i="4"/>
  <c r="C239" i="4"/>
  <c r="D239" i="4"/>
  <c r="C240" i="4"/>
  <c r="D240" i="4"/>
  <c r="C241" i="4"/>
  <c r="D241" i="4"/>
  <c r="C242" i="4"/>
  <c r="D242" i="4"/>
  <c r="C243" i="4"/>
  <c r="D243" i="4"/>
  <c r="C244" i="4"/>
  <c r="D244" i="4"/>
  <c r="C245" i="4"/>
  <c r="D245" i="4"/>
  <c r="C246" i="4"/>
  <c r="D246" i="4"/>
  <c r="C247" i="4"/>
  <c r="D247" i="4"/>
  <c r="C248" i="4"/>
  <c r="D248" i="4"/>
  <c r="C249" i="4"/>
  <c r="D249" i="4"/>
  <c r="C250" i="4"/>
  <c r="D250" i="4"/>
  <c r="C251" i="4"/>
  <c r="D251" i="4"/>
  <c r="C252" i="4"/>
  <c r="D252" i="4"/>
  <c r="C253" i="4"/>
  <c r="D253" i="4"/>
  <c r="C254" i="4"/>
  <c r="D254" i="4"/>
  <c r="C255" i="4"/>
  <c r="D255" i="4"/>
  <c r="C256" i="4"/>
  <c r="D256" i="4"/>
  <c r="C257" i="4"/>
  <c r="D257" i="4"/>
  <c r="C258" i="4"/>
  <c r="D258" i="4"/>
  <c r="C259" i="4"/>
  <c r="D259" i="4"/>
  <c r="C260" i="4"/>
  <c r="D260" i="4"/>
  <c r="C261" i="4"/>
  <c r="D261" i="4"/>
  <c r="C262" i="4"/>
  <c r="D262" i="4"/>
  <c r="C263" i="4"/>
  <c r="D263" i="4"/>
  <c r="C264" i="4"/>
  <c r="D264" i="4"/>
  <c r="C265" i="4"/>
  <c r="D265" i="4"/>
  <c r="C266" i="4"/>
  <c r="C267" i="4"/>
  <c r="D267" i="4"/>
  <c r="C268" i="4"/>
  <c r="D268" i="4"/>
  <c r="C269" i="4"/>
  <c r="D269" i="4"/>
  <c r="C270" i="4"/>
  <c r="D270" i="4"/>
  <c r="C271" i="4"/>
  <c r="D271" i="4"/>
  <c r="C272" i="4"/>
  <c r="D272" i="4"/>
  <c r="C273" i="4"/>
  <c r="D273" i="4"/>
  <c r="C274" i="4"/>
  <c r="D274" i="4"/>
  <c r="C275" i="4"/>
  <c r="D275" i="4"/>
  <c r="C276" i="4"/>
  <c r="D276" i="4"/>
  <c r="C277" i="4"/>
  <c r="D277" i="4"/>
  <c r="C278" i="4"/>
  <c r="D278" i="4"/>
  <c r="C279" i="4"/>
  <c r="D279" i="4"/>
  <c r="C280" i="4"/>
  <c r="D280" i="4"/>
  <c r="C281" i="4"/>
  <c r="D281" i="4"/>
  <c r="C282" i="4"/>
  <c r="D282" i="4"/>
  <c r="C283" i="4"/>
  <c r="D283" i="4"/>
  <c r="C284" i="4"/>
  <c r="D284" i="4"/>
  <c r="C285" i="4"/>
  <c r="D285" i="4"/>
  <c r="C286" i="4"/>
  <c r="D286" i="4"/>
  <c r="C287" i="4"/>
  <c r="D287" i="4"/>
  <c r="C288" i="4"/>
  <c r="D288" i="4"/>
  <c r="C289" i="4"/>
  <c r="D289" i="4"/>
  <c r="C290" i="4"/>
  <c r="D290" i="4"/>
  <c r="C291" i="4"/>
  <c r="D291" i="4"/>
  <c r="C292" i="4"/>
  <c r="D292" i="4"/>
  <c r="C293" i="4"/>
  <c r="D293" i="4"/>
  <c r="C294" i="4"/>
  <c r="D294" i="4"/>
  <c r="C295" i="4"/>
  <c r="D295" i="4"/>
  <c r="C296" i="4"/>
  <c r="D296" i="4"/>
  <c r="C297" i="4"/>
  <c r="D297" i="4"/>
  <c r="C298" i="4"/>
  <c r="D298" i="4"/>
  <c r="C299" i="4"/>
  <c r="D299" i="4"/>
  <c r="C300" i="4"/>
  <c r="D300" i="4"/>
  <c r="C301" i="4"/>
  <c r="D301" i="4"/>
  <c r="C302" i="4"/>
  <c r="D302" i="4"/>
  <c r="C303" i="4"/>
  <c r="D303" i="4"/>
  <c r="C304" i="4"/>
  <c r="D304" i="4"/>
  <c r="C305" i="4"/>
  <c r="D305" i="4"/>
  <c r="C306" i="4"/>
  <c r="D306" i="4"/>
  <c r="C307" i="4"/>
  <c r="D307" i="4"/>
  <c r="C308" i="4"/>
  <c r="D308" i="4"/>
  <c r="C309" i="4"/>
  <c r="D309" i="4"/>
  <c r="C310" i="4"/>
  <c r="D310" i="4"/>
  <c r="C311" i="4"/>
  <c r="D311" i="4"/>
  <c r="C312" i="4"/>
  <c r="D312" i="4"/>
  <c r="C313" i="4"/>
  <c r="D313" i="4"/>
  <c r="C314" i="4"/>
  <c r="D314" i="4"/>
  <c r="C315" i="4"/>
  <c r="D315" i="4"/>
  <c r="C316" i="4"/>
  <c r="D316" i="4"/>
  <c r="C317" i="4"/>
  <c r="D317" i="4"/>
  <c r="C318" i="4"/>
  <c r="C319" i="4"/>
  <c r="D319" i="4"/>
  <c r="C320" i="4"/>
  <c r="D320" i="4"/>
  <c r="C321" i="4"/>
  <c r="D321" i="4"/>
  <c r="C322" i="4"/>
  <c r="D322" i="4"/>
  <c r="C323" i="4"/>
  <c r="D323" i="4"/>
  <c r="C324" i="4"/>
  <c r="D324" i="4"/>
  <c r="C325" i="4"/>
  <c r="D325" i="4"/>
  <c r="C326" i="4"/>
  <c r="D326" i="4"/>
  <c r="C327" i="4"/>
  <c r="D327" i="4"/>
  <c r="C328" i="4"/>
  <c r="D328" i="4"/>
  <c r="C329" i="4"/>
  <c r="D329" i="4"/>
  <c r="C330" i="4"/>
  <c r="D330" i="4"/>
  <c r="C331" i="4"/>
  <c r="D331" i="4"/>
  <c r="C332" i="4"/>
  <c r="D332" i="4"/>
  <c r="C333" i="4"/>
  <c r="D333" i="4"/>
  <c r="C334" i="4"/>
  <c r="C335" i="4"/>
  <c r="D335" i="4"/>
  <c r="C336" i="4"/>
  <c r="D336" i="4"/>
  <c r="C337" i="4"/>
  <c r="D337" i="4"/>
  <c r="C338" i="4"/>
  <c r="C339" i="4"/>
  <c r="D339" i="4"/>
  <c r="C340" i="4"/>
  <c r="D340" i="4"/>
  <c r="C341" i="4"/>
  <c r="D341" i="4"/>
  <c r="C342" i="4"/>
  <c r="D342" i="4"/>
  <c r="C343" i="4"/>
  <c r="D343" i="4"/>
  <c r="C344" i="4"/>
  <c r="D344" i="4"/>
  <c r="C345" i="4"/>
  <c r="D345" i="4"/>
  <c r="C346" i="4"/>
  <c r="D346" i="4"/>
  <c r="C347" i="4"/>
  <c r="D347" i="4"/>
  <c r="C348" i="4"/>
  <c r="D348" i="4"/>
  <c r="C349" i="4"/>
  <c r="D349" i="4"/>
  <c r="C350" i="4"/>
  <c r="D350" i="4"/>
  <c r="C351" i="4"/>
  <c r="D351" i="4"/>
  <c r="C352" i="4"/>
  <c r="D352" i="4"/>
  <c r="C353" i="4"/>
  <c r="D353" i="4"/>
  <c r="C354" i="4"/>
  <c r="D354" i="4"/>
  <c r="C355" i="4"/>
  <c r="D355" i="4"/>
  <c r="C356" i="4"/>
  <c r="D356" i="4"/>
  <c r="C357" i="4"/>
  <c r="D357" i="4"/>
  <c r="C358" i="4"/>
  <c r="D358" i="4"/>
  <c r="C359" i="4"/>
  <c r="D359" i="4"/>
  <c r="C360" i="4"/>
  <c r="D360" i="4"/>
  <c r="C361" i="4"/>
  <c r="D361" i="4"/>
  <c r="C362" i="4"/>
  <c r="C363" i="4"/>
  <c r="D363" i="4"/>
  <c r="C364" i="4"/>
  <c r="D364" i="4"/>
  <c r="C365" i="4"/>
  <c r="D365" i="4"/>
  <c r="C366" i="4"/>
  <c r="D366" i="4"/>
  <c r="C367" i="4"/>
  <c r="D367" i="4"/>
  <c r="C368" i="4"/>
  <c r="D368" i="4"/>
  <c r="C369" i="4"/>
  <c r="D369" i="4"/>
  <c r="C370" i="4"/>
  <c r="D370" i="4"/>
  <c r="C371" i="4"/>
  <c r="D371" i="4"/>
  <c r="C372" i="4"/>
  <c r="D372" i="4"/>
  <c r="C373" i="4"/>
  <c r="D373" i="4"/>
  <c r="C374" i="4"/>
  <c r="D374" i="4"/>
  <c r="C375" i="4"/>
  <c r="D375" i="4"/>
  <c r="C376" i="4"/>
  <c r="D376" i="4"/>
  <c r="C377" i="4"/>
  <c r="D377" i="4"/>
  <c r="C378" i="4"/>
  <c r="D378" i="4"/>
  <c r="C379" i="4"/>
  <c r="D379" i="4"/>
  <c r="C380" i="4"/>
  <c r="D380" i="4"/>
  <c r="C381" i="4"/>
  <c r="D381" i="4"/>
  <c r="C382" i="4"/>
  <c r="D382" i="4"/>
  <c r="C383" i="4"/>
  <c r="D383" i="4"/>
  <c r="C384" i="4"/>
  <c r="D384" i="4"/>
  <c r="C385" i="4"/>
  <c r="D385" i="4"/>
  <c r="C386" i="4"/>
  <c r="D386" i="4"/>
  <c r="C387" i="4"/>
  <c r="D387" i="4"/>
  <c r="C388" i="4"/>
  <c r="D388" i="4"/>
  <c r="C389" i="4"/>
  <c r="D389" i="4"/>
  <c r="C390" i="4"/>
  <c r="D390" i="4"/>
  <c r="C391" i="4"/>
  <c r="D391" i="4"/>
  <c r="C392" i="4"/>
  <c r="D392" i="4"/>
  <c r="C393" i="4"/>
  <c r="D393" i="4"/>
  <c r="C394" i="4"/>
  <c r="D394" i="4"/>
  <c r="C395" i="4"/>
  <c r="D395" i="4"/>
  <c r="C396" i="4"/>
  <c r="D396" i="4"/>
  <c r="C21" i="7"/>
  <c r="D21" i="7"/>
  <c r="C22" i="7"/>
  <c r="D22" i="7"/>
  <c r="C23" i="7"/>
  <c r="D23" i="7"/>
  <c r="C24" i="7"/>
  <c r="D24" i="7"/>
  <c r="C25" i="7"/>
  <c r="D25" i="7"/>
  <c r="C26" i="7"/>
  <c r="D26" i="7"/>
  <c r="C27" i="7"/>
  <c r="D27" i="7"/>
  <c r="C28" i="7"/>
  <c r="D28" i="7"/>
  <c r="C29" i="7"/>
  <c r="D29" i="7"/>
  <c r="C30" i="7"/>
  <c r="D30" i="7"/>
  <c r="C31" i="7"/>
  <c r="D31" i="7"/>
  <c r="C32" i="7"/>
  <c r="D32" i="7"/>
  <c r="C33" i="7"/>
  <c r="D33" i="7"/>
  <c r="C34" i="7"/>
  <c r="D34" i="7"/>
  <c r="C35" i="7"/>
  <c r="D35" i="7"/>
  <c r="C36" i="7"/>
  <c r="D36" i="7"/>
  <c r="C37" i="7"/>
  <c r="D37" i="7"/>
  <c r="C38" i="7"/>
  <c r="D38" i="7"/>
  <c r="C39" i="7"/>
  <c r="D39" i="7"/>
  <c r="C40" i="7"/>
  <c r="D40" i="7"/>
  <c r="C41" i="7"/>
  <c r="D41" i="7"/>
  <c r="C42" i="7"/>
  <c r="D42" i="7"/>
  <c r="C43" i="7"/>
  <c r="D43" i="7"/>
  <c r="C44" i="7"/>
  <c r="D44" i="7"/>
  <c r="C45" i="7"/>
  <c r="D45" i="7"/>
  <c r="C46" i="7"/>
  <c r="D46" i="7"/>
  <c r="C47" i="7"/>
  <c r="D47" i="7"/>
  <c r="C48" i="7"/>
  <c r="D48" i="7"/>
  <c r="C49" i="7"/>
  <c r="D49" i="7"/>
  <c r="C50" i="7"/>
  <c r="D50" i="7"/>
  <c r="C51" i="7"/>
  <c r="D51" i="7"/>
  <c r="C52" i="7"/>
  <c r="D52" i="7"/>
  <c r="C53" i="7"/>
  <c r="D53" i="7"/>
  <c r="C54" i="7"/>
  <c r="D54" i="7"/>
  <c r="C55" i="7"/>
  <c r="D55" i="7"/>
  <c r="C56" i="7"/>
  <c r="C57" i="7"/>
  <c r="D57" i="7"/>
  <c r="C58" i="7"/>
  <c r="D58" i="7"/>
  <c r="C59" i="7"/>
  <c r="D59" i="7"/>
  <c r="C60" i="7"/>
  <c r="D60" i="7"/>
  <c r="C61" i="7"/>
  <c r="D61" i="7"/>
  <c r="C62" i="7"/>
  <c r="D62" i="7"/>
  <c r="C63" i="7"/>
  <c r="D63" i="7"/>
  <c r="C64" i="7"/>
  <c r="D64" i="7"/>
  <c r="C65" i="7"/>
  <c r="D65" i="7"/>
  <c r="C66" i="7"/>
  <c r="D66" i="7"/>
  <c r="C67" i="7"/>
  <c r="D67" i="7"/>
  <c r="C68" i="7"/>
  <c r="D68" i="7"/>
  <c r="C69" i="7"/>
  <c r="D69" i="7"/>
  <c r="C70" i="7"/>
  <c r="D70" i="7"/>
  <c r="C71" i="7"/>
  <c r="D71" i="7"/>
  <c r="C72" i="7"/>
  <c r="D72" i="7"/>
  <c r="C73" i="7"/>
  <c r="D73" i="7"/>
  <c r="C74" i="7"/>
  <c r="D74" i="7"/>
  <c r="C75" i="7"/>
  <c r="D75" i="7"/>
  <c r="C76" i="7"/>
  <c r="D76" i="7"/>
  <c r="C77" i="7"/>
  <c r="D77" i="7"/>
  <c r="C78" i="7"/>
  <c r="D78" i="7"/>
  <c r="C79" i="7"/>
  <c r="D79" i="7"/>
  <c r="C80" i="7"/>
  <c r="D80" i="7"/>
  <c r="C81" i="7"/>
  <c r="D81" i="7"/>
  <c r="C82" i="7"/>
  <c r="D82" i="7"/>
  <c r="C83" i="7"/>
  <c r="D83" i="7"/>
  <c r="C84" i="7"/>
  <c r="D84" i="7"/>
  <c r="C85" i="7"/>
  <c r="D85" i="7"/>
  <c r="C86" i="7"/>
  <c r="D86" i="7"/>
  <c r="C87" i="7"/>
  <c r="D87" i="7"/>
  <c r="C88" i="7"/>
  <c r="D88" i="7"/>
  <c r="C89" i="7"/>
  <c r="D89" i="7"/>
  <c r="C90" i="7"/>
  <c r="D90" i="7"/>
  <c r="C91" i="7"/>
  <c r="D91" i="7"/>
  <c r="C92" i="7"/>
  <c r="D92" i="7"/>
  <c r="C93" i="7"/>
  <c r="D93" i="7"/>
  <c r="C94" i="7"/>
  <c r="D94" i="7"/>
  <c r="C95" i="7"/>
  <c r="D95" i="7"/>
  <c r="C96" i="7"/>
  <c r="D96" i="7"/>
  <c r="C97" i="7"/>
  <c r="D97" i="7"/>
  <c r="C98" i="7"/>
  <c r="D98" i="7"/>
  <c r="C99" i="7"/>
  <c r="D99" i="7"/>
  <c r="C100" i="7"/>
  <c r="D100" i="7"/>
  <c r="C101" i="7"/>
  <c r="D101" i="7"/>
  <c r="C102" i="7"/>
  <c r="D102" i="7"/>
  <c r="C103" i="7"/>
  <c r="D103" i="7"/>
  <c r="C104" i="7"/>
  <c r="D104" i="7"/>
  <c r="C105" i="7"/>
  <c r="D105" i="7"/>
  <c r="C106" i="7"/>
  <c r="D106" i="7"/>
  <c r="C107" i="7"/>
  <c r="D107" i="7"/>
  <c r="C108" i="7"/>
  <c r="D108" i="7"/>
  <c r="C109" i="7"/>
  <c r="D109" i="7"/>
  <c r="C110" i="7"/>
  <c r="D110" i="7"/>
  <c r="C111" i="7"/>
  <c r="D111" i="7"/>
  <c r="C112" i="7"/>
  <c r="D112" i="7"/>
  <c r="C113" i="7"/>
  <c r="D113" i="7"/>
  <c r="C114" i="7"/>
  <c r="D114" i="7"/>
  <c r="C115" i="7"/>
  <c r="D115" i="7"/>
  <c r="C116" i="7"/>
  <c r="D116" i="7"/>
  <c r="C117" i="7"/>
  <c r="D117" i="7"/>
  <c r="C118" i="7"/>
  <c r="D118" i="7"/>
  <c r="C119" i="7"/>
  <c r="D119" i="7"/>
  <c r="C120" i="7"/>
  <c r="D120" i="7"/>
  <c r="C121" i="7"/>
  <c r="D121" i="7"/>
  <c r="C122" i="7"/>
  <c r="D122" i="7"/>
  <c r="C123" i="7"/>
  <c r="D123" i="7"/>
  <c r="C124" i="7"/>
  <c r="D124" i="7"/>
  <c r="C125" i="7"/>
  <c r="D125" i="7"/>
  <c r="C126" i="7"/>
  <c r="D126" i="7"/>
  <c r="C127" i="7"/>
  <c r="D127" i="7"/>
  <c r="C128" i="7"/>
  <c r="C129" i="7"/>
  <c r="D129" i="7"/>
  <c r="C130" i="7"/>
  <c r="D130" i="7"/>
  <c r="C131" i="7"/>
  <c r="D131" i="7"/>
  <c r="C132" i="7"/>
  <c r="D132" i="7"/>
  <c r="C133" i="7"/>
  <c r="D133" i="7"/>
  <c r="C134" i="7"/>
  <c r="D134" i="7"/>
  <c r="C135" i="7"/>
  <c r="D135" i="7"/>
  <c r="C136" i="7"/>
  <c r="C137" i="7"/>
  <c r="D137" i="7"/>
  <c r="C138" i="7"/>
  <c r="D138" i="7"/>
  <c r="C139" i="7"/>
  <c r="D139" i="7"/>
  <c r="C140" i="7"/>
  <c r="D140" i="7"/>
  <c r="C141" i="7"/>
  <c r="D141" i="7"/>
  <c r="C142" i="7"/>
  <c r="D142" i="7"/>
  <c r="C143" i="7"/>
  <c r="D143" i="7"/>
  <c r="C144" i="7"/>
  <c r="D144" i="7"/>
  <c r="C145" i="7"/>
  <c r="D145" i="7"/>
  <c r="C146" i="7"/>
  <c r="D146" i="7"/>
  <c r="C147" i="7"/>
  <c r="D147" i="7"/>
  <c r="C148" i="7"/>
  <c r="D148" i="7"/>
  <c r="C149" i="7"/>
  <c r="D149" i="7"/>
  <c r="C150" i="7"/>
  <c r="D150" i="7"/>
  <c r="C151" i="7"/>
  <c r="D151" i="7"/>
  <c r="C152" i="7"/>
  <c r="D152" i="7"/>
  <c r="C153" i="7"/>
  <c r="D153" i="7"/>
  <c r="C154" i="7"/>
  <c r="D154" i="7"/>
  <c r="C155" i="7"/>
  <c r="D155" i="7"/>
  <c r="C156" i="7"/>
  <c r="D156" i="7"/>
  <c r="C157" i="7"/>
  <c r="D157" i="7"/>
  <c r="C158" i="7"/>
  <c r="D158" i="7"/>
  <c r="C159" i="7"/>
  <c r="D159" i="7"/>
  <c r="C160" i="7"/>
  <c r="D160" i="7"/>
  <c r="C161" i="7"/>
  <c r="D161" i="7"/>
  <c r="C162" i="7"/>
  <c r="D162" i="7"/>
  <c r="C163" i="7"/>
  <c r="D163" i="7"/>
  <c r="C164" i="7"/>
  <c r="D164" i="7"/>
  <c r="C165" i="7"/>
  <c r="D165" i="7"/>
  <c r="C166" i="7"/>
  <c r="D166" i="7"/>
  <c r="C167" i="7"/>
  <c r="D167" i="7"/>
  <c r="C168" i="7"/>
  <c r="D168" i="7"/>
  <c r="C169" i="7"/>
  <c r="D169" i="7"/>
  <c r="C170" i="7"/>
  <c r="D170" i="7"/>
  <c r="C171" i="7"/>
  <c r="D171" i="7"/>
  <c r="C172" i="7"/>
  <c r="D172" i="7"/>
  <c r="C173" i="7"/>
  <c r="D173" i="7"/>
  <c r="C174" i="7"/>
  <c r="D174" i="7"/>
  <c r="C175" i="7"/>
  <c r="D175" i="7"/>
  <c r="C176" i="7"/>
  <c r="D176" i="7"/>
  <c r="C177" i="7"/>
  <c r="D177" i="7"/>
  <c r="C178" i="7"/>
  <c r="D178" i="7"/>
  <c r="C179" i="7"/>
  <c r="D179" i="7"/>
  <c r="C180" i="7"/>
  <c r="D180" i="7"/>
  <c r="C181" i="7"/>
  <c r="D181" i="7"/>
  <c r="C182" i="7"/>
  <c r="D182" i="7"/>
  <c r="C183" i="7"/>
  <c r="D183" i="7"/>
  <c r="C184" i="7"/>
  <c r="D184" i="7"/>
  <c r="C185" i="7"/>
  <c r="D185" i="7"/>
  <c r="C186" i="7"/>
  <c r="D186" i="7"/>
  <c r="C187" i="7"/>
  <c r="D187" i="7"/>
  <c r="C188" i="7"/>
  <c r="D188" i="7"/>
  <c r="C189" i="7"/>
  <c r="D189" i="7"/>
  <c r="C190" i="7"/>
  <c r="D190" i="7"/>
  <c r="C191" i="7"/>
  <c r="D191" i="7"/>
  <c r="C192" i="7"/>
  <c r="D192" i="7"/>
  <c r="C193" i="7"/>
  <c r="D193" i="7"/>
  <c r="C194" i="7"/>
  <c r="D194" i="7"/>
  <c r="C195" i="7"/>
  <c r="D195" i="7"/>
  <c r="C196" i="7"/>
  <c r="D196" i="7"/>
  <c r="C197" i="7"/>
  <c r="D197" i="7"/>
  <c r="C198" i="7"/>
  <c r="D198" i="7"/>
  <c r="C199" i="7"/>
  <c r="D199" i="7"/>
  <c r="C200" i="7"/>
  <c r="D200" i="7"/>
  <c r="C201" i="7"/>
  <c r="D201" i="7"/>
  <c r="C202" i="7"/>
  <c r="D202" i="7"/>
  <c r="C203" i="7"/>
  <c r="D203" i="7"/>
  <c r="C204" i="7"/>
  <c r="D204" i="7"/>
  <c r="C205" i="7"/>
  <c r="D205" i="7"/>
  <c r="C206" i="7"/>
  <c r="D206" i="7"/>
  <c r="C207" i="7"/>
  <c r="D207" i="7"/>
  <c r="C208" i="7"/>
  <c r="D208" i="7"/>
  <c r="C209" i="7"/>
  <c r="D209" i="7"/>
  <c r="C210" i="7"/>
  <c r="D210" i="7"/>
  <c r="C211" i="7"/>
  <c r="D211" i="7"/>
  <c r="C212" i="7"/>
  <c r="D212" i="7"/>
  <c r="C213" i="7"/>
  <c r="D213" i="7"/>
  <c r="C214" i="7"/>
  <c r="D214" i="7"/>
  <c r="C215" i="7"/>
  <c r="D215" i="7"/>
  <c r="C216" i="7"/>
  <c r="D216" i="7"/>
  <c r="C217" i="7"/>
  <c r="D217" i="7"/>
  <c r="C218" i="7"/>
  <c r="D218" i="7"/>
  <c r="C219" i="7"/>
  <c r="D219" i="7"/>
  <c r="C220" i="7"/>
  <c r="D220" i="7"/>
  <c r="C221" i="7"/>
  <c r="D221" i="7"/>
  <c r="C222" i="7"/>
  <c r="D222" i="7"/>
  <c r="C223" i="7"/>
  <c r="D223" i="7"/>
  <c r="C224" i="7"/>
  <c r="D224" i="7"/>
  <c r="C225" i="7"/>
  <c r="D225" i="7"/>
  <c r="C226" i="7"/>
  <c r="D226" i="7"/>
  <c r="C227" i="7"/>
  <c r="D227" i="7"/>
  <c r="C228" i="7"/>
  <c r="D228" i="7"/>
  <c r="C229" i="7"/>
  <c r="D229" i="7"/>
  <c r="C230" i="7"/>
  <c r="D230" i="7"/>
  <c r="C231" i="7"/>
  <c r="D231" i="7"/>
  <c r="C232" i="7"/>
  <c r="D232" i="7"/>
  <c r="C233" i="7"/>
  <c r="D233" i="7"/>
  <c r="C234" i="7"/>
  <c r="D234" i="7"/>
  <c r="C235" i="7"/>
  <c r="D235" i="7"/>
  <c r="C236" i="7"/>
  <c r="D236" i="7"/>
  <c r="C237" i="7"/>
  <c r="D237" i="7"/>
  <c r="C238" i="7"/>
  <c r="D238" i="7"/>
  <c r="C239" i="7"/>
  <c r="D239" i="7"/>
  <c r="C240" i="7"/>
  <c r="D240" i="7"/>
  <c r="C241" i="7"/>
  <c r="D241" i="7"/>
  <c r="C242" i="7"/>
  <c r="D242" i="7"/>
  <c r="C243" i="7"/>
  <c r="D243" i="7"/>
  <c r="C244" i="7"/>
  <c r="D244" i="7"/>
  <c r="C245" i="7"/>
  <c r="D245" i="7"/>
  <c r="C246" i="7"/>
  <c r="D246" i="7"/>
  <c r="C247" i="7"/>
  <c r="D247" i="7"/>
  <c r="C248" i="7"/>
  <c r="D248" i="7"/>
  <c r="C249" i="7"/>
  <c r="D249" i="7"/>
  <c r="C250" i="7"/>
  <c r="D250" i="7"/>
  <c r="C251" i="7"/>
  <c r="D251" i="7"/>
  <c r="C252" i="7"/>
  <c r="D252" i="7"/>
  <c r="C253" i="7"/>
  <c r="D253" i="7"/>
  <c r="C254" i="7"/>
  <c r="D254" i="7"/>
  <c r="C255" i="7"/>
  <c r="D255" i="7"/>
  <c r="C256" i="7"/>
  <c r="D256" i="7"/>
  <c r="C257" i="7"/>
  <c r="D257" i="7"/>
  <c r="C258" i="7"/>
  <c r="D258" i="7"/>
  <c r="C259" i="7"/>
  <c r="D259" i="7"/>
  <c r="C260" i="7"/>
  <c r="D260" i="7"/>
  <c r="C261" i="7"/>
  <c r="D261" i="7"/>
  <c r="C262" i="7"/>
  <c r="D262" i="7"/>
  <c r="C263" i="7"/>
  <c r="D263" i="7"/>
  <c r="C264" i="7"/>
  <c r="D264" i="7"/>
  <c r="C265" i="7"/>
  <c r="D265" i="7"/>
  <c r="C266" i="7"/>
  <c r="D266" i="7"/>
  <c r="C267" i="7"/>
  <c r="D267" i="7"/>
  <c r="C268" i="7"/>
  <c r="D268" i="7"/>
  <c r="C269" i="7"/>
  <c r="D269" i="7"/>
  <c r="C270" i="7"/>
  <c r="D270" i="7"/>
  <c r="C271" i="7"/>
  <c r="D271" i="7"/>
  <c r="C272" i="7"/>
  <c r="D272" i="7"/>
  <c r="C273" i="7"/>
  <c r="D273" i="7"/>
  <c r="C274" i="7"/>
  <c r="D274" i="7"/>
  <c r="C275" i="7"/>
  <c r="D275" i="7"/>
  <c r="C276" i="7"/>
  <c r="D276" i="7"/>
  <c r="C277" i="7"/>
  <c r="D277" i="7"/>
  <c r="C278" i="7"/>
  <c r="D278" i="7"/>
  <c r="C279" i="7"/>
  <c r="D279" i="7"/>
  <c r="C280" i="7"/>
  <c r="D280" i="7"/>
  <c r="C281" i="7"/>
  <c r="D281" i="7"/>
  <c r="C282" i="7"/>
  <c r="D282" i="7"/>
  <c r="C283" i="7"/>
  <c r="D283" i="7"/>
  <c r="C284" i="7"/>
  <c r="D284" i="7"/>
  <c r="C285" i="7"/>
  <c r="D285" i="7"/>
  <c r="C286" i="7"/>
  <c r="D286" i="7"/>
  <c r="C287" i="7"/>
  <c r="D287" i="7"/>
  <c r="C288" i="7"/>
  <c r="D288" i="7"/>
  <c r="C289" i="7"/>
  <c r="D289" i="7"/>
  <c r="C290" i="7"/>
  <c r="D290" i="7"/>
  <c r="C291" i="7"/>
  <c r="D291" i="7"/>
  <c r="C292" i="7"/>
  <c r="D292" i="7"/>
  <c r="C293" i="7"/>
  <c r="D293" i="7"/>
  <c r="C294" i="7"/>
  <c r="D294" i="7"/>
  <c r="C295" i="7"/>
  <c r="D295" i="7"/>
  <c r="C296" i="7"/>
  <c r="D296" i="7"/>
  <c r="C297" i="7"/>
  <c r="D297" i="7"/>
  <c r="C298" i="7"/>
  <c r="D298" i="7"/>
  <c r="C299" i="7"/>
  <c r="D299" i="7"/>
  <c r="C300" i="7"/>
  <c r="D300" i="7"/>
  <c r="C301" i="7"/>
  <c r="D301" i="7"/>
  <c r="C302" i="7"/>
  <c r="D302" i="7"/>
  <c r="C303" i="7"/>
  <c r="D303" i="7"/>
  <c r="C304" i="7"/>
  <c r="D304" i="7"/>
  <c r="C305" i="7"/>
  <c r="D305" i="7"/>
  <c r="C306" i="7"/>
  <c r="D306" i="7"/>
  <c r="C307" i="7"/>
  <c r="D307" i="7"/>
  <c r="C308" i="7"/>
  <c r="D308" i="7"/>
  <c r="C309" i="7"/>
  <c r="D309" i="7"/>
  <c r="C310" i="7"/>
  <c r="D310" i="7"/>
  <c r="C311" i="7"/>
  <c r="D311" i="7"/>
  <c r="C312" i="7"/>
  <c r="D312" i="7"/>
  <c r="C313" i="7"/>
  <c r="D313" i="7"/>
  <c r="C314" i="7"/>
  <c r="D314" i="7"/>
  <c r="C315" i="7"/>
  <c r="D315" i="7"/>
  <c r="C316" i="7"/>
  <c r="D316" i="7"/>
  <c r="C317" i="7"/>
  <c r="D317" i="7"/>
  <c r="C318" i="7"/>
  <c r="D318" i="7"/>
  <c r="C319" i="7"/>
  <c r="D319" i="7"/>
  <c r="C320" i="7"/>
  <c r="D320" i="7"/>
  <c r="C321" i="7"/>
  <c r="D321" i="7"/>
  <c r="C322" i="7"/>
  <c r="D322" i="7"/>
  <c r="C323" i="7"/>
  <c r="D323" i="7"/>
  <c r="C324" i="7"/>
  <c r="D324" i="7"/>
  <c r="C325" i="7"/>
  <c r="D325" i="7"/>
  <c r="C326" i="7"/>
  <c r="D326" i="7"/>
  <c r="C327" i="7"/>
  <c r="D327" i="7"/>
  <c r="C328" i="7"/>
  <c r="D328" i="7"/>
  <c r="C329" i="7"/>
  <c r="D329" i="7"/>
  <c r="C330" i="7"/>
  <c r="D330" i="7"/>
  <c r="C331" i="7"/>
  <c r="D331" i="7"/>
  <c r="C332" i="7"/>
  <c r="D332" i="7"/>
  <c r="C333" i="7"/>
  <c r="D333" i="7"/>
  <c r="C334" i="7"/>
  <c r="D334" i="7"/>
  <c r="C335" i="7"/>
  <c r="D335" i="7"/>
  <c r="C336" i="7"/>
  <c r="D336" i="7"/>
  <c r="C337" i="7"/>
  <c r="D337" i="7"/>
  <c r="C338" i="7"/>
  <c r="D338" i="7"/>
  <c r="C339" i="7"/>
  <c r="D339" i="7"/>
  <c r="C340" i="7"/>
  <c r="D340" i="7"/>
  <c r="C341" i="7"/>
  <c r="D341" i="7"/>
  <c r="C342" i="7"/>
  <c r="D342" i="7"/>
  <c r="C343" i="7"/>
  <c r="D343" i="7"/>
  <c r="C344" i="7"/>
  <c r="D344" i="7"/>
  <c r="C345" i="7"/>
  <c r="D345" i="7"/>
  <c r="C346" i="7"/>
  <c r="D346" i="7"/>
  <c r="C347" i="7"/>
  <c r="D347" i="7"/>
  <c r="C348" i="7"/>
  <c r="D348" i="7"/>
  <c r="C349" i="7"/>
  <c r="D349" i="7"/>
  <c r="C350" i="7"/>
  <c r="D350" i="7"/>
  <c r="C351" i="7"/>
  <c r="D351" i="7"/>
  <c r="C352" i="7"/>
  <c r="D352" i="7"/>
  <c r="C353" i="7"/>
  <c r="D353" i="7"/>
  <c r="C354" i="7"/>
  <c r="D354" i="7"/>
  <c r="C355" i="7"/>
  <c r="D355" i="7"/>
  <c r="C356" i="7"/>
  <c r="D356" i="7"/>
  <c r="C357" i="7"/>
  <c r="D357" i="7"/>
  <c r="C358" i="7"/>
  <c r="D358" i="7"/>
  <c r="C359" i="7"/>
  <c r="D359" i="7"/>
  <c r="C360" i="7"/>
  <c r="D360" i="7"/>
  <c r="C361" i="7"/>
  <c r="D361" i="7"/>
  <c r="C362" i="7"/>
  <c r="D362" i="7"/>
  <c r="C363" i="7"/>
  <c r="D363" i="7"/>
  <c r="C364" i="7"/>
  <c r="D364" i="7"/>
  <c r="C365" i="7"/>
  <c r="D365" i="7"/>
  <c r="C366" i="7"/>
  <c r="D366" i="7"/>
  <c r="C367" i="7"/>
  <c r="D367" i="7"/>
  <c r="C368" i="7"/>
  <c r="D368" i="7"/>
  <c r="C369" i="7"/>
  <c r="D369" i="7"/>
  <c r="C370" i="7"/>
  <c r="D370" i="7"/>
  <c r="C371" i="7"/>
  <c r="D371" i="7"/>
  <c r="C372" i="7"/>
  <c r="D372" i="7"/>
  <c r="C373" i="7"/>
  <c r="D373" i="7"/>
  <c r="C374" i="7"/>
  <c r="D374" i="7"/>
  <c r="C375" i="7"/>
  <c r="D375" i="7"/>
  <c r="C376" i="7"/>
  <c r="D376" i="7"/>
  <c r="C377" i="7"/>
  <c r="D377" i="7"/>
  <c r="C378" i="7"/>
  <c r="D378" i="7"/>
  <c r="C379" i="7"/>
  <c r="D379" i="7"/>
  <c r="C380" i="7"/>
  <c r="D380" i="7"/>
  <c r="C381" i="7"/>
  <c r="D381" i="7"/>
  <c r="C382" i="7"/>
  <c r="D382" i="7"/>
  <c r="C383" i="7"/>
  <c r="D383" i="7"/>
  <c r="C384" i="7"/>
  <c r="D384" i="7"/>
  <c r="C385" i="7"/>
  <c r="D385" i="7"/>
  <c r="C386" i="7"/>
  <c r="D386" i="7"/>
  <c r="C387" i="7"/>
  <c r="D387" i="7"/>
  <c r="C388" i="7"/>
  <c r="D388" i="7"/>
  <c r="C389" i="7"/>
  <c r="D389" i="7"/>
  <c r="C390" i="7"/>
  <c r="D390" i="7"/>
  <c r="C391" i="7"/>
  <c r="D391" i="7"/>
  <c r="C392" i="7"/>
  <c r="D392" i="7"/>
  <c r="C21" i="8"/>
  <c r="D21" i="8"/>
  <c r="C22" i="8"/>
  <c r="C23" i="8"/>
  <c r="D23" i="8"/>
  <c r="C24" i="8"/>
  <c r="C25" i="8"/>
  <c r="D25" i="8"/>
  <c r="C26" i="8"/>
  <c r="C27" i="8"/>
  <c r="D27" i="8"/>
  <c r="C28" i="8"/>
  <c r="D28" i="8"/>
  <c r="C29" i="8"/>
  <c r="C30" i="8"/>
  <c r="C31" i="8"/>
  <c r="D31" i="8"/>
  <c r="C32" i="8"/>
  <c r="D32" i="8"/>
  <c r="C33" i="8"/>
  <c r="D33" i="8"/>
  <c r="C34" i="8"/>
  <c r="C35" i="8"/>
  <c r="D35" i="8"/>
  <c r="C36" i="8"/>
  <c r="D36" i="8"/>
  <c r="C37" i="8"/>
  <c r="D37" i="8"/>
  <c r="C38" i="8"/>
  <c r="C39" i="8"/>
  <c r="D39" i="8"/>
  <c r="C40" i="8"/>
  <c r="D40" i="8"/>
  <c r="C41" i="8"/>
  <c r="D41" i="8"/>
  <c r="C42" i="8"/>
  <c r="C43" i="8"/>
  <c r="D43" i="8"/>
  <c r="C44" i="8"/>
  <c r="D44" i="8"/>
  <c r="C45" i="8"/>
  <c r="D45" i="8"/>
  <c r="C46" i="8"/>
  <c r="C47" i="8"/>
  <c r="D47" i="8"/>
  <c r="C48" i="8"/>
  <c r="D48" i="8"/>
  <c r="C49" i="8"/>
  <c r="C50" i="8"/>
  <c r="C51" i="8"/>
  <c r="D51" i="8"/>
  <c r="C52" i="8"/>
  <c r="D52" i="8"/>
  <c r="C53" i="8"/>
  <c r="D53" i="8"/>
  <c r="C54" i="8"/>
  <c r="C55" i="8"/>
  <c r="D55" i="8"/>
  <c r="C56" i="8"/>
  <c r="D56" i="8"/>
  <c r="C57" i="8"/>
  <c r="D57" i="8"/>
  <c r="C58" i="8"/>
  <c r="C59" i="8"/>
  <c r="D59" i="8"/>
  <c r="C60" i="8"/>
  <c r="C61" i="8"/>
  <c r="D61" i="8"/>
  <c r="C62" i="8"/>
  <c r="C63" i="8"/>
  <c r="D63" i="8"/>
  <c r="C64" i="8"/>
  <c r="C65" i="8"/>
  <c r="D65" i="8"/>
  <c r="C66" i="8"/>
  <c r="C67" i="8"/>
  <c r="D67" i="8"/>
  <c r="C68" i="8"/>
  <c r="C69" i="8"/>
  <c r="D69" i="8"/>
  <c r="C70" i="8"/>
  <c r="C71" i="8"/>
  <c r="D71" i="8"/>
  <c r="C72" i="8"/>
  <c r="D72" i="8"/>
  <c r="C73" i="8"/>
  <c r="D73" i="8"/>
  <c r="C74" i="8"/>
  <c r="C75" i="8"/>
  <c r="D75" i="8"/>
  <c r="C76" i="8"/>
  <c r="D76" i="8"/>
  <c r="C77" i="8"/>
  <c r="D77" i="8"/>
  <c r="C78" i="8"/>
  <c r="C79" i="8"/>
  <c r="D79" i="8"/>
  <c r="C80" i="8"/>
  <c r="D80" i="8"/>
  <c r="C81" i="8"/>
  <c r="D81" i="8"/>
  <c r="C82" i="8"/>
  <c r="C83" i="8"/>
  <c r="D83" i="8"/>
  <c r="C84" i="8"/>
  <c r="D84" i="8"/>
  <c r="C85" i="8"/>
  <c r="D85" i="8"/>
  <c r="C86" i="8"/>
  <c r="C87" i="8"/>
  <c r="D87" i="8"/>
  <c r="C88" i="8"/>
  <c r="C89" i="8"/>
  <c r="D89" i="8"/>
  <c r="C90" i="8"/>
  <c r="C91" i="8"/>
  <c r="D91" i="8"/>
  <c r="C92" i="8"/>
  <c r="D92" i="8"/>
  <c r="C93" i="8"/>
  <c r="D93" i="8"/>
  <c r="C94" i="8"/>
  <c r="C95" i="8"/>
  <c r="D95" i="8"/>
  <c r="C96" i="8"/>
  <c r="D96" i="8"/>
  <c r="C97" i="8"/>
  <c r="D97" i="8"/>
  <c r="C98" i="8"/>
  <c r="C99" i="8"/>
  <c r="D99" i="8"/>
  <c r="C100" i="8"/>
  <c r="D100" i="8"/>
  <c r="C101" i="8"/>
  <c r="D101" i="8"/>
  <c r="C102" i="8"/>
  <c r="C103" i="8"/>
  <c r="D103" i="8"/>
  <c r="C104" i="8"/>
  <c r="D104" i="8"/>
  <c r="C105" i="8"/>
  <c r="D105" i="8"/>
  <c r="C106" i="8"/>
  <c r="C107" i="8"/>
  <c r="D107" i="8"/>
  <c r="C108" i="8"/>
  <c r="C109" i="8"/>
  <c r="D109" i="8"/>
  <c r="C110" i="8"/>
  <c r="C111" i="8"/>
  <c r="D111" i="8"/>
  <c r="C112" i="8"/>
  <c r="D112" i="8"/>
  <c r="C113" i="8"/>
  <c r="D113" i="8"/>
  <c r="C114" i="8"/>
  <c r="C115" i="8"/>
  <c r="D115" i="8"/>
  <c r="C116" i="8"/>
  <c r="D116" i="8"/>
  <c r="C117" i="8"/>
  <c r="D117" i="8"/>
  <c r="C118" i="8"/>
  <c r="C119" i="8"/>
  <c r="D119" i="8"/>
  <c r="C120" i="8"/>
  <c r="C121" i="8"/>
  <c r="D121" i="8"/>
  <c r="C122" i="8"/>
  <c r="C123" i="8"/>
  <c r="D123" i="8"/>
  <c r="C124" i="8"/>
  <c r="D124" i="8"/>
  <c r="C125" i="8"/>
  <c r="D125" i="8"/>
  <c r="C126" i="8"/>
  <c r="C127" i="8"/>
  <c r="D127" i="8"/>
  <c r="C128" i="8"/>
  <c r="C129" i="8"/>
  <c r="C130" i="8"/>
  <c r="C131" i="8"/>
  <c r="D131" i="8"/>
  <c r="C132" i="8"/>
  <c r="C133" i="8"/>
  <c r="D133" i="8"/>
  <c r="C134" i="8"/>
  <c r="C135" i="8"/>
  <c r="D135" i="8"/>
  <c r="C136" i="8"/>
  <c r="D136" i="8"/>
  <c r="C137" i="8"/>
  <c r="D137" i="8"/>
  <c r="C138" i="8"/>
  <c r="C139" i="8"/>
  <c r="D139" i="8"/>
  <c r="C140" i="8"/>
  <c r="D140" i="8"/>
  <c r="C141" i="8"/>
  <c r="D141" i="8"/>
  <c r="C142" i="8"/>
  <c r="C143" i="8"/>
  <c r="D143" i="8"/>
  <c r="C144" i="8"/>
  <c r="D144" i="8"/>
  <c r="C145" i="8"/>
  <c r="D145" i="8"/>
  <c r="C146" i="8"/>
  <c r="C147" i="8"/>
  <c r="D147" i="8"/>
  <c r="C148" i="8"/>
  <c r="D148" i="8"/>
  <c r="C149" i="8"/>
  <c r="D149" i="8"/>
  <c r="C150" i="8"/>
  <c r="G150" i="8"/>
  <c r="C21" i="10"/>
  <c r="C22" i="10"/>
  <c r="C23" i="10"/>
  <c r="C24" i="10"/>
  <c r="D24" i="10"/>
  <c r="C25" i="10"/>
  <c r="D25" i="10"/>
  <c r="C26" i="10"/>
  <c r="C27" i="10"/>
  <c r="D27" i="10"/>
  <c r="C28" i="10"/>
  <c r="D28" i="10"/>
  <c r="C29" i="10"/>
  <c r="D29" i="10"/>
  <c r="C30" i="10"/>
  <c r="C31" i="10"/>
  <c r="D31" i="10"/>
  <c r="C32" i="10"/>
  <c r="D32" i="10"/>
  <c r="C33" i="10"/>
  <c r="D33" i="10"/>
  <c r="C34" i="10"/>
  <c r="C35" i="10"/>
  <c r="D35" i="10"/>
  <c r="C36" i="10"/>
  <c r="D36" i="10"/>
  <c r="C37" i="10"/>
  <c r="D37" i="10"/>
  <c r="C38" i="10"/>
  <c r="C39" i="10"/>
  <c r="D39" i="10"/>
  <c r="C40" i="10"/>
  <c r="D40" i="10"/>
  <c r="C41" i="10"/>
  <c r="D41" i="10"/>
  <c r="C42" i="10"/>
  <c r="C43" i="10"/>
  <c r="D43" i="10"/>
  <c r="C44" i="10"/>
  <c r="D44" i="10"/>
  <c r="C45" i="10"/>
  <c r="D45" i="10"/>
  <c r="C46" i="10"/>
  <c r="C47" i="10"/>
  <c r="D47" i="10"/>
  <c r="C48" i="10"/>
  <c r="D48" i="10"/>
  <c r="C49" i="10"/>
  <c r="C50" i="10"/>
  <c r="C51" i="10"/>
  <c r="C52" i="10"/>
  <c r="D52" i="10"/>
  <c r="C53" i="10"/>
  <c r="D53" i="10"/>
  <c r="C54" i="10"/>
  <c r="C55" i="10"/>
  <c r="D55" i="10"/>
  <c r="C56" i="10"/>
  <c r="D56" i="10"/>
  <c r="C57" i="10"/>
  <c r="D57" i="10"/>
  <c r="C58" i="10"/>
  <c r="C59" i="10"/>
  <c r="D59" i="10"/>
  <c r="C60" i="10"/>
  <c r="D60" i="10"/>
  <c r="C61" i="10"/>
  <c r="D61" i="10"/>
  <c r="C62" i="10"/>
  <c r="C63" i="10"/>
  <c r="D63" i="10"/>
  <c r="C64" i="10"/>
  <c r="D64" i="10"/>
  <c r="C65" i="10"/>
  <c r="D65" i="10"/>
  <c r="C66" i="10"/>
  <c r="C67" i="10"/>
  <c r="D67" i="10"/>
  <c r="C68" i="10"/>
  <c r="D68" i="10"/>
  <c r="C69" i="10"/>
  <c r="C70" i="10"/>
  <c r="C71" i="10"/>
  <c r="D71" i="10"/>
  <c r="C72" i="10"/>
  <c r="D72" i="10"/>
  <c r="C73" i="10"/>
  <c r="D73" i="10"/>
  <c r="C74" i="10"/>
  <c r="C75" i="10"/>
  <c r="D75" i="10"/>
  <c r="C76" i="10"/>
  <c r="D76" i="10"/>
  <c r="C77" i="10"/>
  <c r="D77" i="10"/>
  <c r="C78" i="10"/>
  <c r="C79" i="10"/>
  <c r="D79" i="10"/>
  <c r="C80" i="10"/>
  <c r="D80" i="10"/>
  <c r="C81" i="10"/>
  <c r="D81" i="10"/>
  <c r="C82" i="10"/>
  <c r="C83" i="10"/>
  <c r="D83" i="10"/>
  <c r="C84" i="10"/>
  <c r="D84" i="10"/>
  <c r="C85" i="10"/>
  <c r="D85" i="10"/>
  <c r="C86" i="10"/>
  <c r="C87" i="10"/>
  <c r="C88" i="10"/>
  <c r="D88" i="10"/>
  <c r="C89" i="10"/>
  <c r="D89" i="10"/>
  <c r="C90" i="10"/>
  <c r="C91" i="10"/>
  <c r="C92" i="10"/>
  <c r="D92" i="10"/>
  <c r="C93" i="10"/>
  <c r="C94" i="10"/>
  <c r="C95" i="10"/>
  <c r="D95" i="10"/>
  <c r="C96" i="10"/>
  <c r="D96" i="10"/>
  <c r="C97" i="10"/>
  <c r="D97" i="10"/>
  <c r="C98" i="10"/>
  <c r="C99" i="10"/>
  <c r="D99" i="10"/>
  <c r="C100" i="10"/>
  <c r="D100" i="10"/>
  <c r="C101" i="10"/>
  <c r="D101" i="10"/>
  <c r="C102" i="10"/>
  <c r="C103" i="10"/>
  <c r="C104" i="10"/>
  <c r="D104" i="10"/>
  <c r="C105" i="10"/>
  <c r="D105" i="10"/>
  <c r="C106" i="10"/>
  <c r="C107" i="10"/>
  <c r="D107" i="10"/>
  <c r="C108" i="10"/>
  <c r="D108" i="10"/>
  <c r="C109" i="10"/>
  <c r="C110" i="10"/>
  <c r="C111" i="10"/>
  <c r="D111" i="10"/>
  <c r="C112" i="10"/>
  <c r="D112" i="10"/>
  <c r="C113" i="10"/>
  <c r="D113" i="10"/>
  <c r="C114" i="10"/>
  <c r="C115" i="10"/>
  <c r="D115" i="10"/>
  <c r="C116" i="10"/>
  <c r="D116" i="10"/>
  <c r="C117" i="10"/>
  <c r="D117" i="10"/>
  <c r="C118" i="10"/>
  <c r="C119" i="10"/>
  <c r="D119" i="10"/>
  <c r="C120" i="10"/>
  <c r="D120" i="10"/>
  <c r="C121" i="10"/>
  <c r="D121" i="10"/>
  <c r="C122" i="10"/>
  <c r="C123" i="10"/>
  <c r="D123" i="10"/>
  <c r="C124" i="10"/>
  <c r="D124" i="10"/>
  <c r="C125" i="10"/>
  <c r="D125" i="10"/>
  <c r="C126" i="10"/>
  <c r="C127" i="10"/>
  <c r="D127" i="10"/>
  <c r="C128" i="10"/>
  <c r="D128" i="10"/>
  <c r="C129" i="10"/>
  <c r="D129" i="10"/>
  <c r="C130" i="10"/>
  <c r="C131" i="10"/>
  <c r="D131" i="10"/>
  <c r="C132" i="10"/>
  <c r="D132" i="10"/>
  <c r="C133" i="10"/>
  <c r="D133" i="10"/>
  <c r="C134" i="10"/>
  <c r="C135" i="10"/>
  <c r="D135" i="10"/>
  <c r="C136" i="10"/>
  <c r="D136" i="10"/>
  <c r="C137" i="10"/>
  <c r="C138" i="10"/>
  <c r="C139" i="10"/>
  <c r="D139" i="10"/>
  <c r="C140" i="10"/>
  <c r="D140" i="10"/>
  <c r="C141" i="10"/>
  <c r="D141" i="10"/>
  <c r="C142" i="10"/>
  <c r="G142" i="10"/>
  <c r="C21" i="11"/>
  <c r="C22" i="11"/>
  <c r="D22" i="11"/>
  <c r="C23" i="11"/>
  <c r="D23" i="11"/>
  <c r="C24" i="11"/>
  <c r="D24" i="11"/>
  <c r="C25" i="11"/>
  <c r="D25" i="11"/>
  <c r="C26" i="11"/>
  <c r="D26" i="11"/>
  <c r="C27" i="11"/>
  <c r="C28" i="11"/>
  <c r="D28" i="11"/>
  <c r="C29" i="11"/>
  <c r="D29" i="11"/>
  <c r="C30" i="11"/>
  <c r="D30" i="11"/>
  <c r="C31" i="11"/>
  <c r="D31" i="11"/>
  <c r="C32" i="11"/>
  <c r="D32" i="11"/>
  <c r="C33" i="11"/>
  <c r="D33" i="11"/>
  <c r="C34" i="11"/>
  <c r="D34" i="11"/>
  <c r="C35" i="11"/>
  <c r="D35" i="11"/>
  <c r="C36" i="11"/>
  <c r="C37" i="11"/>
  <c r="D37" i="11"/>
  <c r="C38" i="11"/>
  <c r="D38" i="11"/>
  <c r="C39" i="11"/>
  <c r="D39" i="11"/>
  <c r="C40" i="11"/>
  <c r="D40" i="11"/>
  <c r="C41" i="11"/>
  <c r="D41" i="11"/>
  <c r="C42" i="11"/>
  <c r="D42" i="11"/>
  <c r="C43" i="11"/>
  <c r="D43" i="11"/>
  <c r="C44" i="11"/>
  <c r="D44" i="11"/>
  <c r="C45" i="11"/>
  <c r="D45" i="11"/>
  <c r="C46" i="11"/>
  <c r="D46" i="11"/>
  <c r="C47" i="11"/>
  <c r="C48" i="11"/>
  <c r="D48" i="11"/>
  <c r="C49" i="11"/>
  <c r="D49" i="11"/>
  <c r="C50" i="11"/>
  <c r="D50" i="11"/>
  <c r="C51" i="11"/>
  <c r="D51" i="11"/>
  <c r="C52" i="11"/>
  <c r="D52" i="11"/>
  <c r="C53" i="11"/>
  <c r="D53" i="11"/>
  <c r="C54" i="11"/>
  <c r="D54" i="11"/>
  <c r="C55" i="11"/>
  <c r="D55" i="11"/>
  <c r="C56" i="11"/>
  <c r="D56" i="11"/>
  <c r="C57" i="11"/>
  <c r="D57" i="11"/>
  <c r="C58" i="11"/>
  <c r="D58" i="11"/>
  <c r="C59" i="11"/>
  <c r="D59" i="11"/>
  <c r="C60" i="11"/>
  <c r="D60" i="11"/>
  <c r="C61" i="11"/>
  <c r="D61" i="11"/>
  <c r="C62" i="11"/>
  <c r="D62" i="11"/>
  <c r="C63" i="11"/>
  <c r="D63" i="11"/>
  <c r="C64" i="11"/>
  <c r="C65" i="11"/>
  <c r="D65" i="11"/>
  <c r="C66" i="11"/>
  <c r="D66" i="11"/>
  <c r="C67" i="11"/>
  <c r="C68" i="11"/>
  <c r="C69" i="11"/>
  <c r="D69" i="11"/>
  <c r="C70" i="11"/>
  <c r="D70" i="11"/>
  <c r="C71" i="11"/>
  <c r="D71" i="11"/>
  <c r="C72" i="11"/>
  <c r="D72" i="11"/>
  <c r="C73" i="11"/>
  <c r="D73" i="11"/>
  <c r="C74" i="11"/>
  <c r="D74" i="11"/>
  <c r="C75" i="11"/>
  <c r="C76" i="11"/>
  <c r="D76" i="11"/>
  <c r="C77" i="11"/>
  <c r="D77" i="11"/>
  <c r="C78" i="11"/>
  <c r="D78" i="11"/>
  <c r="C79" i="11"/>
  <c r="D79" i="11"/>
  <c r="C80" i="11"/>
  <c r="D80" i="11"/>
  <c r="C81" i="11"/>
  <c r="D81" i="11"/>
  <c r="C82" i="11"/>
  <c r="D82" i="11"/>
  <c r="C83" i="11"/>
  <c r="C84" i="11"/>
  <c r="D84" i="11"/>
  <c r="C85" i="11"/>
  <c r="D85" i="11"/>
  <c r="C86" i="11"/>
  <c r="D86" i="11"/>
  <c r="C87" i="11"/>
  <c r="D87" i="11"/>
  <c r="C88" i="11"/>
  <c r="D88" i="11"/>
  <c r="C89" i="11"/>
  <c r="D89" i="11"/>
  <c r="C90" i="11"/>
  <c r="D90" i="11"/>
  <c r="C91" i="11"/>
  <c r="C92" i="11"/>
  <c r="D92" i="11"/>
  <c r="C93" i="11"/>
  <c r="D93" i="11"/>
  <c r="C94" i="11"/>
  <c r="D94" i="11"/>
  <c r="C95" i="11"/>
  <c r="D95" i="11"/>
  <c r="C96" i="11"/>
  <c r="D96" i="11"/>
  <c r="C97" i="11"/>
  <c r="D97" i="11"/>
  <c r="C98" i="11"/>
  <c r="D98" i="11"/>
  <c r="C99" i="11"/>
  <c r="C100" i="11"/>
  <c r="D100" i="11"/>
  <c r="C101" i="11"/>
  <c r="D101" i="11"/>
  <c r="C102" i="11"/>
  <c r="D102" i="11"/>
  <c r="C103" i="11"/>
  <c r="D103" i="11"/>
  <c r="C104" i="11"/>
  <c r="D104" i="11"/>
  <c r="C105" i="11"/>
  <c r="D105" i="11"/>
  <c r="C106" i="11"/>
  <c r="D106" i="11"/>
  <c r="C107" i="11"/>
  <c r="D107" i="11"/>
  <c r="C108" i="11"/>
  <c r="C109" i="11"/>
  <c r="D109" i="11"/>
  <c r="C110" i="11"/>
  <c r="D110" i="11"/>
  <c r="C111" i="11"/>
  <c r="D111" i="11"/>
  <c r="C112" i="11"/>
  <c r="D112" i="11"/>
  <c r="C113" i="11"/>
  <c r="D113" i="11"/>
  <c r="C114" i="11"/>
  <c r="D114" i="11"/>
  <c r="C115" i="11"/>
  <c r="D115" i="11"/>
  <c r="C116" i="11"/>
  <c r="D116" i="11"/>
  <c r="C117" i="11"/>
  <c r="D117" i="11"/>
  <c r="C118" i="11"/>
  <c r="D118" i="11"/>
  <c r="C119" i="11"/>
  <c r="D119" i="11"/>
  <c r="C120" i="11"/>
  <c r="C121" i="11"/>
  <c r="D121" i="11"/>
  <c r="C122" i="11"/>
  <c r="D122" i="11"/>
  <c r="C123" i="11"/>
  <c r="D123" i="11"/>
  <c r="C124" i="11"/>
  <c r="D124" i="11"/>
  <c r="C125" i="11"/>
  <c r="D125" i="11"/>
  <c r="C126" i="11"/>
  <c r="D126" i="11"/>
  <c r="C127" i="11"/>
  <c r="D127" i="11"/>
  <c r="C128" i="11"/>
  <c r="D128" i="11"/>
  <c r="C129" i="11"/>
  <c r="D129" i="11"/>
  <c r="C130" i="11"/>
  <c r="D130" i="11"/>
  <c r="C131" i="11"/>
  <c r="D131" i="11"/>
  <c r="C132" i="11"/>
  <c r="C133" i="11"/>
  <c r="D133" i="11"/>
  <c r="C134" i="11"/>
  <c r="D134" i="11"/>
  <c r="C135" i="11"/>
  <c r="C136" i="11"/>
  <c r="D136" i="11"/>
  <c r="C137" i="11"/>
  <c r="D137" i="11"/>
  <c r="C138" i="11"/>
  <c r="D138" i="11"/>
  <c r="C139" i="11"/>
  <c r="C140" i="11"/>
  <c r="D140" i="11"/>
  <c r="C141" i="11"/>
  <c r="D141" i="11"/>
  <c r="C142" i="11"/>
  <c r="D142" i="11"/>
  <c r="C143" i="11"/>
  <c r="D143" i="11"/>
  <c r="C144" i="11"/>
  <c r="D144" i="11"/>
  <c r="C145" i="11"/>
  <c r="D145" i="11"/>
  <c r="C146" i="11"/>
  <c r="D146" i="11"/>
  <c r="C147" i="11"/>
  <c r="C148" i="11"/>
  <c r="C149" i="11"/>
  <c r="D149" i="11"/>
  <c r="C150" i="11"/>
  <c r="D150" i="11"/>
  <c r="C151" i="11"/>
  <c r="D151" i="11"/>
  <c r="C152" i="11"/>
  <c r="C153" i="11"/>
  <c r="D153" i="11"/>
  <c r="C154" i="11"/>
  <c r="D154" i="11"/>
  <c r="C155" i="11"/>
  <c r="C156" i="11"/>
  <c r="D156" i="11"/>
  <c r="C157" i="11"/>
  <c r="D157" i="11"/>
  <c r="C158" i="11"/>
  <c r="D158" i="11"/>
  <c r="C159" i="11"/>
  <c r="C160" i="11"/>
  <c r="D160" i="11"/>
  <c r="C161" i="11"/>
  <c r="D161" i="11"/>
  <c r="C162" i="11"/>
  <c r="D162" i="11"/>
  <c r="C163" i="11"/>
  <c r="D163" i="11"/>
  <c r="C164" i="11"/>
  <c r="D164" i="11"/>
  <c r="C165" i="11"/>
  <c r="D165" i="11"/>
  <c r="C166" i="11"/>
  <c r="D166" i="11"/>
  <c r="C167" i="11"/>
  <c r="D167" i="11"/>
  <c r="C168" i="11"/>
  <c r="C169" i="11"/>
  <c r="D169" i="11"/>
  <c r="C170" i="11"/>
  <c r="D170" i="11"/>
  <c r="C171" i="11"/>
  <c r="D171" i="11"/>
  <c r="C172" i="11"/>
  <c r="C173" i="11"/>
  <c r="D173" i="11"/>
  <c r="C174" i="11"/>
  <c r="D174" i="11"/>
  <c r="C175" i="11"/>
  <c r="D175" i="11"/>
  <c r="C176" i="11"/>
  <c r="D176" i="11"/>
  <c r="C177" i="11"/>
  <c r="D177" i="11"/>
  <c r="C178" i="11"/>
  <c r="D178" i="11"/>
  <c r="C179" i="11"/>
  <c r="D179" i="11"/>
  <c r="C180" i="11"/>
  <c r="D180" i="11"/>
  <c r="C181" i="11"/>
  <c r="D181" i="11"/>
  <c r="C182" i="11"/>
  <c r="C183" i="11"/>
  <c r="D183" i="11"/>
  <c r="C184" i="11"/>
  <c r="D184" i="11"/>
  <c r="C185" i="11"/>
  <c r="D185" i="11"/>
  <c r="C186" i="11"/>
  <c r="D186" i="11"/>
  <c r="C187" i="11"/>
  <c r="D187" i="11"/>
  <c r="C188" i="11"/>
  <c r="D188" i="11"/>
  <c r="C189" i="11"/>
  <c r="D189" i="11"/>
  <c r="C190" i="11"/>
  <c r="D190" i="11"/>
  <c r="C191" i="11"/>
  <c r="D191" i="11"/>
  <c r="C192" i="11"/>
  <c r="C193" i="11"/>
  <c r="D193" i="11"/>
  <c r="C194" i="11"/>
  <c r="D194" i="11"/>
  <c r="C195" i="11"/>
  <c r="D195" i="11"/>
  <c r="C196" i="11"/>
  <c r="C197" i="11"/>
  <c r="D197" i="11"/>
  <c r="C198" i="11"/>
  <c r="D198" i="11"/>
  <c r="C199" i="11"/>
  <c r="D199" i="11"/>
  <c r="C200" i="11"/>
  <c r="C201" i="11"/>
  <c r="D201" i="11"/>
  <c r="C202" i="11"/>
  <c r="D202" i="11"/>
  <c r="C203" i="11"/>
  <c r="D203" i="11"/>
  <c r="C204" i="11"/>
  <c r="C205" i="11"/>
  <c r="D205" i="11"/>
  <c r="C206" i="11"/>
  <c r="D206" i="11"/>
  <c r="C207" i="11"/>
  <c r="D207" i="11"/>
  <c r="C208" i="11"/>
  <c r="D208" i="11"/>
  <c r="C209" i="11"/>
  <c r="D209" i="11"/>
  <c r="C210" i="11"/>
  <c r="D210" i="11"/>
  <c r="C211" i="11"/>
  <c r="C212" i="11"/>
  <c r="D212" i="11"/>
  <c r="C213" i="11"/>
  <c r="D213" i="11"/>
  <c r="C214" i="11"/>
  <c r="D214" i="11"/>
  <c r="C215" i="11"/>
  <c r="D215" i="11"/>
  <c r="C216" i="11"/>
  <c r="D216" i="11"/>
  <c r="C217" i="11"/>
  <c r="D217" i="11"/>
  <c r="C218" i="11"/>
  <c r="D218" i="11"/>
  <c r="C219" i="11"/>
  <c r="D219" i="11"/>
  <c r="C220" i="11"/>
  <c r="D220" i="11"/>
  <c r="C221" i="11"/>
  <c r="D221" i="11"/>
  <c r="C222" i="11"/>
  <c r="D222" i="11"/>
  <c r="C223" i="11"/>
  <c r="D223" i="11"/>
  <c r="C224" i="11"/>
  <c r="C225" i="11"/>
  <c r="D225" i="11"/>
  <c r="C226" i="11"/>
  <c r="D226" i="11"/>
  <c r="C227" i="11"/>
  <c r="D227" i="11"/>
  <c r="C228" i="11"/>
  <c r="D228" i="11"/>
  <c r="C229" i="11"/>
  <c r="D229" i="11"/>
  <c r="C230" i="11"/>
  <c r="D230" i="11"/>
  <c r="C231" i="11"/>
  <c r="D231" i="11"/>
  <c r="C232" i="11"/>
  <c r="C233" i="11"/>
  <c r="D233" i="11"/>
  <c r="C234" i="11"/>
  <c r="D234" i="11"/>
  <c r="C235" i="11"/>
  <c r="C236" i="11"/>
  <c r="C237" i="11"/>
  <c r="D237" i="11"/>
  <c r="C238" i="11"/>
  <c r="D238" i="11"/>
  <c r="C239" i="11"/>
  <c r="D239" i="11"/>
  <c r="C240" i="11"/>
  <c r="C241" i="11"/>
  <c r="D241" i="11"/>
  <c r="C242" i="11"/>
  <c r="D242" i="11"/>
  <c r="C243" i="11"/>
  <c r="D243" i="11"/>
  <c r="C244" i="11"/>
  <c r="D244" i="11"/>
  <c r="C245" i="11"/>
  <c r="D245" i="11"/>
  <c r="C246" i="11"/>
  <c r="D246" i="11"/>
  <c r="C247" i="11"/>
  <c r="D247" i="11"/>
  <c r="C248" i="11"/>
  <c r="D248" i="11"/>
  <c r="C249" i="11"/>
  <c r="D249" i="11"/>
  <c r="C250" i="11"/>
  <c r="D250" i="11"/>
  <c r="C251" i="11"/>
  <c r="D251" i="11"/>
  <c r="C252" i="11"/>
  <c r="D252" i="11"/>
  <c r="C253" i="11"/>
  <c r="D253" i="11"/>
  <c r="C254" i="11"/>
  <c r="D254" i="11"/>
  <c r="C255" i="11"/>
  <c r="D255" i="11"/>
  <c r="C256" i="11"/>
  <c r="C257" i="11"/>
  <c r="D257" i="11"/>
  <c r="C258" i="11"/>
  <c r="D258" i="11"/>
  <c r="C259" i="11"/>
  <c r="D259" i="11"/>
  <c r="C260" i="11"/>
  <c r="D260" i="11"/>
  <c r="C261" i="11"/>
  <c r="D261" i="11"/>
  <c r="C262" i="11"/>
  <c r="D262" i="11"/>
  <c r="C263" i="11"/>
  <c r="D263" i="11"/>
  <c r="C264" i="11"/>
  <c r="D264" i="11"/>
  <c r="C265" i="11"/>
  <c r="D265" i="11"/>
  <c r="C266" i="11"/>
  <c r="D266" i="11"/>
  <c r="C267" i="11"/>
  <c r="D267" i="11"/>
  <c r="C268" i="11"/>
  <c r="C269" i="11"/>
  <c r="D269" i="11"/>
  <c r="C270" i="11"/>
  <c r="D270" i="11"/>
  <c r="C271" i="11"/>
  <c r="D271" i="11"/>
  <c r="C272" i="11"/>
  <c r="D272" i="11"/>
  <c r="C273" i="11"/>
  <c r="D273" i="11"/>
  <c r="C274" i="11"/>
  <c r="D274" i="11"/>
  <c r="C275" i="11"/>
  <c r="D275" i="11"/>
  <c r="C276" i="11"/>
  <c r="D276" i="11"/>
  <c r="C277" i="11"/>
  <c r="D277" i="11"/>
  <c r="C278" i="11"/>
  <c r="D278" i="11"/>
  <c r="C279" i="11"/>
  <c r="D279" i="11"/>
  <c r="C280" i="11"/>
  <c r="D280" i="11"/>
  <c r="C281" i="11"/>
  <c r="D281" i="11"/>
  <c r="C282" i="11"/>
  <c r="D282" i="11"/>
  <c r="C283" i="11"/>
  <c r="D283" i="11"/>
  <c r="C284" i="11"/>
  <c r="D284" i="11"/>
  <c r="C285" i="11"/>
  <c r="D285" i="11"/>
  <c r="C286" i="11"/>
  <c r="D286" i="11"/>
  <c r="C287" i="11"/>
  <c r="D287" i="11"/>
  <c r="C288" i="11"/>
  <c r="D288" i="11"/>
  <c r="C289" i="11"/>
  <c r="D289" i="11"/>
  <c r="C290" i="11"/>
  <c r="D290" i="11"/>
  <c r="C291" i="11"/>
  <c r="C292" i="11"/>
  <c r="D292" i="11"/>
  <c r="C293" i="11"/>
  <c r="D293" i="11"/>
  <c r="C294" i="11"/>
  <c r="D294" i="11"/>
  <c r="C295" i="11"/>
  <c r="D295" i="11"/>
  <c r="C296" i="11"/>
  <c r="D296" i="11"/>
  <c r="C297" i="11"/>
  <c r="D297" i="11"/>
  <c r="C298" i="11"/>
  <c r="D298" i="11"/>
  <c r="C299" i="11"/>
  <c r="D299" i="11"/>
  <c r="C300" i="11"/>
  <c r="D300" i="11"/>
  <c r="C301" i="11"/>
  <c r="D301" i="11"/>
  <c r="C302" i="11"/>
  <c r="D302" i="11"/>
  <c r="C303" i="11"/>
  <c r="D303" i="11"/>
  <c r="C304" i="11"/>
  <c r="D304" i="11"/>
  <c r="C305" i="11"/>
  <c r="D305" i="11"/>
  <c r="C306" i="11"/>
  <c r="D306" i="11"/>
  <c r="C307" i="11"/>
  <c r="D307" i="11"/>
  <c r="C308" i="11"/>
  <c r="D308" i="11"/>
  <c r="C309" i="11"/>
  <c r="D309" i="11"/>
  <c r="C310" i="11"/>
  <c r="D310" i="11"/>
  <c r="C311" i="11"/>
  <c r="D311" i="11"/>
  <c r="C312" i="11"/>
  <c r="D312" i="11"/>
  <c r="C313" i="11"/>
  <c r="D313" i="11"/>
  <c r="C314" i="11"/>
  <c r="D314" i="11"/>
  <c r="C315" i="11"/>
  <c r="D315" i="11"/>
  <c r="C316" i="11"/>
  <c r="D316" i="11"/>
  <c r="C317" i="11"/>
  <c r="D317" i="11"/>
  <c r="C318" i="11"/>
  <c r="D318" i="11"/>
  <c r="C319" i="11"/>
  <c r="D319" i="11"/>
  <c r="C320" i="11"/>
  <c r="D320" i="11"/>
  <c r="C321" i="11"/>
  <c r="D321" i="11"/>
  <c r="C322" i="11"/>
  <c r="D322" i="11"/>
  <c r="C323" i="11"/>
  <c r="D323" i="11"/>
  <c r="C324" i="11"/>
  <c r="D324" i="11"/>
  <c r="C325" i="11"/>
  <c r="D325" i="11"/>
  <c r="C326" i="11"/>
  <c r="D326" i="11"/>
  <c r="C327" i="11"/>
  <c r="D327" i="11"/>
  <c r="C328" i="11"/>
  <c r="D328" i="11"/>
  <c r="C329" i="11"/>
  <c r="D329" i="11"/>
  <c r="C330" i="11"/>
  <c r="D330" i="11"/>
  <c r="C331" i="11"/>
  <c r="D331" i="11"/>
  <c r="C332" i="11"/>
  <c r="D332" i="11"/>
  <c r="C333" i="11"/>
  <c r="D333" i="11"/>
  <c r="C334" i="11"/>
  <c r="D334" i="11"/>
  <c r="C335" i="11"/>
  <c r="D335" i="11"/>
  <c r="C336" i="11"/>
  <c r="D336" i="11"/>
  <c r="C337" i="11"/>
  <c r="D337" i="11"/>
  <c r="C338" i="11"/>
  <c r="D338" i="11"/>
  <c r="C339" i="11"/>
  <c r="D339" i="11"/>
  <c r="C340" i="11"/>
  <c r="D340" i="11"/>
  <c r="C341" i="11"/>
  <c r="D341" i="11"/>
  <c r="C342" i="11"/>
  <c r="D342" i="11"/>
  <c r="C343" i="11"/>
  <c r="D343" i="11"/>
  <c r="C344" i="11"/>
  <c r="D344" i="11"/>
  <c r="C345" i="11"/>
  <c r="D345" i="11"/>
  <c r="C346" i="11"/>
  <c r="D346" i="11"/>
  <c r="C347" i="11"/>
  <c r="D347" i="11"/>
  <c r="C348" i="11"/>
  <c r="D348" i="11"/>
  <c r="C349" i="11"/>
  <c r="D349" i="11"/>
  <c r="C350" i="11"/>
  <c r="D350" i="11"/>
  <c r="C351" i="11"/>
  <c r="D351" i="11"/>
  <c r="C352" i="11"/>
  <c r="D352" i="11"/>
  <c r="C353" i="11"/>
  <c r="D353" i="11"/>
  <c r="C354" i="11"/>
  <c r="D354" i="11"/>
  <c r="C355" i="11"/>
  <c r="D355" i="11"/>
  <c r="C356" i="11"/>
  <c r="D356" i="11"/>
  <c r="C357" i="11"/>
  <c r="D357" i="11"/>
  <c r="C358" i="11"/>
  <c r="D358" i="11"/>
  <c r="C359" i="11"/>
  <c r="D359" i="11"/>
  <c r="C360" i="11"/>
  <c r="D360" i="11"/>
  <c r="C361" i="11"/>
  <c r="D361" i="11"/>
  <c r="C362" i="11"/>
  <c r="D362" i="11"/>
  <c r="C363" i="11"/>
  <c r="D363" i="11"/>
  <c r="C364" i="11"/>
  <c r="D364" i="11"/>
  <c r="C365" i="11"/>
  <c r="D365" i="11"/>
  <c r="C366" i="11"/>
  <c r="D366" i="11"/>
  <c r="F263" i="11"/>
  <c r="G263" i="11"/>
  <c r="C21" i="12"/>
  <c r="D21" i="12"/>
  <c r="C22" i="12"/>
  <c r="C23" i="12"/>
  <c r="D23" i="12"/>
  <c r="C24" i="12"/>
  <c r="D24" i="12"/>
  <c r="C25" i="12"/>
  <c r="D25" i="12"/>
  <c r="C26" i="12"/>
  <c r="D26" i="12"/>
  <c r="C27" i="12"/>
  <c r="D27" i="12"/>
  <c r="C28" i="12"/>
  <c r="C29" i="12"/>
  <c r="D29" i="12"/>
  <c r="C30" i="12"/>
  <c r="D30" i="12"/>
  <c r="C31" i="12"/>
  <c r="D31" i="12"/>
  <c r="C32" i="12"/>
  <c r="D32" i="12"/>
  <c r="C33" i="12"/>
  <c r="D33" i="12"/>
  <c r="C34" i="12"/>
  <c r="D34" i="12"/>
  <c r="C35" i="12"/>
  <c r="C36" i="12"/>
  <c r="D36" i="12"/>
  <c r="C37" i="12"/>
  <c r="D37" i="12"/>
  <c r="C38" i="12"/>
  <c r="D38" i="12"/>
  <c r="C39" i="12"/>
  <c r="D39" i="12"/>
  <c r="C40" i="12"/>
  <c r="D40" i="12"/>
  <c r="C41" i="12"/>
  <c r="D41" i="12"/>
  <c r="C42" i="12"/>
  <c r="D42" i="12"/>
  <c r="C43" i="12"/>
  <c r="D43" i="12"/>
  <c r="C44" i="12"/>
  <c r="D44" i="12"/>
  <c r="C45" i="12"/>
  <c r="D45" i="12"/>
  <c r="C46" i="12"/>
  <c r="D46" i="12"/>
  <c r="C47" i="12"/>
  <c r="D47" i="12"/>
  <c r="C48" i="12"/>
  <c r="D48" i="12"/>
  <c r="C49" i="12"/>
  <c r="D49" i="12"/>
  <c r="C50" i="12"/>
  <c r="D50" i="12"/>
  <c r="C51" i="12"/>
  <c r="D51" i="12"/>
  <c r="C52" i="12"/>
  <c r="D52" i="12"/>
  <c r="C53" i="12"/>
  <c r="D53" i="12"/>
  <c r="C54" i="12"/>
  <c r="D54" i="12"/>
  <c r="C55" i="12"/>
  <c r="D55" i="12"/>
  <c r="C56" i="12"/>
  <c r="D56" i="12"/>
  <c r="C57" i="12"/>
  <c r="D57" i="12"/>
  <c r="C58" i="12"/>
  <c r="D58" i="12"/>
  <c r="C59" i="12"/>
  <c r="D59" i="12"/>
  <c r="C60" i="12"/>
  <c r="D60" i="12"/>
  <c r="C61" i="12"/>
  <c r="D61" i="12"/>
  <c r="C62" i="12"/>
  <c r="D62" i="12"/>
  <c r="C63" i="12"/>
  <c r="D63" i="12"/>
  <c r="C64" i="12"/>
  <c r="D64" i="12"/>
  <c r="C65" i="12"/>
  <c r="D65" i="12"/>
  <c r="C66" i="12"/>
  <c r="D66" i="12"/>
  <c r="C67" i="12"/>
  <c r="D67" i="12"/>
  <c r="C68" i="12"/>
  <c r="D68" i="12"/>
  <c r="C69" i="12"/>
  <c r="D69" i="12"/>
  <c r="C70" i="12"/>
  <c r="D70" i="12"/>
  <c r="C71" i="12"/>
  <c r="D71" i="12"/>
  <c r="C72" i="12"/>
  <c r="D72" i="12"/>
  <c r="C73" i="12"/>
  <c r="D73" i="12"/>
  <c r="C74" i="12"/>
  <c r="D74" i="12"/>
  <c r="C75" i="12"/>
  <c r="D75" i="12"/>
  <c r="C76" i="12"/>
  <c r="D76" i="12"/>
  <c r="C77" i="12"/>
  <c r="C78" i="12"/>
  <c r="D78" i="12"/>
  <c r="C79" i="12"/>
  <c r="D79" i="12"/>
  <c r="C80" i="12"/>
  <c r="D80" i="12"/>
  <c r="C81" i="12"/>
  <c r="D81" i="12"/>
  <c r="C82" i="12"/>
  <c r="D82" i="12"/>
  <c r="C83" i="12"/>
  <c r="D83" i="12"/>
  <c r="C84" i="12"/>
  <c r="D84" i="12"/>
  <c r="C85" i="12"/>
  <c r="D85" i="12"/>
  <c r="C86" i="12"/>
  <c r="D86" i="12"/>
  <c r="C87" i="12"/>
  <c r="C88" i="12"/>
  <c r="D88" i="12"/>
  <c r="C89" i="12"/>
  <c r="D89" i="12"/>
  <c r="C90" i="12"/>
  <c r="D90" i="12"/>
  <c r="C91" i="12"/>
  <c r="D91" i="12"/>
  <c r="C92" i="12"/>
  <c r="D92" i="12"/>
  <c r="C93" i="12"/>
  <c r="D93" i="12"/>
  <c r="C94" i="12"/>
  <c r="D94" i="12"/>
  <c r="C95" i="12"/>
  <c r="D95" i="12"/>
  <c r="C96" i="12"/>
  <c r="D96" i="12"/>
  <c r="C97" i="12"/>
  <c r="C98" i="12"/>
  <c r="D98" i="12"/>
  <c r="C99" i="12"/>
  <c r="D99" i="12"/>
  <c r="C100" i="12"/>
  <c r="D100" i="12"/>
  <c r="C101" i="12"/>
  <c r="D101" i="12"/>
  <c r="C102" i="12"/>
  <c r="D102" i="12"/>
  <c r="C103" i="12"/>
  <c r="D103" i="12"/>
  <c r="C104" i="12"/>
  <c r="D104" i="12"/>
  <c r="C105" i="12"/>
  <c r="D105" i="12"/>
  <c r="C106" i="12"/>
  <c r="D106" i="12"/>
  <c r="C107" i="12"/>
  <c r="D107" i="12"/>
  <c r="C108" i="12"/>
  <c r="D108" i="12"/>
  <c r="C109" i="12"/>
  <c r="D109" i="12"/>
  <c r="C110" i="12"/>
  <c r="D110" i="12"/>
  <c r="C111" i="12"/>
  <c r="D111" i="12"/>
  <c r="C112" i="12"/>
  <c r="D112" i="12"/>
  <c r="C113" i="12"/>
  <c r="D113" i="12"/>
  <c r="C114" i="12"/>
  <c r="D114" i="12"/>
  <c r="C115" i="12"/>
  <c r="D115" i="12"/>
  <c r="C116" i="12"/>
  <c r="D116" i="12"/>
  <c r="C117" i="12"/>
  <c r="C118" i="12"/>
  <c r="D118" i="12"/>
  <c r="C119" i="12"/>
  <c r="D119" i="12"/>
  <c r="C120" i="12"/>
  <c r="D120" i="12"/>
  <c r="C121" i="12"/>
  <c r="D121" i="12"/>
  <c r="C122" i="12"/>
  <c r="D122" i="12"/>
  <c r="C123" i="12"/>
  <c r="D123" i="12"/>
  <c r="C124" i="12"/>
  <c r="D124" i="12"/>
  <c r="C125" i="12"/>
  <c r="D125" i="12"/>
  <c r="C126" i="12"/>
  <c r="D126" i="12"/>
  <c r="C127" i="12"/>
  <c r="D127" i="12"/>
  <c r="C128" i="12"/>
  <c r="D128" i="12"/>
  <c r="C129" i="12"/>
  <c r="D129" i="12"/>
  <c r="C130" i="12"/>
  <c r="D130" i="12"/>
  <c r="C131" i="12"/>
  <c r="D131" i="12"/>
  <c r="C132" i="12"/>
  <c r="D132" i="12"/>
  <c r="C133" i="12"/>
  <c r="D133" i="12"/>
  <c r="C134" i="12"/>
  <c r="D134" i="12"/>
  <c r="C135" i="12"/>
  <c r="D135" i="12"/>
  <c r="C136" i="12"/>
  <c r="D136" i="12"/>
  <c r="C137" i="12"/>
  <c r="C138" i="12"/>
  <c r="D138" i="12"/>
  <c r="C139" i="12"/>
  <c r="D139" i="12"/>
  <c r="C140" i="12"/>
  <c r="D140" i="12"/>
  <c r="C141" i="12"/>
  <c r="D141" i="12"/>
  <c r="C142" i="12"/>
  <c r="D142" i="12"/>
  <c r="C143" i="12"/>
  <c r="C144" i="12"/>
  <c r="D144" i="12"/>
  <c r="C145" i="12"/>
  <c r="D145" i="12"/>
  <c r="C146" i="12"/>
  <c r="D146" i="12"/>
  <c r="C147" i="12"/>
  <c r="D147" i="12"/>
  <c r="C148" i="12"/>
  <c r="D148" i="12"/>
  <c r="C149" i="12"/>
  <c r="D149" i="12"/>
  <c r="C150" i="12"/>
  <c r="D150" i="12"/>
  <c r="C151" i="12"/>
  <c r="D151" i="12"/>
  <c r="C152" i="12"/>
  <c r="D152" i="12"/>
  <c r="C153" i="12"/>
  <c r="D153" i="12"/>
  <c r="C154" i="12"/>
  <c r="D154" i="12"/>
  <c r="C155" i="12"/>
  <c r="D155" i="12"/>
  <c r="C156" i="12"/>
  <c r="D156" i="12"/>
  <c r="C157" i="12"/>
  <c r="D157" i="12"/>
  <c r="C158" i="12"/>
  <c r="D158" i="12"/>
  <c r="C159" i="12"/>
  <c r="D159" i="12"/>
  <c r="C160" i="12"/>
  <c r="D160" i="12"/>
  <c r="C161" i="12"/>
  <c r="D161" i="12"/>
  <c r="C162" i="12"/>
  <c r="D162" i="12"/>
  <c r="C163" i="12"/>
  <c r="D163" i="12"/>
  <c r="C164" i="12"/>
  <c r="D164" i="12"/>
  <c r="C165" i="12"/>
  <c r="D165" i="12"/>
  <c r="C166" i="12"/>
  <c r="D166" i="12"/>
  <c r="C167" i="12"/>
  <c r="D167" i="12"/>
  <c r="C168" i="12"/>
  <c r="D168" i="12"/>
  <c r="C169" i="12"/>
  <c r="D169" i="12"/>
  <c r="C170" i="12"/>
  <c r="D170" i="12"/>
  <c r="C171" i="12"/>
  <c r="D171" i="12"/>
  <c r="C172" i="12"/>
  <c r="D172" i="12"/>
  <c r="C173" i="12"/>
  <c r="D173" i="12"/>
  <c r="C174" i="12"/>
  <c r="D174" i="12"/>
  <c r="C175" i="12"/>
  <c r="D175" i="12"/>
  <c r="C176" i="12"/>
  <c r="D176" i="12"/>
  <c r="C177" i="12"/>
  <c r="D177" i="12"/>
  <c r="C178" i="12"/>
  <c r="D178" i="12"/>
  <c r="C179" i="12"/>
  <c r="D179" i="12"/>
  <c r="C180" i="12"/>
  <c r="D180" i="12"/>
  <c r="C181" i="12"/>
  <c r="C182" i="12"/>
  <c r="D182" i="12"/>
  <c r="C183" i="12"/>
  <c r="D183" i="12"/>
  <c r="C184" i="12"/>
  <c r="D184" i="12"/>
  <c r="C185" i="12"/>
  <c r="D185" i="12"/>
  <c r="C186" i="12"/>
  <c r="D186" i="12"/>
  <c r="C187" i="12"/>
  <c r="D187" i="12"/>
  <c r="C188" i="12"/>
  <c r="D188" i="12"/>
  <c r="C189" i="12"/>
  <c r="D189" i="12"/>
  <c r="C190" i="12"/>
  <c r="D190" i="12"/>
  <c r="C191" i="12"/>
  <c r="D191" i="12"/>
  <c r="C192" i="12"/>
  <c r="D192" i="12"/>
  <c r="C193" i="12"/>
  <c r="D193" i="12"/>
  <c r="C194" i="12"/>
  <c r="D194" i="12"/>
  <c r="C195" i="12"/>
  <c r="D195" i="12"/>
  <c r="C196" i="12"/>
  <c r="D196" i="12"/>
  <c r="C197" i="12"/>
  <c r="D197" i="12"/>
  <c r="C198" i="12"/>
  <c r="D198" i="12"/>
  <c r="C199" i="12"/>
  <c r="D199" i="12"/>
  <c r="C200" i="12"/>
  <c r="D200" i="12"/>
  <c r="C201" i="12"/>
  <c r="D201" i="12"/>
  <c r="C202" i="12"/>
  <c r="D202" i="12"/>
  <c r="C203" i="12"/>
  <c r="D203" i="12"/>
  <c r="C204" i="12"/>
  <c r="D204" i="12"/>
  <c r="C205" i="12"/>
  <c r="D205" i="12"/>
  <c r="C206" i="12"/>
  <c r="D206" i="12"/>
  <c r="C207" i="12"/>
  <c r="D207" i="12"/>
  <c r="C208" i="12"/>
  <c r="D208" i="12"/>
  <c r="C209" i="12"/>
  <c r="C210" i="12"/>
  <c r="D210" i="12"/>
  <c r="C211" i="12"/>
  <c r="D211" i="12"/>
  <c r="C212" i="12"/>
  <c r="D212" i="12"/>
  <c r="C213" i="12"/>
  <c r="D213" i="12"/>
  <c r="C214" i="12"/>
  <c r="D214" i="12"/>
  <c r="C215" i="12"/>
  <c r="D215" i="12"/>
  <c r="C216" i="12"/>
  <c r="D216" i="12"/>
  <c r="C217" i="12"/>
  <c r="D217" i="12"/>
  <c r="C218" i="12"/>
  <c r="D218" i="12"/>
  <c r="C219" i="12"/>
  <c r="D219" i="12"/>
  <c r="C220" i="12"/>
  <c r="D220" i="12"/>
  <c r="C221" i="12"/>
  <c r="D221" i="12"/>
  <c r="C222" i="12"/>
  <c r="D222" i="12"/>
  <c r="C223" i="12"/>
  <c r="D223" i="12"/>
  <c r="C224" i="12"/>
  <c r="D224" i="12"/>
  <c r="C225" i="12"/>
  <c r="D225" i="12"/>
  <c r="C226" i="12"/>
  <c r="D226" i="12"/>
  <c r="C227" i="12"/>
  <c r="D227" i="12"/>
  <c r="C228" i="12"/>
  <c r="D228" i="12"/>
  <c r="C229" i="12"/>
  <c r="D229" i="12"/>
  <c r="C230" i="12"/>
  <c r="D230" i="12"/>
  <c r="C231" i="12"/>
  <c r="D231" i="12"/>
  <c r="C232" i="12"/>
  <c r="D232" i="12"/>
  <c r="C233" i="12"/>
  <c r="D233" i="12"/>
  <c r="C234" i="12"/>
  <c r="D234" i="12"/>
  <c r="C235" i="12"/>
  <c r="D235" i="12"/>
  <c r="C236" i="12"/>
  <c r="D236" i="12"/>
  <c r="C237" i="12"/>
  <c r="C238" i="12"/>
  <c r="D238" i="12"/>
  <c r="C239" i="12"/>
  <c r="D239" i="12"/>
  <c r="C240" i="12"/>
  <c r="D240" i="12"/>
  <c r="C241" i="12"/>
  <c r="C242" i="12"/>
  <c r="D242" i="12"/>
  <c r="C243" i="12"/>
  <c r="D243" i="12"/>
  <c r="C244" i="12"/>
  <c r="D244" i="12"/>
  <c r="C245" i="12"/>
  <c r="D245" i="12"/>
  <c r="C246" i="12"/>
  <c r="D246" i="12"/>
  <c r="C247" i="12"/>
  <c r="D247" i="12"/>
  <c r="C248" i="12"/>
  <c r="D248" i="12"/>
  <c r="C249" i="12"/>
  <c r="D249" i="12"/>
  <c r="C250" i="12"/>
  <c r="D250" i="12"/>
  <c r="C251" i="12"/>
  <c r="D251" i="12"/>
  <c r="C252" i="12"/>
  <c r="D252" i="12"/>
  <c r="C253" i="12"/>
  <c r="D253" i="12"/>
  <c r="C254" i="12"/>
  <c r="D254" i="12"/>
  <c r="C255" i="12"/>
  <c r="D255" i="12"/>
  <c r="C256" i="12"/>
  <c r="D256" i="12"/>
  <c r="C257" i="12"/>
  <c r="D257" i="12"/>
  <c r="C258" i="12"/>
  <c r="D258" i="12"/>
  <c r="C259" i="12"/>
  <c r="D259" i="12"/>
  <c r="C260" i="12"/>
  <c r="D260" i="12"/>
  <c r="C261" i="12"/>
  <c r="D261" i="12"/>
  <c r="C262" i="12"/>
  <c r="D262" i="12"/>
  <c r="C263" i="12"/>
  <c r="D263" i="12"/>
  <c r="C264" i="12"/>
  <c r="D264" i="12"/>
  <c r="C265" i="12"/>
  <c r="D265" i="12"/>
  <c r="C266" i="12"/>
  <c r="D266" i="12"/>
  <c r="C267" i="12"/>
  <c r="D267" i="12"/>
  <c r="C268" i="12"/>
  <c r="D268" i="12"/>
  <c r="C269" i="12"/>
  <c r="D269" i="12"/>
  <c r="C270" i="12"/>
  <c r="D270" i="12"/>
  <c r="C271" i="12"/>
  <c r="D271" i="12"/>
  <c r="C272" i="12"/>
  <c r="D272" i="12"/>
  <c r="C273" i="12"/>
  <c r="D273" i="12"/>
  <c r="C274" i="12"/>
  <c r="D274" i="12"/>
  <c r="C275" i="12"/>
  <c r="D275" i="12"/>
  <c r="C276" i="12"/>
  <c r="D276" i="12"/>
  <c r="C277" i="12"/>
  <c r="D277" i="12"/>
  <c r="C278" i="12"/>
  <c r="D278" i="12"/>
  <c r="C279" i="12"/>
  <c r="D279" i="12"/>
  <c r="C280" i="12"/>
  <c r="D280" i="12"/>
  <c r="C281" i="12"/>
  <c r="D281" i="12"/>
  <c r="C282" i="12"/>
  <c r="D282" i="12"/>
  <c r="C283" i="12"/>
  <c r="D283" i="12"/>
  <c r="C284" i="12"/>
  <c r="D284" i="12"/>
  <c r="C285" i="12"/>
  <c r="D285" i="12"/>
  <c r="C286" i="12"/>
  <c r="D286" i="12"/>
  <c r="C287" i="12"/>
  <c r="D287" i="12"/>
  <c r="C288" i="12"/>
  <c r="D288" i="12"/>
  <c r="C289" i="12"/>
  <c r="D289" i="12"/>
  <c r="C290" i="12"/>
  <c r="D290" i="12"/>
  <c r="C291" i="12"/>
  <c r="D291" i="12"/>
  <c r="C292" i="12"/>
  <c r="D292" i="12"/>
  <c r="C293" i="12"/>
  <c r="D293" i="12"/>
  <c r="C294" i="12"/>
  <c r="D294" i="12"/>
  <c r="C295" i="12"/>
  <c r="D295" i="12"/>
  <c r="C296" i="12"/>
  <c r="D296" i="12"/>
  <c r="C297" i="12"/>
  <c r="C298" i="12"/>
  <c r="D298" i="12"/>
  <c r="C299" i="12"/>
  <c r="D299" i="12"/>
  <c r="C300" i="12"/>
  <c r="D300" i="12"/>
  <c r="C301" i="12"/>
  <c r="D301" i="12"/>
  <c r="C302" i="12"/>
  <c r="D302" i="12"/>
  <c r="C303" i="12"/>
  <c r="D303" i="12"/>
  <c r="C304" i="12"/>
  <c r="D304" i="12"/>
  <c r="C305" i="12"/>
  <c r="D305" i="12"/>
  <c r="C306" i="12"/>
  <c r="D306" i="12"/>
  <c r="C307" i="12"/>
  <c r="D307" i="12"/>
  <c r="C308" i="12"/>
  <c r="D308" i="12"/>
  <c r="C309" i="12"/>
  <c r="D309" i="12"/>
  <c r="C310" i="12"/>
  <c r="D310" i="12"/>
  <c r="C311" i="12"/>
  <c r="D311" i="12"/>
  <c r="C312" i="12"/>
  <c r="D312" i="12"/>
  <c r="C313" i="12"/>
  <c r="C314" i="12"/>
  <c r="D314" i="12"/>
  <c r="C315" i="12"/>
  <c r="D315" i="12"/>
  <c r="C316" i="12"/>
  <c r="D316" i="12"/>
  <c r="C317" i="12"/>
  <c r="D317" i="12"/>
  <c r="C318" i="12"/>
  <c r="D318" i="12"/>
  <c r="C319" i="12"/>
  <c r="D319" i="12"/>
  <c r="C320" i="12"/>
  <c r="D320" i="12"/>
  <c r="C321" i="12"/>
  <c r="D321" i="12"/>
  <c r="C322" i="12"/>
  <c r="D322" i="12"/>
  <c r="C323" i="12"/>
  <c r="D323" i="12"/>
  <c r="C324" i="12"/>
  <c r="D324" i="12"/>
  <c r="C325" i="12"/>
  <c r="C326" i="12"/>
  <c r="D326" i="12"/>
  <c r="C327" i="12"/>
  <c r="D327" i="12"/>
  <c r="C328" i="12"/>
  <c r="D328" i="12"/>
  <c r="C21" i="13"/>
  <c r="C22" i="13"/>
  <c r="D22" i="13"/>
  <c r="C23" i="13"/>
  <c r="D23" i="13"/>
  <c r="C24" i="13"/>
  <c r="C25" i="13"/>
  <c r="D25" i="13"/>
  <c r="C26" i="13"/>
  <c r="D26" i="13"/>
  <c r="C27" i="13"/>
  <c r="D27" i="13"/>
  <c r="C28" i="13"/>
  <c r="D28" i="13"/>
  <c r="C29" i="13"/>
  <c r="C30" i="13"/>
  <c r="D30" i="13"/>
  <c r="C31" i="13"/>
  <c r="D31" i="13"/>
  <c r="C32" i="13"/>
  <c r="D32" i="13"/>
  <c r="C33" i="13"/>
  <c r="D33" i="13"/>
  <c r="C34" i="13"/>
  <c r="D34" i="13"/>
  <c r="C35" i="13"/>
  <c r="D35" i="13"/>
  <c r="C36" i="13"/>
  <c r="D36" i="13"/>
  <c r="C37" i="13"/>
  <c r="C38" i="13"/>
  <c r="D38" i="13"/>
  <c r="C39" i="13"/>
  <c r="D39" i="13"/>
  <c r="C40" i="13"/>
  <c r="D40" i="13"/>
  <c r="C41" i="13"/>
  <c r="C42" i="13"/>
  <c r="D42" i="13"/>
  <c r="C43" i="13"/>
  <c r="D43" i="13"/>
  <c r="C44" i="13"/>
  <c r="D44" i="13"/>
  <c r="C45" i="13"/>
  <c r="D45" i="13"/>
  <c r="C46" i="13"/>
  <c r="D46" i="13"/>
  <c r="C47" i="13"/>
  <c r="D47" i="13"/>
  <c r="C48" i="13"/>
  <c r="D48" i="13"/>
  <c r="C49" i="13"/>
  <c r="D49" i="13"/>
  <c r="C50" i="13"/>
  <c r="D50" i="13"/>
  <c r="C51" i="13"/>
  <c r="D51" i="13"/>
  <c r="C52" i="13"/>
  <c r="D52" i="13"/>
  <c r="C53" i="13"/>
  <c r="C54" i="13"/>
  <c r="D54" i="13"/>
  <c r="C55" i="13"/>
  <c r="D55" i="13"/>
  <c r="C56" i="13"/>
  <c r="D56" i="13"/>
  <c r="C57" i="13"/>
  <c r="D57" i="13"/>
  <c r="C58" i="13"/>
  <c r="D58" i="13"/>
  <c r="C59" i="13"/>
  <c r="C60" i="13"/>
  <c r="D60" i="13"/>
  <c r="C61" i="13"/>
  <c r="D61" i="13"/>
  <c r="C62" i="13"/>
  <c r="D62" i="13"/>
  <c r="C63" i="13"/>
  <c r="D63" i="13"/>
  <c r="C64" i="13"/>
  <c r="D64" i="13"/>
  <c r="C65" i="13"/>
  <c r="D65" i="13"/>
  <c r="C66" i="13"/>
  <c r="D66" i="13"/>
  <c r="C67" i="13"/>
  <c r="D67" i="13"/>
  <c r="C68" i="13"/>
  <c r="D68" i="13"/>
  <c r="C69" i="13"/>
  <c r="C70" i="13"/>
  <c r="D70" i="13"/>
  <c r="C71" i="13"/>
  <c r="D71" i="13"/>
  <c r="C72" i="13"/>
  <c r="D72" i="13"/>
  <c r="C73" i="13"/>
  <c r="D73" i="13"/>
  <c r="C74" i="13"/>
  <c r="D74" i="13"/>
  <c r="C75" i="13"/>
  <c r="D75" i="13"/>
  <c r="C76" i="13"/>
  <c r="D76" i="13"/>
  <c r="C77" i="13"/>
  <c r="D77" i="13"/>
  <c r="C78" i="13"/>
  <c r="D78" i="13"/>
  <c r="C79" i="13"/>
  <c r="D79" i="13"/>
  <c r="C80" i="13"/>
  <c r="D80" i="13"/>
  <c r="C81" i="13"/>
  <c r="C82" i="13"/>
  <c r="D82" i="13"/>
  <c r="C83" i="13"/>
  <c r="D83" i="13"/>
  <c r="C84" i="13"/>
  <c r="D84" i="13"/>
  <c r="C85" i="13"/>
  <c r="C86" i="13"/>
  <c r="D86" i="13"/>
  <c r="C87" i="13"/>
  <c r="D87" i="13"/>
  <c r="C88" i="13"/>
  <c r="D88" i="13"/>
  <c r="C89" i="13"/>
  <c r="C90" i="13"/>
  <c r="D90" i="13"/>
  <c r="C91" i="13"/>
  <c r="D91" i="13"/>
  <c r="C92" i="13"/>
  <c r="D92" i="13"/>
  <c r="C93" i="13"/>
  <c r="C94" i="13"/>
  <c r="D94" i="13"/>
  <c r="C95" i="13"/>
  <c r="D95" i="13"/>
  <c r="C96" i="13"/>
  <c r="D96" i="13"/>
  <c r="C97" i="13"/>
  <c r="D97" i="13"/>
  <c r="C98" i="13"/>
  <c r="D98" i="13"/>
  <c r="C99" i="13"/>
  <c r="D99" i="13"/>
  <c r="C100" i="13"/>
  <c r="D100" i="13"/>
  <c r="C101" i="13"/>
  <c r="D101" i="13"/>
  <c r="C102" i="13"/>
  <c r="D102" i="13"/>
  <c r="C103" i="13"/>
  <c r="D103" i="13"/>
  <c r="C104" i="13"/>
  <c r="D104" i="13"/>
  <c r="C105" i="13"/>
  <c r="C106" i="13"/>
  <c r="D106" i="13"/>
  <c r="C107" i="13"/>
  <c r="D107" i="13"/>
  <c r="C108" i="13"/>
  <c r="D108" i="13"/>
  <c r="C109" i="13"/>
  <c r="D109" i="13"/>
  <c r="C110" i="13"/>
  <c r="D110" i="13"/>
  <c r="C111" i="13"/>
  <c r="D111" i="13"/>
  <c r="C112" i="13"/>
  <c r="D112" i="13"/>
  <c r="C113" i="13"/>
  <c r="D113" i="13"/>
  <c r="C114" i="13"/>
  <c r="D114" i="13"/>
  <c r="C115" i="13"/>
  <c r="D115" i="13"/>
  <c r="C116" i="13"/>
  <c r="D116" i="13"/>
  <c r="C117" i="13"/>
  <c r="C118" i="13"/>
  <c r="D118" i="13"/>
  <c r="C119" i="13"/>
  <c r="D119" i="13"/>
  <c r="C120" i="13"/>
  <c r="D120" i="13"/>
  <c r="C121" i="13"/>
  <c r="D121" i="13"/>
  <c r="C122" i="13"/>
  <c r="D122" i="13"/>
  <c r="C123" i="13"/>
  <c r="D123" i="13"/>
  <c r="C124" i="13"/>
  <c r="D124" i="13"/>
  <c r="C125" i="13"/>
  <c r="C126" i="13"/>
  <c r="D126" i="13"/>
  <c r="C127" i="13"/>
  <c r="D127" i="13"/>
  <c r="C128" i="13"/>
  <c r="D128" i="13"/>
  <c r="C129" i="13"/>
  <c r="D129" i="13"/>
  <c r="C130" i="13"/>
  <c r="D130" i="13"/>
  <c r="C131" i="13"/>
  <c r="D131" i="13"/>
  <c r="C132" i="13"/>
  <c r="D132" i="13"/>
  <c r="C133" i="13"/>
  <c r="C134" i="13"/>
  <c r="D134" i="13"/>
  <c r="C135" i="13"/>
  <c r="D135" i="13"/>
  <c r="C136" i="13"/>
  <c r="D136" i="13"/>
  <c r="C137" i="13"/>
  <c r="D137" i="13"/>
  <c r="C138" i="13"/>
  <c r="D138" i="13"/>
  <c r="C139" i="13"/>
  <c r="D139" i="13"/>
  <c r="C140" i="13"/>
  <c r="D140" i="13"/>
  <c r="C141" i="13"/>
  <c r="C142" i="13"/>
  <c r="D142" i="13"/>
  <c r="C143" i="13"/>
  <c r="D143" i="13"/>
  <c r="C144" i="13"/>
  <c r="D144" i="13"/>
  <c r="C145" i="13"/>
  <c r="D145" i="13"/>
  <c r="C146" i="13"/>
  <c r="D146" i="13"/>
  <c r="C147" i="13"/>
  <c r="D147" i="13"/>
  <c r="C148" i="13"/>
  <c r="D148" i="13"/>
  <c r="C149" i="13"/>
  <c r="D149" i="13"/>
  <c r="C150" i="13"/>
  <c r="D150" i="13"/>
  <c r="C151" i="13"/>
  <c r="C152" i="13"/>
  <c r="D152" i="13"/>
  <c r="C153" i="13"/>
  <c r="D153" i="13"/>
  <c r="C154" i="13"/>
  <c r="D154" i="13"/>
  <c r="C155" i="13"/>
  <c r="D155" i="13"/>
  <c r="C156" i="13"/>
  <c r="D156" i="13"/>
  <c r="C157" i="13"/>
  <c r="D157" i="13"/>
  <c r="C158" i="13"/>
  <c r="D158" i="13"/>
  <c r="C159" i="13"/>
  <c r="D159" i="13"/>
  <c r="C160" i="13"/>
  <c r="D160" i="13"/>
  <c r="C161" i="13"/>
  <c r="D161" i="13"/>
  <c r="C162" i="13"/>
  <c r="D162" i="13"/>
  <c r="C163" i="13"/>
  <c r="D163" i="13"/>
  <c r="C164" i="13"/>
  <c r="D164" i="13"/>
  <c r="C165" i="13"/>
  <c r="D165" i="13"/>
  <c r="C166" i="13"/>
  <c r="D166" i="13"/>
  <c r="C167" i="13"/>
  <c r="D167" i="13"/>
  <c r="C168" i="13"/>
  <c r="D168" i="13"/>
  <c r="C169" i="13"/>
  <c r="D169" i="13"/>
  <c r="C170" i="13"/>
  <c r="D170" i="13"/>
  <c r="C171" i="13"/>
  <c r="D171" i="13"/>
  <c r="C172" i="13"/>
  <c r="D172" i="13"/>
  <c r="C173" i="13"/>
  <c r="D173" i="13"/>
  <c r="C174" i="13"/>
  <c r="D174" i="13"/>
  <c r="C175" i="13"/>
  <c r="D175" i="13"/>
  <c r="C176" i="13"/>
  <c r="D176" i="13"/>
  <c r="C177" i="13"/>
  <c r="D177" i="13"/>
  <c r="C178" i="13"/>
  <c r="D178" i="13"/>
  <c r="C179" i="13"/>
  <c r="D179" i="13"/>
  <c r="C180" i="13"/>
  <c r="D180" i="13"/>
  <c r="C181" i="13"/>
  <c r="D181" i="13"/>
  <c r="C182" i="13"/>
  <c r="D182" i="13"/>
  <c r="C183" i="13"/>
  <c r="D183" i="13"/>
  <c r="C184" i="13"/>
  <c r="D184" i="13"/>
  <c r="C185" i="13"/>
  <c r="C186" i="13"/>
  <c r="D186" i="13"/>
  <c r="C187" i="13"/>
  <c r="D187" i="13"/>
  <c r="C188" i="13"/>
  <c r="D188" i="13"/>
  <c r="C189" i="13"/>
  <c r="D189" i="13"/>
  <c r="C190" i="13"/>
  <c r="D190" i="13"/>
  <c r="C191" i="13"/>
  <c r="D191" i="13"/>
  <c r="C192" i="13"/>
  <c r="D192" i="13"/>
  <c r="C193" i="13"/>
  <c r="D193" i="13"/>
  <c r="C194" i="13"/>
  <c r="D194" i="13"/>
  <c r="C195" i="13"/>
  <c r="D195" i="13"/>
  <c r="C196" i="13"/>
  <c r="D196" i="13"/>
  <c r="C197" i="13"/>
  <c r="D197" i="13"/>
  <c r="C198" i="13"/>
  <c r="D198" i="13"/>
  <c r="C199" i="13"/>
  <c r="D199" i="13"/>
  <c r="C200" i="13"/>
  <c r="D200" i="13"/>
  <c r="C201" i="13"/>
  <c r="C202" i="13"/>
  <c r="D202" i="13"/>
  <c r="C203" i="13"/>
  <c r="D203" i="13"/>
  <c r="C204" i="13"/>
  <c r="D204" i="13"/>
  <c r="C205" i="13"/>
  <c r="D205" i="13"/>
  <c r="C206" i="13"/>
  <c r="D206" i="13"/>
  <c r="C207" i="13"/>
  <c r="D207" i="13"/>
  <c r="C208" i="13"/>
  <c r="D208" i="13"/>
  <c r="C209" i="13"/>
  <c r="D209" i="13"/>
  <c r="C210" i="13"/>
  <c r="D210" i="13"/>
  <c r="C211" i="13"/>
  <c r="D211" i="13"/>
  <c r="C212" i="13"/>
  <c r="D212" i="13"/>
  <c r="C213" i="13"/>
  <c r="C214" i="13"/>
  <c r="D214" i="13"/>
  <c r="C215" i="13"/>
  <c r="D215" i="13"/>
  <c r="C216" i="13"/>
  <c r="D216" i="13"/>
  <c r="C217" i="13"/>
  <c r="D217" i="13"/>
  <c r="C218" i="13"/>
  <c r="D218" i="13"/>
  <c r="C219" i="13"/>
  <c r="D219" i="13"/>
  <c r="C220" i="13"/>
  <c r="D220" i="13"/>
  <c r="C221" i="13"/>
  <c r="D221" i="13"/>
  <c r="C222" i="13"/>
  <c r="D222" i="13"/>
  <c r="C223" i="13"/>
  <c r="D223" i="13"/>
  <c r="C224" i="13"/>
  <c r="D224" i="13"/>
  <c r="C225" i="13"/>
  <c r="D225" i="13"/>
  <c r="C226" i="13"/>
  <c r="D226" i="13"/>
  <c r="C227" i="13"/>
  <c r="D227" i="13"/>
  <c r="C228" i="13"/>
  <c r="D228" i="13"/>
  <c r="C229" i="13"/>
  <c r="D229" i="13"/>
  <c r="C230" i="13"/>
  <c r="D230" i="13"/>
  <c r="C231" i="13"/>
  <c r="D231" i="13"/>
  <c r="C232" i="13"/>
  <c r="D232" i="13"/>
  <c r="C233" i="13"/>
  <c r="D233" i="13"/>
  <c r="C234" i="13"/>
  <c r="D234" i="13"/>
  <c r="C235" i="13"/>
  <c r="D235" i="13"/>
  <c r="C236" i="13"/>
  <c r="D236" i="13"/>
  <c r="C237" i="13"/>
  <c r="D237" i="13"/>
  <c r="C238" i="13"/>
  <c r="D238" i="13"/>
  <c r="C239" i="13"/>
  <c r="D239" i="13"/>
  <c r="C240" i="13"/>
  <c r="D240" i="13"/>
  <c r="C241" i="13"/>
  <c r="C242" i="13"/>
  <c r="D242" i="13"/>
  <c r="C243" i="13"/>
  <c r="D243" i="13"/>
  <c r="C244" i="13"/>
  <c r="D244" i="13"/>
  <c r="C245" i="13"/>
  <c r="D245" i="13"/>
  <c r="C246" i="13"/>
  <c r="D246" i="13"/>
  <c r="C247" i="13"/>
  <c r="D247" i="13"/>
  <c r="C248" i="13"/>
  <c r="D248" i="13"/>
  <c r="C249" i="13"/>
  <c r="D249" i="13"/>
  <c r="C250" i="13"/>
  <c r="D250" i="13"/>
  <c r="C251" i="13"/>
  <c r="D251" i="13"/>
  <c r="C252" i="13"/>
  <c r="D252" i="13"/>
  <c r="C253" i="13"/>
  <c r="D253" i="13"/>
  <c r="C254" i="13"/>
  <c r="D254" i="13"/>
  <c r="C255" i="13"/>
  <c r="D255" i="13"/>
  <c r="C256" i="13"/>
  <c r="D256" i="13"/>
  <c r="C257" i="13"/>
  <c r="D257" i="13"/>
  <c r="C258" i="13"/>
  <c r="D258" i="13"/>
  <c r="C259" i="13"/>
  <c r="D259" i="13"/>
  <c r="C260" i="13"/>
  <c r="D260" i="13"/>
  <c r="C261" i="13"/>
  <c r="D261" i="13"/>
  <c r="C262" i="13"/>
  <c r="D262" i="13"/>
  <c r="C263" i="13"/>
  <c r="D263" i="13"/>
  <c r="C264" i="13"/>
  <c r="D264" i="13"/>
  <c r="C265" i="13"/>
  <c r="D265" i="13"/>
  <c r="C266" i="13"/>
  <c r="D266" i="13"/>
  <c r="C267" i="13"/>
  <c r="D267" i="13"/>
  <c r="C268" i="13"/>
  <c r="D268" i="13"/>
  <c r="C269" i="13"/>
  <c r="D269" i="13"/>
  <c r="C270" i="13"/>
  <c r="D270" i="13"/>
  <c r="C271" i="13"/>
  <c r="D271" i="13"/>
  <c r="C272" i="13"/>
  <c r="D272" i="13"/>
  <c r="C273" i="13"/>
  <c r="D273" i="13"/>
  <c r="C274" i="13"/>
  <c r="D274" i="13"/>
  <c r="C275" i="13"/>
  <c r="D275" i="13"/>
  <c r="C276" i="13"/>
  <c r="D276" i="13"/>
  <c r="C277" i="13"/>
  <c r="D277" i="13"/>
  <c r="C278" i="13"/>
  <c r="D278" i="13"/>
  <c r="C279" i="13"/>
  <c r="D279" i="13"/>
  <c r="C280" i="13"/>
  <c r="D280" i="13"/>
  <c r="C281" i="13"/>
  <c r="D281" i="13"/>
  <c r="C282" i="13"/>
  <c r="D282" i="13"/>
  <c r="C283" i="13"/>
  <c r="D283" i="13"/>
  <c r="C284" i="13"/>
  <c r="D284" i="13"/>
  <c r="C285" i="13"/>
  <c r="D285" i="13"/>
  <c r="C286" i="13"/>
  <c r="D286" i="13"/>
  <c r="C287" i="13"/>
  <c r="D287" i="13"/>
  <c r="C288" i="13"/>
  <c r="D288" i="13"/>
  <c r="C289" i="13"/>
  <c r="D289" i="13"/>
  <c r="C290" i="13"/>
  <c r="D290" i="13"/>
  <c r="C291" i="13"/>
  <c r="D291" i="13"/>
  <c r="C292" i="13"/>
  <c r="D292" i="13"/>
  <c r="C293" i="13"/>
  <c r="D293" i="13"/>
  <c r="C294" i="13"/>
  <c r="D294" i="13"/>
  <c r="C295" i="13"/>
  <c r="D295" i="13"/>
  <c r="C296" i="13"/>
  <c r="D296" i="13"/>
  <c r="C297" i="13"/>
  <c r="D297" i="13"/>
  <c r="C298" i="13"/>
  <c r="D298" i="13"/>
  <c r="C299" i="13"/>
  <c r="D299" i="13"/>
  <c r="C300" i="13"/>
  <c r="D300" i="13"/>
  <c r="C301" i="13"/>
  <c r="D301" i="13"/>
  <c r="C302" i="13"/>
  <c r="D302" i="13"/>
  <c r="C303" i="13"/>
  <c r="D303" i="13"/>
  <c r="C304" i="13"/>
  <c r="D304" i="13"/>
  <c r="C305" i="13"/>
  <c r="D305" i="13"/>
  <c r="C306" i="13"/>
  <c r="D306" i="13"/>
  <c r="C307" i="13"/>
  <c r="D307" i="13"/>
  <c r="C308" i="13"/>
  <c r="D308" i="13"/>
  <c r="C309" i="13"/>
  <c r="D309" i="13"/>
  <c r="C310" i="13"/>
  <c r="D310" i="13"/>
  <c r="C311" i="13"/>
  <c r="G66" i="13"/>
  <c r="C21" i="14"/>
  <c r="D21" i="14"/>
  <c r="C22" i="14"/>
  <c r="D22" i="14"/>
  <c r="C23" i="14"/>
  <c r="D23" i="14"/>
  <c r="C24" i="14"/>
  <c r="D24" i="14"/>
  <c r="C25" i="14"/>
  <c r="D25" i="14"/>
  <c r="C26" i="14"/>
  <c r="D26" i="14"/>
  <c r="C27" i="14"/>
  <c r="D27" i="14"/>
  <c r="C28" i="14"/>
  <c r="D28" i="14"/>
  <c r="C29" i="14"/>
  <c r="D29" i="14"/>
  <c r="C30" i="14"/>
  <c r="D30" i="14"/>
  <c r="C31" i="14"/>
  <c r="D31" i="14"/>
  <c r="C32" i="14"/>
  <c r="D32" i="14"/>
  <c r="C33" i="14"/>
  <c r="D33" i="14"/>
  <c r="C34" i="14"/>
  <c r="D34" i="14"/>
  <c r="C35" i="14"/>
  <c r="D35" i="14"/>
  <c r="C36" i="14"/>
  <c r="D36" i="14"/>
  <c r="C37" i="14"/>
  <c r="D37" i="14"/>
  <c r="C38" i="14"/>
  <c r="D38" i="14"/>
  <c r="C39" i="14"/>
  <c r="D39" i="14"/>
  <c r="C40" i="14"/>
  <c r="D40" i="14"/>
  <c r="C41" i="14"/>
  <c r="D41" i="14"/>
  <c r="C42" i="14"/>
  <c r="D42" i="14"/>
  <c r="C43" i="14"/>
  <c r="D43" i="14"/>
  <c r="C44" i="14"/>
  <c r="D44" i="14"/>
  <c r="C45" i="14"/>
  <c r="D45" i="14"/>
  <c r="C46" i="14"/>
  <c r="D46" i="14"/>
  <c r="C47" i="14"/>
  <c r="D47" i="14"/>
  <c r="C48" i="14"/>
  <c r="D48" i="14"/>
  <c r="C49" i="14"/>
  <c r="D49" i="14"/>
  <c r="C50" i="14"/>
  <c r="D50" i="14"/>
  <c r="C51" i="14"/>
  <c r="D51" i="14"/>
  <c r="C52" i="14"/>
  <c r="D52" i="14"/>
  <c r="C53" i="14"/>
  <c r="D53" i="14"/>
  <c r="C54" i="14"/>
  <c r="D54" i="14"/>
  <c r="C55" i="14"/>
  <c r="D55" i="14"/>
  <c r="C56" i="14"/>
  <c r="D56" i="14"/>
  <c r="C57" i="14"/>
  <c r="D57" i="14"/>
  <c r="C58" i="14"/>
  <c r="D58" i="14"/>
  <c r="C59" i="14"/>
  <c r="D59" i="14"/>
  <c r="C60" i="14"/>
  <c r="D60" i="14"/>
  <c r="C61" i="14"/>
  <c r="D61" i="14"/>
  <c r="C62" i="14"/>
  <c r="D62" i="14"/>
  <c r="C63" i="14"/>
  <c r="D63" i="14"/>
  <c r="C64" i="14"/>
  <c r="D64" i="14"/>
  <c r="C65" i="14"/>
  <c r="D65" i="14"/>
  <c r="C66" i="14"/>
  <c r="D66" i="14"/>
  <c r="C67" i="14"/>
  <c r="D67" i="14"/>
  <c r="C68" i="14"/>
  <c r="D68" i="14"/>
  <c r="C69" i="14"/>
  <c r="D69" i="14"/>
  <c r="C70" i="14"/>
  <c r="D70" i="14"/>
  <c r="C71" i="14"/>
  <c r="D71" i="14"/>
  <c r="C72" i="14"/>
  <c r="D72" i="14"/>
  <c r="C73" i="14"/>
  <c r="D73" i="14"/>
  <c r="C74" i="14"/>
  <c r="D74" i="14"/>
  <c r="C75" i="14"/>
  <c r="D75" i="14"/>
  <c r="C76" i="14"/>
  <c r="D76" i="14"/>
  <c r="C77" i="14"/>
  <c r="D77" i="14"/>
  <c r="C78" i="14"/>
  <c r="D78" i="14"/>
  <c r="C79" i="14"/>
  <c r="D79" i="14"/>
  <c r="C80" i="14"/>
  <c r="D80" i="14"/>
  <c r="C81" i="14"/>
  <c r="D81" i="14"/>
  <c r="C82" i="14"/>
  <c r="D82" i="14"/>
  <c r="C83" i="14"/>
  <c r="D83" i="14"/>
  <c r="C84" i="14"/>
  <c r="D84" i="14"/>
  <c r="C85" i="14"/>
  <c r="D85" i="14"/>
  <c r="C86" i="14"/>
  <c r="D86" i="14"/>
  <c r="C87" i="14"/>
  <c r="D87" i="14"/>
  <c r="C88" i="14"/>
  <c r="D88" i="14"/>
  <c r="C89" i="14"/>
  <c r="D89" i="14"/>
  <c r="C90" i="14"/>
  <c r="D90" i="14"/>
  <c r="C91" i="14"/>
  <c r="D91" i="14"/>
  <c r="C92" i="14"/>
  <c r="D92" i="14"/>
  <c r="C93" i="14"/>
  <c r="D93" i="14"/>
  <c r="C94" i="14"/>
  <c r="D94" i="14"/>
  <c r="C95" i="14"/>
  <c r="D95" i="14"/>
  <c r="C96" i="14"/>
  <c r="D96" i="14"/>
  <c r="C97" i="14"/>
  <c r="D97" i="14"/>
  <c r="C98" i="14"/>
  <c r="D98" i="14"/>
  <c r="C99" i="14"/>
  <c r="D99" i="14"/>
  <c r="C100" i="14"/>
  <c r="D100" i="14"/>
  <c r="C101" i="14"/>
  <c r="D101" i="14"/>
  <c r="C102" i="14"/>
  <c r="D102" i="14"/>
  <c r="C103" i="14"/>
  <c r="D103" i="14"/>
  <c r="C104" i="14"/>
  <c r="D104" i="14"/>
  <c r="C105" i="14"/>
  <c r="D105" i="14"/>
  <c r="C106" i="14"/>
  <c r="D106" i="14"/>
  <c r="C107" i="14"/>
  <c r="D107" i="14"/>
  <c r="C108" i="14"/>
  <c r="D108" i="14"/>
  <c r="C109" i="14"/>
  <c r="D109" i="14"/>
  <c r="C110" i="14"/>
  <c r="D110" i="14"/>
  <c r="C111" i="14"/>
  <c r="D111" i="14"/>
  <c r="C112" i="14"/>
  <c r="D112" i="14"/>
  <c r="C113" i="14"/>
  <c r="D113" i="14"/>
  <c r="C114" i="14"/>
  <c r="D114" i="14"/>
  <c r="C115" i="14"/>
  <c r="D115" i="14"/>
  <c r="C116" i="14"/>
  <c r="D116" i="14"/>
  <c r="C117" i="14"/>
  <c r="D117" i="14"/>
  <c r="C118" i="14"/>
  <c r="D118" i="14"/>
  <c r="C119" i="14"/>
  <c r="D119" i="14"/>
  <c r="C120" i="14"/>
  <c r="D120" i="14"/>
  <c r="C121" i="14"/>
  <c r="D121" i="14"/>
  <c r="C122" i="14"/>
  <c r="D122" i="14"/>
  <c r="C123" i="14"/>
  <c r="D123" i="14"/>
  <c r="C124" i="14"/>
  <c r="D124" i="14"/>
  <c r="C125" i="14"/>
  <c r="D125" i="14"/>
  <c r="C126" i="14"/>
  <c r="D126" i="14"/>
  <c r="C127" i="14"/>
  <c r="D127" i="14"/>
  <c r="C128" i="14"/>
  <c r="D128" i="14"/>
  <c r="C129" i="14"/>
  <c r="D129" i="14"/>
  <c r="C130" i="14"/>
  <c r="D130" i="14"/>
  <c r="C131" i="14"/>
  <c r="D131" i="14"/>
  <c r="C132" i="14"/>
  <c r="D132" i="14"/>
  <c r="C133" i="14"/>
  <c r="D133" i="14"/>
  <c r="C134" i="14"/>
  <c r="D134" i="14"/>
  <c r="C135" i="14"/>
  <c r="D135" i="14"/>
  <c r="C136" i="14"/>
  <c r="D136" i="14"/>
  <c r="C137" i="14"/>
  <c r="D137" i="14"/>
  <c r="C138" i="14"/>
  <c r="D138" i="14"/>
  <c r="C139" i="14"/>
  <c r="D139" i="14"/>
  <c r="C140" i="14"/>
  <c r="D140" i="14"/>
  <c r="C141" i="14"/>
  <c r="D141" i="14"/>
  <c r="C142" i="14"/>
  <c r="D142" i="14"/>
  <c r="C143" i="14"/>
  <c r="D143" i="14"/>
  <c r="C144" i="14"/>
  <c r="D144" i="14"/>
  <c r="C145" i="14"/>
  <c r="D145" i="14"/>
  <c r="C146" i="14"/>
  <c r="D146" i="14"/>
  <c r="C147" i="14"/>
  <c r="D147" i="14"/>
  <c r="C148" i="14"/>
  <c r="D148" i="14"/>
  <c r="C149" i="14"/>
  <c r="D149" i="14"/>
  <c r="C150" i="14"/>
  <c r="D150" i="14"/>
  <c r="C151" i="14"/>
  <c r="D151" i="14"/>
  <c r="C152" i="14"/>
  <c r="D152" i="14"/>
  <c r="C153" i="14"/>
  <c r="D153" i="14"/>
  <c r="C154" i="14"/>
  <c r="D154" i="14"/>
  <c r="C155" i="14"/>
  <c r="D155" i="14"/>
  <c r="C156" i="14"/>
  <c r="D156" i="14"/>
  <c r="C157" i="14"/>
  <c r="D157" i="14"/>
  <c r="C158" i="14"/>
  <c r="D158" i="14"/>
  <c r="C159" i="14"/>
  <c r="D159" i="14"/>
  <c r="C160" i="14"/>
  <c r="D160" i="14"/>
  <c r="C161" i="14"/>
  <c r="D161" i="14"/>
  <c r="C162" i="14"/>
  <c r="D162" i="14"/>
  <c r="C163" i="14"/>
  <c r="D163" i="14"/>
  <c r="C164" i="14"/>
  <c r="D164" i="14"/>
  <c r="C165" i="14"/>
  <c r="D165" i="14"/>
  <c r="C166" i="14"/>
  <c r="D166" i="14"/>
  <c r="C167" i="14"/>
  <c r="D167" i="14"/>
  <c r="C168" i="14"/>
  <c r="D168" i="14"/>
  <c r="C169" i="14"/>
  <c r="D169" i="14"/>
  <c r="C170" i="14"/>
  <c r="D170" i="14"/>
  <c r="C171" i="14"/>
  <c r="D171" i="14"/>
  <c r="C172" i="14"/>
  <c r="D172" i="14"/>
  <c r="C173" i="14"/>
  <c r="D173" i="14"/>
  <c r="C174" i="14"/>
  <c r="D174" i="14"/>
  <c r="C175" i="14"/>
  <c r="D175" i="14"/>
  <c r="C176" i="14"/>
  <c r="D176" i="14"/>
  <c r="C177" i="14"/>
  <c r="D177" i="14"/>
  <c r="C178" i="14"/>
  <c r="D178" i="14"/>
  <c r="C179" i="14"/>
  <c r="D179" i="14"/>
  <c r="C180" i="14"/>
  <c r="D180" i="14"/>
  <c r="C181" i="14"/>
  <c r="D181" i="14"/>
  <c r="C182" i="14"/>
  <c r="D182" i="14"/>
  <c r="C183" i="14"/>
  <c r="D183" i="14"/>
  <c r="C184" i="14"/>
  <c r="D184" i="14"/>
  <c r="C185" i="14"/>
  <c r="D185" i="14"/>
  <c r="C186" i="14"/>
  <c r="D186" i="14"/>
  <c r="C187" i="14"/>
  <c r="D187" i="14"/>
  <c r="C188" i="14"/>
  <c r="D188" i="14"/>
  <c r="C189" i="14"/>
  <c r="D189" i="14"/>
  <c r="C190" i="14"/>
  <c r="D190" i="14"/>
  <c r="C191" i="14"/>
  <c r="D191" i="14"/>
  <c r="C192" i="14"/>
  <c r="C193" i="14"/>
  <c r="D193" i="14"/>
  <c r="C194" i="14"/>
  <c r="D194" i="14"/>
  <c r="C195" i="14"/>
  <c r="D195" i="14"/>
  <c r="C196" i="14"/>
  <c r="D196" i="14"/>
  <c r="C197" i="14"/>
  <c r="D197" i="14"/>
  <c r="C198" i="14"/>
  <c r="D198" i="14"/>
  <c r="C199" i="14"/>
  <c r="D199" i="14"/>
  <c r="C200" i="14"/>
  <c r="D200" i="14"/>
  <c r="C201" i="14"/>
  <c r="D201" i="14"/>
  <c r="C202" i="14"/>
  <c r="D202" i="14"/>
  <c r="C203" i="14"/>
  <c r="D203" i="14"/>
  <c r="C204" i="14"/>
  <c r="D204" i="14"/>
  <c r="C205" i="14"/>
  <c r="D205" i="14"/>
  <c r="C206" i="14"/>
  <c r="D206" i="14"/>
  <c r="C207" i="14"/>
  <c r="D207" i="14"/>
  <c r="C208" i="14"/>
  <c r="D208" i="14"/>
  <c r="C209" i="14"/>
  <c r="D209" i="14"/>
  <c r="C210" i="14"/>
  <c r="D210" i="14"/>
  <c r="C211" i="14"/>
  <c r="D211" i="14"/>
  <c r="C212" i="14"/>
  <c r="D212" i="14"/>
  <c r="C213" i="14"/>
  <c r="D213" i="14"/>
  <c r="C214" i="14"/>
  <c r="D214" i="14"/>
  <c r="C215" i="14"/>
  <c r="D215" i="14"/>
  <c r="C216" i="14"/>
  <c r="D216" i="14"/>
  <c r="C217" i="14"/>
  <c r="D217" i="14"/>
  <c r="C218" i="14"/>
  <c r="D218" i="14"/>
  <c r="C219" i="14"/>
  <c r="D219" i="14"/>
  <c r="C220" i="14"/>
  <c r="D220" i="14"/>
  <c r="C221" i="14"/>
  <c r="D221" i="14"/>
  <c r="C222" i="14"/>
  <c r="D222" i="14"/>
  <c r="C223" i="14"/>
  <c r="D223" i="14"/>
  <c r="C224" i="14"/>
  <c r="D224" i="14"/>
  <c r="C225" i="14"/>
  <c r="D225" i="14"/>
  <c r="C226" i="14"/>
  <c r="D226" i="14"/>
  <c r="C227" i="14"/>
  <c r="D227" i="14"/>
  <c r="C228" i="14"/>
  <c r="D228" i="14"/>
  <c r="C229" i="14"/>
  <c r="D229" i="14"/>
  <c r="C230" i="14"/>
  <c r="D230" i="14"/>
  <c r="C231" i="14"/>
  <c r="D231" i="14"/>
  <c r="C232" i="14"/>
  <c r="D232" i="14"/>
  <c r="C233" i="14"/>
  <c r="D233" i="14"/>
  <c r="C234" i="14"/>
  <c r="D234" i="14"/>
  <c r="C235" i="14"/>
  <c r="D235" i="14"/>
  <c r="C236" i="14"/>
  <c r="D236" i="14"/>
  <c r="C237" i="14"/>
  <c r="D237" i="14"/>
  <c r="C238" i="14"/>
  <c r="D238" i="14"/>
  <c r="C239" i="14"/>
  <c r="D239" i="14"/>
  <c r="C240" i="14"/>
  <c r="D240" i="14"/>
  <c r="C241" i="14"/>
  <c r="D241" i="14"/>
  <c r="C242" i="14"/>
  <c r="D242" i="14"/>
  <c r="C243" i="14"/>
  <c r="D243" i="14"/>
  <c r="C244" i="14"/>
  <c r="D244" i="14"/>
  <c r="C245" i="14"/>
  <c r="D245" i="14"/>
  <c r="C246" i="14"/>
  <c r="D246" i="14"/>
  <c r="C247" i="14"/>
  <c r="D247" i="14"/>
  <c r="C248" i="14"/>
  <c r="D248" i="14"/>
  <c r="C249" i="14"/>
  <c r="D249" i="14"/>
  <c r="C250" i="14"/>
  <c r="D250" i="14"/>
  <c r="C251" i="14"/>
  <c r="D251" i="14"/>
  <c r="C252" i="14"/>
  <c r="D252" i="14"/>
  <c r="C253" i="14"/>
  <c r="D253" i="14"/>
  <c r="C254" i="14"/>
  <c r="D254" i="14"/>
  <c r="C255" i="14"/>
  <c r="D255" i="14"/>
  <c r="C256" i="14"/>
  <c r="D256" i="14"/>
  <c r="C257" i="14"/>
  <c r="D257" i="14"/>
  <c r="C258" i="14"/>
  <c r="D258" i="14"/>
  <c r="C259" i="14"/>
  <c r="D259" i="14"/>
  <c r="C260" i="14"/>
  <c r="D260" i="14"/>
  <c r="C261" i="14"/>
  <c r="D261" i="14"/>
  <c r="C262" i="14"/>
  <c r="D262" i="14"/>
  <c r="C263" i="14"/>
  <c r="D263" i="14"/>
  <c r="C264" i="14"/>
  <c r="D264" i="14"/>
  <c r="C265" i="14"/>
  <c r="D265" i="14"/>
  <c r="C266" i="14"/>
  <c r="D266" i="14"/>
  <c r="C267" i="14"/>
  <c r="D267" i="14"/>
  <c r="C268" i="14"/>
  <c r="D268" i="14"/>
  <c r="C269" i="14"/>
  <c r="D269" i="14"/>
  <c r="C270" i="14"/>
  <c r="D270" i="14"/>
  <c r="C271" i="14"/>
  <c r="D271" i="14"/>
  <c r="C272" i="14"/>
  <c r="D272" i="14"/>
  <c r="C273" i="14"/>
  <c r="D273" i="14"/>
  <c r="C274" i="14"/>
  <c r="D274" i="14"/>
  <c r="C275" i="14"/>
  <c r="D275" i="14"/>
  <c r="C276" i="14"/>
  <c r="C277" i="14"/>
  <c r="D277" i="14"/>
  <c r="C278" i="14"/>
  <c r="D278" i="14"/>
  <c r="C279" i="14"/>
  <c r="D279" i="14"/>
  <c r="C280" i="14"/>
  <c r="D280" i="14"/>
  <c r="C281" i="14"/>
  <c r="D281" i="14"/>
  <c r="C282" i="14"/>
  <c r="D282" i="14"/>
  <c r="C283" i="14"/>
  <c r="D283" i="14"/>
  <c r="C284" i="14"/>
  <c r="D284" i="14"/>
  <c r="C285" i="14"/>
  <c r="D285" i="14"/>
  <c r="C286" i="14"/>
  <c r="D286" i="14"/>
  <c r="C287" i="14"/>
  <c r="D287" i="14"/>
  <c r="C288" i="14"/>
  <c r="D288" i="14"/>
  <c r="C289" i="14"/>
  <c r="D289" i="14"/>
  <c r="C290" i="14"/>
  <c r="D290" i="14"/>
  <c r="C291" i="14"/>
  <c r="D291" i="14"/>
  <c r="C292" i="14"/>
  <c r="D292" i="14"/>
  <c r="C293" i="14"/>
  <c r="D293" i="14"/>
  <c r="C294" i="14"/>
  <c r="D294" i="14"/>
  <c r="C295" i="14"/>
  <c r="D295" i="14"/>
  <c r="C296" i="14"/>
  <c r="D296" i="14"/>
  <c r="C297" i="14"/>
  <c r="D297" i="14"/>
  <c r="G186" i="14"/>
  <c r="C21" i="18"/>
  <c r="D21" i="18"/>
  <c r="C22" i="18"/>
  <c r="C23" i="18"/>
  <c r="D23" i="18"/>
  <c r="C24" i="18"/>
  <c r="D24" i="18"/>
  <c r="C25" i="18"/>
  <c r="D25" i="18"/>
  <c r="C26" i="18"/>
  <c r="D26" i="18"/>
  <c r="C27" i="18"/>
  <c r="D27" i="18"/>
  <c r="C28" i="18"/>
  <c r="D28" i="18"/>
  <c r="C29" i="18"/>
  <c r="D29" i="18"/>
  <c r="C30" i="18"/>
  <c r="D30" i="18"/>
  <c r="C31" i="18"/>
  <c r="D31" i="18"/>
  <c r="C32" i="18"/>
  <c r="D32" i="18"/>
  <c r="C33" i="18"/>
  <c r="D33" i="18"/>
  <c r="C34" i="18"/>
  <c r="D34" i="18"/>
  <c r="C35" i="18"/>
  <c r="D35" i="18"/>
  <c r="C36" i="18"/>
  <c r="D36" i="18"/>
  <c r="C37" i="18"/>
  <c r="D37" i="18"/>
  <c r="C38" i="18"/>
  <c r="D38" i="18"/>
  <c r="C39" i="18"/>
  <c r="D39" i="18"/>
  <c r="C40" i="18"/>
  <c r="D40" i="18"/>
  <c r="C41" i="18"/>
  <c r="D41" i="18"/>
  <c r="C42" i="18"/>
  <c r="D42" i="18"/>
  <c r="C43" i="18"/>
  <c r="D43" i="18"/>
  <c r="C44" i="18"/>
  <c r="D44" i="18"/>
  <c r="C45" i="18"/>
  <c r="D45" i="18"/>
  <c r="C46" i="18"/>
  <c r="D46" i="18"/>
  <c r="C47" i="18"/>
  <c r="D47" i="18"/>
  <c r="C48" i="18"/>
  <c r="D48" i="18"/>
  <c r="C49" i="18"/>
  <c r="D49" i="18"/>
  <c r="C50" i="18"/>
  <c r="D50" i="18"/>
  <c r="C51" i="18"/>
  <c r="D51" i="18"/>
  <c r="C52" i="18"/>
  <c r="D52" i="18"/>
  <c r="C53" i="18"/>
  <c r="D53" i="18"/>
  <c r="C54" i="18"/>
  <c r="D54" i="18"/>
  <c r="C55" i="18"/>
  <c r="D55" i="18"/>
  <c r="C56" i="18"/>
  <c r="D56" i="18"/>
  <c r="C57" i="18"/>
  <c r="D57" i="18"/>
  <c r="C58" i="18"/>
  <c r="D58" i="18"/>
  <c r="C59" i="18"/>
  <c r="D59" i="18"/>
  <c r="C60" i="18"/>
  <c r="D60" i="18"/>
  <c r="C61" i="18"/>
  <c r="D61" i="18"/>
  <c r="C62" i="18"/>
  <c r="D62" i="18"/>
  <c r="C63" i="18"/>
  <c r="D63" i="18"/>
  <c r="C64" i="18"/>
  <c r="D64" i="18"/>
  <c r="C65" i="18"/>
  <c r="D65" i="18"/>
  <c r="C66" i="18"/>
  <c r="D66" i="18"/>
  <c r="C67" i="18"/>
  <c r="D67" i="18"/>
  <c r="C68" i="18"/>
  <c r="D68" i="18"/>
  <c r="C69" i="18"/>
  <c r="C70" i="18"/>
  <c r="D70" i="18"/>
  <c r="C71" i="18"/>
  <c r="D71" i="18"/>
  <c r="C72" i="18"/>
  <c r="D72" i="18"/>
  <c r="C73" i="18"/>
  <c r="D73" i="18"/>
  <c r="C74" i="18"/>
  <c r="D74" i="18"/>
  <c r="C75" i="18"/>
  <c r="D75" i="18"/>
  <c r="C76" i="18"/>
  <c r="D76" i="18"/>
  <c r="C77" i="18"/>
  <c r="D77" i="18"/>
  <c r="C78" i="18"/>
  <c r="D78" i="18"/>
  <c r="C79" i="18"/>
  <c r="D79" i="18"/>
  <c r="C80" i="18"/>
  <c r="D80" i="18"/>
  <c r="C81" i="18"/>
  <c r="D81" i="18"/>
  <c r="C82" i="18"/>
  <c r="D82" i="18"/>
  <c r="C83" i="18"/>
  <c r="D83" i="18"/>
  <c r="C84" i="18"/>
  <c r="D84" i="18"/>
  <c r="C85" i="18"/>
  <c r="D85" i="18"/>
  <c r="C86" i="18"/>
  <c r="D86" i="18"/>
  <c r="C87" i="18"/>
  <c r="D87" i="18"/>
  <c r="C88" i="18"/>
  <c r="D88" i="18"/>
  <c r="C89" i="18"/>
  <c r="D89" i="18"/>
  <c r="C90" i="18"/>
  <c r="D90" i="18"/>
  <c r="C91" i="18"/>
  <c r="D91" i="18"/>
  <c r="C92" i="18"/>
  <c r="D92" i="18"/>
  <c r="C93" i="18"/>
  <c r="D93" i="18"/>
  <c r="C94" i="18"/>
  <c r="D94" i="18"/>
  <c r="C95" i="18"/>
  <c r="D95" i="18"/>
  <c r="C96" i="18"/>
  <c r="D96" i="18"/>
  <c r="C97" i="18"/>
  <c r="D97" i="18"/>
  <c r="C98" i="18"/>
  <c r="D98" i="18"/>
  <c r="C99" i="18"/>
  <c r="D99" i="18"/>
  <c r="C100" i="18"/>
  <c r="D100" i="18"/>
  <c r="C101" i="18"/>
  <c r="D101" i="18"/>
  <c r="C102" i="18"/>
  <c r="D102" i="18"/>
  <c r="C103" i="18"/>
  <c r="D103" i="18"/>
  <c r="C104" i="18"/>
  <c r="D104" i="18"/>
  <c r="C105" i="18"/>
  <c r="D105" i="18"/>
  <c r="C106" i="18"/>
  <c r="D106" i="18"/>
  <c r="C107" i="18"/>
  <c r="D107" i="18"/>
  <c r="C108" i="18"/>
  <c r="D108" i="18"/>
  <c r="C109" i="18"/>
  <c r="D109" i="18"/>
  <c r="C110" i="18"/>
  <c r="D110" i="18"/>
  <c r="C111" i="18"/>
  <c r="D111" i="18"/>
  <c r="C112" i="18"/>
  <c r="D112" i="18"/>
  <c r="C113" i="18"/>
  <c r="D113" i="18"/>
  <c r="C114" i="18"/>
  <c r="D114" i="18"/>
  <c r="C115" i="18"/>
  <c r="C116" i="18"/>
  <c r="D116" i="18"/>
  <c r="C117" i="18"/>
  <c r="D117" i="18"/>
  <c r="C118" i="18"/>
  <c r="D118" i="18"/>
  <c r="C119" i="18"/>
  <c r="D119" i="18"/>
  <c r="C120" i="18"/>
  <c r="D120" i="18"/>
  <c r="C121" i="18"/>
  <c r="D121" i="18"/>
  <c r="C122" i="18"/>
  <c r="D122" i="18"/>
  <c r="C123" i="18"/>
  <c r="C124" i="18"/>
  <c r="D124" i="18"/>
  <c r="C125" i="18"/>
  <c r="D125" i="18"/>
  <c r="C126" i="18"/>
  <c r="D126" i="18"/>
  <c r="C127" i="18"/>
  <c r="D127" i="18"/>
  <c r="C128" i="18"/>
  <c r="D128" i="18"/>
  <c r="C129" i="18"/>
  <c r="D129" i="18"/>
  <c r="C130" i="18"/>
  <c r="D130" i="18"/>
  <c r="C131" i="18"/>
  <c r="D131" i="18"/>
  <c r="C132" i="18"/>
  <c r="D132" i="18"/>
  <c r="C133" i="18"/>
  <c r="D133" i="18"/>
  <c r="C134" i="18"/>
  <c r="D134" i="18"/>
  <c r="C135" i="18"/>
  <c r="D135" i="18"/>
  <c r="C136" i="18"/>
  <c r="D136" i="18"/>
  <c r="C137" i="18"/>
  <c r="D137" i="18"/>
  <c r="C138" i="18"/>
  <c r="D138" i="18"/>
  <c r="C139" i="18"/>
  <c r="D139" i="18"/>
  <c r="C140" i="18"/>
  <c r="D140" i="18"/>
  <c r="C141" i="18"/>
  <c r="D141" i="18"/>
  <c r="C142" i="18"/>
  <c r="D142" i="18"/>
  <c r="C143" i="18"/>
  <c r="C144" i="18"/>
  <c r="D144" i="18"/>
  <c r="C145" i="18"/>
  <c r="D145" i="18"/>
  <c r="C146" i="18"/>
  <c r="D146" i="18"/>
  <c r="C147" i="18"/>
  <c r="D147" i="18"/>
  <c r="C148" i="18"/>
  <c r="D148" i="18"/>
  <c r="C149" i="18"/>
  <c r="D149" i="18"/>
  <c r="C150" i="18"/>
  <c r="D150" i="18"/>
  <c r="C151" i="18"/>
  <c r="D151" i="18"/>
  <c r="C152" i="18"/>
  <c r="D152" i="18"/>
  <c r="C153" i="18"/>
  <c r="D153" i="18"/>
  <c r="C154" i="18"/>
  <c r="D154" i="18"/>
  <c r="C155" i="18"/>
  <c r="C156" i="18"/>
  <c r="D156" i="18"/>
  <c r="C157" i="18"/>
  <c r="D157" i="18"/>
  <c r="C158" i="18"/>
  <c r="D158" i="18"/>
  <c r="C159" i="18"/>
  <c r="D159" i="18"/>
  <c r="C160" i="18"/>
  <c r="D160" i="18"/>
  <c r="C161" i="18"/>
  <c r="D161" i="18"/>
  <c r="C162" i="18"/>
  <c r="D162" i="18"/>
  <c r="C163" i="18"/>
  <c r="D163" i="18"/>
  <c r="C164" i="18"/>
  <c r="D164" i="18"/>
  <c r="C165" i="18"/>
  <c r="D165" i="18"/>
  <c r="C166" i="18"/>
  <c r="D166" i="18"/>
  <c r="C167" i="18"/>
  <c r="D167" i="18"/>
  <c r="C168" i="18"/>
  <c r="D168" i="18"/>
  <c r="C169" i="18"/>
  <c r="D169" i="18"/>
  <c r="C170" i="18"/>
  <c r="D170" i="18"/>
  <c r="C171" i="18"/>
  <c r="D171" i="18"/>
  <c r="C172" i="18"/>
  <c r="D172" i="18"/>
  <c r="C173" i="18"/>
  <c r="D173" i="18"/>
  <c r="C174" i="18"/>
  <c r="D174" i="18"/>
  <c r="C175" i="18"/>
  <c r="D175" i="18"/>
  <c r="C176" i="18"/>
  <c r="D176" i="18"/>
  <c r="C177" i="18"/>
  <c r="D177" i="18"/>
  <c r="C178" i="18"/>
  <c r="D178" i="18"/>
  <c r="C179" i="18"/>
  <c r="C180" i="18"/>
  <c r="D180" i="18"/>
  <c r="C181" i="18"/>
  <c r="D181" i="18"/>
  <c r="C182" i="18"/>
  <c r="D182" i="18"/>
  <c r="C183" i="18"/>
  <c r="D183" i="18"/>
  <c r="C184" i="18"/>
  <c r="D184" i="18"/>
  <c r="C185" i="18"/>
  <c r="D185" i="18"/>
  <c r="C186" i="18"/>
  <c r="D186" i="18"/>
  <c r="C187" i="18"/>
  <c r="D187" i="18"/>
  <c r="C188" i="18"/>
  <c r="D188" i="18"/>
  <c r="C189" i="18"/>
  <c r="D189" i="18"/>
  <c r="C190" i="18"/>
  <c r="D190" i="18"/>
  <c r="C191" i="18"/>
  <c r="D191" i="18"/>
  <c r="C192" i="18"/>
  <c r="D192" i="18"/>
  <c r="C193" i="18"/>
  <c r="D193" i="18"/>
  <c r="C194" i="18"/>
  <c r="D194" i="18"/>
  <c r="C195" i="18"/>
  <c r="C196" i="18"/>
  <c r="D196" i="18"/>
  <c r="C197" i="18"/>
  <c r="D197" i="18"/>
  <c r="C198" i="18"/>
  <c r="D198" i="18"/>
  <c r="C199" i="18"/>
  <c r="C200" i="18"/>
  <c r="D200" i="18"/>
  <c r="C201" i="18"/>
  <c r="D201" i="18"/>
  <c r="C202" i="18"/>
  <c r="D202" i="18"/>
  <c r="C203" i="18"/>
  <c r="D203" i="18"/>
  <c r="C204" i="18"/>
  <c r="D204" i="18"/>
  <c r="C205" i="18"/>
  <c r="D205" i="18"/>
  <c r="C206" i="18"/>
  <c r="D206" i="18"/>
  <c r="C207" i="18"/>
  <c r="D207" i="18"/>
  <c r="C208" i="18"/>
  <c r="D208" i="18"/>
  <c r="C209" i="18"/>
  <c r="D209" i="18"/>
  <c r="C210" i="18"/>
  <c r="D210" i="18"/>
  <c r="C211" i="18"/>
  <c r="D211" i="18"/>
  <c r="C212" i="18"/>
  <c r="D212" i="18"/>
  <c r="C213" i="18"/>
  <c r="D213" i="18"/>
  <c r="C214" i="18"/>
  <c r="D214" i="18"/>
  <c r="C215" i="18"/>
  <c r="D215" i="18"/>
  <c r="C216" i="18"/>
  <c r="D216" i="18"/>
  <c r="C217" i="18"/>
  <c r="D217" i="18"/>
  <c r="C218" i="18"/>
  <c r="D218" i="18"/>
  <c r="C219" i="18"/>
  <c r="D219" i="18"/>
  <c r="C220" i="18"/>
  <c r="D220" i="18"/>
  <c r="C221" i="18"/>
  <c r="D221" i="18"/>
  <c r="C222" i="18"/>
  <c r="D222" i="18"/>
  <c r="C223" i="18"/>
  <c r="C224" i="18"/>
  <c r="D224" i="18"/>
  <c r="C225" i="18"/>
  <c r="D225" i="18"/>
  <c r="C226" i="18"/>
  <c r="D226" i="18"/>
  <c r="C227" i="18"/>
  <c r="D227" i="18"/>
  <c r="C228" i="18"/>
  <c r="D228" i="18"/>
  <c r="C229" i="18"/>
  <c r="D229" i="18"/>
  <c r="C230" i="18"/>
  <c r="D230" i="18"/>
  <c r="C231" i="18"/>
  <c r="D231" i="18"/>
  <c r="C21" i="19"/>
  <c r="C22" i="19"/>
  <c r="D22" i="19"/>
  <c r="C23" i="19"/>
  <c r="D23" i="19"/>
  <c r="C24" i="19"/>
  <c r="C25" i="19"/>
  <c r="D25" i="19"/>
  <c r="C26" i="19"/>
  <c r="D26" i="19"/>
  <c r="C27" i="19"/>
  <c r="D27" i="19"/>
  <c r="C28" i="19"/>
  <c r="D28" i="19"/>
  <c r="C29" i="19"/>
  <c r="D29" i="19"/>
  <c r="C30" i="19"/>
  <c r="D30" i="19"/>
  <c r="C31" i="19"/>
  <c r="D31" i="19"/>
  <c r="C32" i="19"/>
  <c r="C33" i="19"/>
  <c r="D33" i="19"/>
  <c r="C34" i="19"/>
  <c r="D34" i="19"/>
  <c r="C35" i="19"/>
  <c r="D35" i="19"/>
  <c r="C36" i="19"/>
  <c r="D36" i="19"/>
  <c r="C37" i="19"/>
  <c r="D37" i="19"/>
  <c r="C38" i="19"/>
  <c r="C39" i="19"/>
  <c r="D39" i="19"/>
  <c r="C40" i="19"/>
  <c r="C41" i="19"/>
  <c r="D41" i="19"/>
  <c r="C42" i="19"/>
  <c r="D42" i="19"/>
  <c r="C43" i="19"/>
  <c r="D43" i="19"/>
  <c r="C44" i="19"/>
  <c r="C45" i="19"/>
  <c r="D45" i="19"/>
  <c r="C46" i="19"/>
  <c r="D46" i="19"/>
  <c r="C47" i="19"/>
  <c r="D47" i="19"/>
  <c r="C48" i="19"/>
  <c r="D48" i="19"/>
  <c r="C49" i="19"/>
  <c r="D49" i="19"/>
  <c r="C50" i="19"/>
  <c r="D50" i="19"/>
  <c r="C51" i="19"/>
  <c r="D51" i="19"/>
  <c r="C52" i="19"/>
  <c r="C53" i="19"/>
  <c r="D53" i="19"/>
  <c r="C54" i="19"/>
  <c r="D54" i="19"/>
  <c r="C55" i="19"/>
  <c r="D55" i="19"/>
  <c r="C56" i="19"/>
  <c r="D56" i="19"/>
  <c r="C57" i="19"/>
  <c r="D57" i="19"/>
  <c r="C58" i="19"/>
  <c r="D58" i="19"/>
  <c r="C59" i="19"/>
  <c r="D59" i="19"/>
  <c r="C60" i="19"/>
  <c r="C61" i="19"/>
  <c r="D61" i="19"/>
  <c r="C62" i="19"/>
  <c r="D62" i="19"/>
  <c r="C63" i="19"/>
  <c r="D63" i="19"/>
  <c r="C64" i="19"/>
  <c r="D64" i="19"/>
  <c r="C65" i="19"/>
  <c r="D65" i="19"/>
  <c r="C66" i="19"/>
  <c r="D66" i="19"/>
  <c r="C67" i="19"/>
  <c r="D67" i="19"/>
  <c r="C68" i="19"/>
  <c r="C69" i="19"/>
  <c r="D69" i="19"/>
  <c r="C70" i="19"/>
  <c r="D70" i="19"/>
  <c r="C71" i="19"/>
  <c r="D71" i="19"/>
  <c r="C72" i="19"/>
  <c r="D72" i="19"/>
  <c r="C73" i="19"/>
  <c r="D73" i="19"/>
  <c r="C74" i="19"/>
  <c r="D74" i="19"/>
  <c r="C75" i="19"/>
  <c r="D75" i="19"/>
  <c r="C76" i="19"/>
  <c r="C77" i="19"/>
  <c r="D77" i="19"/>
  <c r="C78" i="19"/>
  <c r="D78" i="19"/>
  <c r="C79" i="19"/>
  <c r="D79" i="19"/>
  <c r="C80" i="19"/>
  <c r="D80" i="19"/>
  <c r="C81" i="19"/>
  <c r="D81" i="19"/>
  <c r="C82" i="19"/>
  <c r="D82" i="19"/>
  <c r="C83" i="19"/>
  <c r="D83" i="19"/>
  <c r="C84" i="19"/>
  <c r="D84" i="19"/>
  <c r="C85" i="19"/>
  <c r="D85" i="19"/>
  <c r="C86" i="19"/>
  <c r="D86" i="19"/>
  <c r="C87" i="19"/>
  <c r="D87" i="19"/>
  <c r="C88" i="19"/>
  <c r="C89" i="19"/>
  <c r="D89" i="19"/>
  <c r="C90" i="19"/>
  <c r="D90" i="19"/>
  <c r="C91" i="19"/>
  <c r="D91" i="19"/>
  <c r="C92" i="19"/>
  <c r="D92" i="19"/>
  <c r="C93" i="19"/>
  <c r="D93" i="19"/>
  <c r="C94" i="19"/>
  <c r="D94" i="19"/>
  <c r="C95" i="19"/>
  <c r="D95" i="19"/>
  <c r="C96" i="19"/>
  <c r="C97" i="19"/>
  <c r="D97" i="19"/>
  <c r="C98" i="19"/>
  <c r="D98" i="19"/>
  <c r="C99" i="19"/>
  <c r="D99" i="19"/>
  <c r="C100" i="19"/>
  <c r="C101" i="19"/>
  <c r="D101" i="19"/>
  <c r="C102" i="19"/>
  <c r="D102" i="19"/>
  <c r="C103" i="19"/>
  <c r="D103" i="19"/>
  <c r="C104" i="19"/>
  <c r="D104" i="19"/>
  <c r="C105" i="19"/>
  <c r="D105" i="19"/>
  <c r="C106" i="19"/>
  <c r="D106" i="19"/>
  <c r="C107" i="19"/>
  <c r="D107" i="19"/>
  <c r="C108" i="19"/>
  <c r="C109" i="19"/>
  <c r="D109" i="19"/>
  <c r="C110" i="19"/>
  <c r="D110" i="19"/>
  <c r="C111" i="19"/>
  <c r="D111" i="19"/>
  <c r="C112" i="19"/>
  <c r="D112" i="19"/>
  <c r="C113" i="19"/>
  <c r="D113" i="19"/>
  <c r="C114" i="19"/>
  <c r="D114" i="19"/>
  <c r="C115" i="19"/>
  <c r="D115" i="19"/>
  <c r="C116" i="19"/>
  <c r="D116" i="19"/>
  <c r="C117" i="19"/>
  <c r="D117" i="19"/>
  <c r="C118" i="19"/>
  <c r="D118" i="19"/>
  <c r="C119" i="19"/>
  <c r="D119" i="19"/>
  <c r="C120" i="19"/>
  <c r="D120" i="19"/>
  <c r="C121" i="19"/>
  <c r="D121" i="19"/>
  <c r="C122" i="19"/>
  <c r="D122" i="19"/>
  <c r="C123" i="19"/>
  <c r="D123" i="19"/>
  <c r="C124" i="19"/>
  <c r="C125" i="19"/>
  <c r="D125" i="19"/>
  <c r="C126" i="19"/>
  <c r="D126" i="19"/>
  <c r="C127" i="19"/>
  <c r="D127" i="19"/>
  <c r="C128" i="19"/>
  <c r="D128" i="19"/>
  <c r="C129" i="19"/>
  <c r="D129" i="19"/>
  <c r="C130" i="19"/>
  <c r="D130" i="19"/>
  <c r="C131" i="19"/>
  <c r="D131" i="19"/>
  <c r="C132" i="19"/>
  <c r="D132" i="19"/>
  <c r="C133" i="19"/>
  <c r="D133" i="19"/>
  <c r="C134" i="19"/>
  <c r="D134" i="19"/>
  <c r="C135" i="19"/>
  <c r="D135" i="19"/>
  <c r="C136" i="19"/>
  <c r="D136" i="19"/>
  <c r="C137" i="19"/>
  <c r="D137" i="19"/>
  <c r="C138" i="19"/>
  <c r="D138" i="19"/>
  <c r="C139" i="19"/>
  <c r="D139" i="19"/>
  <c r="C140" i="19"/>
  <c r="C141" i="19"/>
  <c r="D141" i="19"/>
  <c r="C142" i="19"/>
  <c r="D142" i="19"/>
  <c r="C143" i="19"/>
  <c r="D143" i="19"/>
  <c r="C144" i="19"/>
  <c r="C145" i="19"/>
  <c r="D145" i="19"/>
  <c r="C146" i="19"/>
  <c r="D146" i="19"/>
  <c r="C147" i="19"/>
  <c r="D147" i="19"/>
  <c r="C148" i="19"/>
  <c r="D148" i="19"/>
  <c r="C149" i="19"/>
  <c r="D149" i="19"/>
  <c r="C150" i="19"/>
  <c r="D150" i="19"/>
  <c r="C151" i="19"/>
  <c r="D151" i="19"/>
  <c r="C152" i="19"/>
  <c r="D152" i="19"/>
  <c r="C153" i="19"/>
  <c r="D153" i="19"/>
  <c r="C154" i="19"/>
  <c r="D154" i="19"/>
  <c r="C155" i="19"/>
  <c r="D155" i="19"/>
  <c r="C156" i="19"/>
  <c r="D156" i="19"/>
  <c r="C157" i="19"/>
  <c r="D157" i="19"/>
  <c r="C158" i="19"/>
  <c r="D158" i="19"/>
  <c r="C159" i="19"/>
  <c r="D159" i="19"/>
  <c r="C160" i="19"/>
  <c r="D160" i="19"/>
  <c r="C161" i="19"/>
  <c r="D161" i="19"/>
  <c r="C162" i="19"/>
  <c r="D162" i="19"/>
  <c r="C163" i="19"/>
  <c r="D163" i="19"/>
  <c r="C164" i="19"/>
  <c r="C165" i="19"/>
  <c r="D165" i="19"/>
  <c r="C166" i="19"/>
  <c r="D166" i="19"/>
  <c r="C167" i="19"/>
  <c r="D167" i="19"/>
  <c r="C168" i="19"/>
  <c r="D168" i="19"/>
  <c r="C169" i="19"/>
  <c r="D169" i="19"/>
  <c r="C170" i="19"/>
  <c r="D170" i="19"/>
  <c r="C171" i="19"/>
  <c r="D171" i="19"/>
  <c r="C172" i="19"/>
  <c r="D172" i="19"/>
  <c r="C173" i="19"/>
  <c r="D173" i="19"/>
  <c r="C174" i="19"/>
  <c r="D174" i="19"/>
  <c r="C175" i="19"/>
  <c r="D175" i="19"/>
  <c r="C176" i="19"/>
  <c r="D176" i="19"/>
  <c r="C177" i="19"/>
  <c r="D177" i="19"/>
  <c r="C178" i="19"/>
  <c r="D178" i="19"/>
  <c r="C179" i="19"/>
  <c r="D179" i="19"/>
  <c r="C180" i="19"/>
  <c r="C181" i="19"/>
  <c r="D181" i="19"/>
  <c r="C182" i="19"/>
  <c r="D182" i="19"/>
  <c r="C183" i="19"/>
  <c r="D183" i="19"/>
  <c r="C184" i="19"/>
  <c r="C185" i="19"/>
  <c r="D185" i="19"/>
  <c r="C186" i="19"/>
  <c r="D186" i="19"/>
  <c r="C187" i="19"/>
  <c r="D187" i="19"/>
  <c r="C188" i="19"/>
  <c r="D188" i="19"/>
  <c r="C189" i="19"/>
  <c r="D189" i="19"/>
  <c r="C190" i="19"/>
  <c r="D190" i="19"/>
  <c r="C191" i="19"/>
  <c r="D191" i="19"/>
  <c r="C192" i="19"/>
  <c r="D192" i="19"/>
  <c r="C193" i="19"/>
  <c r="D193" i="19"/>
  <c r="C194" i="19"/>
  <c r="D194" i="19"/>
  <c r="C195" i="19"/>
  <c r="D195" i="19"/>
  <c r="C196" i="19"/>
  <c r="C197" i="19"/>
  <c r="D197" i="19"/>
  <c r="C198" i="19"/>
  <c r="D198" i="19"/>
  <c r="C199" i="19"/>
  <c r="D199" i="19"/>
  <c r="C200" i="19"/>
  <c r="D200" i="19"/>
  <c r="C201" i="19"/>
  <c r="D201" i="19"/>
  <c r="C202" i="19"/>
  <c r="D202" i="19"/>
  <c r="C203" i="19"/>
  <c r="C204" i="19"/>
  <c r="C205" i="19"/>
  <c r="D205" i="19"/>
  <c r="C206" i="19"/>
  <c r="D206" i="19"/>
  <c r="C207" i="19"/>
  <c r="D207" i="19"/>
  <c r="C208" i="19"/>
  <c r="C209" i="19"/>
  <c r="D209" i="19"/>
  <c r="C210" i="19"/>
  <c r="D210" i="19"/>
  <c r="C211" i="19"/>
  <c r="D211" i="19"/>
  <c r="C212" i="19"/>
  <c r="D212" i="19"/>
  <c r="C213" i="19"/>
  <c r="D213" i="19"/>
  <c r="C214" i="19"/>
  <c r="D214" i="19"/>
  <c r="C215" i="19"/>
  <c r="C216" i="19"/>
  <c r="D216" i="19"/>
  <c r="C217" i="19"/>
  <c r="D217" i="19"/>
  <c r="C218" i="19"/>
  <c r="D218" i="19"/>
  <c r="C219" i="19"/>
  <c r="D219" i="19"/>
  <c r="C220" i="19"/>
  <c r="C221" i="19"/>
  <c r="D221" i="19"/>
  <c r="C222" i="19"/>
  <c r="D222" i="19"/>
  <c r="C223" i="19"/>
  <c r="D223" i="19"/>
  <c r="C224" i="19"/>
  <c r="D224" i="19"/>
  <c r="C225" i="19"/>
  <c r="D225" i="19"/>
  <c r="C226" i="19"/>
  <c r="D226" i="19"/>
  <c r="C227" i="19"/>
  <c r="D227" i="19"/>
  <c r="C228" i="19"/>
  <c r="C229" i="19"/>
  <c r="D229" i="19"/>
  <c r="C21" i="24"/>
  <c r="C22" i="24"/>
  <c r="D22" i="24"/>
  <c r="C23" i="24"/>
  <c r="D23" i="24"/>
  <c r="C24" i="24"/>
  <c r="D24" i="24"/>
  <c r="C25" i="24"/>
  <c r="D25" i="24"/>
  <c r="C26" i="24"/>
  <c r="D26" i="24"/>
  <c r="C27" i="24"/>
  <c r="D27" i="24"/>
  <c r="C28" i="24"/>
  <c r="D28" i="24"/>
  <c r="C29" i="24"/>
  <c r="D29" i="24"/>
  <c r="C30" i="24"/>
  <c r="D30" i="24"/>
  <c r="C31" i="24"/>
  <c r="D31" i="24"/>
  <c r="C32" i="24"/>
  <c r="D32" i="24"/>
  <c r="C33" i="24"/>
  <c r="D33" i="24"/>
  <c r="C34" i="24"/>
  <c r="D34" i="24"/>
  <c r="C35" i="24"/>
  <c r="D35" i="24"/>
  <c r="C36" i="24"/>
  <c r="D36" i="24"/>
  <c r="C37" i="24"/>
  <c r="D37" i="24"/>
  <c r="C38" i="24"/>
  <c r="D38" i="24"/>
  <c r="C39" i="24"/>
  <c r="D39" i="24"/>
  <c r="C40" i="24"/>
  <c r="D40" i="24"/>
  <c r="C41" i="24"/>
  <c r="D41" i="24"/>
  <c r="C42" i="24"/>
  <c r="D42" i="24"/>
  <c r="C43" i="24"/>
  <c r="D43" i="24"/>
  <c r="C44" i="24"/>
  <c r="D44" i="24"/>
  <c r="C45" i="24"/>
  <c r="C46" i="24"/>
  <c r="D46" i="24"/>
  <c r="C47" i="24"/>
  <c r="D47" i="24"/>
  <c r="C48" i="24"/>
  <c r="D48" i="24"/>
  <c r="C49" i="24"/>
  <c r="D49" i="24"/>
  <c r="C50" i="24"/>
  <c r="D50" i="24"/>
  <c r="C51" i="24"/>
  <c r="D51" i="24"/>
  <c r="C52" i="24"/>
  <c r="D52" i="24"/>
  <c r="C53" i="24"/>
  <c r="D53" i="24"/>
  <c r="C54" i="24"/>
  <c r="C55" i="24"/>
  <c r="D55" i="24"/>
  <c r="C56" i="24"/>
  <c r="D56" i="24"/>
  <c r="C57" i="24"/>
  <c r="D57" i="24"/>
  <c r="C58" i="24"/>
  <c r="D58" i="24"/>
  <c r="C59" i="24"/>
  <c r="D59" i="24"/>
  <c r="C60" i="24"/>
  <c r="D60" i="24"/>
  <c r="C61" i="24"/>
  <c r="D61" i="24"/>
  <c r="C62" i="24"/>
  <c r="D62" i="24"/>
  <c r="C63" i="24"/>
  <c r="D63" i="24"/>
  <c r="C64" i="24"/>
  <c r="D64" i="24"/>
  <c r="C65" i="24"/>
  <c r="D65" i="24"/>
  <c r="C66" i="24"/>
  <c r="D66" i="24"/>
  <c r="C67" i="24"/>
  <c r="D67" i="24"/>
  <c r="C68" i="24"/>
  <c r="D68" i="24"/>
  <c r="C69" i="24"/>
  <c r="D69" i="24"/>
  <c r="C70" i="24"/>
  <c r="D70" i="24"/>
  <c r="C71" i="24"/>
  <c r="D71" i="24"/>
  <c r="C72" i="24"/>
  <c r="D72" i="24"/>
  <c r="C73" i="24"/>
  <c r="D73" i="24"/>
  <c r="C74" i="24"/>
  <c r="D74" i="24"/>
  <c r="C75" i="24"/>
  <c r="D75" i="24"/>
  <c r="C76" i="24"/>
  <c r="D76" i="24"/>
  <c r="C77" i="24"/>
  <c r="D77" i="24"/>
  <c r="C78" i="24"/>
  <c r="D78" i="24"/>
  <c r="C79" i="24"/>
  <c r="D79" i="24"/>
  <c r="C80" i="24"/>
  <c r="D80" i="24"/>
  <c r="C81" i="24"/>
  <c r="D81" i="24"/>
  <c r="C82" i="24"/>
  <c r="D82" i="24"/>
  <c r="C83" i="24"/>
  <c r="D83" i="24"/>
  <c r="C84" i="24"/>
  <c r="D84" i="24"/>
  <c r="C85" i="24"/>
  <c r="D85" i="24"/>
  <c r="C86" i="24"/>
  <c r="D86" i="24"/>
  <c r="C87" i="24"/>
  <c r="D87" i="24"/>
  <c r="C88" i="24"/>
  <c r="D88" i="24"/>
  <c r="C89" i="24"/>
  <c r="D89" i="24"/>
  <c r="C90" i="24"/>
  <c r="D90" i="24"/>
  <c r="C91" i="24"/>
  <c r="D91" i="24"/>
  <c r="C92" i="24"/>
  <c r="D92" i="24"/>
  <c r="C93" i="24"/>
  <c r="D93" i="24"/>
  <c r="C94" i="24"/>
  <c r="D94" i="24"/>
  <c r="C95" i="24"/>
  <c r="D95" i="24"/>
  <c r="C96" i="24"/>
  <c r="D96" i="24"/>
  <c r="C97" i="24"/>
  <c r="D97" i="24"/>
  <c r="C98" i="24"/>
  <c r="D98" i="24"/>
  <c r="C99" i="24"/>
  <c r="D99" i="24"/>
  <c r="C100" i="24"/>
  <c r="D100" i="24"/>
  <c r="C101" i="24"/>
  <c r="D101" i="24"/>
  <c r="C102" i="24"/>
  <c r="D102" i="24"/>
  <c r="C103" i="24"/>
  <c r="D103" i="24"/>
  <c r="C104" i="24"/>
  <c r="D104" i="24"/>
  <c r="C105" i="24"/>
  <c r="D105" i="24"/>
  <c r="C106" i="24"/>
  <c r="D106" i="24"/>
  <c r="C107" i="24"/>
  <c r="D107" i="24"/>
  <c r="C108" i="24"/>
  <c r="D108" i="24"/>
  <c r="C109" i="24"/>
  <c r="D109" i="24"/>
  <c r="C110" i="24"/>
  <c r="D110" i="24"/>
  <c r="C111" i="24"/>
  <c r="D111" i="24"/>
  <c r="C112" i="24"/>
  <c r="D112" i="24"/>
  <c r="C113" i="24"/>
  <c r="D113" i="24"/>
  <c r="C114" i="24"/>
  <c r="D114" i="24"/>
  <c r="C115" i="24"/>
  <c r="D115" i="24"/>
  <c r="C116" i="24"/>
  <c r="D116" i="24"/>
  <c r="C117" i="24"/>
  <c r="D117" i="24"/>
  <c r="C118" i="24"/>
  <c r="D118" i="24"/>
  <c r="C119" i="24"/>
  <c r="D119" i="24"/>
  <c r="C120" i="24"/>
  <c r="D120" i="24"/>
  <c r="C121" i="24"/>
  <c r="D121" i="24"/>
  <c r="C122" i="24"/>
  <c r="D122" i="24"/>
  <c r="C123" i="24"/>
  <c r="D123" i="24"/>
  <c r="C124" i="24"/>
  <c r="D124" i="24"/>
  <c r="C125" i="24"/>
  <c r="D125" i="24"/>
  <c r="C126" i="24"/>
  <c r="D126" i="24"/>
  <c r="C127" i="24"/>
  <c r="D127" i="24"/>
  <c r="C128" i="24"/>
  <c r="D128" i="24"/>
  <c r="C129" i="24"/>
  <c r="D129" i="24"/>
  <c r="C130" i="24"/>
  <c r="D130" i="24"/>
  <c r="C131" i="24"/>
  <c r="D131" i="24"/>
  <c r="C132" i="24"/>
  <c r="D132" i="24"/>
  <c r="C133" i="24"/>
  <c r="D133" i="24"/>
  <c r="C134" i="24"/>
  <c r="D134" i="24"/>
  <c r="C135" i="24"/>
  <c r="D135" i="24"/>
  <c r="C136" i="24"/>
  <c r="D136" i="24"/>
  <c r="C137" i="24"/>
  <c r="D137" i="24"/>
  <c r="C138" i="24"/>
  <c r="D138" i="24"/>
  <c r="C139" i="24"/>
  <c r="D139" i="24"/>
  <c r="C140" i="24"/>
  <c r="D140" i="24"/>
  <c r="C141" i="24"/>
  <c r="D141" i="24"/>
  <c r="C142" i="24"/>
  <c r="D142" i="24"/>
  <c r="C143" i="24"/>
  <c r="D143" i="24"/>
  <c r="C144" i="24"/>
  <c r="D144" i="24"/>
  <c r="C145" i="24"/>
  <c r="D145" i="24"/>
  <c r="C146" i="24"/>
  <c r="D146" i="24"/>
  <c r="C147" i="24"/>
  <c r="D147" i="24"/>
  <c r="C148" i="24"/>
  <c r="D148" i="24"/>
  <c r="C149" i="24"/>
  <c r="D149" i="24"/>
  <c r="C150" i="24"/>
  <c r="D150" i="24"/>
  <c r="C151" i="24"/>
  <c r="D151" i="24"/>
  <c r="C152" i="24"/>
  <c r="D152" i="24"/>
  <c r="C153" i="24"/>
  <c r="D153" i="24"/>
  <c r="C154" i="24"/>
  <c r="C155" i="24"/>
  <c r="D155" i="24"/>
  <c r="C156" i="24"/>
  <c r="D156" i="24"/>
  <c r="C157" i="24"/>
  <c r="D157" i="24"/>
  <c r="C158" i="24"/>
  <c r="D158" i="24"/>
  <c r="C159" i="24"/>
  <c r="D159" i="24"/>
  <c r="C160" i="24"/>
  <c r="D160" i="24"/>
  <c r="C161" i="24"/>
  <c r="D161" i="24"/>
  <c r="C162" i="24"/>
  <c r="D162" i="24"/>
  <c r="C163" i="24"/>
  <c r="D163" i="24"/>
  <c r="C164" i="24"/>
  <c r="D164" i="24"/>
  <c r="C165" i="24"/>
  <c r="D165" i="24"/>
  <c r="C166" i="24"/>
  <c r="D166" i="24"/>
  <c r="C167" i="24"/>
  <c r="D167" i="24"/>
  <c r="C168" i="24"/>
  <c r="D168" i="24"/>
  <c r="C169" i="24"/>
  <c r="D169" i="24"/>
  <c r="C170" i="24"/>
  <c r="D170" i="24"/>
  <c r="C171" i="24"/>
  <c r="D171" i="24"/>
  <c r="C172" i="24"/>
  <c r="D172" i="24"/>
  <c r="C173" i="24"/>
  <c r="D173" i="24"/>
  <c r="C174" i="24"/>
  <c r="D174" i="24"/>
  <c r="C175" i="24"/>
  <c r="D175" i="24"/>
  <c r="C176" i="24"/>
  <c r="D176" i="24"/>
  <c r="C177" i="24"/>
  <c r="D177" i="24"/>
  <c r="C178" i="24"/>
  <c r="D178" i="24"/>
  <c r="C179" i="24"/>
  <c r="D179" i="24"/>
  <c r="C180" i="24"/>
  <c r="D180" i="24"/>
  <c r="C181" i="24"/>
  <c r="D181" i="24"/>
  <c r="C182" i="24"/>
  <c r="D182" i="24"/>
  <c r="C183" i="24"/>
  <c r="D183" i="24"/>
  <c r="C184" i="24"/>
  <c r="D184" i="24"/>
  <c r="C185" i="24"/>
  <c r="D185" i="24"/>
  <c r="C186" i="24"/>
  <c r="D186" i="24"/>
  <c r="C187" i="24"/>
  <c r="D187" i="24"/>
  <c r="C188" i="24"/>
  <c r="D188" i="24"/>
  <c r="C189" i="24"/>
  <c r="D189" i="24"/>
  <c r="C190" i="24"/>
  <c r="D190" i="24"/>
  <c r="C191" i="24"/>
  <c r="D191" i="24"/>
  <c r="C192" i="24"/>
  <c r="D192" i="24"/>
  <c r="C193" i="24"/>
  <c r="D193" i="24"/>
  <c r="C194" i="24"/>
  <c r="D194" i="24"/>
  <c r="C195" i="24"/>
  <c r="D195" i="24"/>
  <c r="C196" i="24"/>
  <c r="D196" i="24"/>
  <c r="C197" i="24"/>
  <c r="D197" i="24"/>
  <c r="C198" i="24"/>
  <c r="D198" i="24"/>
  <c r="C199" i="24"/>
  <c r="D199" i="24"/>
  <c r="C200" i="24"/>
  <c r="D200" i="24"/>
  <c r="C201" i="24"/>
  <c r="D201" i="24"/>
  <c r="C202" i="24"/>
  <c r="C203" i="24"/>
  <c r="D203" i="24"/>
  <c r="C204" i="24"/>
  <c r="D204" i="24"/>
  <c r="C205" i="24"/>
  <c r="D205" i="24"/>
  <c r="C206" i="24"/>
  <c r="D206" i="24"/>
  <c r="C207" i="24"/>
  <c r="D207" i="24"/>
  <c r="C208" i="24"/>
  <c r="D208" i="24"/>
  <c r="C209" i="24"/>
  <c r="D209" i="24"/>
  <c r="C210" i="24"/>
  <c r="D210" i="24"/>
  <c r="C211" i="24"/>
  <c r="D211" i="24"/>
  <c r="C212" i="24"/>
  <c r="D212" i="24"/>
  <c r="C213" i="24"/>
  <c r="D213" i="24"/>
  <c r="C214" i="24"/>
  <c r="D214" i="24"/>
  <c r="C215" i="24"/>
  <c r="D215" i="24"/>
  <c r="C216" i="24"/>
  <c r="D216" i="24"/>
  <c r="C217" i="24"/>
  <c r="D217" i="24"/>
  <c r="C218" i="24"/>
  <c r="D218" i="24"/>
  <c r="C219" i="24"/>
  <c r="D219" i="24"/>
  <c r="C220" i="24"/>
  <c r="D220" i="24"/>
  <c r="C221" i="24"/>
  <c r="D221" i="24"/>
  <c r="C222" i="24"/>
  <c r="D222" i="24"/>
  <c r="C223" i="24"/>
  <c r="D223" i="24"/>
  <c r="C224" i="24"/>
  <c r="D224" i="24"/>
  <c r="C225" i="24"/>
  <c r="D225" i="24"/>
  <c r="C226" i="24"/>
  <c r="D226" i="24"/>
  <c r="C227" i="24"/>
  <c r="D227" i="24"/>
  <c r="C228" i="24"/>
  <c r="D228" i="24"/>
  <c r="C229" i="24"/>
  <c r="D229" i="24"/>
  <c r="C230" i="24"/>
  <c r="D230" i="24"/>
  <c r="C231" i="24"/>
  <c r="D231" i="24"/>
  <c r="C232" i="24"/>
  <c r="D232" i="24"/>
  <c r="C233" i="24"/>
  <c r="D233" i="24"/>
  <c r="C234" i="24"/>
  <c r="D234" i="24"/>
  <c r="C235" i="24"/>
  <c r="D235" i="24"/>
  <c r="C236" i="24"/>
  <c r="D236" i="24"/>
  <c r="C237" i="24"/>
  <c r="D237" i="24"/>
  <c r="C238" i="24"/>
  <c r="D238" i="24"/>
  <c r="C239" i="24"/>
  <c r="D239" i="24"/>
  <c r="C240" i="24"/>
  <c r="D240" i="24"/>
  <c r="C241" i="24"/>
  <c r="D241" i="24"/>
  <c r="C242" i="24"/>
  <c r="D242" i="24"/>
  <c r="C243" i="24"/>
  <c r="D243" i="24"/>
  <c r="C244" i="24"/>
  <c r="D244" i="24"/>
  <c r="C245" i="24"/>
  <c r="D245" i="24"/>
  <c r="C246" i="24"/>
  <c r="D246" i="24"/>
  <c r="C247" i="24"/>
  <c r="D247" i="24"/>
  <c r="C248" i="24"/>
  <c r="D248" i="24"/>
  <c r="C249" i="24"/>
  <c r="D249" i="24"/>
  <c r="C250" i="24"/>
  <c r="D250" i="24"/>
  <c r="C251" i="24"/>
  <c r="D251" i="24"/>
  <c r="C252" i="24"/>
  <c r="D252" i="24"/>
  <c r="C253" i="24"/>
  <c r="D253" i="24"/>
  <c r="C254" i="24"/>
  <c r="D254" i="24"/>
  <c r="C255" i="24"/>
  <c r="D255" i="24"/>
  <c r="C256" i="24"/>
  <c r="D256" i="24"/>
  <c r="C257" i="24"/>
  <c r="D257" i="24"/>
  <c r="C258" i="24"/>
  <c r="D258" i="24"/>
  <c r="C259" i="24"/>
  <c r="D259" i="24"/>
  <c r="C260" i="24"/>
  <c r="D260" i="24"/>
  <c r="C261" i="24"/>
  <c r="D261" i="24"/>
  <c r="C262" i="24"/>
  <c r="D262" i="24"/>
  <c r="C263" i="24"/>
  <c r="D263" i="24"/>
  <c r="C264" i="24"/>
  <c r="D264" i="24"/>
  <c r="C265" i="24"/>
  <c r="D265" i="24"/>
  <c r="C266" i="24"/>
  <c r="D266" i="24"/>
  <c r="C267" i="24"/>
  <c r="D267" i="24"/>
  <c r="C268" i="24"/>
  <c r="D268" i="24"/>
  <c r="C269" i="24"/>
  <c r="D269" i="24"/>
  <c r="C270" i="24"/>
  <c r="D270" i="24"/>
  <c r="C271" i="24"/>
  <c r="D271" i="24"/>
  <c r="C272" i="24"/>
  <c r="D272" i="24"/>
  <c r="C273" i="24"/>
  <c r="D273" i="24"/>
  <c r="C274" i="24"/>
  <c r="D274" i="24"/>
  <c r="C275" i="24"/>
  <c r="D275" i="24"/>
  <c r="C276" i="24"/>
  <c r="D276" i="24"/>
  <c r="C277" i="24"/>
  <c r="D277" i="24"/>
  <c r="C278" i="24"/>
  <c r="D278" i="24"/>
  <c r="C279" i="24"/>
  <c r="D279" i="24"/>
  <c r="C280" i="24"/>
  <c r="D280" i="24"/>
  <c r="C281" i="24"/>
  <c r="D281" i="24"/>
  <c r="C282" i="24"/>
  <c r="D282" i="24"/>
  <c r="C283" i="24"/>
  <c r="D283" i="24"/>
  <c r="C284" i="24"/>
  <c r="D284" i="24"/>
  <c r="C285" i="24"/>
  <c r="D285" i="24"/>
  <c r="C286" i="24"/>
  <c r="D286" i="24"/>
  <c r="C287" i="24"/>
  <c r="D287" i="24"/>
  <c r="C288" i="24"/>
  <c r="D288" i="24"/>
  <c r="C289" i="24"/>
  <c r="D289" i="24"/>
  <c r="C290" i="24"/>
  <c r="D290" i="24"/>
  <c r="C291" i="24"/>
  <c r="D291" i="24"/>
  <c r="C292" i="24"/>
  <c r="D292" i="24"/>
  <c r="C293" i="24"/>
  <c r="D293" i="24"/>
  <c r="C294" i="24"/>
  <c r="D294" i="24"/>
  <c r="C295" i="24"/>
  <c r="D295" i="24"/>
  <c r="C296" i="24"/>
  <c r="D296" i="24"/>
  <c r="C297" i="24"/>
  <c r="D297" i="24"/>
  <c r="C298" i="24"/>
  <c r="D298" i="24"/>
  <c r="C299" i="24"/>
  <c r="D299" i="24"/>
  <c r="C300" i="24"/>
  <c r="D300" i="24"/>
  <c r="C301" i="24"/>
  <c r="D301" i="24"/>
  <c r="C302" i="24"/>
  <c r="D302" i="24"/>
  <c r="C303" i="24"/>
  <c r="D303" i="24"/>
  <c r="C304" i="24"/>
  <c r="D304" i="24"/>
  <c r="C305" i="24"/>
  <c r="D305" i="24"/>
  <c r="C306" i="24"/>
  <c r="D306" i="24"/>
  <c r="C307" i="24"/>
  <c r="D307" i="24"/>
  <c r="C308" i="24"/>
  <c r="D308" i="24"/>
  <c r="C309" i="24"/>
  <c r="D309" i="24"/>
  <c r="C310" i="24"/>
  <c r="D310" i="24"/>
  <c r="C311" i="24"/>
  <c r="D311" i="24"/>
  <c r="C312" i="24"/>
  <c r="D312" i="24"/>
  <c r="C313" i="24"/>
  <c r="D313" i="24"/>
  <c r="C314" i="24"/>
  <c r="D314" i="24"/>
  <c r="C315" i="24"/>
  <c r="D315" i="24"/>
  <c r="C316" i="24"/>
  <c r="D316" i="24"/>
  <c r="C317" i="24"/>
  <c r="D317" i="24"/>
  <c r="C318" i="24"/>
  <c r="D318" i="24"/>
  <c r="C319" i="24"/>
  <c r="D319" i="24"/>
  <c r="C320" i="24"/>
  <c r="D320" i="24"/>
  <c r="C321" i="24"/>
  <c r="D321" i="24"/>
  <c r="C322" i="24"/>
  <c r="D322" i="24"/>
  <c r="C323" i="24"/>
  <c r="D323" i="24"/>
  <c r="C324" i="24"/>
  <c r="D324" i="24"/>
  <c r="C325" i="24"/>
  <c r="D325" i="24"/>
  <c r="C326" i="24"/>
  <c r="D326" i="24"/>
  <c r="C327" i="24"/>
  <c r="D327" i="24"/>
  <c r="C328" i="24"/>
  <c r="C329" i="24"/>
  <c r="D329" i="24"/>
  <c r="C330" i="24"/>
  <c r="D330" i="24"/>
  <c r="C331" i="24"/>
  <c r="D331" i="24"/>
  <c r="C332" i="24"/>
  <c r="D332" i="24"/>
  <c r="C333" i="24"/>
  <c r="D333" i="24"/>
  <c r="C334" i="24"/>
  <c r="D334" i="24"/>
  <c r="C335" i="24"/>
  <c r="D335" i="24"/>
  <c r="C336" i="24"/>
  <c r="D336" i="24"/>
  <c r="C337" i="24"/>
  <c r="D337" i="24"/>
  <c r="C338" i="24"/>
  <c r="D338" i="24"/>
  <c r="C339" i="24"/>
  <c r="D339" i="24"/>
  <c r="C340" i="24"/>
  <c r="D340" i="24"/>
  <c r="C341" i="24"/>
  <c r="D341" i="24"/>
  <c r="C342" i="24"/>
  <c r="D342" i="24"/>
  <c r="C343" i="24"/>
  <c r="D343" i="24"/>
  <c r="C344" i="24"/>
  <c r="D344" i="24"/>
  <c r="C345" i="24"/>
  <c r="D345" i="24"/>
  <c r="C346" i="24"/>
  <c r="D346" i="24"/>
  <c r="C347" i="24"/>
  <c r="D347" i="24"/>
  <c r="C348" i="24"/>
  <c r="D348" i="24"/>
  <c r="C21" i="22"/>
  <c r="C22" i="22"/>
  <c r="C23" i="22"/>
  <c r="C24" i="22"/>
  <c r="D24" i="22"/>
  <c r="C25" i="22"/>
  <c r="D25" i="22"/>
  <c r="C26" i="22"/>
  <c r="D26" i="22"/>
  <c r="C27" i="22"/>
  <c r="C28" i="22"/>
  <c r="D28" i="22"/>
  <c r="C29" i="22"/>
  <c r="D29" i="22"/>
  <c r="C30" i="22"/>
  <c r="D30" i="22"/>
  <c r="C31" i="22"/>
  <c r="C32" i="22"/>
  <c r="D32" i="22"/>
  <c r="C33" i="22"/>
  <c r="D33" i="22"/>
  <c r="C34" i="22"/>
  <c r="D34" i="22"/>
  <c r="C35" i="22"/>
  <c r="C36" i="22"/>
  <c r="D36" i="22"/>
  <c r="C37" i="22"/>
  <c r="D37" i="22"/>
  <c r="C38" i="22"/>
  <c r="D38" i="22"/>
  <c r="C39" i="22"/>
  <c r="C40" i="22"/>
  <c r="D40" i="22"/>
  <c r="C41" i="22"/>
  <c r="D41" i="22"/>
  <c r="C42" i="22"/>
  <c r="D42" i="22"/>
  <c r="C43" i="22"/>
  <c r="C44" i="22"/>
  <c r="D44" i="22"/>
  <c r="C45" i="22"/>
  <c r="D45" i="22"/>
  <c r="C46" i="22"/>
  <c r="D46" i="22"/>
  <c r="C47" i="22"/>
  <c r="C48" i="22"/>
  <c r="D48" i="22"/>
  <c r="C49" i="22"/>
  <c r="D49" i="22"/>
  <c r="C50" i="22"/>
  <c r="D50" i="22"/>
  <c r="C51" i="22"/>
  <c r="C52" i="22"/>
  <c r="D52" i="22"/>
  <c r="C53" i="22"/>
  <c r="D53" i="22"/>
  <c r="C54" i="22"/>
  <c r="D54" i="22"/>
  <c r="C55" i="22"/>
  <c r="C56" i="22"/>
  <c r="D56" i="22"/>
  <c r="C57" i="22"/>
  <c r="D57" i="22"/>
  <c r="C58" i="22"/>
  <c r="D58" i="22"/>
  <c r="C59" i="22"/>
  <c r="C60" i="22"/>
  <c r="D60" i="22"/>
  <c r="C61" i="22"/>
  <c r="D61" i="22"/>
  <c r="C62" i="22"/>
  <c r="D62" i="22"/>
  <c r="C63" i="22"/>
  <c r="C64" i="22"/>
  <c r="D64" i="22"/>
  <c r="C65" i="22"/>
  <c r="D65" i="22"/>
  <c r="C66" i="22"/>
  <c r="D66" i="22"/>
  <c r="C67" i="22"/>
  <c r="C68" i="22"/>
  <c r="D68" i="22"/>
  <c r="C69" i="22"/>
  <c r="D69" i="22"/>
  <c r="C70" i="22"/>
  <c r="D70" i="22"/>
  <c r="C71" i="22"/>
  <c r="C72" i="22"/>
  <c r="D72" i="22"/>
  <c r="C73" i="22"/>
  <c r="D73" i="22"/>
  <c r="C74" i="22"/>
  <c r="D74" i="22"/>
  <c r="C75" i="22"/>
  <c r="C76" i="22"/>
  <c r="D76" i="22"/>
  <c r="C77" i="22"/>
  <c r="D77" i="22"/>
  <c r="C78" i="22"/>
  <c r="D78" i="22"/>
  <c r="C79" i="22"/>
  <c r="C80" i="22"/>
  <c r="D80" i="22"/>
  <c r="C81" i="22"/>
  <c r="D81" i="22"/>
  <c r="C82" i="22"/>
  <c r="D82" i="22"/>
  <c r="C83" i="22"/>
  <c r="C84" i="22"/>
  <c r="D84" i="22"/>
  <c r="C85" i="22"/>
  <c r="D85" i="22"/>
  <c r="C86" i="22"/>
  <c r="D86" i="22"/>
  <c r="C87" i="22"/>
  <c r="C88" i="22"/>
  <c r="D88" i="22"/>
  <c r="C89" i="22"/>
  <c r="D89" i="22"/>
  <c r="C90" i="22"/>
  <c r="D90" i="22"/>
  <c r="C91" i="22"/>
  <c r="C92" i="22"/>
  <c r="D92" i="22"/>
  <c r="C93" i="22"/>
  <c r="D93" i="22"/>
  <c r="C94" i="22"/>
  <c r="D94" i="22"/>
  <c r="C95" i="22"/>
  <c r="C96" i="22"/>
  <c r="D96" i="22"/>
  <c r="C97" i="22"/>
  <c r="D97" i="22"/>
  <c r="C98" i="22"/>
  <c r="D98" i="22"/>
  <c r="C99" i="22"/>
  <c r="C100" i="22"/>
  <c r="D100" i="22"/>
  <c r="C101" i="22"/>
  <c r="D101" i="22"/>
  <c r="C102" i="22"/>
  <c r="D102" i="22"/>
  <c r="C103" i="22"/>
  <c r="C104" i="22"/>
  <c r="D104" i="22"/>
  <c r="C105" i="22"/>
  <c r="D105" i="22"/>
  <c r="C106" i="22"/>
  <c r="D106" i="22"/>
  <c r="C107" i="22"/>
  <c r="C108" i="22"/>
  <c r="D108" i="22"/>
  <c r="C109" i="22"/>
  <c r="D109" i="22"/>
  <c r="C110" i="22"/>
  <c r="D110" i="22"/>
  <c r="C111" i="22"/>
  <c r="C112" i="22"/>
  <c r="D112" i="22"/>
  <c r="C113" i="22"/>
  <c r="D113" i="22"/>
  <c r="C114" i="22"/>
  <c r="D114" i="22"/>
  <c r="C115" i="22"/>
  <c r="C116" i="22"/>
  <c r="D116" i="22"/>
  <c r="C117" i="22"/>
  <c r="D117" i="22"/>
  <c r="C118" i="22"/>
  <c r="D118" i="22"/>
  <c r="C119" i="22"/>
  <c r="C120" i="22"/>
  <c r="D120" i="22"/>
  <c r="C121" i="22"/>
  <c r="D121" i="22"/>
  <c r="C122" i="22"/>
  <c r="D122" i="22"/>
  <c r="C123" i="22"/>
  <c r="C124" i="22"/>
  <c r="D124" i="22"/>
  <c r="C125" i="22"/>
  <c r="D125" i="22"/>
  <c r="C126" i="22"/>
  <c r="D126" i="22"/>
  <c r="C127" i="22"/>
  <c r="C128" i="22"/>
  <c r="D128" i="22"/>
  <c r="C129" i="22"/>
  <c r="D129" i="22"/>
  <c r="C130" i="22"/>
  <c r="D130" i="22"/>
  <c r="C131" i="22"/>
  <c r="C132" i="22"/>
  <c r="D132" i="22"/>
  <c r="C133" i="22"/>
  <c r="D133" i="22"/>
  <c r="C134" i="22"/>
  <c r="D134" i="22"/>
  <c r="C135" i="22"/>
  <c r="C136" i="22"/>
  <c r="D136" i="22"/>
  <c r="C137" i="22"/>
  <c r="D137" i="22"/>
  <c r="C138" i="22"/>
  <c r="D138" i="22"/>
  <c r="C139" i="22"/>
  <c r="C140" i="22"/>
  <c r="D140" i="22"/>
  <c r="C141" i="22"/>
  <c r="D141" i="22"/>
  <c r="C142" i="22"/>
  <c r="D142" i="22"/>
  <c r="C143" i="22"/>
  <c r="C144" i="22"/>
  <c r="D144" i="22"/>
  <c r="C145" i="22"/>
  <c r="D145" i="22"/>
  <c r="C146" i="22"/>
  <c r="D146" i="22"/>
  <c r="C147" i="22"/>
  <c r="C148" i="22"/>
  <c r="D148" i="22"/>
  <c r="C149" i="22"/>
  <c r="D149" i="22"/>
  <c r="C150" i="22"/>
  <c r="D150" i="22"/>
  <c r="C151" i="22"/>
  <c r="C152" i="22"/>
  <c r="D152" i="22"/>
  <c r="C153" i="22"/>
  <c r="D153" i="22"/>
  <c r="C154" i="22"/>
  <c r="D154" i="22"/>
  <c r="C155" i="22"/>
  <c r="C156" i="22"/>
  <c r="D156" i="22"/>
  <c r="C157" i="22"/>
  <c r="D157" i="22"/>
  <c r="C158" i="22"/>
  <c r="D158" i="22"/>
  <c r="C159" i="22"/>
  <c r="C160" i="22"/>
  <c r="D160" i="22"/>
  <c r="C161" i="22"/>
  <c r="D161" i="22"/>
  <c r="C162" i="22"/>
  <c r="D162" i="22"/>
  <c r="C163" i="22"/>
  <c r="C164" i="22"/>
  <c r="D164" i="22"/>
  <c r="C165" i="22"/>
  <c r="D165" i="22"/>
  <c r="C166" i="22"/>
  <c r="D166" i="22"/>
  <c r="C167" i="22"/>
  <c r="C168" i="22"/>
  <c r="D168" i="22"/>
  <c r="C169" i="22"/>
  <c r="D169" i="22"/>
  <c r="C170" i="22"/>
  <c r="D170" i="22"/>
  <c r="C171" i="22"/>
  <c r="C172" i="22"/>
  <c r="D172" i="22"/>
  <c r="C173" i="22"/>
  <c r="D173" i="22"/>
  <c r="C174" i="22"/>
  <c r="D174" i="22"/>
  <c r="C175" i="22"/>
  <c r="C176" i="22"/>
  <c r="D176" i="22"/>
  <c r="C177" i="22"/>
  <c r="D177" i="22"/>
  <c r="C178" i="22"/>
  <c r="D178" i="22"/>
  <c r="C179" i="22"/>
  <c r="C180" i="22"/>
  <c r="D180" i="22"/>
  <c r="C181" i="22"/>
  <c r="D181" i="22"/>
  <c r="C182" i="22"/>
  <c r="D182" i="22"/>
  <c r="C183" i="22"/>
  <c r="C184" i="22"/>
  <c r="D184" i="22"/>
  <c r="C185" i="22"/>
  <c r="D185" i="22"/>
  <c r="C186" i="22"/>
  <c r="D186" i="22"/>
  <c r="C187" i="22"/>
  <c r="C188" i="22"/>
  <c r="D188" i="22"/>
  <c r="C189" i="22"/>
  <c r="D189" i="22"/>
  <c r="C190" i="22"/>
  <c r="D190" i="22"/>
  <c r="C191" i="22"/>
  <c r="C192" i="22"/>
  <c r="D192" i="22"/>
  <c r="C193" i="22"/>
  <c r="D193" i="22"/>
  <c r="C194" i="22"/>
  <c r="D194" i="22"/>
  <c r="C195" i="22"/>
  <c r="C196" i="22"/>
  <c r="D196" i="22"/>
  <c r="C197" i="22"/>
  <c r="D197" i="22"/>
  <c r="C198" i="22"/>
  <c r="D198" i="22"/>
  <c r="C199" i="22"/>
  <c r="C200" i="22"/>
  <c r="D200" i="22"/>
  <c r="C201" i="22"/>
  <c r="D201" i="22"/>
  <c r="C202" i="22"/>
  <c r="D202" i="22"/>
  <c r="C203" i="22"/>
  <c r="C204" i="22"/>
  <c r="D204" i="22"/>
  <c r="C205" i="22"/>
  <c r="D205" i="22"/>
  <c r="C206" i="22"/>
  <c r="D206" i="22"/>
  <c r="C207" i="22"/>
  <c r="C208" i="22"/>
  <c r="D208" i="22"/>
  <c r="C209" i="22"/>
  <c r="D209" i="22"/>
  <c r="C210" i="22"/>
  <c r="D210" i="22"/>
  <c r="C21" i="20"/>
  <c r="D21" i="20"/>
  <c r="C22" i="20"/>
  <c r="D22" i="20"/>
  <c r="C23" i="20"/>
  <c r="C24" i="20"/>
  <c r="D24" i="20"/>
  <c r="C25" i="20"/>
  <c r="D25" i="20"/>
  <c r="C26" i="20"/>
  <c r="D26" i="20"/>
  <c r="C27" i="20"/>
  <c r="D27" i="20"/>
  <c r="C28" i="20"/>
  <c r="D28" i="20"/>
  <c r="C29" i="20"/>
  <c r="D29" i="20"/>
  <c r="C30" i="20"/>
  <c r="D30" i="20"/>
  <c r="C31" i="20"/>
  <c r="D31" i="20"/>
  <c r="C32" i="20"/>
  <c r="D32" i="20"/>
  <c r="C33" i="20"/>
  <c r="D33" i="20"/>
  <c r="C34" i="20"/>
  <c r="D34" i="20"/>
  <c r="C35" i="20"/>
  <c r="D35" i="20"/>
  <c r="C36" i="20"/>
  <c r="D36" i="20"/>
  <c r="C37" i="20"/>
  <c r="D37" i="20"/>
  <c r="C38" i="20"/>
  <c r="D38" i="20"/>
  <c r="C39" i="20"/>
  <c r="D39" i="20"/>
  <c r="C40" i="20"/>
  <c r="D40" i="20"/>
  <c r="C41" i="20"/>
  <c r="D41" i="20"/>
  <c r="C42" i="20"/>
  <c r="D42" i="20"/>
  <c r="C43" i="20"/>
  <c r="D43" i="20"/>
  <c r="C44" i="20"/>
  <c r="D44" i="20"/>
  <c r="C45" i="20"/>
  <c r="D45" i="20"/>
  <c r="C46" i="20"/>
  <c r="D46" i="20"/>
  <c r="C47" i="20"/>
  <c r="D47" i="20"/>
  <c r="C48" i="20"/>
  <c r="D48" i="20"/>
  <c r="C49" i="20"/>
  <c r="D49" i="20"/>
  <c r="C50" i="20"/>
  <c r="D50" i="20"/>
  <c r="C51" i="20"/>
  <c r="D51" i="20"/>
  <c r="C52" i="20"/>
  <c r="D52" i="20"/>
  <c r="C53" i="20"/>
  <c r="D53" i="20"/>
  <c r="C54" i="20"/>
  <c r="D54" i="20"/>
  <c r="C55" i="20"/>
  <c r="D55" i="20"/>
  <c r="C56" i="20"/>
  <c r="D56" i="20"/>
  <c r="C57" i="20"/>
  <c r="D57" i="20"/>
  <c r="C58" i="20"/>
  <c r="D58" i="20"/>
  <c r="C59" i="20"/>
  <c r="D59" i="20"/>
  <c r="C60" i="20"/>
  <c r="D60" i="20"/>
  <c r="C61" i="20"/>
  <c r="D61" i="20"/>
  <c r="C62" i="20"/>
  <c r="D62" i="20"/>
  <c r="C63" i="20"/>
  <c r="D63" i="20"/>
  <c r="C64" i="20"/>
  <c r="D64" i="20"/>
  <c r="C65" i="20"/>
  <c r="D65" i="20"/>
  <c r="C66" i="20"/>
  <c r="D66" i="20"/>
  <c r="C67" i="20"/>
  <c r="D67" i="20"/>
  <c r="C68" i="20"/>
  <c r="D68" i="20"/>
  <c r="C69" i="20"/>
  <c r="D69" i="20"/>
  <c r="C70" i="20"/>
  <c r="D70" i="20"/>
  <c r="C71" i="20"/>
  <c r="D71" i="20"/>
  <c r="C72" i="20"/>
  <c r="D72" i="20"/>
  <c r="C73" i="20"/>
  <c r="D73" i="20"/>
  <c r="C74" i="20"/>
  <c r="D74" i="20"/>
  <c r="C75" i="20"/>
  <c r="D75" i="20"/>
  <c r="C76" i="20"/>
  <c r="D76" i="20"/>
  <c r="C77" i="20"/>
  <c r="D77" i="20"/>
  <c r="C78" i="20"/>
  <c r="D78" i="20"/>
  <c r="C79" i="20"/>
  <c r="D79" i="20"/>
  <c r="C80" i="20"/>
  <c r="D80" i="20"/>
  <c r="C81" i="20"/>
  <c r="D81" i="20"/>
  <c r="C82" i="20"/>
  <c r="D82" i="20"/>
  <c r="C83" i="20"/>
  <c r="D83" i="20"/>
  <c r="C84" i="20"/>
  <c r="D84" i="20"/>
  <c r="C85" i="20"/>
  <c r="D85" i="20"/>
  <c r="C86" i="20"/>
  <c r="D86" i="20"/>
  <c r="C87" i="20"/>
  <c r="D87" i="20"/>
  <c r="C88" i="20"/>
  <c r="D88" i="20"/>
  <c r="C89" i="20"/>
  <c r="D89" i="20"/>
  <c r="C90" i="20"/>
  <c r="D90" i="20"/>
  <c r="C91" i="20"/>
  <c r="D91" i="20"/>
  <c r="C92" i="20"/>
  <c r="D92" i="20"/>
  <c r="C93" i="20"/>
  <c r="D93" i="20"/>
  <c r="C94" i="20"/>
  <c r="D94" i="20"/>
  <c r="C95" i="20"/>
  <c r="D95" i="20"/>
  <c r="C96" i="20"/>
  <c r="D96" i="20"/>
  <c r="C97" i="20"/>
  <c r="D97" i="20"/>
  <c r="C98" i="20"/>
  <c r="D98" i="20"/>
  <c r="C99" i="20"/>
  <c r="D99" i="20"/>
  <c r="C100" i="20"/>
  <c r="D100" i="20"/>
  <c r="C101" i="20"/>
  <c r="D101" i="20"/>
  <c r="C102" i="20"/>
  <c r="D102" i="20"/>
  <c r="C103" i="20"/>
  <c r="D103" i="20"/>
  <c r="C104" i="20"/>
  <c r="D104" i="20"/>
  <c r="C105" i="20"/>
  <c r="D105" i="20"/>
  <c r="C106" i="20"/>
  <c r="D106" i="20"/>
  <c r="C107" i="20"/>
  <c r="D107" i="20"/>
  <c r="C108" i="20"/>
  <c r="D108" i="20"/>
  <c r="C109" i="20"/>
  <c r="D109" i="20"/>
  <c r="C110" i="20"/>
  <c r="D110" i="20"/>
  <c r="C111" i="20"/>
  <c r="D111" i="20"/>
  <c r="C112" i="20"/>
  <c r="D112" i="20"/>
  <c r="C113" i="20"/>
  <c r="D113" i="20"/>
  <c r="C114" i="20"/>
  <c r="D114" i="20"/>
  <c r="C115" i="20"/>
  <c r="D115" i="20"/>
  <c r="C116" i="20"/>
  <c r="D116" i="20"/>
  <c r="C117" i="20"/>
  <c r="D117" i="20"/>
  <c r="C118" i="20"/>
  <c r="D118" i="20"/>
  <c r="C119" i="20"/>
  <c r="D119" i="20"/>
  <c r="C120" i="20"/>
  <c r="D120" i="20"/>
  <c r="C121" i="20"/>
  <c r="D121" i="20"/>
  <c r="C122" i="20"/>
  <c r="D122" i="20"/>
  <c r="C123" i="20"/>
  <c r="D123" i="20"/>
  <c r="C124" i="20"/>
  <c r="D124" i="20"/>
  <c r="C125" i="20"/>
  <c r="D125" i="20"/>
  <c r="C126" i="20"/>
  <c r="D126" i="20"/>
  <c r="C127" i="20"/>
  <c r="D127" i="20"/>
  <c r="C128" i="20"/>
  <c r="D128" i="20"/>
  <c r="C129" i="20"/>
  <c r="D129" i="20"/>
  <c r="C130" i="20"/>
  <c r="D130" i="20"/>
  <c r="C131" i="20"/>
  <c r="D131" i="20"/>
  <c r="C132" i="20"/>
  <c r="D132" i="20"/>
  <c r="C133" i="20"/>
  <c r="D133" i="20"/>
  <c r="C134" i="20"/>
  <c r="D134" i="20"/>
  <c r="C135" i="20"/>
  <c r="D135" i="20"/>
  <c r="C136" i="20"/>
  <c r="D136" i="20"/>
  <c r="C137" i="20"/>
  <c r="D137" i="20"/>
  <c r="C138" i="20"/>
  <c r="D138" i="20"/>
  <c r="C139" i="20"/>
  <c r="D139" i="20"/>
  <c r="C140" i="20"/>
  <c r="D140" i="20"/>
  <c r="C141" i="20"/>
  <c r="D141" i="20"/>
  <c r="C142" i="20"/>
  <c r="D142" i="20"/>
  <c r="C143" i="20"/>
  <c r="D143" i="20"/>
  <c r="C144" i="20"/>
  <c r="D144" i="20"/>
  <c r="C145" i="20"/>
  <c r="D145" i="20"/>
  <c r="C146" i="20"/>
  <c r="D146" i="20"/>
  <c r="C147" i="20"/>
  <c r="D147" i="20"/>
  <c r="C148" i="20"/>
  <c r="D148" i="20"/>
  <c r="C149" i="20"/>
  <c r="D149" i="20"/>
  <c r="C150" i="20"/>
  <c r="D150" i="20"/>
  <c r="C151" i="20"/>
  <c r="D151" i="20"/>
  <c r="C152" i="20"/>
  <c r="D152" i="20"/>
  <c r="C153" i="20"/>
  <c r="D153" i="20"/>
  <c r="C154" i="20"/>
  <c r="D154" i="20"/>
  <c r="C155" i="20"/>
  <c r="D155" i="20"/>
  <c r="C156" i="20"/>
  <c r="D156" i="20"/>
  <c r="C157" i="20"/>
  <c r="D157" i="20"/>
  <c r="C158" i="20"/>
  <c r="D158" i="20"/>
  <c r="C159" i="20"/>
  <c r="D159" i="20"/>
  <c r="C160" i="20"/>
  <c r="D160" i="20"/>
  <c r="C161" i="20"/>
  <c r="D161" i="20"/>
  <c r="C162" i="20"/>
  <c r="D162" i="20"/>
  <c r="C163" i="20"/>
  <c r="D163" i="20"/>
  <c r="C164" i="20"/>
  <c r="D164" i="20"/>
  <c r="C165" i="20"/>
  <c r="D165" i="20"/>
  <c r="C166" i="20"/>
  <c r="D166" i="20"/>
  <c r="C167" i="20"/>
  <c r="D167" i="20"/>
  <c r="C168" i="20"/>
  <c r="D168" i="20"/>
  <c r="C169" i="20"/>
  <c r="D169" i="20"/>
  <c r="C170" i="20"/>
  <c r="D170" i="20"/>
  <c r="C171" i="20"/>
  <c r="D171" i="20"/>
  <c r="C172" i="20"/>
  <c r="D172" i="20"/>
  <c r="C173" i="20"/>
  <c r="D173" i="20"/>
  <c r="C174" i="20"/>
  <c r="D174" i="20"/>
  <c r="C175" i="20"/>
  <c r="D175" i="20"/>
  <c r="C176" i="20"/>
  <c r="D176" i="20"/>
  <c r="C177" i="20"/>
  <c r="D177" i="20"/>
  <c r="C178" i="20"/>
  <c r="D178" i="20"/>
  <c r="C179" i="20"/>
  <c r="D179" i="20"/>
  <c r="C180" i="20"/>
  <c r="D180" i="20"/>
  <c r="C181" i="20"/>
  <c r="D181" i="20"/>
  <c r="C182" i="20"/>
  <c r="D182" i="20"/>
  <c r="C183" i="20"/>
  <c r="D183" i="20"/>
  <c r="C184" i="20"/>
  <c r="D184" i="20"/>
  <c r="C185" i="20"/>
  <c r="D185" i="20"/>
  <c r="C186" i="20"/>
  <c r="D186" i="20"/>
  <c r="C187" i="20"/>
  <c r="D187" i="20"/>
  <c r="C188" i="20"/>
  <c r="D188" i="20"/>
  <c r="C189" i="20"/>
  <c r="D189" i="20"/>
  <c r="C190" i="20"/>
  <c r="D190" i="20"/>
  <c r="C191" i="20"/>
  <c r="D191" i="20"/>
  <c r="C192" i="20"/>
  <c r="D192" i="20"/>
  <c r="C193" i="20"/>
  <c r="D193" i="20"/>
  <c r="C194" i="20"/>
  <c r="D194" i="20"/>
  <c r="C195" i="20"/>
  <c r="D195" i="20"/>
  <c r="C196" i="20"/>
  <c r="D196" i="20"/>
  <c r="C197" i="20"/>
  <c r="D197" i="20"/>
  <c r="C198" i="20"/>
  <c r="D198" i="20"/>
  <c r="C199" i="20"/>
  <c r="D199" i="20"/>
  <c r="C200" i="20"/>
  <c r="D200" i="20"/>
  <c r="C201" i="20"/>
  <c r="D201" i="20"/>
  <c r="C202" i="20"/>
  <c r="D202" i="20"/>
  <c r="C203" i="20"/>
  <c r="D203" i="20"/>
  <c r="C204" i="20"/>
  <c r="D204" i="20"/>
  <c r="C205" i="20"/>
  <c r="D205" i="20"/>
  <c r="C206" i="20"/>
  <c r="D206" i="20"/>
  <c r="C207" i="20"/>
  <c r="D207" i="20"/>
  <c r="C208" i="20"/>
  <c r="D208" i="20"/>
  <c r="C209" i="20"/>
  <c r="D209" i="20"/>
  <c r="C210" i="20"/>
  <c r="D210" i="20"/>
  <c r="C211" i="20"/>
  <c r="D211" i="20"/>
  <c r="C212" i="20"/>
  <c r="D212" i="20"/>
  <c r="C213" i="20"/>
  <c r="D213" i="20"/>
  <c r="C214" i="20"/>
  <c r="D214" i="20"/>
  <c r="C215" i="20"/>
  <c r="D215" i="20"/>
  <c r="C216" i="20"/>
  <c r="D216" i="20"/>
  <c r="C217" i="20"/>
  <c r="D217" i="20"/>
  <c r="C218" i="20"/>
  <c r="D218" i="20"/>
  <c r="C219" i="20"/>
  <c r="D219" i="20"/>
  <c r="C220" i="20"/>
  <c r="D220" i="20"/>
  <c r="C221" i="20"/>
  <c r="D221" i="20"/>
  <c r="C21" i="16"/>
  <c r="C22" i="16"/>
  <c r="C23" i="16"/>
  <c r="C24" i="16"/>
  <c r="C25" i="16"/>
  <c r="D25" i="16"/>
  <c r="C26" i="16"/>
  <c r="D26" i="16"/>
  <c r="C27" i="16"/>
  <c r="C28" i="16"/>
  <c r="C29" i="16"/>
  <c r="D29" i="16"/>
  <c r="C30" i="16"/>
  <c r="D30" i="16"/>
  <c r="C31" i="16"/>
  <c r="C32" i="16"/>
  <c r="C33" i="16"/>
  <c r="D33" i="16"/>
  <c r="C34" i="16"/>
  <c r="D34" i="16"/>
  <c r="C35" i="16"/>
  <c r="C36" i="16"/>
  <c r="C37" i="16"/>
  <c r="D37" i="16"/>
  <c r="C38" i="16"/>
  <c r="D38" i="16"/>
  <c r="C39" i="16"/>
  <c r="C40" i="16"/>
  <c r="C41" i="16"/>
  <c r="D41" i="16"/>
  <c r="C42" i="16"/>
  <c r="D42" i="16"/>
  <c r="C43" i="16"/>
  <c r="C44" i="16"/>
  <c r="C45" i="16"/>
  <c r="D45" i="16"/>
  <c r="C46" i="16"/>
  <c r="D46" i="16"/>
  <c r="C47" i="16"/>
  <c r="C48" i="16"/>
  <c r="C49" i="16"/>
  <c r="D49" i="16"/>
  <c r="C50" i="16"/>
  <c r="D50" i="16"/>
  <c r="C51" i="16"/>
  <c r="C52" i="16"/>
  <c r="C53" i="16"/>
  <c r="D53" i="16"/>
  <c r="C54" i="16"/>
  <c r="D54" i="16"/>
  <c r="C55" i="16"/>
  <c r="C56" i="16"/>
  <c r="C57" i="16"/>
  <c r="D57" i="16"/>
  <c r="C58" i="16"/>
  <c r="D58" i="16"/>
  <c r="C59" i="16"/>
  <c r="C60" i="16"/>
  <c r="C61" i="16"/>
  <c r="D61" i="16"/>
  <c r="C62" i="16"/>
  <c r="D62" i="16"/>
  <c r="C63" i="16"/>
  <c r="C64" i="16"/>
  <c r="C65" i="16"/>
  <c r="D65" i="16"/>
  <c r="C66" i="16"/>
  <c r="D66" i="16"/>
  <c r="C67" i="16"/>
  <c r="C68" i="16"/>
  <c r="C69" i="16"/>
  <c r="D69" i="16"/>
  <c r="C70" i="16"/>
  <c r="D70" i="16"/>
  <c r="C71" i="16"/>
  <c r="C72" i="16"/>
  <c r="C73" i="16"/>
  <c r="D73" i="16"/>
  <c r="C74" i="16"/>
  <c r="D74" i="16"/>
  <c r="C75" i="16"/>
  <c r="C76" i="16"/>
  <c r="C77" i="16"/>
  <c r="D77" i="16"/>
  <c r="C78" i="16"/>
  <c r="C79" i="16"/>
  <c r="C80" i="16"/>
  <c r="C81" i="16"/>
  <c r="D81" i="16"/>
  <c r="C82" i="16"/>
  <c r="D82" i="16"/>
  <c r="C83" i="16"/>
  <c r="C84" i="16"/>
  <c r="C85" i="16"/>
  <c r="D85" i="16"/>
  <c r="C86" i="16"/>
  <c r="D86" i="16"/>
  <c r="C87" i="16"/>
  <c r="C88" i="16"/>
  <c r="C89" i="16"/>
  <c r="D89" i="16"/>
  <c r="C90" i="16"/>
  <c r="D90" i="16"/>
  <c r="C91" i="16"/>
  <c r="C92" i="16"/>
  <c r="C93" i="16"/>
  <c r="D93" i="16"/>
  <c r="C94" i="16"/>
  <c r="D94" i="16"/>
  <c r="C95" i="16"/>
  <c r="C96" i="16"/>
  <c r="C97" i="16"/>
  <c r="D97" i="16"/>
  <c r="C98" i="16"/>
  <c r="D98" i="16"/>
  <c r="C99" i="16"/>
  <c r="C100" i="16"/>
  <c r="C101" i="16"/>
  <c r="D101" i="16"/>
  <c r="C102" i="16"/>
  <c r="D102" i="16"/>
  <c r="C103" i="16"/>
  <c r="C104" i="16"/>
  <c r="C105" i="16"/>
  <c r="D105" i="16"/>
  <c r="C106" i="16"/>
  <c r="D106" i="16"/>
  <c r="C107" i="16"/>
  <c r="G87" i="16"/>
  <c r="C21" i="25"/>
  <c r="D21" i="25"/>
  <c r="C22" i="25"/>
  <c r="D22" i="25"/>
  <c r="C23" i="25"/>
  <c r="D23" i="25"/>
  <c r="C24" i="25"/>
  <c r="D24" i="25"/>
  <c r="C25" i="25"/>
  <c r="D25" i="25"/>
  <c r="C26" i="25"/>
  <c r="D26" i="25"/>
  <c r="C27" i="25"/>
  <c r="C28" i="25"/>
  <c r="D28" i="25"/>
  <c r="C29" i="25"/>
  <c r="D29" i="25"/>
  <c r="C30" i="25"/>
  <c r="D30" i="25"/>
  <c r="C31" i="25"/>
  <c r="D31" i="25"/>
  <c r="C32" i="25"/>
  <c r="C33" i="25"/>
  <c r="D33" i="25"/>
  <c r="C34" i="25"/>
  <c r="D34" i="25"/>
  <c r="C35" i="25"/>
  <c r="D35" i="25"/>
  <c r="C36" i="25"/>
  <c r="D36" i="25"/>
  <c r="C37" i="25"/>
  <c r="D37" i="25"/>
  <c r="C38" i="25"/>
  <c r="D38" i="25"/>
  <c r="C39" i="25"/>
  <c r="C40" i="25"/>
  <c r="D40" i="25"/>
  <c r="C41" i="25"/>
  <c r="D41" i="25"/>
  <c r="C42" i="25"/>
  <c r="D42" i="25"/>
  <c r="C43" i="25"/>
  <c r="D43" i="25"/>
  <c r="C44" i="25"/>
  <c r="D44" i="25"/>
  <c r="C45" i="25"/>
  <c r="D45" i="25"/>
  <c r="C46" i="25"/>
  <c r="D46" i="25"/>
  <c r="C47" i="25"/>
  <c r="D47" i="25"/>
  <c r="C48" i="25"/>
  <c r="D48" i="25"/>
  <c r="C49" i="25"/>
  <c r="D49" i="25"/>
  <c r="C50" i="25"/>
  <c r="D50" i="25"/>
  <c r="C51" i="25"/>
  <c r="D51" i="25"/>
  <c r="C52" i="25"/>
  <c r="C53" i="25"/>
  <c r="D53" i="25"/>
  <c r="C54" i="25"/>
  <c r="D54" i="25"/>
  <c r="C55" i="25"/>
  <c r="D55" i="25"/>
  <c r="C56" i="25"/>
  <c r="D56" i="25"/>
  <c r="C57" i="25"/>
  <c r="D57" i="25"/>
  <c r="C58" i="25"/>
  <c r="D58" i="25"/>
  <c r="C59" i="25"/>
  <c r="D59" i="25"/>
  <c r="C60" i="25"/>
  <c r="D60" i="25"/>
  <c r="C61" i="25"/>
  <c r="D61" i="25"/>
  <c r="C62" i="25"/>
  <c r="D62" i="25"/>
  <c r="C63" i="25"/>
  <c r="D63" i="25"/>
  <c r="C64" i="25"/>
  <c r="C65" i="25"/>
  <c r="D65" i="25"/>
  <c r="C66" i="25"/>
  <c r="D66" i="25"/>
  <c r="C67" i="25"/>
  <c r="D67" i="25"/>
  <c r="C68" i="25"/>
  <c r="D68" i="25"/>
  <c r="C69" i="25"/>
  <c r="D69" i="25"/>
  <c r="C70" i="25"/>
  <c r="D70" i="25"/>
  <c r="C71" i="25"/>
  <c r="D71" i="25"/>
  <c r="C72" i="25"/>
  <c r="D72" i="25"/>
  <c r="C73" i="25"/>
  <c r="D73" i="25"/>
  <c r="C74" i="25"/>
  <c r="D74" i="25"/>
  <c r="C75" i="25"/>
  <c r="D75" i="25"/>
  <c r="C76" i="25"/>
  <c r="D76" i="25"/>
  <c r="C77" i="25"/>
  <c r="D77" i="25"/>
  <c r="C78" i="25"/>
  <c r="D78" i="25"/>
  <c r="C79" i="25"/>
  <c r="C80" i="25"/>
  <c r="D80" i="25"/>
  <c r="C81" i="25"/>
  <c r="D81" i="25"/>
  <c r="C82" i="25"/>
  <c r="D82" i="25"/>
  <c r="C83" i="25"/>
  <c r="D83" i="25"/>
  <c r="C84" i="25"/>
  <c r="C85" i="25"/>
  <c r="D85" i="25"/>
  <c r="C86" i="25"/>
  <c r="D86" i="25"/>
  <c r="C87" i="25"/>
  <c r="D87" i="25"/>
  <c r="C88" i="25"/>
  <c r="D88" i="25"/>
  <c r="C89" i="25"/>
  <c r="D89" i="25"/>
  <c r="C90" i="25"/>
  <c r="D90" i="25"/>
  <c r="C91" i="25"/>
  <c r="C92" i="25"/>
  <c r="D92" i="25"/>
  <c r="C93" i="25"/>
  <c r="D93" i="25"/>
  <c r="C94" i="25"/>
  <c r="D94" i="25"/>
  <c r="C95" i="25"/>
  <c r="D95" i="25"/>
  <c r="C96" i="25"/>
  <c r="C97" i="25"/>
  <c r="D97" i="25"/>
  <c r="C98" i="25"/>
  <c r="D98" i="25"/>
  <c r="C99" i="25"/>
  <c r="D99" i="25"/>
  <c r="C100" i="25"/>
  <c r="D100" i="25"/>
  <c r="C101" i="25"/>
  <c r="D101" i="25"/>
  <c r="C102" i="25"/>
  <c r="D102" i="25"/>
  <c r="C103" i="25"/>
  <c r="C104" i="25"/>
  <c r="D104" i="25"/>
  <c r="C105" i="25"/>
  <c r="D105" i="25"/>
  <c r="C106" i="25"/>
  <c r="D106" i="25"/>
  <c r="C107" i="25"/>
  <c r="D107" i="25"/>
  <c r="C108" i="25"/>
  <c r="D108" i="25"/>
  <c r="C109" i="25"/>
  <c r="D109" i="25"/>
  <c r="C110" i="25"/>
  <c r="D110" i="25"/>
  <c r="C111" i="25"/>
  <c r="D111" i="25"/>
  <c r="C112" i="25"/>
  <c r="D112" i="25"/>
  <c r="C113" i="25"/>
  <c r="D113" i="25"/>
  <c r="C114" i="25"/>
  <c r="D114" i="25"/>
  <c r="C115" i="25"/>
  <c r="D115" i="25"/>
  <c r="C116" i="25"/>
  <c r="C117" i="25"/>
  <c r="D117" i="25"/>
  <c r="C118" i="25"/>
  <c r="D118" i="25"/>
  <c r="C119" i="25"/>
  <c r="D119" i="25"/>
  <c r="C120" i="25"/>
  <c r="D120" i="25"/>
  <c r="C121" i="25"/>
  <c r="D121" i="25"/>
  <c r="C122" i="25"/>
  <c r="D122" i="25"/>
  <c r="C123" i="25"/>
  <c r="D123" i="25"/>
  <c r="C124" i="25"/>
  <c r="D124" i="25"/>
  <c r="C125" i="25"/>
  <c r="D125" i="25"/>
  <c r="C126" i="25"/>
  <c r="D126" i="25"/>
  <c r="C127" i="25"/>
  <c r="D127" i="25"/>
  <c r="C128" i="25"/>
  <c r="C129" i="25"/>
  <c r="D129" i="25"/>
  <c r="C130" i="25"/>
  <c r="C131" i="25"/>
  <c r="D131" i="25"/>
  <c r="C132" i="25"/>
  <c r="C133" i="25"/>
  <c r="D133" i="25"/>
  <c r="C134" i="25"/>
  <c r="D134" i="25"/>
  <c r="C135" i="25"/>
  <c r="C136" i="25"/>
  <c r="D136" i="25"/>
  <c r="C137" i="25"/>
  <c r="D137" i="25"/>
  <c r="C138" i="25"/>
  <c r="D138" i="25"/>
  <c r="C139" i="25"/>
  <c r="D139" i="25"/>
  <c r="C140" i="25"/>
  <c r="D140" i="25"/>
  <c r="C141" i="25"/>
  <c r="D141" i="25"/>
  <c r="C142" i="25"/>
  <c r="D142" i="25"/>
  <c r="C143" i="25"/>
  <c r="D143" i="25"/>
  <c r="C144" i="25"/>
  <c r="C145" i="25"/>
  <c r="D145" i="25"/>
  <c r="C146" i="25"/>
  <c r="D146" i="25"/>
  <c r="C147" i="25"/>
  <c r="C148" i="25"/>
  <c r="D148" i="25"/>
  <c r="C149" i="25"/>
  <c r="D149" i="25"/>
  <c r="C150" i="25"/>
  <c r="D150" i="25"/>
  <c r="C151" i="25"/>
  <c r="D151" i="25"/>
  <c r="C152" i="25"/>
  <c r="D152" i="25"/>
  <c r="C153" i="25"/>
  <c r="D153" i="25"/>
  <c r="C154" i="25"/>
  <c r="D154" i="25"/>
  <c r="C155" i="25"/>
  <c r="D155" i="25"/>
  <c r="C156" i="25"/>
  <c r="D156" i="25"/>
  <c r="C157" i="25"/>
  <c r="D157" i="25"/>
  <c r="C158" i="25"/>
  <c r="D158" i="25"/>
  <c r="C159" i="25"/>
  <c r="D159" i="25"/>
  <c r="C160" i="25"/>
  <c r="D160" i="25"/>
  <c r="C161" i="25"/>
  <c r="D161" i="25"/>
  <c r="C162" i="25"/>
  <c r="D162" i="25"/>
  <c r="C163" i="25"/>
  <c r="C164" i="25"/>
  <c r="C165" i="25"/>
  <c r="D165" i="25"/>
  <c r="C166" i="25"/>
  <c r="D166" i="25"/>
  <c r="C167" i="25"/>
  <c r="D167" i="25"/>
  <c r="C168" i="25"/>
  <c r="D168" i="25"/>
  <c r="C169" i="25"/>
  <c r="D169" i="25"/>
  <c r="C170" i="25"/>
  <c r="D170" i="25"/>
  <c r="C171" i="25"/>
  <c r="C172" i="25"/>
  <c r="D172" i="25"/>
  <c r="C173" i="25"/>
  <c r="D173" i="25"/>
  <c r="C174" i="25"/>
  <c r="D174" i="25"/>
  <c r="C175" i="25"/>
  <c r="D175" i="25"/>
  <c r="C176" i="25"/>
  <c r="D176" i="25"/>
  <c r="C177" i="25"/>
  <c r="D177" i="25"/>
  <c r="C178" i="25"/>
  <c r="D178" i="25"/>
  <c r="C179" i="25"/>
  <c r="D179" i="25"/>
  <c r="C180" i="25"/>
  <c r="C181" i="25"/>
  <c r="D181" i="25"/>
  <c r="C182" i="25"/>
  <c r="D182" i="25"/>
  <c r="C183" i="25"/>
  <c r="D183" i="25"/>
  <c r="C184" i="25"/>
  <c r="D184" i="25"/>
  <c r="C185" i="25"/>
  <c r="D185" i="25"/>
  <c r="C186" i="25"/>
  <c r="D186" i="25"/>
  <c r="C187" i="25"/>
  <c r="D187" i="25"/>
  <c r="C188" i="25"/>
  <c r="D188" i="25"/>
  <c r="C189" i="25"/>
  <c r="D189" i="25"/>
  <c r="C190" i="25"/>
  <c r="D190" i="25"/>
  <c r="C191" i="25"/>
  <c r="D191" i="25"/>
  <c r="C192" i="25"/>
  <c r="D192" i="25"/>
  <c r="C193" i="25"/>
  <c r="D193" i="25"/>
  <c r="C194" i="25"/>
  <c r="D194" i="25"/>
  <c r="C195" i="25"/>
  <c r="D195" i="25"/>
  <c r="C196" i="25"/>
  <c r="D196" i="25"/>
  <c r="C197" i="25"/>
  <c r="D197" i="25"/>
  <c r="C198" i="25"/>
  <c r="D198" i="25"/>
  <c r="C199" i="25"/>
  <c r="C200" i="25"/>
  <c r="D200" i="25"/>
  <c r="C201" i="25"/>
  <c r="D201" i="25"/>
  <c r="C202" i="25"/>
  <c r="D202" i="25"/>
  <c r="C203" i="25"/>
  <c r="D203" i="25"/>
  <c r="C204" i="25"/>
  <c r="D204" i="25"/>
  <c r="C205" i="25"/>
  <c r="D205" i="25"/>
  <c r="C206" i="25"/>
  <c r="D206" i="25"/>
  <c r="C207" i="25"/>
  <c r="D207" i="25"/>
  <c r="C208" i="25"/>
  <c r="C209" i="25"/>
  <c r="D209" i="25"/>
  <c r="C210" i="25"/>
  <c r="D210" i="25"/>
  <c r="C211" i="25"/>
  <c r="C212" i="25"/>
  <c r="D212" i="25"/>
  <c r="C213" i="25"/>
  <c r="D213" i="25"/>
  <c r="C214" i="25"/>
  <c r="D214" i="25"/>
  <c r="C215" i="25"/>
  <c r="D215" i="25"/>
  <c r="C216" i="25"/>
  <c r="D216" i="25"/>
  <c r="C217" i="25"/>
  <c r="D217" i="25"/>
  <c r="C218" i="25"/>
  <c r="D218" i="25"/>
  <c r="C219" i="25"/>
  <c r="D219" i="25"/>
  <c r="C220" i="25"/>
  <c r="D220" i="25"/>
  <c r="C221" i="25"/>
  <c r="D221" i="25"/>
  <c r="C222" i="25"/>
  <c r="D222" i="25"/>
  <c r="C223" i="25"/>
  <c r="D223" i="25"/>
  <c r="C224" i="25"/>
  <c r="C225" i="25"/>
  <c r="D225" i="25"/>
  <c r="C226" i="25"/>
  <c r="D226" i="25"/>
  <c r="C227" i="25"/>
  <c r="D227" i="25"/>
  <c r="C228" i="25"/>
  <c r="D228" i="25"/>
  <c r="C229" i="25"/>
  <c r="D229" i="25"/>
  <c r="C230" i="25"/>
  <c r="D230" i="25"/>
  <c r="C231" i="25"/>
  <c r="D231" i="25"/>
  <c r="C232" i="25"/>
  <c r="D232" i="25"/>
  <c r="C233" i="25"/>
  <c r="D233" i="25"/>
  <c r="C234" i="25"/>
  <c r="D234" i="25"/>
  <c r="C235" i="25"/>
  <c r="C236" i="25"/>
  <c r="D236" i="25"/>
  <c r="C237" i="25"/>
  <c r="D237" i="25"/>
  <c r="C238" i="25"/>
  <c r="D238" i="25"/>
  <c r="C239" i="25"/>
  <c r="C240" i="25"/>
  <c r="D240" i="25"/>
  <c r="C241" i="25"/>
  <c r="D241" i="25"/>
  <c r="C242" i="25"/>
  <c r="D242" i="25"/>
  <c r="C243" i="25"/>
  <c r="C244" i="25"/>
  <c r="D244" i="25"/>
  <c r="C245" i="25"/>
  <c r="D245" i="25"/>
  <c r="C246" i="25"/>
  <c r="D246" i="25"/>
  <c r="C247" i="25"/>
  <c r="D247" i="25"/>
  <c r="C248" i="25"/>
  <c r="D248" i="25"/>
  <c r="C249" i="25"/>
  <c r="D249" i="25"/>
  <c r="C250" i="25"/>
  <c r="D250" i="25"/>
  <c r="C251" i="25"/>
  <c r="D251" i="25"/>
  <c r="C252" i="25"/>
  <c r="D252" i="25"/>
  <c r="C253" i="25"/>
  <c r="D253" i="25"/>
  <c r="C254" i="25"/>
  <c r="D254" i="25"/>
  <c r="C255" i="25"/>
  <c r="C256" i="25"/>
  <c r="D256" i="25"/>
  <c r="C257" i="25"/>
  <c r="D257" i="25"/>
  <c r="C258" i="25"/>
  <c r="D258" i="25"/>
  <c r="C259" i="25"/>
  <c r="D259" i="25"/>
  <c r="C260" i="25"/>
  <c r="D260" i="25"/>
  <c r="C261" i="25"/>
  <c r="D261" i="25"/>
  <c r="C262" i="25"/>
  <c r="D262" i="25"/>
  <c r="C263" i="25"/>
  <c r="D263" i="25"/>
  <c r="C264" i="25"/>
  <c r="C265" i="25"/>
  <c r="D265" i="25"/>
  <c r="C266" i="25"/>
  <c r="D266" i="25"/>
  <c r="C267" i="25"/>
  <c r="D267" i="25"/>
  <c r="C268" i="25"/>
  <c r="D268" i="25"/>
  <c r="C269" i="25"/>
  <c r="D269" i="25"/>
  <c r="C270" i="25"/>
  <c r="D270" i="25"/>
  <c r="C271" i="25"/>
  <c r="D271" i="25"/>
  <c r="C272" i="25"/>
  <c r="D272" i="25"/>
  <c r="C273" i="25"/>
  <c r="D273" i="25"/>
  <c r="C274" i="25"/>
  <c r="D274" i="25"/>
  <c r="C275" i="25"/>
  <c r="D275" i="25"/>
  <c r="C276" i="25"/>
  <c r="C277" i="25"/>
  <c r="D277" i="25"/>
  <c r="C278" i="25"/>
  <c r="D278" i="25"/>
  <c r="C279" i="25"/>
  <c r="D279" i="25"/>
  <c r="C280" i="25"/>
  <c r="D280" i="25"/>
  <c r="C281" i="25"/>
  <c r="D281" i="25"/>
  <c r="C282" i="25"/>
  <c r="D282" i="25"/>
  <c r="C283" i="25"/>
  <c r="D283" i="25"/>
  <c r="C284" i="25"/>
  <c r="D284" i="25"/>
  <c r="C285" i="25"/>
  <c r="D285" i="25"/>
  <c r="C286" i="25"/>
  <c r="D286" i="25"/>
  <c r="C287" i="25"/>
  <c r="D287" i="25"/>
  <c r="C288" i="25"/>
  <c r="C289" i="25"/>
  <c r="D289" i="25"/>
  <c r="C290" i="25"/>
  <c r="D290" i="25"/>
  <c r="C291" i="25"/>
  <c r="D291" i="25"/>
  <c r="C292" i="25"/>
  <c r="D292" i="25"/>
  <c r="C293" i="25"/>
  <c r="D293" i="25"/>
  <c r="C294" i="25"/>
  <c r="D294" i="25"/>
  <c r="C295" i="25"/>
  <c r="C296" i="25"/>
  <c r="D296" i="25"/>
  <c r="C297" i="25"/>
  <c r="D297" i="25"/>
  <c r="C298" i="25"/>
  <c r="D298" i="25"/>
  <c r="C299" i="25"/>
  <c r="D299" i="25"/>
  <c r="C300" i="25"/>
  <c r="D300" i="25"/>
  <c r="C301" i="25"/>
  <c r="D301" i="25"/>
  <c r="C302" i="25"/>
  <c r="D302" i="25"/>
  <c r="C303" i="25"/>
  <c r="D303" i="25"/>
  <c r="C304" i="25"/>
  <c r="D304" i="25"/>
  <c r="C305" i="25"/>
  <c r="D305" i="25"/>
  <c r="C306" i="25"/>
  <c r="D306" i="25"/>
  <c r="C307" i="25"/>
  <c r="D307" i="25"/>
  <c r="C308" i="25"/>
  <c r="C309" i="25"/>
  <c r="D309" i="25"/>
  <c r="C310" i="25"/>
  <c r="D310" i="25"/>
  <c r="C311" i="25"/>
  <c r="C312" i="25"/>
  <c r="D312" i="25"/>
  <c r="C313" i="25"/>
  <c r="D313" i="25"/>
  <c r="C314" i="25"/>
  <c r="D314" i="25"/>
  <c r="C315" i="25"/>
  <c r="D315" i="25"/>
  <c r="C316" i="25"/>
  <c r="D316" i="25"/>
  <c r="C317" i="25"/>
  <c r="D317" i="25"/>
  <c r="C318" i="25"/>
  <c r="D318" i="25"/>
  <c r="C319" i="25"/>
  <c r="D319" i="25"/>
  <c r="C320" i="25"/>
  <c r="C321" i="25"/>
  <c r="D321" i="25"/>
  <c r="C322" i="25"/>
  <c r="D322" i="25"/>
  <c r="C323" i="25"/>
  <c r="D323" i="25"/>
  <c r="C324" i="25"/>
  <c r="C325" i="25"/>
  <c r="D325" i="25"/>
  <c r="C326" i="25"/>
  <c r="D326" i="25"/>
  <c r="C327" i="25"/>
  <c r="D327" i="25"/>
  <c r="C328" i="25"/>
  <c r="C329" i="25"/>
  <c r="D329" i="25"/>
  <c r="C330" i="25"/>
  <c r="D330" i="25"/>
  <c r="C331" i="25"/>
  <c r="D331" i="25"/>
  <c r="C332" i="25"/>
  <c r="C333" i="25"/>
  <c r="D333" i="25"/>
  <c r="C334" i="25"/>
  <c r="D334" i="25"/>
  <c r="C335" i="25"/>
  <c r="D335" i="25"/>
  <c r="C336" i="25"/>
  <c r="D336" i="25"/>
  <c r="C337" i="25"/>
  <c r="D337" i="25"/>
  <c r="C338" i="25"/>
  <c r="D338" i="25"/>
  <c r="C339" i="25"/>
  <c r="D339" i="25"/>
  <c r="C340" i="25"/>
  <c r="D340" i="25"/>
  <c r="C341" i="25"/>
  <c r="D341" i="25"/>
  <c r="C342" i="25"/>
  <c r="D342" i="25"/>
  <c r="C343" i="25"/>
  <c r="D343" i="25"/>
  <c r="C344" i="25"/>
  <c r="D344" i="25"/>
  <c r="C345" i="25"/>
  <c r="D345" i="25"/>
  <c r="C346" i="25"/>
  <c r="D346" i="25"/>
  <c r="C347" i="25"/>
  <c r="D347" i="25"/>
  <c r="C348" i="25"/>
  <c r="D348" i="25"/>
  <c r="C349" i="25"/>
  <c r="D349" i="25"/>
  <c r="C350" i="25"/>
  <c r="C21" i="41"/>
  <c r="C22" i="41"/>
  <c r="D22" i="41"/>
  <c r="C23" i="41"/>
  <c r="D23" i="41"/>
  <c r="C24" i="41"/>
  <c r="D24" i="41"/>
  <c r="C25" i="41"/>
  <c r="D25" i="41"/>
  <c r="C26" i="41"/>
  <c r="D26" i="41"/>
  <c r="C27" i="41"/>
  <c r="D27" i="41"/>
  <c r="C28" i="41"/>
  <c r="D28" i="41"/>
  <c r="C29" i="41"/>
  <c r="D29" i="41"/>
  <c r="C30" i="41"/>
  <c r="D30" i="41"/>
  <c r="C31" i="41"/>
  <c r="D31" i="41"/>
  <c r="C32" i="41"/>
  <c r="D32" i="41"/>
  <c r="C33" i="41"/>
  <c r="D33" i="41"/>
  <c r="C34" i="41"/>
  <c r="D34" i="41"/>
  <c r="C35" i="41"/>
  <c r="D35" i="41"/>
  <c r="C36" i="41"/>
  <c r="D36" i="41"/>
  <c r="C37" i="41"/>
  <c r="D37" i="41"/>
  <c r="C38" i="41"/>
  <c r="D38" i="41"/>
  <c r="C39" i="41"/>
  <c r="D39" i="41"/>
  <c r="C40" i="41"/>
  <c r="D40" i="41"/>
  <c r="C41" i="41"/>
  <c r="D41" i="41"/>
  <c r="C42" i="41"/>
  <c r="D42" i="41"/>
  <c r="C43" i="41"/>
  <c r="D43" i="41"/>
  <c r="C44" i="41"/>
  <c r="D44" i="41"/>
  <c r="C45" i="41"/>
  <c r="D45" i="41"/>
  <c r="C46" i="41"/>
  <c r="D46" i="41"/>
  <c r="C47" i="41"/>
  <c r="D47" i="41"/>
  <c r="C48" i="41"/>
  <c r="D48" i="41"/>
  <c r="C49" i="41"/>
  <c r="D49" i="41"/>
  <c r="C50" i="41"/>
  <c r="D50" i="41"/>
  <c r="C51" i="41"/>
  <c r="D51" i="41"/>
  <c r="C52" i="41"/>
  <c r="D52" i="41"/>
  <c r="C53" i="41"/>
  <c r="D53" i="41"/>
  <c r="C54" i="41"/>
  <c r="D54" i="41"/>
  <c r="C55" i="41"/>
  <c r="D55" i="41"/>
  <c r="C56" i="41"/>
  <c r="D56" i="41"/>
  <c r="C57" i="41"/>
  <c r="D57" i="41"/>
  <c r="C58" i="41"/>
  <c r="D58" i="41"/>
  <c r="C59" i="41"/>
  <c r="D59" i="41"/>
  <c r="C60" i="41"/>
  <c r="D60" i="41"/>
  <c r="C61" i="41"/>
  <c r="D61" i="41"/>
  <c r="C62" i="41"/>
  <c r="C63" i="41"/>
  <c r="D63" i="41"/>
  <c r="C64" i="41"/>
  <c r="D64" i="41"/>
  <c r="C65" i="41"/>
  <c r="D65" i="41"/>
  <c r="C66" i="41"/>
  <c r="D66" i="41"/>
  <c r="C67" i="41"/>
  <c r="D67" i="41"/>
  <c r="C68" i="41"/>
  <c r="D68" i="41"/>
  <c r="C69" i="41"/>
  <c r="D69" i="41"/>
  <c r="C70" i="41"/>
  <c r="D70" i="41"/>
  <c r="C71" i="41"/>
  <c r="D71" i="41"/>
  <c r="C72" i="41"/>
  <c r="D72" i="41"/>
  <c r="C73" i="41"/>
  <c r="D73" i="41"/>
  <c r="C74" i="41"/>
  <c r="D74" i="41"/>
  <c r="C75" i="41"/>
  <c r="D75" i="41"/>
  <c r="C76" i="41"/>
  <c r="D76" i="41"/>
  <c r="C77" i="41"/>
  <c r="D77" i="41"/>
  <c r="C78" i="41"/>
  <c r="D78" i="41"/>
  <c r="C79" i="41"/>
  <c r="D79" i="41"/>
  <c r="C80" i="41"/>
  <c r="D80" i="41"/>
  <c r="C81" i="41"/>
  <c r="D81" i="41"/>
  <c r="C82" i="41"/>
  <c r="D82" i="41"/>
  <c r="C83" i="41"/>
  <c r="D83" i="41"/>
  <c r="C84" i="41"/>
  <c r="D84" i="41"/>
  <c r="C85" i="41"/>
  <c r="D85" i="41"/>
  <c r="C86" i="41"/>
  <c r="D86" i="41"/>
  <c r="C87" i="41"/>
  <c r="D87" i="41"/>
  <c r="C88" i="41"/>
  <c r="D88" i="41"/>
  <c r="C89" i="41"/>
  <c r="D89" i="41"/>
  <c r="C90" i="41"/>
  <c r="D90" i="41"/>
  <c r="C91" i="41"/>
  <c r="D91" i="41"/>
  <c r="C92" i="41"/>
  <c r="D92" i="41"/>
  <c r="C93" i="41"/>
  <c r="D93" i="41"/>
  <c r="C94" i="41"/>
  <c r="D94" i="41"/>
  <c r="C95" i="41"/>
  <c r="D95" i="41"/>
  <c r="C96" i="41"/>
  <c r="D96" i="41"/>
  <c r="C97" i="41"/>
  <c r="D97" i="41"/>
  <c r="C21" i="43"/>
  <c r="C22" i="43"/>
  <c r="D22" i="43"/>
  <c r="C23" i="43"/>
  <c r="D23" i="43"/>
  <c r="C24" i="43"/>
  <c r="D24" i="43"/>
  <c r="C25" i="43"/>
  <c r="C26" i="43"/>
  <c r="D26" i="43"/>
  <c r="C27" i="43"/>
  <c r="D27" i="43"/>
  <c r="C28" i="43"/>
  <c r="D28" i="43"/>
  <c r="C29" i="43"/>
  <c r="C30" i="43"/>
  <c r="D30" i="43"/>
  <c r="C31" i="43"/>
  <c r="D31" i="43"/>
  <c r="C32" i="43"/>
  <c r="D32" i="43"/>
  <c r="C33" i="43"/>
  <c r="C34" i="43"/>
  <c r="D34" i="43"/>
  <c r="C35" i="43"/>
  <c r="D35" i="43"/>
  <c r="C36" i="43"/>
  <c r="D36" i="43"/>
  <c r="C37" i="43"/>
  <c r="C38" i="43"/>
  <c r="D38" i="43"/>
  <c r="C39" i="43"/>
  <c r="D39" i="43"/>
  <c r="C40" i="43"/>
  <c r="D40" i="43"/>
  <c r="C41" i="43"/>
  <c r="C42" i="43"/>
  <c r="D42" i="43"/>
  <c r="C43" i="43"/>
  <c r="D43" i="43"/>
  <c r="C44" i="43"/>
  <c r="C45" i="43"/>
  <c r="C46" i="43"/>
  <c r="D46" i="43"/>
  <c r="C47" i="43"/>
  <c r="D47" i="43"/>
  <c r="C48" i="43"/>
  <c r="D48" i="43"/>
  <c r="C49" i="43"/>
  <c r="C50" i="43"/>
  <c r="D50" i="43"/>
  <c r="C51" i="43"/>
  <c r="D51" i="43"/>
  <c r="C52" i="43"/>
  <c r="D52" i="43"/>
  <c r="C53" i="43"/>
  <c r="C54" i="43"/>
  <c r="D54" i="43"/>
  <c r="C55" i="43"/>
  <c r="D55" i="43"/>
  <c r="C56" i="43"/>
  <c r="D56" i="43"/>
  <c r="C57" i="43"/>
  <c r="C58" i="43"/>
  <c r="D58" i="43"/>
  <c r="C59" i="43"/>
  <c r="D59" i="43"/>
  <c r="C60" i="43"/>
  <c r="D60" i="43"/>
  <c r="C61" i="43"/>
  <c r="C62" i="43"/>
  <c r="D62" i="43"/>
  <c r="C63" i="43"/>
  <c r="D63" i="43"/>
  <c r="C64" i="43"/>
  <c r="D64" i="43"/>
  <c r="C65" i="43"/>
  <c r="C66" i="43"/>
  <c r="D66" i="43"/>
  <c r="C67" i="43"/>
  <c r="D67" i="43"/>
  <c r="C68" i="43"/>
  <c r="D68" i="43"/>
  <c r="C69" i="43"/>
  <c r="C70" i="43"/>
  <c r="D70" i="43"/>
  <c r="C71" i="43"/>
  <c r="D71" i="43"/>
  <c r="C72" i="43"/>
  <c r="D72" i="43"/>
  <c r="C73" i="43"/>
  <c r="C74" i="43"/>
  <c r="D74" i="43"/>
  <c r="C75" i="43"/>
  <c r="D75" i="43"/>
  <c r="C76" i="43"/>
  <c r="D76" i="43"/>
  <c r="C77" i="43"/>
  <c r="C78" i="43"/>
  <c r="D78" i="43"/>
  <c r="C79" i="43"/>
  <c r="D79" i="43"/>
  <c r="C80" i="43"/>
  <c r="D80" i="43"/>
  <c r="C81" i="43"/>
  <c r="C82" i="43"/>
  <c r="D82" i="43"/>
  <c r="C83" i="43"/>
  <c r="D83" i="43"/>
  <c r="C21" i="45"/>
  <c r="C22" i="45"/>
  <c r="D22" i="45"/>
  <c r="C23" i="45"/>
  <c r="D23" i="45"/>
  <c r="C24" i="45"/>
  <c r="D24" i="45"/>
  <c r="C25" i="45"/>
  <c r="C26" i="45"/>
  <c r="C27" i="45"/>
  <c r="D27" i="45"/>
  <c r="C28" i="45"/>
  <c r="D28" i="45"/>
  <c r="C29" i="45"/>
  <c r="C30" i="45"/>
  <c r="D30" i="45"/>
  <c r="C31" i="45"/>
  <c r="D31" i="45"/>
  <c r="C32" i="45"/>
  <c r="D32" i="45"/>
  <c r="C33" i="45"/>
  <c r="C34" i="45"/>
  <c r="C35" i="45"/>
  <c r="D35" i="45"/>
  <c r="C36" i="45"/>
  <c r="D36" i="45"/>
  <c r="C37" i="45"/>
  <c r="C38" i="45"/>
  <c r="D38" i="45"/>
  <c r="C39" i="45"/>
  <c r="D39" i="45"/>
  <c r="C40" i="45"/>
  <c r="D40" i="45"/>
  <c r="C41" i="45"/>
  <c r="C42" i="45"/>
  <c r="C43" i="45"/>
  <c r="D43" i="45"/>
  <c r="C44" i="45"/>
  <c r="D44" i="45"/>
  <c r="C45" i="45"/>
  <c r="C46" i="45"/>
  <c r="D46" i="45"/>
  <c r="C47" i="45"/>
  <c r="D47" i="45"/>
  <c r="C48" i="45"/>
  <c r="D48" i="45"/>
  <c r="C49" i="45"/>
  <c r="C50" i="45"/>
  <c r="C51" i="45"/>
  <c r="D51" i="45"/>
  <c r="C52" i="45"/>
  <c r="D52" i="45"/>
  <c r="C53" i="45"/>
  <c r="C54" i="45"/>
  <c r="D54" i="45"/>
  <c r="C55" i="45"/>
  <c r="D55" i="45"/>
  <c r="C56" i="45"/>
  <c r="D56" i="45"/>
  <c r="C57" i="45"/>
  <c r="C58" i="45"/>
  <c r="C59" i="45"/>
  <c r="D59" i="45"/>
  <c r="C60" i="45"/>
  <c r="D60" i="45"/>
  <c r="C61" i="45"/>
  <c r="C62" i="45"/>
  <c r="D62" i="45"/>
  <c r="C63" i="45"/>
  <c r="D63" i="45"/>
  <c r="C64" i="45"/>
  <c r="D64" i="45"/>
  <c r="C65" i="45"/>
  <c r="F66" i="45"/>
  <c r="F67" i="45"/>
  <c r="F68" i="45"/>
  <c r="F69" i="45"/>
  <c r="C71" i="45"/>
  <c r="D71" i="45"/>
  <c r="C72" i="45"/>
  <c r="D72" i="45"/>
  <c r="C73" i="45"/>
  <c r="D73" i="45"/>
  <c r="C74" i="45"/>
  <c r="D74" i="45"/>
  <c r="C75" i="45"/>
  <c r="D75" i="45"/>
  <c r="C76" i="45"/>
  <c r="D76" i="45"/>
  <c r="C77" i="45"/>
  <c r="D77" i="45"/>
  <c r="C78" i="45"/>
  <c r="D78" i="45"/>
  <c r="C79" i="45"/>
  <c r="D79" i="45"/>
  <c r="C80" i="45"/>
  <c r="D80" i="45"/>
  <c r="C81" i="45"/>
  <c r="D81" i="45"/>
  <c r="C82" i="45"/>
  <c r="D82" i="45"/>
  <c r="C83" i="45"/>
  <c r="D83" i="45"/>
  <c r="C84" i="45"/>
  <c r="D84" i="45"/>
  <c r="C85" i="45"/>
  <c r="D85" i="45"/>
  <c r="C86" i="45"/>
  <c r="D86" i="45"/>
  <c r="C87" i="45"/>
  <c r="D87" i="45"/>
  <c r="C88" i="45"/>
  <c r="D88" i="45"/>
  <c r="C89" i="45"/>
  <c r="D89" i="45"/>
  <c r="C90" i="45"/>
  <c r="D90" i="45"/>
  <c r="C91" i="45"/>
  <c r="D91" i="45"/>
  <c r="C92" i="45"/>
  <c r="D92" i="45"/>
  <c r="C93" i="45"/>
  <c r="D93" i="45"/>
  <c r="C94" i="45"/>
  <c r="D94" i="45"/>
  <c r="C95" i="45"/>
  <c r="D95" i="45"/>
  <c r="C96" i="45"/>
  <c r="D96" i="45"/>
  <c r="C97" i="45"/>
  <c r="D97" i="45"/>
  <c r="C98" i="45"/>
  <c r="D98" i="45"/>
  <c r="C99" i="45"/>
  <c r="D99" i="45"/>
  <c r="C100" i="45"/>
  <c r="D100" i="45"/>
  <c r="C101" i="45"/>
  <c r="D101" i="45"/>
  <c r="C102" i="45"/>
  <c r="D102" i="45"/>
  <c r="C103" i="45"/>
  <c r="D103" i="45"/>
  <c r="C104" i="45"/>
  <c r="D104" i="45"/>
  <c r="C105" i="45"/>
  <c r="D105" i="45"/>
  <c r="C106" i="45"/>
  <c r="D106" i="45"/>
  <c r="C107" i="45"/>
  <c r="D107" i="45"/>
  <c r="C108" i="45"/>
  <c r="D108" i="45"/>
  <c r="C109" i="45"/>
  <c r="D109" i="45"/>
  <c r="C110" i="45"/>
  <c r="D110" i="45"/>
  <c r="C111" i="45"/>
  <c r="D111" i="45"/>
  <c r="C112" i="45"/>
  <c r="D112" i="45"/>
  <c r="C113" i="45"/>
  <c r="D113" i="45"/>
  <c r="C114" i="45"/>
  <c r="D114" i="45"/>
  <c r="C115" i="45"/>
  <c r="D115" i="45"/>
  <c r="C116" i="45"/>
  <c r="D116" i="45"/>
  <c r="C117" i="45"/>
  <c r="D117" i="45"/>
  <c r="C118" i="45"/>
  <c r="D118" i="45"/>
  <c r="C119" i="45"/>
  <c r="D119" i="45"/>
  <c r="C120" i="45"/>
  <c r="D120" i="45"/>
  <c r="C121" i="45"/>
  <c r="D121" i="45"/>
  <c r="C122" i="45"/>
  <c r="D122" i="45"/>
  <c r="C123" i="45"/>
  <c r="D123" i="45"/>
  <c r="C124" i="45"/>
  <c r="D124" i="45"/>
  <c r="C125" i="45"/>
  <c r="D125" i="45"/>
  <c r="C126" i="45"/>
  <c r="D126" i="45"/>
  <c r="C127" i="45"/>
  <c r="D127" i="45"/>
  <c r="C128" i="45"/>
  <c r="D128" i="45"/>
  <c r="C129" i="45"/>
  <c r="D129" i="45"/>
  <c r="C130" i="45"/>
  <c r="D130" i="45"/>
  <c r="C131" i="45"/>
  <c r="D131" i="45"/>
  <c r="C132" i="45"/>
  <c r="D132" i="45"/>
  <c r="C133" i="45"/>
  <c r="D133" i="45"/>
  <c r="C134" i="45"/>
  <c r="D134" i="45"/>
  <c r="C135" i="45"/>
  <c r="D135" i="45"/>
  <c r="C136" i="45"/>
  <c r="D136" i="45"/>
  <c r="C137" i="45"/>
  <c r="D137" i="45"/>
  <c r="C138" i="45"/>
  <c r="D138" i="45"/>
  <c r="C139" i="45"/>
  <c r="D139" i="45"/>
  <c r="C140" i="45"/>
  <c r="D140" i="45"/>
  <c r="C141" i="45"/>
  <c r="D141" i="45"/>
  <c r="C142" i="45"/>
  <c r="C143" i="45"/>
  <c r="D143" i="45"/>
  <c r="C144" i="45"/>
  <c r="D144" i="45"/>
  <c r="C145" i="45"/>
  <c r="D145" i="45"/>
  <c r="C146" i="45"/>
  <c r="D146" i="45"/>
  <c r="C147" i="45"/>
  <c r="D147" i="45"/>
  <c r="C148" i="45"/>
  <c r="D148" i="45"/>
  <c r="C149" i="45"/>
  <c r="D149" i="45"/>
  <c r="C150" i="45"/>
  <c r="D150" i="45"/>
  <c r="C151" i="45"/>
  <c r="D151" i="45"/>
  <c r="C152" i="45"/>
  <c r="D152" i="45"/>
  <c r="C153" i="45"/>
  <c r="D153" i="45"/>
  <c r="C154" i="45"/>
  <c r="C155" i="45"/>
  <c r="D155" i="45"/>
  <c r="C156" i="45"/>
  <c r="D156" i="45"/>
  <c r="C157" i="45"/>
  <c r="D157" i="45"/>
  <c r="C158" i="45"/>
  <c r="C21" i="50"/>
  <c r="D21" i="50"/>
  <c r="C22" i="50"/>
  <c r="D22" i="50"/>
  <c r="C23" i="50"/>
  <c r="D23" i="50"/>
  <c r="G395" i="4"/>
  <c r="G392" i="7"/>
  <c r="G231" i="18"/>
  <c r="G228" i="19"/>
  <c r="H346" i="24"/>
  <c r="F209" i="22"/>
  <c r="G209" i="22"/>
  <c r="G220" i="20"/>
  <c r="H389" i="25"/>
  <c r="G97" i="41"/>
  <c r="G83" i="43"/>
  <c r="F156" i="45"/>
  <c r="G156" i="45"/>
  <c r="G396" i="4"/>
  <c r="G229" i="19"/>
  <c r="H347" i="24"/>
  <c r="F210" i="22"/>
  <c r="G210" i="22"/>
  <c r="G221" i="20"/>
  <c r="F157" i="45"/>
  <c r="G157" i="45"/>
  <c r="H348" i="24"/>
  <c r="F158" i="45"/>
  <c r="G158" i="45"/>
  <c r="G22" i="50"/>
  <c r="G23" i="50"/>
  <c r="G393" i="4"/>
  <c r="G390" i="7"/>
  <c r="G326" i="12"/>
  <c r="G229" i="18"/>
  <c r="G226" i="19"/>
  <c r="H344" i="24"/>
  <c r="F207" i="22"/>
  <c r="G207" i="22"/>
  <c r="G218" i="20"/>
  <c r="G95" i="41"/>
  <c r="G81" i="43"/>
  <c r="F154" i="45"/>
  <c r="G154" i="45"/>
  <c r="G353" i="4"/>
  <c r="F167" i="22"/>
  <c r="G167" i="22"/>
  <c r="G394" i="4"/>
  <c r="G391" i="7"/>
  <c r="G327" i="12"/>
  <c r="G230" i="18"/>
  <c r="G227" i="19"/>
  <c r="H345" i="24"/>
  <c r="F208" i="22"/>
  <c r="G208" i="22"/>
  <c r="G219" i="20"/>
  <c r="G96" i="41"/>
  <c r="G82" i="43"/>
  <c r="F155" i="45"/>
  <c r="G155" i="45"/>
  <c r="G391" i="4"/>
  <c r="G388" i="7"/>
  <c r="G324" i="12"/>
  <c r="G227" i="18"/>
  <c r="G224" i="19"/>
  <c r="H342" i="24"/>
  <c r="F205" i="22"/>
  <c r="G205" i="22"/>
  <c r="G216" i="20"/>
  <c r="G93" i="41"/>
  <c r="G79" i="43"/>
  <c r="F152" i="45"/>
  <c r="G152" i="45"/>
  <c r="C21" i="9"/>
  <c r="D21" i="9"/>
  <c r="C22" i="9"/>
  <c r="C23" i="9"/>
  <c r="D23" i="9"/>
  <c r="C24" i="9"/>
  <c r="C25" i="9"/>
  <c r="D25" i="9"/>
  <c r="C26" i="9"/>
  <c r="C27" i="9"/>
  <c r="D27" i="9"/>
  <c r="C28" i="9"/>
  <c r="D28" i="9"/>
  <c r="C29" i="9"/>
  <c r="D29" i="9"/>
  <c r="C30" i="9"/>
  <c r="C31" i="9"/>
  <c r="D31" i="9"/>
  <c r="C32" i="9"/>
  <c r="D32" i="9"/>
  <c r="C33" i="9"/>
  <c r="D33" i="9"/>
  <c r="C34" i="9"/>
  <c r="C35" i="9"/>
  <c r="D35" i="9"/>
  <c r="C36" i="9"/>
  <c r="C37" i="9"/>
  <c r="D37" i="9"/>
  <c r="C38" i="9"/>
  <c r="C39" i="9"/>
  <c r="D39" i="9"/>
  <c r="C40" i="9"/>
  <c r="D40" i="9"/>
  <c r="C41" i="9"/>
  <c r="C42" i="9"/>
  <c r="C43" i="9"/>
  <c r="D43" i="9"/>
  <c r="C44" i="9"/>
  <c r="D44" i="9"/>
  <c r="C45" i="9"/>
  <c r="D45" i="9"/>
  <c r="C46" i="9"/>
  <c r="C47" i="9"/>
  <c r="D47" i="9"/>
  <c r="C48" i="9"/>
  <c r="D48" i="9"/>
  <c r="C49" i="9"/>
  <c r="D49" i="9"/>
  <c r="C50" i="9"/>
  <c r="C51" i="9"/>
  <c r="D51" i="9"/>
  <c r="C52" i="9"/>
  <c r="D52" i="9"/>
  <c r="C53" i="9"/>
  <c r="D53" i="9"/>
  <c r="C54" i="9"/>
  <c r="C55" i="9"/>
  <c r="D55" i="9"/>
  <c r="C56" i="9"/>
  <c r="C57" i="9"/>
  <c r="D57" i="9"/>
  <c r="C58" i="9"/>
  <c r="C59" i="9"/>
  <c r="D59" i="9"/>
  <c r="C60" i="9"/>
  <c r="D60" i="9"/>
  <c r="C61" i="9"/>
  <c r="D61" i="9"/>
  <c r="C62" i="9"/>
  <c r="C63" i="9"/>
  <c r="D63" i="9"/>
  <c r="C64" i="9"/>
  <c r="D64" i="9"/>
  <c r="C65" i="9"/>
  <c r="D65" i="9"/>
  <c r="C66" i="9"/>
  <c r="C67" i="9"/>
  <c r="D67" i="9"/>
  <c r="C68" i="9"/>
  <c r="C69" i="9"/>
  <c r="D69" i="9"/>
  <c r="C70" i="9"/>
  <c r="C71" i="9"/>
  <c r="D71" i="9"/>
  <c r="C72" i="9"/>
  <c r="D72" i="9"/>
  <c r="C73" i="9"/>
  <c r="D73" i="9"/>
  <c r="C74" i="9"/>
  <c r="C75" i="9"/>
  <c r="D75" i="9"/>
  <c r="C76" i="9"/>
  <c r="D76" i="9"/>
  <c r="C77" i="9"/>
  <c r="D77" i="9"/>
  <c r="C78" i="9"/>
  <c r="C79" i="9"/>
  <c r="D79" i="9"/>
  <c r="C80" i="9"/>
  <c r="D80" i="9"/>
  <c r="C81" i="9"/>
  <c r="D81" i="9"/>
  <c r="C82" i="9"/>
  <c r="C83" i="9"/>
  <c r="D83" i="9"/>
  <c r="C84" i="9"/>
  <c r="D84" i="9"/>
  <c r="C85" i="9"/>
  <c r="D85" i="9"/>
  <c r="C86" i="9"/>
  <c r="C87" i="9"/>
  <c r="D87" i="9"/>
  <c r="C88" i="9"/>
  <c r="D88" i="9"/>
  <c r="C89" i="9"/>
  <c r="D89" i="9"/>
  <c r="C90" i="9"/>
  <c r="C91" i="9"/>
  <c r="D91" i="9"/>
  <c r="C92" i="9"/>
  <c r="D92" i="9"/>
  <c r="C93" i="9"/>
  <c r="D93" i="9"/>
  <c r="C94" i="9"/>
  <c r="C95" i="9"/>
  <c r="D95" i="9"/>
  <c r="C96" i="9"/>
  <c r="D96" i="9"/>
  <c r="C97" i="9"/>
  <c r="D97" i="9"/>
  <c r="C98" i="9"/>
  <c r="C99" i="9"/>
  <c r="D99" i="9"/>
  <c r="C100" i="9"/>
  <c r="D100" i="9"/>
  <c r="C101" i="9"/>
  <c r="D101" i="9"/>
  <c r="C102" i="9"/>
  <c r="C103" i="9"/>
  <c r="D103" i="9"/>
  <c r="C104" i="9"/>
  <c r="D104" i="9"/>
  <c r="C105" i="9"/>
  <c r="D105" i="9"/>
  <c r="C106" i="9"/>
  <c r="C107" i="9"/>
  <c r="D107" i="9"/>
  <c r="C108" i="9"/>
  <c r="D108" i="9"/>
  <c r="C109" i="9"/>
  <c r="D109" i="9"/>
  <c r="C110" i="9"/>
  <c r="C111" i="9"/>
  <c r="D111" i="9"/>
  <c r="C112" i="9"/>
  <c r="C113" i="9"/>
  <c r="D113" i="9"/>
  <c r="C114" i="9"/>
  <c r="C115" i="9"/>
  <c r="D115" i="9"/>
  <c r="C116" i="9"/>
  <c r="D116" i="9"/>
  <c r="C117" i="9"/>
  <c r="D117" i="9"/>
  <c r="C118" i="9"/>
  <c r="C119" i="9"/>
  <c r="D119" i="9"/>
  <c r="C120" i="9"/>
  <c r="D120" i="9"/>
  <c r="C121" i="9"/>
  <c r="D121" i="9"/>
  <c r="C122" i="9"/>
  <c r="C123" i="9"/>
  <c r="D123" i="9"/>
  <c r="C124" i="9"/>
  <c r="D124" i="9"/>
  <c r="C125" i="9"/>
  <c r="C126" i="9"/>
  <c r="C127" i="9"/>
  <c r="D127" i="9"/>
  <c r="C128" i="9"/>
  <c r="D128" i="9"/>
  <c r="C129" i="9"/>
  <c r="D129" i="9"/>
  <c r="C130" i="9"/>
  <c r="C131" i="9"/>
  <c r="D131" i="9"/>
  <c r="C132" i="9"/>
  <c r="D132" i="9"/>
  <c r="C133" i="9"/>
  <c r="D133" i="9"/>
  <c r="C134" i="9"/>
  <c r="C135" i="9"/>
  <c r="D135" i="9"/>
  <c r="C136" i="9"/>
  <c r="D136" i="9"/>
  <c r="C137" i="9"/>
  <c r="D137" i="9"/>
  <c r="C138" i="9"/>
  <c r="C139" i="9"/>
  <c r="C140" i="9"/>
  <c r="C141" i="9"/>
  <c r="D141" i="9"/>
  <c r="C142" i="9"/>
  <c r="C143" i="9"/>
  <c r="D143" i="9"/>
  <c r="C144" i="9"/>
  <c r="D144" i="9"/>
  <c r="C145" i="9"/>
  <c r="D145" i="9"/>
  <c r="C146" i="9"/>
  <c r="C147" i="9"/>
  <c r="D147" i="9"/>
  <c r="C148" i="9"/>
  <c r="D148" i="9"/>
  <c r="C149" i="9"/>
  <c r="D149" i="9"/>
  <c r="C150" i="9"/>
  <c r="C151" i="9"/>
  <c r="D151" i="9"/>
  <c r="C152" i="9"/>
  <c r="D152" i="9"/>
  <c r="C153" i="9"/>
  <c r="D153" i="9"/>
  <c r="C154" i="9"/>
  <c r="C155" i="9"/>
  <c r="D155" i="9"/>
  <c r="C156" i="9"/>
  <c r="D156" i="9"/>
  <c r="C157" i="9"/>
  <c r="D157" i="9"/>
  <c r="C158" i="9"/>
  <c r="C159" i="9"/>
  <c r="D159" i="9"/>
  <c r="C160" i="9"/>
  <c r="D160" i="9"/>
  <c r="C161" i="9"/>
  <c r="D161" i="9"/>
  <c r="C162" i="9"/>
  <c r="C163" i="9"/>
  <c r="D163" i="9"/>
  <c r="C164" i="9"/>
  <c r="D164" i="9"/>
  <c r="C165" i="9"/>
  <c r="D165" i="9"/>
  <c r="C166" i="9"/>
  <c r="C167" i="9"/>
  <c r="D167" i="9"/>
  <c r="C168" i="9"/>
  <c r="D168" i="9"/>
  <c r="C169" i="9"/>
  <c r="D169" i="9"/>
  <c r="C170" i="9"/>
  <c r="C171" i="9"/>
  <c r="D171" i="9"/>
  <c r="C172" i="9"/>
  <c r="D172" i="9"/>
  <c r="C173" i="9"/>
  <c r="D173" i="9"/>
  <c r="C174" i="9"/>
  <c r="C175" i="9"/>
  <c r="D175" i="9"/>
  <c r="C176" i="9"/>
  <c r="D176" i="9"/>
  <c r="C177" i="9"/>
  <c r="D177" i="9"/>
  <c r="C178" i="9"/>
  <c r="C179" i="9"/>
  <c r="D179" i="9"/>
  <c r="C180" i="9"/>
  <c r="C181" i="9"/>
  <c r="D181" i="9"/>
  <c r="C182" i="9"/>
  <c r="C183" i="9"/>
  <c r="D183" i="9"/>
  <c r="C184" i="9"/>
  <c r="D184" i="9"/>
  <c r="C185" i="9"/>
  <c r="D185" i="9"/>
  <c r="C186" i="9"/>
  <c r="C187" i="9"/>
  <c r="D187" i="9"/>
  <c r="C188" i="9"/>
  <c r="D188" i="9"/>
  <c r="C189" i="9"/>
  <c r="C190" i="9"/>
  <c r="C191" i="9"/>
  <c r="D191" i="9"/>
  <c r="C192" i="9"/>
  <c r="D192" i="9"/>
  <c r="C193" i="9"/>
  <c r="D193" i="9"/>
  <c r="C194" i="9"/>
  <c r="G193" i="9"/>
  <c r="C21" i="5"/>
  <c r="C22" i="5"/>
  <c r="D22" i="5"/>
  <c r="C23" i="5"/>
  <c r="C24" i="5"/>
  <c r="D24" i="5"/>
  <c r="C25" i="5"/>
  <c r="D25" i="5"/>
  <c r="C26" i="5"/>
  <c r="D26" i="5"/>
  <c r="C27" i="5"/>
  <c r="C28" i="5"/>
  <c r="D28" i="5"/>
  <c r="C29" i="5"/>
  <c r="D29" i="5"/>
  <c r="C30" i="5"/>
  <c r="D30" i="5"/>
  <c r="C31" i="5"/>
  <c r="C32" i="5"/>
  <c r="D32" i="5"/>
  <c r="C33" i="5"/>
  <c r="D33" i="5"/>
  <c r="C34" i="5"/>
  <c r="D34" i="5"/>
  <c r="C35" i="5"/>
  <c r="C36" i="5"/>
  <c r="D36" i="5"/>
  <c r="C37" i="5"/>
  <c r="D37" i="5"/>
  <c r="C38" i="5"/>
  <c r="D38" i="5"/>
  <c r="C39" i="5"/>
  <c r="C40" i="5"/>
  <c r="D40" i="5"/>
  <c r="C41" i="5"/>
  <c r="D41" i="5"/>
  <c r="C42" i="5"/>
  <c r="D42" i="5"/>
  <c r="C43" i="5"/>
  <c r="C44" i="5"/>
  <c r="D44" i="5"/>
  <c r="C45" i="5"/>
  <c r="D45" i="5"/>
  <c r="C46" i="5"/>
  <c r="D46" i="5"/>
  <c r="C47" i="5"/>
  <c r="C48" i="5"/>
  <c r="D48" i="5"/>
  <c r="C49" i="5"/>
  <c r="D49" i="5"/>
  <c r="C50" i="5"/>
  <c r="D50" i="5"/>
  <c r="C51" i="5"/>
  <c r="C52" i="5"/>
  <c r="D52" i="5"/>
  <c r="C53" i="5"/>
  <c r="D53" i="5"/>
  <c r="C54" i="5"/>
  <c r="D54" i="5"/>
  <c r="C55" i="5"/>
  <c r="C56" i="5"/>
  <c r="D56" i="5"/>
  <c r="C57" i="5"/>
  <c r="D57" i="5"/>
  <c r="C58" i="5"/>
  <c r="D58" i="5"/>
  <c r="C59" i="5"/>
  <c r="C60" i="5"/>
  <c r="D60" i="5"/>
  <c r="C61" i="5"/>
  <c r="D61" i="5"/>
  <c r="C62" i="5"/>
  <c r="D62" i="5"/>
  <c r="C63" i="5"/>
  <c r="C64" i="5"/>
  <c r="D64" i="5"/>
  <c r="C65" i="5"/>
  <c r="D65" i="5"/>
  <c r="C66" i="5"/>
  <c r="D66" i="5"/>
  <c r="C67" i="5"/>
  <c r="C68" i="5"/>
  <c r="D68" i="5"/>
  <c r="C69" i="5"/>
  <c r="D69" i="5"/>
  <c r="C70" i="5"/>
  <c r="D70" i="5"/>
  <c r="C71" i="5"/>
  <c r="C72" i="5"/>
  <c r="D72" i="5"/>
  <c r="C73" i="5"/>
  <c r="D73" i="5"/>
  <c r="C74" i="5"/>
  <c r="D74" i="5"/>
  <c r="C75" i="5"/>
  <c r="C76" i="5"/>
  <c r="D76" i="5"/>
  <c r="C77" i="5"/>
  <c r="D77" i="5"/>
  <c r="C78" i="5"/>
  <c r="D78" i="5"/>
  <c r="C79" i="5"/>
  <c r="C80" i="5"/>
  <c r="D80" i="5"/>
  <c r="C81" i="5"/>
  <c r="D81" i="5"/>
  <c r="C82" i="5"/>
  <c r="D82" i="5"/>
  <c r="C83" i="5"/>
  <c r="C84" i="5"/>
  <c r="D84" i="5"/>
  <c r="C85" i="5"/>
  <c r="D85" i="5"/>
  <c r="C86" i="5"/>
  <c r="D86" i="5"/>
  <c r="C87" i="5"/>
  <c r="C88" i="5"/>
  <c r="D88" i="5"/>
  <c r="C89" i="5"/>
  <c r="D89" i="5"/>
  <c r="C90" i="5"/>
  <c r="D90" i="5"/>
  <c r="C91" i="5"/>
  <c r="C92" i="5"/>
  <c r="D92" i="5"/>
  <c r="C93" i="5"/>
  <c r="D93" i="5"/>
  <c r="C94" i="5"/>
  <c r="D94" i="5"/>
  <c r="C95" i="5"/>
  <c r="C96" i="5"/>
  <c r="D96" i="5"/>
  <c r="C97" i="5"/>
  <c r="D97" i="5"/>
  <c r="C98" i="5"/>
  <c r="D98" i="5"/>
  <c r="C99" i="5"/>
  <c r="C100" i="5"/>
  <c r="D100" i="5"/>
  <c r="C101" i="5"/>
  <c r="D101" i="5"/>
  <c r="C102" i="5"/>
  <c r="D102" i="5"/>
  <c r="C103" i="5"/>
  <c r="C104" i="5"/>
  <c r="D104" i="5"/>
  <c r="C105" i="5"/>
  <c r="D105" i="5"/>
  <c r="C106" i="5"/>
  <c r="D106" i="5"/>
  <c r="C107" i="5"/>
  <c r="C108" i="5"/>
  <c r="D108" i="5"/>
  <c r="C109" i="5"/>
  <c r="D109" i="5"/>
  <c r="C110" i="5"/>
  <c r="D110" i="5"/>
  <c r="C111" i="5"/>
  <c r="C112" i="5"/>
  <c r="D112" i="5"/>
  <c r="C113" i="5"/>
  <c r="D113" i="5"/>
  <c r="C114" i="5"/>
  <c r="D114" i="5"/>
  <c r="C115" i="5"/>
  <c r="C116" i="5"/>
  <c r="D116" i="5"/>
  <c r="C117" i="5"/>
  <c r="D117" i="5"/>
  <c r="C118" i="5"/>
  <c r="D118" i="5"/>
  <c r="C119" i="5"/>
  <c r="C120" i="5"/>
  <c r="D120" i="5"/>
  <c r="C121" i="5"/>
  <c r="D121" i="5"/>
  <c r="C122" i="5"/>
  <c r="D122" i="5"/>
  <c r="C123" i="5"/>
  <c r="C124" i="5"/>
  <c r="D124" i="5"/>
  <c r="C125" i="5"/>
  <c r="D125" i="5"/>
  <c r="C126" i="5"/>
  <c r="D126" i="5"/>
  <c r="C127" i="5"/>
  <c r="C128" i="5"/>
  <c r="D128" i="5"/>
  <c r="C129" i="5"/>
  <c r="D129" i="5"/>
  <c r="C130" i="5"/>
  <c r="D130" i="5"/>
  <c r="C131" i="5"/>
  <c r="C132" i="5"/>
  <c r="D132" i="5"/>
  <c r="C133" i="5"/>
  <c r="D133" i="5"/>
  <c r="C134" i="5"/>
  <c r="D134" i="5"/>
  <c r="C135" i="5"/>
  <c r="C136" i="5"/>
  <c r="D136" i="5"/>
  <c r="C137" i="5"/>
  <c r="D137" i="5"/>
  <c r="C138" i="5"/>
  <c r="D138" i="5"/>
  <c r="C139" i="5"/>
  <c r="C140" i="5"/>
  <c r="D140" i="5"/>
  <c r="C141" i="5"/>
  <c r="D141" i="5"/>
  <c r="C142" i="5"/>
  <c r="D142" i="5"/>
  <c r="C143" i="5"/>
  <c r="C144" i="5"/>
  <c r="D144" i="5"/>
  <c r="C145" i="5"/>
  <c r="D145" i="5"/>
  <c r="C146" i="5"/>
  <c r="D146" i="5"/>
  <c r="C147" i="5"/>
  <c r="C148" i="5"/>
  <c r="D148" i="5"/>
  <c r="C149" i="5"/>
  <c r="D149" i="5"/>
  <c r="C150" i="5"/>
  <c r="D150" i="5"/>
  <c r="C151" i="5"/>
  <c r="C152" i="5"/>
  <c r="D152" i="5"/>
  <c r="C153" i="5"/>
  <c r="D153" i="5"/>
  <c r="C154" i="5"/>
  <c r="D154" i="5"/>
  <c r="C155" i="5"/>
  <c r="C156" i="5"/>
  <c r="D156" i="5"/>
  <c r="C157" i="5"/>
  <c r="D157" i="5"/>
  <c r="C158" i="5"/>
  <c r="D158" i="5"/>
  <c r="C159" i="5"/>
  <c r="C160" i="5"/>
  <c r="D160" i="5"/>
  <c r="C161" i="5"/>
  <c r="D161" i="5"/>
  <c r="C162" i="5"/>
  <c r="D162" i="5"/>
  <c r="C163" i="5"/>
  <c r="C164" i="5"/>
  <c r="D164" i="5"/>
  <c r="C165" i="5"/>
  <c r="D165" i="5"/>
  <c r="C166" i="5"/>
  <c r="D166" i="5"/>
  <c r="C167" i="5"/>
  <c r="C168" i="5"/>
  <c r="D168" i="5"/>
  <c r="C169" i="5"/>
  <c r="D169" i="5"/>
  <c r="C170" i="5"/>
  <c r="D170" i="5"/>
  <c r="C171" i="5"/>
  <c r="C172" i="5"/>
  <c r="D172" i="5"/>
  <c r="C173" i="5"/>
  <c r="D173" i="5"/>
  <c r="C174" i="5"/>
  <c r="D174" i="5"/>
  <c r="C175" i="5"/>
  <c r="C176" i="5"/>
  <c r="D176" i="5"/>
  <c r="C177" i="5"/>
  <c r="D177" i="5"/>
  <c r="C178" i="5"/>
  <c r="D178" i="5"/>
  <c r="C179" i="5"/>
  <c r="C180" i="5"/>
  <c r="D180" i="5"/>
  <c r="C181" i="5"/>
  <c r="D181" i="5"/>
  <c r="C182" i="5"/>
  <c r="D182" i="5"/>
  <c r="C183" i="5"/>
  <c r="C184" i="5"/>
  <c r="D184" i="5"/>
  <c r="C185" i="5"/>
  <c r="D185" i="5"/>
  <c r="C186" i="5"/>
  <c r="D186" i="5"/>
  <c r="C187" i="5"/>
  <c r="C188" i="5"/>
  <c r="D188" i="5"/>
  <c r="C189" i="5"/>
  <c r="D189" i="5"/>
  <c r="C190" i="5"/>
  <c r="D190" i="5"/>
  <c r="C191" i="5"/>
  <c r="C192" i="5"/>
  <c r="D192" i="5"/>
  <c r="C193" i="5"/>
  <c r="D193" i="5"/>
  <c r="C194" i="5"/>
  <c r="D194" i="5"/>
  <c r="C195" i="5"/>
  <c r="C196" i="5"/>
  <c r="D196" i="5"/>
  <c r="C197" i="5"/>
  <c r="D197" i="5"/>
  <c r="C198" i="5"/>
  <c r="D198" i="5"/>
  <c r="C199" i="5"/>
  <c r="C200" i="5"/>
  <c r="D200" i="5"/>
  <c r="C201" i="5"/>
  <c r="D201" i="5"/>
  <c r="C202" i="5"/>
  <c r="D202" i="5"/>
  <c r="C203" i="5"/>
  <c r="C204" i="5"/>
  <c r="D204" i="5"/>
  <c r="C205" i="5"/>
  <c r="D205" i="5"/>
  <c r="C206" i="5"/>
  <c r="D206" i="5"/>
  <c r="C207" i="5"/>
  <c r="C208" i="5"/>
  <c r="D208" i="5"/>
  <c r="C209" i="5"/>
  <c r="D209" i="5"/>
  <c r="C210" i="5"/>
  <c r="D210" i="5"/>
  <c r="C211" i="5"/>
  <c r="C212" i="5"/>
  <c r="D212" i="5"/>
  <c r="C213" i="5"/>
  <c r="D213" i="5"/>
  <c r="C214" i="5"/>
  <c r="D214" i="5"/>
  <c r="C215" i="5"/>
  <c r="C216" i="5"/>
  <c r="D216" i="5"/>
  <c r="C217" i="5"/>
  <c r="D217" i="5"/>
  <c r="C218" i="5"/>
  <c r="D218" i="5"/>
  <c r="C219" i="5"/>
  <c r="C220" i="5"/>
  <c r="D220" i="5"/>
  <c r="C221" i="5"/>
  <c r="D221" i="5"/>
  <c r="C222" i="5"/>
  <c r="D222" i="5"/>
  <c r="C223" i="5"/>
  <c r="C224" i="5"/>
  <c r="D224" i="5"/>
  <c r="C225" i="5"/>
  <c r="D225" i="5"/>
  <c r="C226" i="5"/>
  <c r="D226" i="5"/>
  <c r="C227" i="5"/>
  <c r="C228" i="5"/>
  <c r="D228" i="5"/>
  <c r="C229" i="5"/>
  <c r="D229" i="5"/>
  <c r="C230" i="5"/>
  <c r="D230" i="5"/>
  <c r="C231" i="5"/>
  <c r="C232" i="5"/>
  <c r="D232" i="5"/>
  <c r="C233" i="5"/>
  <c r="D233" i="5"/>
  <c r="C234" i="5"/>
  <c r="D234" i="5"/>
  <c r="C235" i="5"/>
  <c r="C236" i="5"/>
  <c r="D236" i="5"/>
  <c r="C237" i="5"/>
  <c r="D237" i="5"/>
  <c r="C238" i="5"/>
  <c r="D238" i="5"/>
  <c r="C239" i="5"/>
  <c r="C240" i="5"/>
  <c r="D240" i="5"/>
  <c r="C241" i="5"/>
  <c r="D241" i="5"/>
  <c r="C242" i="5"/>
  <c r="D242" i="5"/>
  <c r="C243" i="5"/>
  <c r="C244" i="5"/>
  <c r="D244" i="5"/>
  <c r="C245" i="5"/>
  <c r="D245" i="5"/>
  <c r="C246" i="5"/>
  <c r="D246" i="5"/>
  <c r="C247" i="5"/>
  <c r="C248" i="5"/>
  <c r="D248" i="5"/>
  <c r="C249" i="5"/>
  <c r="D249" i="5"/>
  <c r="C250" i="5"/>
  <c r="D250" i="5"/>
  <c r="C251" i="5"/>
  <c r="C252" i="5"/>
  <c r="D252" i="5"/>
  <c r="C253" i="5"/>
  <c r="D253" i="5"/>
  <c r="C254" i="5"/>
  <c r="D254" i="5"/>
  <c r="C255" i="5"/>
  <c r="C256" i="5"/>
  <c r="D256" i="5"/>
  <c r="C257" i="5"/>
  <c r="D257" i="5"/>
  <c r="C258" i="5"/>
  <c r="D258" i="5"/>
  <c r="C259" i="5"/>
  <c r="C260" i="5"/>
  <c r="D260" i="5"/>
  <c r="C261" i="5"/>
  <c r="D261" i="5"/>
  <c r="C262" i="5"/>
  <c r="D262" i="5"/>
  <c r="C263" i="5"/>
  <c r="C264" i="5"/>
  <c r="D264" i="5"/>
  <c r="C265" i="5"/>
  <c r="D265" i="5"/>
  <c r="C266" i="5"/>
  <c r="D266" i="5"/>
  <c r="C267" i="5"/>
  <c r="C268" i="5"/>
  <c r="D268" i="5"/>
  <c r="C269" i="5"/>
  <c r="D269" i="5"/>
  <c r="C270" i="5"/>
  <c r="D270" i="5"/>
  <c r="C271" i="5"/>
  <c r="C272" i="5"/>
  <c r="D272" i="5"/>
  <c r="C273" i="5"/>
  <c r="D273" i="5"/>
  <c r="C274" i="5"/>
  <c r="D274" i="5"/>
  <c r="C275" i="5"/>
  <c r="C276" i="5"/>
  <c r="D276" i="5"/>
  <c r="C277" i="5"/>
  <c r="D277" i="5"/>
  <c r="C278" i="5"/>
  <c r="D278" i="5"/>
  <c r="C279" i="5"/>
  <c r="C280" i="5"/>
  <c r="D280" i="5"/>
  <c r="C281" i="5"/>
  <c r="D281" i="5"/>
  <c r="C282" i="5"/>
  <c r="D282" i="5"/>
  <c r="C283" i="5"/>
  <c r="C284" i="5"/>
  <c r="D284" i="5"/>
  <c r="C285" i="5"/>
  <c r="D285" i="5"/>
  <c r="C286" i="5"/>
  <c r="D286" i="5"/>
  <c r="C287" i="5"/>
  <c r="C288" i="5"/>
  <c r="D288" i="5"/>
  <c r="C289" i="5"/>
  <c r="D289" i="5"/>
  <c r="C290" i="5"/>
  <c r="D290" i="5"/>
  <c r="C291" i="5"/>
  <c r="C292" i="5"/>
  <c r="D292" i="5"/>
  <c r="C293" i="5"/>
  <c r="D293" i="5"/>
  <c r="C294" i="5"/>
  <c r="D294" i="5"/>
  <c r="C295" i="5"/>
  <c r="C296" i="5"/>
  <c r="D296" i="5"/>
  <c r="C297" i="5"/>
  <c r="D297" i="5"/>
  <c r="C298" i="5"/>
  <c r="D298" i="5"/>
  <c r="C299" i="5"/>
  <c r="C300" i="5"/>
  <c r="D300" i="5"/>
  <c r="C301" i="5"/>
  <c r="D301" i="5"/>
  <c r="C302" i="5"/>
  <c r="D302" i="5"/>
  <c r="C303" i="5"/>
  <c r="C304" i="5"/>
  <c r="D304" i="5"/>
  <c r="C305" i="5"/>
  <c r="D305" i="5"/>
  <c r="C306" i="5"/>
  <c r="D306" i="5"/>
  <c r="C307" i="5"/>
  <c r="C308" i="5"/>
  <c r="D308" i="5"/>
  <c r="C309" i="5"/>
  <c r="D309" i="5"/>
  <c r="C310" i="5"/>
  <c r="D310" i="5"/>
  <c r="C311" i="5"/>
  <c r="C312" i="5"/>
  <c r="D312" i="5"/>
  <c r="C313" i="5"/>
  <c r="D313" i="5"/>
  <c r="C314" i="5"/>
  <c r="D314" i="5"/>
  <c r="C315" i="5"/>
  <c r="C316" i="5"/>
  <c r="D316" i="5"/>
  <c r="C317" i="5"/>
  <c r="D317" i="5"/>
  <c r="C318" i="5"/>
  <c r="D318" i="5"/>
  <c r="C319" i="5"/>
  <c r="C320" i="5"/>
  <c r="D320" i="5"/>
  <c r="C321" i="5"/>
  <c r="D321" i="5"/>
  <c r="C322" i="5"/>
  <c r="D322" i="5"/>
  <c r="C323" i="5"/>
  <c r="C324" i="5"/>
  <c r="D324" i="5"/>
  <c r="C325" i="5"/>
  <c r="D325" i="5"/>
  <c r="C326" i="5"/>
  <c r="D326" i="5"/>
  <c r="C327" i="5"/>
  <c r="C328" i="5"/>
  <c r="D328" i="5"/>
  <c r="C329" i="5"/>
  <c r="D329" i="5"/>
  <c r="C330" i="5"/>
  <c r="D330" i="5"/>
  <c r="C331" i="5"/>
  <c r="C332" i="5"/>
  <c r="D332" i="5"/>
  <c r="C333" i="5"/>
  <c r="D333" i="5"/>
  <c r="C334" i="5"/>
  <c r="D334" i="5"/>
  <c r="C335" i="5"/>
  <c r="C336" i="5"/>
  <c r="D336" i="5"/>
  <c r="C337" i="5"/>
  <c r="D337" i="5"/>
  <c r="C338" i="5"/>
  <c r="D338" i="5"/>
  <c r="C339" i="5"/>
  <c r="C340" i="5"/>
  <c r="D340" i="5"/>
  <c r="C341" i="5"/>
  <c r="D341" i="5"/>
  <c r="C342" i="5"/>
  <c r="D342" i="5"/>
  <c r="C343" i="5"/>
  <c r="C344" i="5"/>
  <c r="D344" i="5"/>
  <c r="C345" i="5"/>
  <c r="D345" i="5"/>
  <c r="C346" i="5"/>
  <c r="D346" i="5"/>
  <c r="C347" i="5"/>
  <c r="C348" i="5"/>
  <c r="D348" i="5"/>
  <c r="C349" i="5"/>
  <c r="D349" i="5"/>
  <c r="C350" i="5"/>
  <c r="D350" i="5"/>
  <c r="C351" i="5"/>
  <c r="C352" i="5"/>
  <c r="D352" i="5"/>
  <c r="C353" i="5"/>
  <c r="D353" i="5"/>
  <c r="C354" i="5"/>
  <c r="D354" i="5"/>
  <c r="C355" i="5"/>
  <c r="C356" i="5"/>
  <c r="D356" i="5"/>
  <c r="C357" i="5"/>
  <c r="D357" i="5"/>
  <c r="C358" i="5"/>
  <c r="D358" i="5"/>
  <c r="C359" i="5"/>
  <c r="C360" i="5"/>
  <c r="D360" i="5"/>
  <c r="C361" i="5"/>
  <c r="D361" i="5"/>
  <c r="C362" i="5"/>
  <c r="D362" i="5"/>
  <c r="C363" i="5"/>
  <c r="C364" i="5"/>
  <c r="D364" i="5"/>
  <c r="C365" i="5"/>
  <c r="D365" i="5"/>
  <c r="C366" i="5"/>
  <c r="D366" i="5"/>
  <c r="C367" i="5"/>
  <c r="C368" i="5"/>
  <c r="D368" i="5"/>
  <c r="C369" i="5"/>
  <c r="D369" i="5"/>
  <c r="C370" i="5"/>
  <c r="D370" i="5"/>
  <c r="C371" i="5"/>
  <c r="C372" i="5"/>
  <c r="D372" i="5"/>
  <c r="C373" i="5"/>
  <c r="D373" i="5"/>
  <c r="C374" i="5"/>
  <c r="D374" i="5"/>
  <c r="C375" i="5"/>
  <c r="C376" i="5"/>
  <c r="D376" i="5"/>
  <c r="C377" i="5"/>
  <c r="D377" i="5"/>
  <c r="C378" i="5"/>
  <c r="D378" i="5"/>
  <c r="C379" i="5"/>
  <c r="C380" i="5"/>
  <c r="D380" i="5"/>
  <c r="C381" i="5"/>
  <c r="D381" i="5"/>
  <c r="C382" i="5"/>
  <c r="D382" i="5"/>
  <c r="C383" i="5"/>
  <c r="C384" i="5"/>
  <c r="D384" i="5"/>
  <c r="C385" i="5"/>
  <c r="D385" i="5"/>
  <c r="C386" i="5"/>
  <c r="D386" i="5"/>
  <c r="C387" i="5"/>
  <c r="C388" i="5"/>
  <c r="D388" i="5"/>
  <c r="C389" i="5"/>
  <c r="D389" i="5"/>
  <c r="C390" i="5"/>
  <c r="D390" i="5"/>
  <c r="C391" i="5"/>
  <c r="C392" i="5"/>
  <c r="D392" i="5"/>
  <c r="C393" i="5"/>
  <c r="D393" i="5"/>
  <c r="C394" i="5"/>
  <c r="D394" i="5"/>
  <c r="C395" i="5"/>
  <c r="D395" i="5"/>
  <c r="C396" i="5"/>
  <c r="D396" i="5"/>
  <c r="C397" i="5"/>
  <c r="D397" i="5"/>
  <c r="G150" i="5"/>
  <c r="C21" i="6"/>
  <c r="D21" i="6"/>
  <c r="C22" i="6"/>
  <c r="C23" i="6"/>
  <c r="D23" i="6"/>
  <c r="C24" i="6"/>
  <c r="D24" i="6"/>
  <c r="C25" i="6"/>
  <c r="D25" i="6"/>
  <c r="C26" i="6"/>
  <c r="D26" i="6"/>
  <c r="C27" i="6"/>
  <c r="D27" i="6"/>
  <c r="C28" i="6"/>
  <c r="D28" i="6"/>
  <c r="C29" i="6"/>
  <c r="D29" i="6"/>
  <c r="C30" i="6"/>
  <c r="D30" i="6"/>
  <c r="C31" i="6"/>
  <c r="C32" i="6"/>
  <c r="D32" i="6"/>
  <c r="C33" i="6"/>
  <c r="C34" i="6"/>
  <c r="D34" i="6"/>
  <c r="C35" i="6"/>
  <c r="D35" i="6"/>
  <c r="C36" i="6"/>
  <c r="D36" i="6"/>
  <c r="C37" i="6"/>
  <c r="C38" i="6"/>
  <c r="D38" i="6"/>
  <c r="C39" i="6"/>
  <c r="D39" i="6"/>
  <c r="C40" i="6"/>
  <c r="D40" i="6"/>
  <c r="C41" i="6"/>
  <c r="D41" i="6"/>
  <c r="C42" i="6"/>
  <c r="D42" i="6"/>
  <c r="C43" i="6"/>
  <c r="D43" i="6"/>
  <c r="C44" i="6"/>
  <c r="D44" i="6"/>
  <c r="C45" i="6"/>
  <c r="D45" i="6"/>
  <c r="C46" i="6"/>
  <c r="D46" i="6"/>
  <c r="C47" i="6"/>
  <c r="C48" i="6"/>
  <c r="D48" i="6"/>
  <c r="C49" i="6"/>
  <c r="D49" i="6"/>
  <c r="C50" i="6"/>
  <c r="D50" i="6"/>
  <c r="C51" i="6"/>
  <c r="C52" i="6"/>
  <c r="D52" i="6"/>
  <c r="C53" i="6"/>
  <c r="D53" i="6"/>
  <c r="C54" i="6"/>
  <c r="D54" i="6"/>
  <c r="C55" i="6"/>
  <c r="D55" i="6"/>
  <c r="C56" i="6"/>
  <c r="D56" i="6"/>
  <c r="C57" i="6"/>
  <c r="D57" i="6"/>
  <c r="C58" i="6"/>
  <c r="D58" i="6"/>
  <c r="C59" i="6"/>
  <c r="D59" i="6"/>
  <c r="C60" i="6"/>
  <c r="D60" i="6"/>
  <c r="C61" i="6"/>
  <c r="D61" i="6"/>
  <c r="C62" i="6"/>
  <c r="D62" i="6"/>
  <c r="C63" i="6"/>
  <c r="D63" i="6"/>
  <c r="C64" i="6"/>
  <c r="D64" i="6"/>
  <c r="C65" i="6"/>
  <c r="D65" i="6"/>
  <c r="C66" i="6"/>
  <c r="D66" i="6"/>
  <c r="C67" i="6"/>
  <c r="D67" i="6"/>
  <c r="C68" i="6"/>
  <c r="D68" i="6"/>
  <c r="C69" i="6"/>
  <c r="C70" i="6"/>
  <c r="D70" i="6"/>
  <c r="C71" i="6"/>
  <c r="D71" i="6"/>
  <c r="C72" i="6"/>
  <c r="D72" i="6"/>
  <c r="C73" i="6"/>
  <c r="C74" i="6"/>
  <c r="D74" i="6"/>
  <c r="C75" i="6"/>
  <c r="C76" i="6"/>
  <c r="D76" i="6"/>
  <c r="C77" i="6"/>
  <c r="C78" i="6"/>
  <c r="D78" i="6"/>
  <c r="C79" i="6"/>
  <c r="C80" i="6"/>
  <c r="D80" i="6"/>
  <c r="C81" i="6"/>
  <c r="C82" i="6"/>
  <c r="D82" i="6"/>
  <c r="C83" i="6"/>
  <c r="D83" i="6"/>
  <c r="C84" i="6"/>
  <c r="D84" i="6"/>
  <c r="C85" i="6"/>
  <c r="C86" i="6"/>
  <c r="D86" i="6"/>
  <c r="C87" i="6"/>
  <c r="D87" i="6"/>
  <c r="C88" i="6"/>
  <c r="D88" i="6"/>
  <c r="C89" i="6"/>
  <c r="D89" i="6"/>
  <c r="C90" i="6"/>
  <c r="D90" i="6"/>
  <c r="C91" i="6"/>
  <c r="D91" i="6"/>
  <c r="C92" i="6"/>
  <c r="D92" i="6"/>
  <c r="C93" i="6"/>
  <c r="D93" i="6"/>
  <c r="C94" i="6"/>
  <c r="D94" i="6"/>
  <c r="C95" i="6"/>
  <c r="D95" i="6"/>
  <c r="C96" i="6"/>
  <c r="D96" i="6"/>
  <c r="C97" i="6"/>
  <c r="D97" i="6"/>
  <c r="C98" i="6"/>
  <c r="D98" i="6"/>
  <c r="C99" i="6"/>
  <c r="D99" i="6"/>
  <c r="C100" i="6"/>
  <c r="D100" i="6"/>
  <c r="C101" i="6"/>
  <c r="D101" i="6"/>
  <c r="C102" i="6"/>
  <c r="D102" i="6"/>
  <c r="C103" i="6"/>
  <c r="D103" i="6"/>
  <c r="C104" i="6"/>
  <c r="D104" i="6"/>
  <c r="C105" i="6"/>
  <c r="C106" i="6"/>
  <c r="D106" i="6"/>
  <c r="C107" i="6"/>
  <c r="D107" i="6"/>
  <c r="C108" i="6"/>
  <c r="D108" i="6"/>
  <c r="C109" i="6"/>
  <c r="C110" i="6"/>
  <c r="D110" i="6"/>
  <c r="C111" i="6"/>
  <c r="D111" i="6"/>
  <c r="C112" i="6"/>
  <c r="D112" i="6"/>
  <c r="C113" i="6"/>
  <c r="C114" i="6"/>
  <c r="D114" i="6"/>
  <c r="C115" i="6"/>
  <c r="D115" i="6"/>
  <c r="C116" i="6"/>
  <c r="D116" i="6"/>
  <c r="C117" i="6"/>
  <c r="D117" i="6"/>
  <c r="C118" i="6"/>
  <c r="D118" i="6"/>
  <c r="C119" i="6"/>
  <c r="D119" i="6"/>
  <c r="C120" i="6"/>
  <c r="D120" i="6"/>
  <c r="C121" i="6"/>
  <c r="C122" i="6"/>
  <c r="D122" i="6"/>
  <c r="C123" i="6"/>
  <c r="D123" i="6"/>
  <c r="C124" i="6"/>
  <c r="D124" i="6"/>
  <c r="C125" i="6"/>
  <c r="C126" i="6"/>
  <c r="D126" i="6"/>
  <c r="C127" i="6"/>
  <c r="C128" i="6"/>
  <c r="D128" i="6"/>
  <c r="C129" i="6"/>
  <c r="D129" i="6"/>
  <c r="C130" i="6"/>
  <c r="D130" i="6"/>
  <c r="C131" i="6"/>
  <c r="D131" i="6"/>
  <c r="C132" i="6"/>
  <c r="D132" i="6"/>
  <c r="C133" i="6"/>
  <c r="C134" i="6"/>
  <c r="D134" i="6"/>
  <c r="C135" i="6"/>
  <c r="C136" i="6"/>
  <c r="D136" i="6"/>
  <c r="C137" i="6"/>
  <c r="D137" i="6"/>
  <c r="C138" i="6"/>
  <c r="D138" i="6"/>
  <c r="C139" i="6"/>
  <c r="D139" i="6"/>
  <c r="C140" i="6"/>
  <c r="D140" i="6"/>
  <c r="C141" i="6"/>
  <c r="D141" i="6"/>
  <c r="C142" i="6"/>
  <c r="D142" i="6"/>
  <c r="C143" i="6"/>
  <c r="C144" i="6"/>
  <c r="D144" i="6"/>
  <c r="C145" i="6"/>
  <c r="D145" i="6"/>
  <c r="C146" i="6"/>
  <c r="D146" i="6"/>
  <c r="C147" i="6"/>
  <c r="D147" i="6"/>
  <c r="C148" i="6"/>
  <c r="D148" i="6"/>
  <c r="C149" i="6"/>
  <c r="C150" i="6"/>
  <c r="D150" i="6"/>
  <c r="C151" i="6"/>
  <c r="D151" i="6"/>
  <c r="C152" i="6"/>
  <c r="D152" i="6"/>
  <c r="C153" i="6"/>
  <c r="D153" i="6"/>
  <c r="C154" i="6"/>
  <c r="D154" i="6"/>
  <c r="C155" i="6"/>
  <c r="D155" i="6"/>
  <c r="C156" i="6"/>
  <c r="D156" i="6"/>
  <c r="C157" i="6"/>
  <c r="D157" i="6"/>
  <c r="C158" i="6"/>
  <c r="D158" i="6"/>
  <c r="C159" i="6"/>
  <c r="D159" i="6"/>
  <c r="C160" i="6"/>
  <c r="D160" i="6"/>
  <c r="C161" i="6"/>
  <c r="D161" i="6"/>
  <c r="C162" i="6"/>
  <c r="D162" i="6"/>
  <c r="C163" i="6"/>
  <c r="D163" i="6"/>
  <c r="C164" i="6"/>
  <c r="D164" i="6"/>
  <c r="C165" i="6"/>
  <c r="C166" i="6"/>
  <c r="D166" i="6"/>
  <c r="C167" i="6"/>
  <c r="D167" i="6"/>
  <c r="C168" i="6"/>
  <c r="D168" i="6"/>
  <c r="C169" i="6"/>
  <c r="D169" i="6"/>
  <c r="C170" i="6"/>
  <c r="D170" i="6"/>
  <c r="C171" i="6"/>
  <c r="D171" i="6"/>
  <c r="C172" i="6"/>
  <c r="D172" i="6"/>
  <c r="C173" i="6"/>
  <c r="C174" i="6"/>
  <c r="D174" i="6"/>
  <c r="C175" i="6"/>
  <c r="D175" i="6"/>
  <c r="C176" i="6"/>
  <c r="D176" i="6"/>
  <c r="C177" i="6"/>
  <c r="D177" i="6"/>
  <c r="C178" i="6"/>
  <c r="D178" i="6"/>
  <c r="C179" i="6"/>
  <c r="D179" i="6"/>
  <c r="C180" i="6"/>
  <c r="D180" i="6"/>
  <c r="C181" i="6"/>
  <c r="D181" i="6"/>
  <c r="C182" i="6"/>
  <c r="D182" i="6"/>
  <c r="C183" i="6"/>
  <c r="D183" i="6"/>
  <c r="C184" i="6"/>
  <c r="D184" i="6"/>
  <c r="C185" i="6"/>
  <c r="C186" i="6"/>
  <c r="D186" i="6"/>
  <c r="C187" i="6"/>
  <c r="D187" i="6"/>
  <c r="C188" i="6"/>
  <c r="D188" i="6"/>
  <c r="C189" i="6"/>
  <c r="C190" i="6"/>
  <c r="D190" i="6"/>
  <c r="C191" i="6"/>
  <c r="D191" i="6"/>
  <c r="C192" i="6"/>
  <c r="D192" i="6"/>
  <c r="C193" i="6"/>
  <c r="C194" i="6"/>
  <c r="D194" i="6"/>
  <c r="C195" i="6"/>
  <c r="D195" i="6"/>
  <c r="C196" i="6"/>
  <c r="D196" i="6"/>
  <c r="C197" i="6"/>
  <c r="D197" i="6"/>
  <c r="C198" i="6"/>
  <c r="D198" i="6"/>
  <c r="C199" i="6"/>
  <c r="D199" i="6"/>
  <c r="C200" i="6"/>
  <c r="C201" i="6"/>
  <c r="C202" i="6"/>
  <c r="D202" i="6"/>
  <c r="C203" i="6"/>
  <c r="D203" i="6"/>
  <c r="C204" i="6"/>
  <c r="C205" i="6"/>
  <c r="C206" i="6"/>
  <c r="D206" i="6"/>
  <c r="C207" i="6"/>
  <c r="D207" i="6"/>
  <c r="C208" i="6"/>
  <c r="D208" i="6"/>
  <c r="C209" i="6"/>
  <c r="C210" i="6"/>
  <c r="D210" i="6"/>
  <c r="C211" i="6"/>
  <c r="D211" i="6"/>
  <c r="C212" i="6"/>
  <c r="D212" i="6"/>
  <c r="C213" i="6"/>
  <c r="D213" i="6"/>
  <c r="C214" i="6"/>
  <c r="D214" i="6"/>
  <c r="C215" i="6"/>
  <c r="D215" i="6"/>
  <c r="C216" i="6"/>
  <c r="D216" i="6"/>
  <c r="C217" i="6"/>
  <c r="D217" i="6"/>
  <c r="C218" i="6"/>
  <c r="D218" i="6"/>
  <c r="C219" i="6"/>
  <c r="D219" i="6"/>
  <c r="C220" i="6"/>
  <c r="D220" i="6"/>
  <c r="C221" i="6"/>
  <c r="C222" i="6"/>
  <c r="D222" i="6"/>
  <c r="C223" i="6"/>
  <c r="D223" i="6"/>
  <c r="C224" i="6"/>
  <c r="D224" i="6"/>
  <c r="C225" i="6"/>
  <c r="D225" i="6"/>
  <c r="C226" i="6"/>
  <c r="D226" i="6"/>
  <c r="C227" i="6"/>
  <c r="D227" i="6"/>
  <c r="C228" i="6"/>
  <c r="D228" i="6"/>
  <c r="C229" i="6"/>
  <c r="D229" i="6"/>
  <c r="C230" i="6"/>
  <c r="D230" i="6"/>
  <c r="C231" i="6"/>
  <c r="D231" i="6"/>
  <c r="C232" i="6"/>
  <c r="D232" i="6"/>
  <c r="C233" i="6"/>
  <c r="D233" i="6"/>
  <c r="C234" i="6"/>
  <c r="D234" i="6"/>
  <c r="C235" i="6"/>
  <c r="D235" i="6"/>
  <c r="C236" i="6"/>
  <c r="D236" i="6"/>
  <c r="C237" i="6"/>
  <c r="D237" i="6"/>
  <c r="C238" i="6"/>
  <c r="D238" i="6"/>
  <c r="C239" i="6"/>
  <c r="D239" i="6"/>
  <c r="C240" i="6"/>
  <c r="D240" i="6"/>
  <c r="C241" i="6"/>
  <c r="C242" i="6"/>
  <c r="D242" i="6"/>
  <c r="C243" i="6"/>
  <c r="D243" i="6"/>
  <c r="C244" i="6"/>
  <c r="D244" i="6"/>
  <c r="C245" i="6"/>
  <c r="D245" i="6"/>
  <c r="C246" i="6"/>
  <c r="D246" i="6"/>
  <c r="C247" i="6"/>
  <c r="D247" i="6"/>
  <c r="C248" i="6"/>
  <c r="C249" i="6"/>
  <c r="C250" i="6"/>
  <c r="D250" i="6"/>
  <c r="C251" i="6"/>
  <c r="D251" i="6"/>
  <c r="C252" i="6"/>
  <c r="D252" i="6"/>
  <c r="C253" i="6"/>
  <c r="C254" i="6"/>
  <c r="D254" i="6"/>
  <c r="C255" i="6"/>
  <c r="D255" i="6"/>
  <c r="C256" i="6"/>
  <c r="D256" i="6"/>
  <c r="C257" i="6"/>
  <c r="C258" i="6"/>
  <c r="D258" i="6"/>
  <c r="C259" i="6"/>
  <c r="D259" i="6"/>
  <c r="C260" i="6"/>
  <c r="D260" i="6"/>
  <c r="C261" i="6"/>
  <c r="C262" i="6"/>
  <c r="D262" i="6"/>
  <c r="C263" i="6"/>
  <c r="D263" i="6"/>
  <c r="C264" i="6"/>
  <c r="D264" i="6"/>
  <c r="C265" i="6"/>
  <c r="D265" i="6"/>
  <c r="C266" i="6"/>
  <c r="D266" i="6"/>
  <c r="C267" i="6"/>
  <c r="D267" i="6"/>
  <c r="C268" i="6"/>
  <c r="D268" i="6"/>
  <c r="C269" i="6"/>
  <c r="C270" i="6"/>
  <c r="D270" i="6"/>
  <c r="C271" i="6"/>
  <c r="D271" i="6"/>
  <c r="C272" i="6"/>
  <c r="D272" i="6"/>
  <c r="C273" i="6"/>
  <c r="C274" i="6"/>
  <c r="D274" i="6"/>
  <c r="C275" i="6"/>
  <c r="D275" i="6"/>
  <c r="C276" i="6"/>
  <c r="D276" i="6"/>
  <c r="C277" i="6"/>
  <c r="C278" i="6"/>
  <c r="D278" i="6"/>
  <c r="C279" i="6"/>
  <c r="D279" i="6"/>
  <c r="C280" i="6"/>
  <c r="D280" i="6"/>
  <c r="C281" i="6"/>
  <c r="D281" i="6"/>
  <c r="C282" i="6"/>
  <c r="D282" i="6"/>
  <c r="C283" i="6"/>
  <c r="D283" i="6"/>
  <c r="C284" i="6"/>
  <c r="D284" i="6"/>
  <c r="C285" i="6"/>
  <c r="C286" i="6"/>
  <c r="D286" i="6"/>
  <c r="C287" i="6"/>
  <c r="D287" i="6"/>
  <c r="C288" i="6"/>
  <c r="D288" i="6"/>
  <c r="C289" i="6"/>
  <c r="C290" i="6"/>
  <c r="D290" i="6"/>
  <c r="C291" i="6"/>
  <c r="D291" i="6"/>
  <c r="C292" i="6"/>
  <c r="D292" i="6"/>
  <c r="C293" i="6"/>
  <c r="C294" i="6"/>
  <c r="D294" i="6"/>
  <c r="C295" i="6"/>
  <c r="D295" i="6"/>
  <c r="C296" i="6"/>
  <c r="D296" i="6"/>
  <c r="C297" i="6"/>
  <c r="D297" i="6"/>
  <c r="C298" i="6"/>
  <c r="D298" i="6"/>
  <c r="G293" i="6"/>
  <c r="G350" i="7"/>
  <c r="G286" i="12"/>
  <c r="G189" i="18"/>
  <c r="G186" i="19"/>
  <c r="H304" i="24"/>
  <c r="G178" i="20"/>
  <c r="G55" i="41"/>
  <c r="G41" i="43"/>
  <c r="G392" i="4"/>
  <c r="G389" i="7"/>
  <c r="G325" i="12"/>
  <c r="G228" i="18"/>
  <c r="G225" i="19"/>
  <c r="H343" i="24"/>
  <c r="F206" i="22"/>
  <c r="G206" i="22"/>
  <c r="G217" i="20"/>
  <c r="G94" i="41"/>
  <c r="G80" i="43"/>
  <c r="F153" i="45"/>
  <c r="G153" i="45"/>
  <c r="G385" i="4"/>
  <c r="G382" i="7"/>
  <c r="G318" i="12"/>
  <c r="G221" i="18"/>
  <c r="G218" i="19"/>
  <c r="H336" i="24"/>
  <c r="F199" i="22"/>
  <c r="G199" i="22"/>
  <c r="G210" i="20"/>
  <c r="G87" i="41"/>
  <c r="G73" i="43"/>
  <c r="F146" i="45"/>
  <c r="F114" i="45"/>
  <c r="G386" i="4"/>
  <c r="G383" i="7"/>
  <c r="G319" i="12"/>
  <c r="G222" i="18"/>
  <c r="G219" i="19"/>
  <c r="H337" i="24"/>
  <c r="F200" i="22"/>
  <c r="G200" i="22"/>
  <c r="G211" i="20"/>
  <c r="G88" i="41"/>
  <c r="G74" i="43"/>
  <c r="F147" i="45"/>
  <c r="G147" i="45"/>
  <c r="G387" i="4"/>
  <c r="G384" i="7"/>
  <c r="G320" i="12"/>
  <c r="G223" i="18"/>
  <c r="G220" i="19"/>
  <c r="H338" i="24"/>
  <c r="F201" i="22"/>
  <c r="G201" i="22"/>
  <c r="G212" i="20"/>
  <c r="G89" i="41"/>
  <c r="G75" i="43"/>
  <c r="F148" i="45"/>
  <c r="G388" i="4"/>
  <c r="G385" i="7"/>
  <c r="G321" i="12"/>
  <c r="G224" i="18"/>
  <c r="G221" i="19"/>
  <c r="H339" i="24"/>
  <c r="F202" i="22"/>
  <c r="G202" i="22"/>
  <c r="G213" i="20"/>
  <c r="G90" i="41"/>
  <c r="G76" i="43"/>
  <c r="F149" i="45"/>
  <c r="G149" i="45"/>
  <c r="G389" i="4"/>
  <c r="G386" i="7"/>
  <c r="G322" i="12"/>
  <c r="G225" i="18"/>
  <c r="G222" i="19"/>
  <c r="H340" i="24"/>
  <c r="F203" i="22"/>
  <c r="G203" i="22"/>
  <c r="G214" i="20"/>
  <c r="G91" i="41"/>
  <c r="G77" i="43"/>
  <c r="F150" i="45"/>
  <c r="G150" i="45"/>
  <c r="G390" i="4"/>
  <c r="G387" i="7"/>
  <c r="G323" i="12"/>
  <c r="G226" i="18"/>
  <c r="G223" i="19"/>
  <c r="H341" i="24"/>
  <c r="F204" i="22"/>
  <c r="G204" i="22"/>
  <c r="G215" i="20"/>
  <c r="G92" i="41"/>
  <c r="G78" i="43"/>
  <c r="F151" i="45"/>
  <c r="G151" i="45"/>
  <c r="F144" i="45"/>
  <c r="G144" i="45"/>
  <c r="F145" i="45"/>
  <c r="G145" i="45"/>
  <c r="F132" i="45"/>
  <c r="G132" i="45"/>
  <c r="F122" i="45"/>
  <c r="G122" i="45"/>
  <c r="F139" i="45"/>
  <c r="G139" i="45"/>
  <c r="F128" i="45"/>
  <c r="G128" i="45"/>
  <c r="F130" i="45"/>
  <c r="G130" i="45"/>
  <c r="F129" i="45"/>
  <c r="G129" i="45"/>
  <c r="F140" i="45"/>
  <c r="G140" i="45"/>
  <c r="F135" i="45"/>
  <c r="G135" i="45"/>
  <c r="F141" i="45"/>
  <c r="G141" i="45"/>
  <c r="F124" i="45"/>
  <c r="G124" i="45"/>
  <c r="F136" i="45"/>
  <c r="G136" i="45"/>
  <c r="F134" i="45"/>
  <c r="G134" i="45"/>
  <c r="F117" i="45"/>
  <c r="G117" i="45"/>
  <c r="F125" i="45"/>
  <c r="G125" i="45"/>
  <c r="F126" i="45"/>
  <c r="G126" i="45"/>
  <c r="F115" i="45"/>
  <c r="G115" i="45"/>
  <c r="F120" i="45"/>
  <c r="G120" i="45"/>
  <c r="F123" i="45"/>
  <c r="G123" i="45"/>
  <c r="F133" i="45"/>
  <c r="G133" i="45"/>
  <c r="F119" i="45"/>
  <c r="G119" i="45"/>
  <c r="F116" i="45"/>
  <c r="G116" i="45"/>
  <c r="F143" i="45"/>
  <c r="G143" i="45"/>
  <c r="F121" i="45"/>
  <c r="G121" i="45"/>
  <c r="F127" i="45"/>
  <c r="G127" i="45"/>
  <c r="F137" i="45"/>
  <c r="G137" i="45"/>
  <c r="F118" i="45"/>
  <c r="G118" i="45"/>
  <c r="F138" i="45"/>
  <c r="G138" i="45"/>
  <c r="F131" i="45"/>
  <c r="G131" i="45"/>
  <c r="F142" i="45"/>
  <c r="G142" i="45"/>
  <c r="G71" i="43"/>
  <c r="G72" i="43"/>
  <c r="G43" i="43"/>
  <c r="G29" i="43"/>
  <c r="G40" i="43"/>
  <c r="G33" i="43"/>
  <c r="G22" i="43"/>
  <c r="G49" i="43"/>
  <c r="G26" i="43"/>
  <c r="G39" i="43"/>
  <c r="G56" i="43"/>
  <c r="G68" i="43"/>
  <c r="G66" i="43"/>
  <c r="G69" i="43"/>
  <c r="G63" i="43"/>
  <c r="G38" i="43"/>
  <c r="G65" i="43"/>
  <c r="G54" i="43"/>
  <c r="G27" i="43"/>
  <c r="G55" i="43"/>
  <c r="G45" i="43"/>
  <c r="G61" i="43"/>
  <c r="G52" i="43"/>
  <c r="G31" i="43"/>
  <c r="G23" i="43"/>
  <c r="G44" i="43"/>
  <c r="G53" i="43"/>
  <c r="G50" i="43"/>
  <c r="G46" i="43"/>
  <c r="G70" i="43"/>
  <c r="G60" i="43"/>
  <c r="G47" i="43"/>
  <c r="G48" i="43"/>
  <c r="G37" i="43"/>
  <c r="G32" i="43"/>
  <c r="G42" i="43"/>
  <c r="G30" i="43"/>
  <c r="G25" i="43"/>
  <c r="F80" i="43"/>
  <c r="G24" i="43"/>
  <c r="G28" i="43"/>
  <c r="G35" i="43"/>
  <c r="G36" i="43"/>
  <c r="G67" i="43"/>
  <c r="G64" i="43"/>
  <c r="G57" i="43"/>
  <c r="G51" i="43"/>
  <c r="G62" i="43"/>
  <c r="G58" i="43"/>
  <c r="G59" i="43"/>
  <c r="G34" i="43"/>
  <c r="G85" i="41"/>
  <c r="G86" i="41"/>
  <c r="G84" i="41"/>
  <c r="G51" i="41"/>
  <c r="G80" i="41"/>
  <c r="G38" i="41"/>
  <c r="G83" i="41"/>
  <c r="G26" i="41"/>
  <c r="G77" i="41"/>
  <c r="G25" i="41"/>
  <c r="G82" i="41"/>
  <c r="G67" i="41"/>
  <c r="G78" i="41"/>
  <c r="G61" i="41"/>
  <c r="G79" i="41"/>
  <c r="G68" i="41"/>
  <c r="G33" i="41"/>
  <c r="G32" i="41"/>
  <c r="G54" i="41"/>
  <c r="G63" i="41"/>
  <c r="F94" i="41"/>
  <c r="G28" i="41"/>
  <c r="G73" i="41"/>
  <c r="G34" i="41"/>
  <c r="G52" i="41"/>
  <c r="G43" i="41"/>
  <c r="G37" i="41"/>
  <c r="G64" i="41"/>
  <c r="G69" i="41"/>
  <c r="G62" i="41"/>
  <c r="G66" i="41"/>
  <c r="G47" i="41"/>
  <c r="G35" i="41"/>
  <c r="G81" i="41"/>
  <c r="G72" i="41"/>
  <c r="G49" i="41"/>
  <c r="G31" i="41"/>
  <c r="G27" i="41"/>
  <c r="G53" i="41"/>
  <c r="G75" i="41"/>
  <c r="G36" i="41"/>
  <c r="G29" i="41"/>
  <c r="G50" i="41"/>
  <c r="G60" i="41"/>
  <c r="G65" i="41"/>
  <c r="G30" i="41"/>
  <c r="G76" i="41"/>
  <c r="G24" i="41"/>
  <c r="G39" i="41"/>
  <c r="G59" i="41"/>
  <c r="G41" i="41"/>
  <c r="G74" i="41"/>
  <c r="G57" i="41"/>
  <c r="G71" i="41"/>
  <c r="G48" i="41"/>
  <c r="G23" i="41"/>
  <c r="G58" i="41"/>
  <c r="G46" i="41"/>
  <c r="G70" i="41"/>
  <c r="G44" i="41"/>
  <c r="G45" i="41"/>
  <c r="G42" i="41"/>
  <c r="G56" i="41"/>
  <c r="G40" i="41"/>
  <c r="H334" i="24"/>
  <c r="H335" i="24"/>
  <c r="H330" i="24"/>
  <c r="H277" i="24"/>
  <c r="H310" i="24"/>
  <c r="H284" i="24"/>
  <c r="H303" i="24"/>
  <c r="H313" i="24"/>
  <c r="H190" i="24"/>
  <c r="H224" i="24"/>
  <c r="H302" i="24"/>
  <c r="H238" i="24"/>
  <c r="H221" i="24"/>
  <c r="H297" i="24"/>
  <c r="H261" i="24"/>
  <c r="H200" i="24"/>
  <c r="H188" i="24"/>
  <c r="H215" i="24"/>
  <c r="H168" i="24"/>
  <c r="H270" i="24"/>
  <c r="H226" i="24"/>
  <c r="H170" i="24"/>
  <c r="H199" i="24"/>
  <c r="H255" i="24"/>
  <c r="H300" i="24"/>
  <c r="H325" i="24"/>
  <c r="H180" i="24"/>
  <c r="H264" i="24"/>
  <c r="H182" i="24"/>
  <c r="H280" i="24"/>
  <c r="H178" i="24"/>
  <c r="H198" i="24"/>
  <c r="H279" i="24"/>
  <c r="H214" i="24"/>
  <c r="H333" i="24"/>
  <c r="H294" i="24"/>
  <c r="H253" i="24"/>
  <c r="H189" i="24"/>
  <c r="H322" i="24"/>
  <c r="H248" i="24"/>
  <c r="H301" i="24"/>
  <c r="H323" i="24"/>
  <c r="H239" i="24"/>
  <c r="H171" i="24"/>
  <c r="H232" i="24"/>
  <c r="H217" i="24"/>
  <c r="H209" i="24"/>
  <c r="H286" i="24"/>
  <c r="H192" i="24"/>
  <c r="H292" i="24"/>
  <c r="H205" i="24"/>
  <c r="H318" i="24"/>
  <c r="H202" i="24"/>
  <c r="H208" i="24"/>
  <c r="H265" i="24"/>
  <c r="H240" i="24"/>
  <c r="H276" i="24"/>
  <c r="H222" i="24"/>
  <c r="H235" i="24"/>
  <c r="H184" i="24"/>
  <c r="H312" i="24"/>
  <c r="H316" i="24"/>
  <c r="H263" i="24"/>
  <c r="H282" i="24"/>
  <c r="H332" i="24"/>
  <c r="H258" i="24"/>
  <c r="H250" i="24"/>
  <c r="H309" i="24"/>
  <c r="H179" i="24"/>
  <c r="H244" i="24"/>
  <c r="H299" i="24"/>
  <c r="H307" i="24"/>
  <c r="H183" i="24"/>
  <c r="H230" i="24"/>
  <c r="H225" i="24"/>
  <c r="H327" i="24"/>
  <c r="H172" i="24"/>
  <c r="H203" i="24"/>
  <c r="H231" i="24"/>
  <c r="H275" i="24"/>
  <c r="H216" i="24"/>
  <c r="H249" i="24"/>
  <c r="H251" i="24"/>
  <c r="H241" i="24"/>
  <c r="H212" i="24"/>
  <c r="H331" i="24"/>
  <c r="H236" i="24"/>
  <c r="H210" i="24"/>
  <c r="H287" i="24"/>
  <c r="H187" i="24"/>
  <c r="H219" i="24"/>
  <c r="H246" i="24"/>
  <c r="H213" i="24"/>
  <c r="H285" i="24"/>
  <c r="H306" i="24"/>
  <c r="H193" i="24"/>
  <c r="H245" i="24"/>
  <c r="H314" i="24"/>
  <c r="H223" i="24"/>
  <c r="H293" i="24"/>
  <c r="H234" i="24"/>
  <c r="H281" i="24"/>
  <c r="H201" i="24"/>
  <c r="H291" i="24"/>
  <c r="H175" i="24"/>
  <c r="H194" i="24"/>
  <c r="H196" i="24"/>
  <c r="H305" i="24"/>
  <c r="H243" i="24"/>
  <c r="H207" i="24"/>
  <c r="H290" i="24"/>
  <c r="H311" i="24"/>
  <c r="H220" i="24"/>
  <c r="H268" i="24"/>
  <c r="H267" i="24"/>
  <c r="H308" i="24"/>
  <c r="H326" i="24"/>
  <c r="H296" i="24"/>
  <c r="H211" i="24"/>
  <c r="H328" i="24"/>
  <c r="H260" i="24"/>
  <c r="H273" i="24"/>
  <c r="H266" i="24"/>
  <c r="H197" i="24"/>
  <c r="H256" i="24"/>
  <c r="H283" i="24"/>
  <c r="H228" i="24"/>
  <c r="H272" i="24"/>
  <c r="H252" i="24"/>
  <c r="H257" i="24"/>
  <c r="H229" i="24"/>
  <c r="H320" i="24"/>
  <c r="H242" i="24"/>
  <c r="H317" i="24"/>
  <c r="H195" i="24"/>
  <c r="H186" i="24"/>
  <c r="H321" i="24"/>
  <c r="H319" i="24"/>
  <c r="H298" i="24"/>
  <c r="H295" i="24"/>
  <c r="H262" i="24"/>
  <c r="H237" i="24"/>
  <c r="H185" i="24"/>
  <c r="H169" i="24"/>
  <c r="H227" i="24"/>
  <c r="H173" i="24"/>
  <c r="H181" i="24"/>
  <c r="H204" i="24"/>
  <c r="H269" i="24"/>
  <c r="H233" i="24"/>
  <c r="H289" i="24"/>
  <c r="H274" i="24"/>
  <c r="H218" i="24"/>
  <c r="H176" i="24"/>
  <c r="H254" i="24"/>
  <c r="H288" i="24"/>
  <c r="H271" i="24"/>
  <c r="H206" i="24"/>
  <c r="H259" i="24"/>
  <c r="H315" i="24"/>
  <c r="H177" i="24"/>
  <c r="H191" i="24"/>
  <c r="H278" i="24"/>
  <c r="H247" i="24"/>
  <c r="H324" i="24"/>
  <c r="H174" i="24"/>
  <c r="H329" i="24"/>
  <c r="H335" i="25"/>
  <c r="F271" i="25"/>
  <c r="F206" i="25"/>
  <c r="F215" i="25"/>
  <c r="F228" i="25"/>
  <c r="H228" i="25"/>
  <c r="F270" i="25"/>
  <c r="F249" i="25"/>
  <c r="F246" i="25"/>
  <c r="H334" i="25"/>
  <c r="F285" i="25"/>
  <c r="F217" i="25"/>
  <c r="F233" i="25"/>
  <c r="F242" i="25"/>
  <c r="F275" i="25"/>
  <c r="F284" i="25"/>
  <c r="F344" i="25"/>
  <c r="F211" i="25"/>
  <c r="F266" i="25"/>
  <c r="F264" i="25"/>
  <c r="F253" i="25"/>
  <c r="F213" i="25"/>
  <c r="F263" i="25"/>
  <c r="F291" i="25"/>
  <c r="F227" i="25"/>
  <c r="F212" i="25"/>
  <c r="F258" i="25"/>
  <c r="F256" i="25"/>
  <c r="F239" i="25"/>
  <c r="F219" i="25"/>
  <c r="F250" i="25"/>
  <c r="F248" i="25"/>
  <c r="F286" i="25"/>
  <c r="F283" i="25"/>
  <c r="F265" i="25"/>
  <c r="F220" i="25"/>
  <c r="F255" i="25"/>
  <c r="F254" i="25"/>
  <c r="F203" i="25"/>
  <c r="F230" i="25"/>
  <c r="F197" i="25"/>
  <c r="H307" i="25"/>
  <c r="F210" i="25"/>
  <c r="F223" i="25"/>
  <c r="F238" i="25"/>
  <c r="F288" i="25"/>
  <c r="H288" i="25"/>
  <c r="F237" i="25"/>
  <c r="F292" i="25"/>
  <c r="F243" i="25"/>
  <c r="F205" i="25"/>
  <c r="F216" i="25"/>
  <c r="F200" i="25"/>
  <c r="F232" i="25"/>
  <c r="F280" i="25"/>
  <c r="F209" i="25"/>
  <c r="F276" i="25"/>
  <c r="F231" i="25"/>
  <c r="F295" i="25"/>
  <c r="F226" i="25"/>
  <c r="F294" i="25"/>
  <c r="F279" i="25"/>
  <c r="F269" i="25"/>
  <c r="F234" i="25"/>
  <c r="F198" i="25"/>
  <c r="F202" i="25"/>
  <c r="F221" i="25"/>
  <c r="F247" i="25"/>
  <c r="F273" i="25"/>
  <c r="F235" i="25"/>
  <c r="F225" i="25"/>
  <c r="F245" i="25"/>
  <c r="F268" i="25"/>
  <c r="F290" i="25"/>
  <c r="F224" i="25"/>
  <c r="F252" i="25"/>
  <c r="F287" i="25"/>
  <c r="F261" i="25"/>
  <c r="F293" i="25"/>
  <c r="F260" i="25"/>
  <c r="F241" i="25"/>
  <c r="F259" i="25"/>
  <c r="F218" i="25"/>
  <c r="F251" i="25"/>
  <c r="F262" i="25"/>
  <c r="F229" i="25"/>
  <c r="F214" i="25"/>
  <c r="F281" i="25"/>
  <c r="F244" i="25"/>
  <c r="F236" i="25"/>
  <c r="F272" i="25"/>
  <c r="F204" i="25"/>
  <c r="F222" i="25"/>
  <c r="F208" i="25"/>
  <c r="F201" i="25"/>
  <c r="F199" i="25"/>
  <c r="F267" i="25"/>
  <c r="F257" i="25"/>
  <c r="F278" i="25"/>
  <c r="F282" i="25"/>
  <c r="F277" i="25"/>
  <c r="F274" i="25"/>
  <c r="F207" i="25"/>
  <c r="F289" i="25"/>
  <c r="F240" i="25"/>
  <c r="F197" i="22"/>
  <c r="G197" i="22"/>
  <c r="F198" i="22"/>
  <c r="G198" i="22"/>
  <c r="F193" i="22"/>
  <c r="G193" i="22"/>
  <c r="F28" i="22"/>
  <c r="G28" i="22"/>
  <c r="F122" i="22"/>
  <c r="G122" i="22"/>
  <c r="F31" i="22"/>
  <c r="G31" i="22"/>
  <c r="F107" i="22"/>
  <c r="G107" i="22"/>
  <c r="F134" i="22"/>
  <c r="G134" i="22"/>
  <c r="F106" i="22"/>
  <c r="G106" i="22"/>
  <c r="F71" i="22"/>
  <c r="G71" i="22"/>
  <c r="F94" i="22"/>
  <c r="G94" i="22"/>
  <c r="F68" i="22"/>
  <c r="G68" i="22"/>
  <c r="F125" i="22"/>
  <c r="G125" i="22"/>
  <c r="F63" i="22"/>
  <c r="G63" i="22"/>
  <c r="F180" i="22"/>
  <c r="G180" i="22"/>
  <c r="F36" i="22"/>
  <c r="G36" i="22"/>
  <c r="F182" i="22"/>
  <c r="G182" i="22"/>
  <c r="F131" i="22"/>
  <c r="G131" i="22"/>
  <c r="F75" i="22"/>
  <c r="G75" i="22"/>
  <c r="F24" i="22"/>
  <c r="G24" i="22"/>
  <c r="F149" i="22"/>
  <c r="G149" i="22"/>
  <c r="F73" i="22"/>
  <c r="G73" i="22"/>
  <c r="F65" i="22"/>
  <c r="G65" i="22"/>
  <c r="F150" i="22"/>
  <c r="G150" i="22"/>
  <c r="F162" i="22"/>
  <c r="G162" i="22"/>
  <c r="F90" i="22"/>
  <c r="G90" i="22"/>
  <c r="F161" i="22"/>
  <c r="G161" i="22"/>
  <c r="F146" i="22"/>
  <c r="G146" i="22"/>
  <c r="F62" i="22"/>
  <c r="G62" i="22"/>
  <c r="F130" i="22"/>
  <c r="G130" i="22"/>
  <c r="F126" i="22"/>
  <c r="G126" i="22"/>
  <c r="F83" i="22"/>
  <c r="G83" i="22"/>
  <c r="F144" i="22"/>
  <c r="G144" i="22"/>
  <c r="F100" i="22"/>
  <c r="G100" i="22"/>
  <c r="F112" i="22"/>
  <c r="G112" i="22"/>
  <c r="F79" i="22"/>
  <c r="G79" i="22"/>
  <c r="F169" i="22"/>
  <c r="G169" i="22"/>
  <c r="F141" i="22"/>
  <c r="G141" i="22"/>
  <c r="F188" i="22"/>
  <c r="G188" i="22"/>
  <c r="F87" i="22"/>
  <c r="G87" i="22"/>
  <c r="F157" i="22"/>
  <c r="G157" i="22"/>
  <c r="F25" i="22"/>
  <c r="G25" i="22"/>
  <c r="F81" i="22"/>
  <c r="G81" i="22"/>
  <c r="F164" i="22"/>
  <c r="G164" i="22"/>
  <c r="F40" i="22"/>
  <c r="G40" i="22"/>
  <c r="F195" i="22"/>
  <c r="G195" i="22"/>
  <c r="F196" i="22"/>
  <c r="G196" i="22"/>
  <c r="F103" i="22"/>
  <c r="G103" i="22"/>
  <c r="F186" i="22"/>
  <c r="G186" i="22"/>
  <c r="F123" i="22"/>
  <c r="G123" i="22"/>
  <c r="F114" i="22"/>
  <c r="G114" i="22"/>
  <c r="F120" i="22"/>
  <c r="G120" i="22"/>
  <c r="F128" i="22"/>
  <c r="G128" i="22"/>
  <c r="F132" i="22"/>
  <c r="G132" i="22"/>
  <c r="F45" i="22"/>
  <c r="G45" i="22"/>
  <c r="F137" i="22"/>
  <c r="G137" i="22"/>
  <c r="F143" i="22"/>
  <c r="G143" i="22"/>
  <c r="F163" i="22"/>
  <c r="G163" i="22"/>
  <c r="F194" i="22"/>
  <c r="G194" i="22"/>
  <c r="F55" i="22"/>
  <c r="G55" i="22"/>
  <c r="F52" i="22"/>
  <c r="G52" i="22"/>
  <c r="F42" i="22"/>
  <c r="G42" i="22"/>
  <c r="F23" i="22"/>
  <c r="G23" i="22"/>
  <c r="F142" i="22"/>
  <c r="G142" i="22"/>
  <c r="F69" i="22"/>
  <c r="G69" i="22"/>
  <c r="F115" i="22"/>
  <c r="G115" i="22"/>
  <c r="F121" i="22"/>
  <c r="G121" i="22"/>
  <c r="F183" i="22"/>
  <c r="G183" i="22"/>
  <c r="F39" i="22"/>
  <c r="G39" i="22"/>
  <c r="F192" i="22"/>
  <c r="G192" i="22"/>
  <c r="F108" i="22"/>
  <c r="G108" i="22"/>
  <c r="F148" i="22"/>
  <c r="G148" i="22"/>
  <c r="F181" i="22"/>
  <c r="G181" i="22"/>
  <c r="F136" i="22"/>
  <c r="G136" i="22"/>
  <c r="F111" i="22"/>
  <c r="G111" i="22"/>
  <c r="F155" i="22"/>
  <c r="G155" i="22"/>
  <c r="F116" i="22"/>
  <c r="G116" i="22"/>
  <c r="F165" i="22"/>
  <c r="G165" i="22"/>
  <c r="F98" i="22"/>
  <c r="G98" i="22"/>
  <c r="F30" i="22"/>
  <c r="G30" i="22"/>
  <c r="F191" i="22"/>
  <c r="G191" i="22"/>
  <c r="F35" i="22"/>
  <c r="G35" i="22"/>
  <c r="F129" i="22"/>
  <c r="G129" i="22"/>
  <c r="F88" i="22"/>
  <c r="G88" i="22"/>
  <c r="F29" i="22"/>
  <c r="G29" i="22"/>
  <c r="F99" i="22"/>
  <c r="G99" i="22"/>
  <c r="F91" i="22"/>
  <c r="G91" i="22"/>
  <c r="F80" i="22"/>
  <c r="G80" i="22"/>
  <c r="F38" i="22"/>
  <c r="G38" i="22"/>
  <c r="F109" i="22"/>
  <c r="G109" i="22"/>
  <c r="F93" i="22"/>
  <c r="G93" i="22"/>
  <c r="F177" i="22"/>
  <c r="G177" i="22"/>
  <c r="F139" i="22"/>
  <c r="G139" i="22"/>
  <c r="F82" i="22"/>
  <c r="G82" i="22"/>
  <c r="F119" i="22"/>
  <c r="G119" i="22"/>
  <c r="F64" i="22"/>
  <c r="G64" i="22"/>
  <c r="F60" i="22"/>
  <c r="G60" i="22"/>
  <c r="F174" i="22"/>
  <c r="G174" i="22"/>
  <c r="F105" i="22"/>
  <c r="G105" i="22"/>
  <c r="F89" i="22"/>
  <c r="G89" i="22"/>
  <c r="F85" i="22"/>
  <c r="G85" i="22"/>
  <c r="F59" i="22"/>
  <c r="G59" i="22"/>
  <c r="F57" i="22"/>
  <c r="G57" i="22"/>
  <c r="F172" i="22"/>
  <c r="G172" i="22"/>
  <c r="F133" i="22"/>
  <c r="G133" i="22"/>
  <c r="F187" i="22"/>
  <c r="G187" i="22"/>
  <c r="F41" i="22"/>
  <c r="G41" i="22"/>
  <c r="F151" i="22"/>
  <c r="G151" i="22"/>
  <c r="F44" i="22"/>
  <c r="G44" i="22"/>
  <c r="F48" i="22"/>
  <c r="G48" i="22"/>
  <c r="F77" i="22"/>
  <c r="G77" i="22"/>
  <c r="F101" i="22"/>
  <c r="G101" i="22"/>
  <c r="F102" i="22"/>
  <c r="G102" i="22"/>
  <c r="F76" i="22"/>
  <c r="G76" i="22"/>
  <c r="F51" i="22"/>
  <c r="G51" i="22"/>
  <c r="F58" i="22"/>
  <c r="G58" i="22"/>
  <c r="F49" i="22"/>
  <c r="G49" i="22"/>
  <c r="F159" i="22"/>
  <c r="G159" i="22"/>
  <c r="F135" i="22"/>
  <c r="G135" i="22"/>
  <c r="F175" i="22"/>
  <c r="G175" i="22"/>
  <c r="F189" i="22"/>
  <c r="G189" i="22"/>
  <c r="F66" i="22"/>
  <c r="G66" i="22"/>
  <c r="F47" i="22"/>
  <c r="G47" i="22"/>
  <c r="F160" i="22"/>
  <c r="G160" i="22"/>
  <c r="F168" i="22"/>
  <c r="G168" i="22"/>
  <c r="F70" i="22"/>
  <c r="G70" i="22"/>
  <c r="F97" i="22"/>
  <c r="G97" i="22"/>
  <c r="F33" i="22"/>
  <c r="G33" i="22"/>
  <c r="F27" i="22"/>
  <c r="G27" i="22"/>
  <c r="F145" i="22"/>
  <c r="G145" i="22"/>
  <c r="F152" i="22"/>
  <c r="G152" i="22"/>
  <c r="F78" i="22"/>
  <c r="G78" i="22"/>
  <c r="F176" i="22"/>
  <c r="G176" i="22"/>
  <c r="F173" i="22"/>
  <c r="G173" i="22"/>
  <c r="F154" i="22"/>
  <c r="G154" i="22"/>
  <c r="F53" i="22"/>
  <c r="G53" i="22"/>
  <c r="F171" i="22"/>
  <c r="G171" i="22"/>
  <c r="F156" i="22"/>
  <c r="G156" i="22"/>
  <c r="F72" i="22"/>
  <c r="G72" i="22"/>
  <c r="F178" i="22"/>
  <c r="G178" i="22"/>
  <c r="F74" i="22"/>
  <c r="G74" i="22"/>
  <c r="F50" i="22"/>
  <c r="G50" i="22"/>
  <c r="F166" i="22"/>
  <c r="G166" i="22"/>
  <c r="F34" i="22"/>
  <c r="G34" i="22"/>
  <c r="F86" i="22"/>
  <c r="G86" i="22"/>
  <c r="F124" i="22"/>
  <c r="G124" i="22"/>
  <c r="F43" i="22"/>
  <c r="G43" i="22"/>
  <c r="F158" i="22"/>
  <c r="G158" i="22"/>
  <c r="F56" i="22"/>
  <c r="G56" i="22"/>
  <c r="F110" i="22"/>
  <c r="G110" i="22"/>
  <c r="F61" i="22"/>
  <c r="G61" i="22"/>
  <c r="F138" i="22"/>
  <c r="G138" i="22"/>
  <c r="F54" i="22"/>
  <c r="G54" i="22"/>
  <c r="F67" i="22"/>
  <c r="G67" i="22"/>
  <c r="F117" i="22"/>
  <c r="G117" i="22"/>
  <c r="F96" i="22"/>
  <c r="G96" i="22"/>
  <c r="F190" i="22"/>
  <c r="G190" i="22"/>
  <c r="F95" i="22"/>
  <c r="G95" i="22"/>
  <c r="F147" i="22"/>
  <c r="G147" i="22"/>
  <c r="F170" i="22"/>
  <c r="G170" i="22"/>
  <c r="F127" i="22"/>
  <c r="G127" i="22"/>
  <c r="F92" i="22"/>
  <c r="G92" i="22"/>
  <c r="F118" i="22"/>
  <c r="G118" i="22"/>
  <c r="F113" i="22"/>
  <c r="G113" i="22"/>
  <c r="F84" i="22"/>
  <c r="G84" i="22"/>
  <c r="F184" i="22"/>
  <c r="G184" i="22"/>
  <c r="F104" i="22"/>
  <c r="G104" i="22"/>
  <c r="F37" i="22"/>
  <c r="G37" i="22"/>
  <c r="F153" i="22"/>
  <c r="G153" i="22"/>
  <c r="F46" i="22"/>
  <c r="G46" i="22"/>
  <c r="F140" i="22"/>
  <c r="G140" i="22"/>
  <c r="F185" i="22"/>
  <c r="G185" i="22"/>
  <c r="F32" i="22"/>
  <c r="G32" i="22"/>
  <c r="F26" i="22"/>
  <c r="G26" i="22"/>
  <c r="F179" i="22"/>
  <c r="G179" i="22"/>
  <c r="F22" i="22"/>
  <c r="G22" i="22"/>
  <c r="G208" i="20"/>
  <c r="G209" i="20"/>
  <c r="G75" i="20"/>
  <c r="G138" i="20"/>
  <c r="G190" i="20"/>
  <c r="G67" i="20"/>
  <c r="G86" i="20"/>
  <c r="G129" i="20"/>
  <c r="G48" i="20"/>
  <c r="G105" i="20"/>
  <c r="G46" i="20"/>
  <c r="G132" i="20"/>
  <c r="G155" i="20"/>
  <c r="G35" i="20"/>
  <c r="G52" i="20"/>
  <c r="G188" i="20"/>
  <c r="G93" i="20"/>
  <c r="G100" i="20"/>
  <c r="G201" i="20"/>
  <c r="G79" i="20"/>
  <c r="G179" i="20"/>
  <c r="G119" i="20"/>
  <c r="G72" i="20"/>
  <c r="G170" i="20"/>
  <c r="G37" i="20"/>
  <c r="G98" i="20"/>
  <c r="G83" i="20"/>
  <c r="G51" i="20"/>
  <c r="G205" i="20"/>
  <c r="G116" i="20"/>
  <c r="G70" i="20"/>
  <c r="G50" i="20"/>
  <c r="G181" i="20"/>
  <c r="G78" i="20"/>
  <c r="G135" i="20"/>
  <c r="G199" i="20"/>
  <c r="G193" i="20"/>
  <c r="G66" i="20"/>
  <c r="G56" i="20"/>
  <c r="G122" i="20"/>
  <c r="G131" i="20"/>
  <c r="G189" i="20"/>
  <c r="G141" i="20"/>
  <c r="G126" i="20"/>
  <c r="G145" i="20"/>
  <c r="G187" i="20"/>
  <c r="G153" i="20"/>
  <c r="G185" i="20"/>
  <c r="G207" i="20"/>
  <c r="G38" i="20"/>
  <c r="G40" i="20"/>
  <c r="G42" i="20"/>
  <c r="G62" i="20"/>
  <c r="G106" i="20"/>
  <c r="G169" i="20"/>
  <c r="G45" i="20"/>
  <c r="G97" i="20"/>
  <c r="G180" i="20"/>
  <c r="G89" i="20"/>
  <c r="G58" i="20"/>
  <c r="G165" i="20"/>
  <c r="G113" i="20"/>
  <c r="G59" i="20"/>
  <c r="G57" i="20"/>
  <c r="G34" i="20"/>
  <c r="G196" i="20"/>
  <c r="G197" i="20"/>
  <c r="G112" i="20"/>
  <c r="G200" i="20"/>
  <c r="G54" i="20"/>
  <c r="G150" i="20"/>
  <c r="G160" i="20"/>
  <c r="G88" i="20"/>
  <c r="G36" i="20"/>
  <c r="G85" i="20"/>
  <c r="G136" i="20"/>
  <c r="G120" i="20"/>
  <c r="G95" i="20"/>
  <c r="G80" i="20"/>
  <c r="G115" i="20"/>
  <c r="G123" i="20"/>
  <c r="G151" i="20"/>
  <c r="G77" i="20"/>
  <c r="G96" i="20"/>
  <c r="G144" i="20"/>
  <c r="G111" i="20"/>
  <c r="G71" i="20"/>
  <c r="G154" i="20"/>
  <c r="G64" i="20"/>
  <c r="G162" i="20"/>
  <c r="G125" i="20"/>
  <c r="G173" i="20"/>
  <c r="G107" i="20"/>
  <c r="G157" i="20"/>
  <c r="G148" i="20"/>
  <c r="G39" i="20"/>
  <c r="G140" i="20"/>
  <c r="G41" i="20"/>
  <c r="G194" i="20"/>
  <c r="G184" i="20"/>
  <c r="G101" i="20"/>
  <c r="G118" i="20"/>
  <c r="G90" i="20"/>
  <c r="G143" i="20"/>
  <c r="G61" i="20"/>
  <c r="G163" i="20"/>
  <c r="G195" i="20"/>
  <c r="G92" i="20"/>
  <c r="G204" i="20"/>
  <c r="G146" i="20"/>
  <c r="G142" i="20"/>
  <c r="G68" i="20"/>
  <c r="G84" i="20"/>
  <c r="G60" i="20"/>
  <c r="G164" i="20"/>
  <c r="G55" i="20"/>
  <c r="G130" i="20"/>
  <c r="G91" i="20"/>
  <c r="G182" i="20"/>
  <c r="G192" i="20"/>
  <c r="G176" i="20"/>
  <c r="G63" i="20"/>
  <c r="G149" i="20"/>
  <c r="G134" i="20"/>
  <c r="G114" i="20"/>
  <c r="G161" i="20"/>
  <c r="G53" i="20"/>
  <c r="G43" i="20"/>
  <c r="G47" i="20"/>
  <c r="G191" i="20"/>
  <c r="G69" i="20"/>
  <c r="G133" i="20"/>
  <c r="G147" i="20"/>
  <c r="G183" i="20"/>
  <c r="G87" i="20"/>
  <c r="G81" i="20"/>
  <c r="G177" i="20"/>
  <c r="G156" i="20"/>
  <c r="G166" i="20"/>
  <c r="G103" i="20"/>
  <c r="G198" i="20"/>
  <c r="G203" i="20"/>
  <c r="G128" i="20"/>
  <c r="G108" i="20"/>
  <c r="G174" i="20"/>
  <c r="G167" i="20"/>
  <c r="G110" i="20"/>
  <c r="G206" i="20"/>
  <c r="G202" i="20"/>
  <c r="G104" i="20"/>
  <c r="G76" i="20"/>
  <c r="G127" i="20"/>
  <c r="G139" i="20"/>
  <c r="G117" i="20"/>
  <c r="F217" i="20"/>
  <c r="G152" i="20"/>
  <c r="G124" i="20"/>
  <c r="G74" i="20"/>
  <c r="G65" i="20"/>
  <c r="G49" i="20"/>
  <c r="G186" i="20"/>
  <c r="G137" i="20"/>
  <c r="G102" i="20"/>
  <c r="G94" i="20"/>
  <c r="G82" i="20"/>
  <c r="G44" i="20"/>
  <c r="G168" i="20"/>
  <c r="G109" i="20"/>
  <c r="G121" i="20"/>
  <c r="G158" i="20"/>
  <c r="G171" i="20"/>
  <c r="G175" i="20"/>
  <c r="G159" i="20"/>
  <c r="G172" i="20"/>
  <c r="G99" i="20"/>
  <c r="G73" i="20"/>
  <c r="G216" i="19"/>
  <c r="G217" i="19"/>
  <c r="G213" i="19"/>
  <c r="G93" i="19"/>
  <c r="G192" i="19"/>
  <c r="G137" i="19"/>
  <c r="G140" i="19"/>
  <c r="G174" i="19"/>
  <c r="G127" i="19"/>
  <c r="G100" i="19"/>
  <c r="G114" i="19"/>
  <c r="G195" i="19"/>
  <c r="G120" i="19"/>
  <c r="G84" i="19"/>
  <c r="G187" i="19"/>
  <c r="G181" i="19"/>
  <c r="G157" i="19"/>
  <c r="G61" i="19"/>
  <c r="G62" i="19"/>
  <c r="F225" i="19"/>
  <c r="G88" i="19"/>
  <c r="G99" i="19"/>
  <c r="G134" i="19"/>
  <c r="G200" i="19"/>
  <c r="G147" i="19"/>
  <c r="G197" i="19"/>
  <c r="G172" i="19"/>
  <c r="G65" i="19"/>
  <c r="G74" i="19"/>
  <c r="G184" i="19"/>
  <c r="G126" i="19"/>
  <c r="G105" i="19"/>
  <c r="G124" i="19"/>
  <c r="G104" i="19"/>
  <c r="G150" i="19"/>
  <c r="G44" i="19"/>
  <c r="G37" i="19"/>
  <c r="G125" i="19"/>
  <c r="G71" i="19"/>
  <c r="G32" i="19"/>
  <c r="G49" i="19"/>
  <c r="G148" i="19"/>
  <c r="G47" i="19"/>
  <c r="G144" i="19"/>
  <c r="G73" i="19"/>
  <c r="G48" i="19"/>
  <c r="G25" i="19"/>
  <c r="G80" i="19"/>
  <c r="G170" i="19"/>
  <c r="G97" i="19"/>
  <c r="G77" i="19"/>
  <c r="G214" i="19"/>
  <c r="G28" i="19"/>
  <c r="G83" i="19"/>
  <c r="G128" i="19"/>
  <c r="G199" i="19"/>
  <c r="G202" i="19"/>
  <c r="G36" i="19"/>
  <c r="G209" i="19"/>
  <c r="G179" i="19"/>
  <c r="G164" i="19"/>
  <c r="G112" i="19"/>
  <c r="G175" i="19"/>
  <c r="G27" i="19"/>
  <c r="G212" i="19"/>
  <c r="G162" i="19"/>
  <c r="G132" i="19"/>
  <c r="G102" i="19"/>
  <c r="G145" i="19"/>
  <c r="G54" i="19"/>
  <c r="G116" i="19"/>
  <c r="G119" i="19"/>
  <c r="G57" i="19"/>
  <c r="G115" i="19"/>
  <c r="G166" i="19"/>
  <c r="G26" i="19"/>
  <c r="G34" i="19"/>
  <c r="G52" i="19"/>
  <c r="G45" i="19"/>
  <c r="G171" i="19"/>
  <c r="G107" i="19"/>
  <c r="G129" i="19"/>
  <c r="G156" i="19"/>
  <c r="G139" i="19"/>
  <c r="G81" i="19"/>
  <c r="G59" i="19"/>
  <c r="G154" i="19"/>
  <c r="G111" i="19"/>
  <c r="G167" i="19"/>
  <c r="G122" i="19"/>
  <c r="G39" i="19"/>
  <c r="G206" i="19"/>
  <c r="G153" i="19"/>
  <c r="G194" i="19"/>
  <c r="G135" i="19"/>
  <c r="G68" i="19"/>
  <c r="G53" i="19"/>
  <c r="G189" i="19"/>
  <c r="G109" i="19"/>
  <c r="G41" i="19"/>
  <c r="G215" i="19"/>
  <c r="G198" i="19"/>
  <c r="G169" i="19"/>
  <c r="G155" i="19"/>
  <c r="G196" i="19"/>
  <c r="G103" i="19"/>
  <c r="G207" i="19"/>
  <c r="G33" i="19"/>
  <c r="G159" i="19"/>
  <c r="G176" i="19"/>
  <c r="G168" i="19"/>
  <c r="G78" i="19"/>
  <c r="G31" i="19"/>
  <c r="G51" i="19"/>
  <c r="G110" i="19"/>
  <c r="G185" i="19"/>
  <c r="G108" i="19"/>
  <c r="G131" i="19"/>
  <c r="G40" i="19"/>
  <c r="G118" i="19"/>
  <c r="G66" i="19"/>
  <c r="G180" i="19"/>
  <c r="G96" i="19"/>
  <c r="G136" i="19"/>
  <c r="G211" i="19"/>
  <c r="G50" i="19"/>
  <c r="G177" i="19"/>
  <c r="G146" i="19"/>
  <c r="G35" i="19"/>
  <c r="G63" i="19"/>
  <c r="G151" i="19"/>
  <c r="G182" i="19"/>
  <c r="G64" i="19"/>
  <c r="G205" i="19"/>
  <c r="G24" i="19"/>
  <c r="G149" i="19"/>
  <c r="G30" i="19"/>
  <c r="G158" i="19"/>
  <c r="G178" i="19"/>
  <c r="G143" i="19"/>
  <c r="G98" i="19"/>
  <c r="G69" i="19"/>
  <c r="G121" i="19"/>
  <c r="G133" i="19"/>
  <c r="G201" i="19"/>
  <c r="G165" i="19"/>
  <c r="G188" i="19"/>
  <c r="G42" i="19"/>
  <c r="G55" i="19"/>
  <c r="G91" i="19"/>
  <c r="G92" i="19"/>
  <c r="G60" i="19"/>
  <c r="G208" i="19"/>
  <c r="G89" i="19"/>
  <c r="G113" i="19"/>
  <c r="G75" i="19"/>
  <c r="G87" i="19"/>
  <c r="G138" i="19"/>
  <c r="G72" i="19"/>
  <c r="G95" i="19"/>
  <c r="G70" i="19"/>
  <c r="G191" i="19"/>
  <c r="G29" i="19"/>
  <c r="G22" i="19"/>
  <c r="G161" i="19"/>
  <c r="G160" i="19"/>
  <c r="G76" i="19"/>
  <c r="G204" i="19"/>
  <c r="G106" i="19"/>
  <c r="G46" i="19"/>
  <c r="G90" i="19"/>
  <c r="G56" i="19"/>
  <c r="G58" i="19"/>
  <c r="G86" i="19"/>
  <c r="G152" i="19"/>
  <c r="G183" i="19"/>
  <c r="G38" i="19"/>
  <c r="G117" i="19"/>
  <c r="G79" i="19"/>
  <c r="G94" i="19"/>
  <c r="G82" i="19"/>
  <c r="G85" i="19"/>
  <c r="G203" i="19"/>
  <c r="G210" i="19"/>
  <c r="G142" i="19"/>
  <c r="G141" i="19"/>
  <c r="G173" i="19"/>
  <c r="G43" i="19"/>
  <c r="G190" i="19"/>
  <c r="G67" i="19"/>
  <c r="G193" i="19"/>
  <c r="G123" i="19"/>
  <c r="G23" i="19"/>
  <c r="G130" i="19"/>
  <c r="G101" i="19"/>
  <c r="G163" i="19"/>
  <c r="G219" i="18"/>
  <c r="G220" i="18"/>
  <c r="G215" i="18"/>
  <c r="G31" i="18"/>
  <c r="G42" i="18"/>
  <c r="G37" i="18"/>
  <c r="G22" i="18"/>
  <c r="G90" i="18"/>
  <c r="G82" i="18"/>
  <c r="G30" i="18"/>
  <c r="G93" i="18"/>
  <c r="G55" i="18"/>
  <c r="G193" i="18"/>
  <c r="G208" i="18"/>
  <c r="G129" i="18"/>
  <c r="G143" i="18"/>
  <c r="G96" i="18"/>
  <c r="G52" i="18"/>
  <c r="G74" i="18"/>
  <c r="G99" i="18"/>
  <c r="G108" i="18"/>
  <c r="G153" i="18"/>
  <c r="G212" i="18"/>
  <c r="G71" i="18"/>
  <c r="G97" i="18"/>
  <c r="G196" i="18"/>
  <c r="G182" i="18"/>
  <c r="G62" i="18"/>
  <c r="G187" i="18"/>
  <c r="G202" i="18"/>
  <c r="G216" i="18"/>
  <c r="G144" i="18"/>
  <c r="G91" i="18"/>
  <c r="G171" i="18"/>
  <c r="G152" i="18"/>
  <c r="G25" i="18"/>
  <c r="G121" i="18"/>
  <c r="G122" i="18"/>
  <c r="G111" i="18"/>
  <c r="G120" i="18"/>
  <c r="G176" i="18"/>
  <c r="G63" i="18"/>
  <c r="G209" i="18"/>
  <c r="G125" i="18"/>
  <c r="G40" i="18"/>
  <c r="G192" i="18"/>
  <c r="G167" i="18"/>
  <c r="G123" i="18"/>
  <c r="G23" i="18"/>
  <c r="G102" i="18"/>
  <c r="G83" i="18"/>
  <c r="G106" i="18"/>
  <c r="G113" i="18"/>
  <c r="G174" i="18"/>
  <c r="G181" i="18"/>
  <c r="G95" i="18"/>
  <c r="G214" i="18"/>
  <c r="G68" i="18"/>
  <c r="G136" i="18"/>
  <c r="G112" i="18"/>
  <c r="G81" i="18"/>
  <c r="G145" i="18"/>
  <c r="G27" i="18"/>
  <c r="G204" i="18"/>
  <c r="G178" i="18"/>
  <c r="G88" i="18"/>
  <c r="G185" i="18"/>
  <c r="G154" i="18"/>
  <c r="G165" i="18"/>
  <c r="G39" i="18"/>
  <c r="G210" i="18"/>
  <c r="G51" i="18"/>
  <c r="G188" i="18"/>
  <c r="G114" i="18"/>
  <c r="G98" i="18"/>
  <c r="G64" i="18"/>
  <c r="G163" i="18"/>
  <c r="G205" i="18"/>
  <c r="G101" i="18"/>
  <c r="G79" i="18"/>
  <c r="G84" i="18"/>
  <c r="G206" i="18"/>
  <c r="G107" i="18"/>
  <c r="G100" i="18"/>
  <c r="G141" i="18"/>
  <c r="G156" i="18"/>
  <c r="G170" i="18"/>
  <c r="G146" i="18"/>
  <c r="G60" i="18"/>
  <c r="G169" i="18"/>
  <c r="G161" i="18"/>
  <c r="G43" i="18"/>
  <c r="G191" i="18"/>
  <c r="G162" i="18"/>
  <c r="G46" i="18"/>
  <c r="G116" i="18"/>
  <c r="G126" i="18"/>
  <c r="G38" i="18"/>
  <c r="G207" i="18"/>
  <c r="G70" i="18"/>
  <c r="G109" i="18"/>
  <c r="G66" i="18"/>
  <c r="G172" i="18"/>
  <c r="G190" i="18"/>
  <c r="G89" i="18"/>
  <c r="G180" i="18"/>
  <c r="G72" i="18"/>
  <c r="G77" i="18"/>
  <c r="G159" i="18"/>
  <c r="G158" i="18"/>
  <c r="G149" i="18"/>
  <c r="G135" i="18"/>
  <c r="G179" i="18"/>
  <c r="G33" i="18"/>
  <c r="G53" i="18"/>
  <c r="G73" i="18"/>
  <c r="G92" i="18"/>
  <c r="G44" i="18"/>
  <c r="G133" i="18"/>
  <c r="G194" i="18"/>
  <c r="G127" i="18"/>
  <c r="G105" i="18"/>
  <c r="G130" i="18"/>
  <c r="G124" i="18"/>
  <c r="G183" i="18"/>
  <c r="G137" i="18"/>
  <c r="G76" i="18"/>
  <c r="G75" i="18"/>
  <c r="G29" i="18"/>
  <c r="G199" i="18"/>
  <c r="G195" i="18"/>
  <c r="G54" i="18"/>
  <c r="G164" i="18"/>
  <c r="G131" i="18"/>
  <c r="G35" i="18"/>
  <c r="G184" i="18"/>
  <c r="G139" i="18"/>
  <c r="G168" i="18"/>
  <c r="G142" i="18"/>
  <c r="G197" i="18"/>
  <c r="G94" i="18"/>
  <c r="G65" i="18"/>
  <c r="G86" i="18"/>
  <c r="G119" i="18"/>
  <c r="G69" i="18"/>
  <c r="G87" i="18"/>
  <c r="G147" i="18"/>
  <c r="G217" i="18"/>
  <c r="G61" i="18"/>
  <c r="G173" i="18"/>
  <c r="G45" i="18"/>
  <c r="G157" i="18"/>
  <c r="G166" i="18"/>
  <c r="G78" i="18"/>
  <c r="G150" i="18"/>
  <c r="G67" i="18"/>
  <c r="G48" i="18"/>
  <c r="G110" i="18"/>
  <c r="G47" i="18"/>
  <c r="G117" i="18"/>
  <c r="G132" i="18"/>
  <c r="G148" i="18"/>
  <c r="G155" i="18"/>
  <c r="G85" i="18"/>
  <c r="G104" i="18"/>
  <c r="G41" i="18"/>
  <c r="G186" i="18"/>
  <c r="G24" i="18"/>
  <c r="G160" i="18"/>
  <c r="G213" i="18"/>
  <c r="G28" i="18"/>
  <c r="G118" i="18"/>
  <c r="G151" i="18"/>
  <c r="G128" i="18"/>
  <c r="G49" i="18"/>
  <c r="G80" i="18"/>
  <c r="G140" i="18"/>
  <c r="G198" i="18"/>
  <c r="G32" i="18"/>
  <c r="G58" i="18"/>
  <c r="G201" i="18"/>
  <c r="G138" i="18"/>
  <c r="G115" i="18"/>
  <c r="G211" i="18"/>
  <c r="G34" i="18"/>
  <c r="G103" i="18"/>
  <c r="G200" i="18"/>
  <c r="G175" i="18"/>
  <c r="G56" i="18"/>
  <c r="G36" i="18"/>
  <c r="G26" i="18"/>
  <c r="G50" i="18"/>
  <c r="G57" i="18"/>
  <c r="G59" i="18"/>
  <c r="G177" i="18"/>
  <c r="G203" i="18"/>
  <c r="G134" i="18"/>
  <c r="G218" i="18"/>
  <c r="G86" i="16"/>
  <c r="G78" i="16"/>
  <c r="G70" i="16"/>
  <c r="G77" i="16"/>
  <c r="G75" i="16"/>
  <c r="G84" i="16"/>
  <c r="G76" i="16"/>
  <c r="G68" i="16"/>
  <c r="G79" i="16"/>
  <c r="G69" i="16"/>
  <c r="G82" i="16"/>
  <c r="G74" i="16"/>
  <c r="G81" i="16"/>
  <c r="G71" i="16"/>
  <c r="G83" i="16"/>
  <c r="G85" i="16"/>
  <c r="G80" i="16"/>
  <c r="G72" i="16"/>
  <c r="G73" i="16"/>
  <c r="G130" i="14"/>
  <c r="G145" i="14"/>
  <c r="G125" i="14"/>
  <c r="G155" i="14"/>
  <c r="G102" i="14"/>
  <c r="G113" i="14"/>
  <c r="G24" i="14"/>
  <c r="G72" i="14"/>
  <c r="G174" i="14"/>
  <c r="G22" i="14"/>
  <c r="G73" i="14"/>
  <c r="G127" i="14"/>
  <c r="G116" i="14"/>
  <c r="G128" i="14"/>
  <c r="G123" i="14"/>
  <c r="G90" i="14"/>
  <c r="G45" i="14"/>
  <c r="G118" i="14"/>
  <c r="G126" i="14"/>
  <c r="G96" i="14"/>
  <c r="G103" i="14"/>
  <c r="G74" i="14"/>
  <c r="G30" i="14"/>
  <c r="G148" i="14"/>
  <c r="G177" i="14"/>
  <c r="G146" i="14"/>
  <c r="G168" i="14"/>
  <c r="G89" i="14"/>
  <c r="G109" i="14"/>
  <c r="G33" i="14"/>
  <c r="G158" i="14"/>
  <c r="G129" i="14"/>
  <c r="G81" i="14"/>
  <c r="G32" i="14"/>
  <c r="G85" i="14"/>
  <c r="G170" i="14"/>
  <c r="G136" i="14"/>
  <c r="G150" i="14"/>
  <c r="G122" i="14"/>
  <c r="G108" i="14"/>
  <c r="G86" i="14"/>
  <c r="G151" i="14"/>
  <c r="G175" i="14"/>
  <c r="G162" i="14"/>
  <c r="G184" i="14"/>
  <c r="G66" i="14"/>
  <c r="G91" i="14"/>
  <c r="G106" i="14"/>
  <c r="G124" i="14"/>
  <c r="G51" i="14"/>
  <c r="G46" i="14"/>
  <c r="G79" i="14"/>
  <c r="G141" i="14"/>
  <c r="G135" i="14"/>
  <c r="G27" i="14"/>
  <c r="G181" i="14"/>
  <c r="G176" i="14"/>
  <c r="G94" i="14"/>
  <c r="G71" i="14"/>
  <c r="G166" i="14"/>
  <c r="G67" i="14"/>
  <c r="G138" i="14"/>
  <c r="G58" i="14"/>
  <c r="G49" i="14"/>
  <c r="G137" i="14"/>
  <c r="G99" i="14"/>
  <c r="G169" i="14"/>
  <c r="G133" i="14"/>
  <c r="G152" i="14"/>
  <c r="G59" i="14"/>
  <c r="G77" i="14"/>
  <c r="G35" i="14"/>
  <c r="G159" i="14"/>
  <c r="G132" i="14"/>
  <c r="G54" i="14"/>
  <c r="G147" i="14"/>
  <c r="G114" i="14"/>
  <c r="G82" i="14"/>
  <c r="G92" i="14"/>
  <c r="G65" i="14"/>
  <c r="G112" i="14"/>
  <c r="G100" i="14"/>
  <c r="G160" i="14"/>
  <c r="G70" i="14"/>
  <c r="G41" i="14"/>
  <c r="G29" i="14"/>
  <c r="G134" i="14"/>
  <c r="G62" i="14"/>
  <c r="G140" i="14"/>
  <c r="G172" i="14"/>
  <c r="G180" i="14"/>
  <c r="G40" i="14"/>
  <c r="G55" i="14"/>
  <c r="G119" i="14"/>
  <c r="G38" i="14"/>
  <c r="G144" i="14"/>
  <c r="G163" i="14"/>
  <c r="G165" i="14"/>
  <c r="G164" i="14"/>
  <c r="G68" i="14"/>
  <c r="G39" i="14"/>
  <c r="G183" i="14"/>
  <c r="G28" i="14"/>
  <c r="G44" i="14"/>
  <c r="G69" i="14"/>
  <c r="G117" i="14"/>
  <c r="G76" i="14"/>
  <c r="G50" i="14"/>
  <c r="G61" i="14"/>
  <c r="G93" i="14"/>
  <c r="G36" i="14"/>
  <c r="G80" i="14"/>
  <c r="G111" i="14"/>
  <c r="G167" i="14"/>
  <c r="G178" i="14"/>
  <c r="G56" i="14"/>
  <c r="G185" i="14"/>
  <c r="G115" i="14"/>
  <c r="G171" i="14"/>
  <c r="G31" i="14"/>
  <c r="G47" i="14"/>
  <c r="G23" i="14"/>
  <c r="G34" i="14"/>
  <c r="G143" i="14"/>
  <c r="G107" i="14"/>
  <c r="G182" i="14"/>
  <c r="G88" i="14"/>
  <c r="G52" i="14"/>
  <c r="G105" i="14"/>
  <c r="G173" i="14"/>
  <c r="G120" i="14"/>
  <c r="G104" i="14"/>
  <c r="G139" i="14"/>
  <c r="G84" i="14"/>
  <c r="G110" i="14"/>
  <c r="G78" i="14"/>
  <c r="G179" i="14"/>
  <c r="G83" i="14"/>
  <c r="G121" i="14"/>
  <c r="G64" i="14"/>
  <c r="G161" i="14"/>
  <c r="G26" i="14"/>
  <c r="G101" i="14"/>
  <c r="G57" i="14"/>
  <c r="G53" i="14"/>
  <c r="G97" i="14"/>
  <c r="G131" i="14"/>
  <c r="G48" i="14"/>
  <c r="G42" i="14"/>
  <c r="G157" i="14"/>
  <c r="G60" i="14"/>
  <c r="G87" i="14"/>
  <c r="G142" i="14"/>
  <c r="G95" i="14"/>
  <c r="G75" i="14"/>
  <c r="G25" i="14"/>
  <c r="G154" i="14"/>
  <c r="G156" i="14"/>
  <c r="G153" i="14"/>
  <c r="G37" i="14"/>
  <c r="G43" i="14"/>
  <c r="G63" i="14"/>
  <c r="G98" i="14"/>
  <c r="G149" i="14"/>
  <c r="G41" i="13"/>
  <c r="G23" i="13"/>
  <c r="G29" i="13"/>
  <c r="G30" i="13"/>
  <c r="G53" i="13"/>
  <c r="G47" i="13"/>
  <c r="G63" i="13"/>
  <c r="G24" i="13"/>
  <c r="G35" i="13"/>
  <c r="G61" i="13"/>
  <c r="G52" i="13"/>
  <c r="G56" i="13"/>
  <c r="G39" i="13"/>
  <c r="G57" i="13"/>
  <c r="G36" i="13"/>
  <c r="G58" i="13"/>
  <c r="G40" i="13"/>
  <c r="G43" i="13"/>
  <c r="G45" i="13"/>
  <c r="G33" i="13"/>
  <c r="G37" i="13"/>
  <c r="G27" i="13"/>
  <c r="G50" i="13"/>
  <c r="G34" i="13"/>
  <c r="G59" i="13"/>
  <c r="G42" i="13"/>
  <c r="G48" i="13"/>
  <c r="G62" i="13"/>
  <c r="G46" i="13"/>
  <c r="G51" i="13"/>
  <c r="G64" i="13"/>
  <c r="G44" i="13"/>
  <c r="G25" i="13"/>
  <c r="G28" i="13"/>
  <c r="G55" i="13"/>
  <c r="G49" i="13"/>
  <c r="G38" i="13"/>
  <c r="G32" i="13"/>
  <c r="G65" i="13"/>
  <c r="G26" i="13"/>
  <c r="G22" i="13"/>
  <c r="G54" i="13"/>
  <c r="G60" i="13"/>
  <c r="G31" i="13"/>
  <c r="G316" i="12"/>
  <c r="G317" i="12"/>
  <c r="G142" i="12"/>
  <c r="G31" i="12"/>
  <c r="G277" i="12"/>
  <c r="G282" i="12"/>
  <c r="G237" i="12"/>
  <c r="G278" i="12"/>
  <c r="G124" i="12"/>
  <c r="G111" i="12"/>
  <c r="G168" i="12"/>
  <c r="G303" i="12"/>
  <c r="G180" i="12"/>
  <c r="G305" i="12"/>
  <c r="G156" i="12"/>
  <c r="G57" i="12"/>
  <c r="G45" i="12"/>
  <c r="G144" i="12"/>
  <c r="G106" i="12"/>
  <c r="G123" i="12"/>
  <c r="G112" i="12"/>
  <c r="G173" i="12"/>
  <c r="G256" i="12"/>
  <c r="G250" i="12"/>
  <c r="G301" i="12"/>
  <c r="G103" i="12"/>
  <c r="G298" i="12"/>
  <c r="G225" i="12"/>
  <c r="G199" i="12"/>
  <c r="G263" i="12"/>
  <c r="G23" i="12"/>
  <c r="G69" i="12"/>
  <c r="G290" i="12"/>
  <c r="G283" i="12"/>
  <c r="G128" i="12"/>
  <c r="G223" i="12"/>
  <c r="G117" i="12"/>
  <c r="G155" i="12"/>
  <c r="G158" i="12"/>
  <c r="G30" i="12"/>
  <c r="G96" i="12"/>
  <c r="G210" i="12"/>
  <c r="G113" i="12"/>
  <c r="G273" i="12"/>
  <c r="G93" i="12"/>
  <c r="G284" i="12"/>
  <c r="G191" i="12"/>
  <c r="G266" i="12"/>
  <c r="G287" i="12"/>
  <c r="G214" i="12"/>
  <c r="G230" i="12"/>
  <c r="G133" i="12"/>
  <c r="G178" i="12"/>
  <c r="G184" i="12"/>
  <c r="G47" i="12"/>
  <c r="G176" i="12"/>
  <c r="G196" i="12"/>
  <c r="G261" i="12"/>
  <c r="G122" i="12"/>
  <c r="G118" i="12"/>
  <c r="G300" i="12"/>
  <c r="G165" i="12"/>
  <c r="G153" i="12"/>
  <c r="G239" i="12"/>
  <c r="G62" i="12"/>
  <c r="G90" i="12"/>
  <c r="G226" i="12"/>
  <c r="G302" i="12"/>
  <c r="G217" i="12"/>
  <c r="G258" i="12"/>
  <c r="G138" i="12"/>
  <c r="G139" i="12"/>
  <c r="G70" i="12"/>
  <c r="G95" i="12"/>
  <c r="G44" i="12"/>
  <c r="G201" i="12"/>
  <c r="G35" i="12"/>
  <c r="G248" i="12"/>
  <c r="G163" i="12"/>
  <c r="G267" i="12"/>
  <c r="G48" i="12"/>
  <c r="G204" i="12"/>
  <c r="G174" i="12"/>
  <c r="G80" i="12"/>
  <c r="G255" i="12"/>
  <c r="G25" i="12"/>
  <c r="G288" i="12"/>
  <c r="G102" i="12"/>
  <c r="G149" i="12"/>
  <c r="G63" i="12"/>
  <c r="G264" i="12"/>
  <c r="G32" i="12"/>
  <c r="G172" i="12"/>
  <c r="G71" i="12"/>
  <c r="G164" i="12"/>
  <c r="G147" i="12"/>
  <c r="G64" i="12"/>
  <c r="G119" i="12"/>
  <c r="G177" i="12"/>
  <c r="G91" i="12"/>
  <c r="G304" i="12"/>
  <c r="G88" i="12"/>
  <c r="G270" i="12"/>
  <c r="G205" i="12"/>
  <c r="G257" i="12"/>
  <c r="G98" i="12"/>
  <c r="G253" i="12"/>
  <c r="G53" i="12"/>
  <c r="G246" i="12"/>
  <c r="G251" i="12"/>
  <c r="G218" i="12"/>
  <c r="G268" i="12"/>
  <c r="G115" i="12"/>
  <c r="G137" i="12"/>
  <c r="G227" i="12"/>
  <c r="G134" i="12"/>
  <c r="G135" i="12"/>
  <c r="G242" i="12"/>
  <c r="G107" i="12"/>
  <c r="G78" i="12"/>
  <c r="G100" i="12"/>
  <c r="G221" i="12"/>
  <c r="G310" i="12"/>
  <c r="G150" i="12"/>
  <c r="G22" i="12"/>
  <c r="G154" i="12"/>
  <c r="G126" i="12"/>
  <c r="G132" i="12"/>
  <c r="G121" i="12"/>
  <c r="G207" i="12"/>
  <c r="G59" i="12"/>
  <c r="G54" i="12"/>
  <c r="G209" i="12"/>
  <c r="G58" i="12"/>
  <c r="G189" i="12"/>
  <c r="G299" i="12"/>
  <c r="G231" i="12"/>
  <c r="G97" i="12"/>
  <c r="G157" i="12"/>
  <c r="G83" i="12"/>
  <c r="G212" i="12"/>
  <c r="G169" i="12"/>
  <c r="G262" i="12"/>
  <c r="G86" i="12"/>
  <c r="G240" i="12"/>
  <c r="G238" i="12"/>
  <c r="G220" i="12"/>
  <c r="G33" i="12"/>
  <c r="G312" i="12"/>
  <c r="G259" i="12"/>
  <c r="G41" i="12"/>
  <c r="F325" i="12"/>
  <c r="G162" i="12"/>
  <c r="G143" i="12"/>
  <c r="G67" i="12"/>
  <c r="G285" i="12"/>
  <c r="G306" i="12"/>
  <c r="G215" i="12"/>
  <c r="G166" i="12"/>
  <c r="G186" i="12"/>
  <c r="G236" i="12"/>
  <c r="G198" i="12"/>
  <c r="G110" i="12"/>
  <c r="G105" i="12"/>
  <c r="G295" i="12"/>
  <c r="G89" i="12"/>
  <c r="G192" i="12"/>
  <c r="G243" i="12"/>
  <c r="G161" i="12"/>
  <c r="G145" i="12"/>
  <c r="G27" i="12"/>
  <c r="G275" i="12"/>
  <c r="G216" i="12"/>
  <c r="G79" i="12"/>
  <c r="G36" i="12"/>
  <c r="G249" i="12"/>
  <c r="G197" i="12"/>
  <c r="G141" i="12"/>
  <c r="G234" i="12"/>
  <c r="G307" i="12"/>
  <c r="G159" i="12"/>
  <c r="G75" i="12"/>
  <c r="G170" i="12"/>
  <c r="G296" i="12"/>
  <c r="G235" i="12"/>
  <c r="G29" i="12"/>
  <c r="G26" i="12"/>
  <c r="G224" i="12"/>
  <c r="G24" i="12"/>
  <c r="G272" i="12"/>
  <c r="G130" i="12"/>
  <c r="G244" i="12"/>
  <c r="G254" i="12"/>
  <c r="G291" i="12"/>
  <c r="G308" i="12"/>
  <c r="G50" i="12"/>
  <c r="G167" i="12"/>
  <c r="G206" i="12"/>
  <c r="G193" i="12"/>
  <c r="G81" i="12"/>
  <c r="G82" i="12"/>
  <c r="G187" i="12"/>
  <c r="G85" i="12"/>
  <c r="G241" i="12"/>
  <c r="G68" i="12"/>
  <c r="G274" i="12"/>
  <c r="G46" i="12"/>
  <c r="G219" i="12"/>
  <c r="G200" i="12"/>
  <c r="G213" i="12"/>
  <c r="G74" i="12"/>
  <c r="G293" i="12"/>
  <c r="G183" i="12"/>
  <c r="G294" i="12"/>
  <c r="G77" i="12"/>
  <c r="G292" i="12"/>
  <c r="G37" i="12"/>
  <c r="G228" i="12"/>
  <c r="G94" i="12"/>
  <c r="G92" i="12"/>
  <c r="G43" i="12"/>
  <c r="G315" i="12"/>
  <c r="G87" i="12"/>
  <c r="G61" i="12"/>
  <c r="G55" i="12"/>
  <c r="G38" i="12"/>
  <c r="G194" i="12"/>
  <c r="G84" i="12"/>
  <c r="G65" i="12"/>
  <c r="G311" i="12"/>
  <c r="G271" i="12"/>
  <c r="G52" i="12"/>
  <c r="G108" i="12"/>
  <c r="G289" i="12"/>
  <c r="G245" i="12"/>
  <c r="G279" i="12"/>
  <c r="G42" i="12"/>
  <c r="G211" i="12"/>
  <c r="G127" i="12"/>
  <c r="G40" i="12"/>
  <c r="G185" i="12"/>
  <c r="G73" i="12"/>
  <c r="G175" i="12"/>
  <c r="G49" i="12"/>
  <c r="G195" i="12"/>
  <c r="G39" i="12"/>
  <c r="G297" i="12"/>
  <c r="G125" i="12"/>
  <c r="G34" i="12"/>
  <c r="G309" i="12"/>
  <c r="G222" i="12"/>
  <c r="G190" i="12"/>
  <c r="G76" i="12"/>
  <c r="G280" i="12"/>
  <c r="G120" i="12"/>
  <c r="G151" i="12"/>
  <c r="G247" i="12"/>
  <c r="G56" i="12"/>
  <c r="G140" i="12"/>
  <c r="G233" i="12"/>
  <c r="G232" i="12"/>
  <c r="G116" i="12"/>
  <c r="G51" i="12"/>
  <c r="G136" i="12"/>
  <c r="G203" i="12"/>
  <c r="G101" i="12"/>
  <c r="G99" i="12"/>
  <c r="G109" i="12"/>
  <c r="G171" i="12"/>
  <c r="G129" i="12"/>
  <c r="G269" i="12"/>
  <c r="G181" i="12"/>
  <c r="G188" i="12"/>
  <c r="G182" i="12"/>
  <c r="G160" i="12"/>
  <c r="G114" i="12"/>
  <c r="G60" i="12"/>
  <c r="G202" i="12"/>
  <c r="G313" i="12"/>
  <c r="G252" i="12"/>
  <c r="G229" i="12"/>
  <c r="G281" i="12"/>
  <c r="G28" i="12"/>
  <c r="G148" i="12"/>
  <c r="G72" i="12"/>
  <c r="G265" i="12"/>
  <c r="G104" i="12"/>
  <c r="G152" i="12"/>
  <c r="G179" i="12"/>
  <c r="G66" i="12"/>
  <c r="G260" i="12"/>
  <c r="G276" i="12"/>
  <c r="G131" i="12"/>
  <c r="G208" i="12"/>
  <c r="G146" i="12"/>
  <c r="G314" i="12"/>
  <c r="F236" i="11"/>
  <c r="G236" i="11"/>
  <c r="G26" i="11"/>
  <c r="F240" i="11"/>
  <c r="G240" i="11"/>
  <c r="F92" i="11"/>
  <c r="G92" i="11"/>
  <c r="F58" i="11"/>
  <c r="G58" i="11"/>
  <c r="F257" i="11"/>
  <c r="G257" i="11"/>
  <c r="F116" i="11"/>
  <c r="G116" i="11"/>
  <c r="F70" i="11"/>
  <c r="G70" i="11"/>
  <c r="F93" i="11"/>
  <c r="G93" i="11"/>
  <c r="F118" i="11"/>
  <c r="G118" i="11"/>
  <c r="F202" i="11"/>
  <c r="G202" i="11"/>
  <c r="G38" i="11"/>
  <c r="F74" i="11"/>
  <c r="G74" i="11"/>
  <c r="F238" i="11"/>
  <c r="G238" i="11"/>
  <c r="F67" i="11"/>
  <c r="G67" i="11"/>
  <c r="F156" i="11"/>
  <c r="G156" i="11"/>
  <c r="F167" i="11"/>
  <c r="G167" i="11"/>
  <c r="F131" i="11"/>
  <c r="G131" i="11"/>
  <c r="F201" i="11"/>
  <c r="G201" i="11"/>
  <c r="F217" i="11"/>
  <c r="G217" i="11"/>
  <c r="F245" i="11"/>
  <c r="G245" i="11"/>
  <c r="F214" i="11"/>
  <c r="G214" i="11"/>
  <c r="G36" i="11"/>
  <c r="F117" i="11"/>
  <c r="G117" i="11"/>
  <c r="F173" i="11"/>
  <c r="G173" i="11"/>
  <c r="F193" i="11"/>
  <c r="G193" i="11"/>
  <c r="F197" i="11"/>
  <c r="G197" i="11"/>
  <c r="F103" i="11"/>
  <c r="G103" i="11"/>
  <c r="F229" i="11"/>
  <c r="G229" i="11"/>
  <c r="F235" i="11"/>
  <c r="G235" i="11"/>
  <c r="F199" i="11"/>
  <c r="G199" i="11"/>
  <c r="G31" i="11"/>
  <c r="F176" i="11"/>
  <c r="G176" i="11"/>
  <c r="G28" i="11"/>
  <c r="F53" i="11"/>
  <c r="G53" i="11"/>
  <c r="F213" i="11"/>
  <c r="G213" i="11"/>
  <c r="F114" i="11"/>
  <c r="G114" i="11"/>
  <c r="F83" i="11"/>
  <c r="G83" i="11"/>
  <c r="F221" i="11"/>
  <c r="G221" i="11"/>
  <c r="F125" i="11"/>
  <c r="G125" i="11"/>
  <c r="F59" i="11"/>
  <c r="G59" i="11"/>
  <c r="F171" i="11"/>
  <c r="G171" i="11"/>
  <c r="F227" i="11"/>
  <c r="G227" i="11"/>
  <c r="F195" i="11"/>
  <c r="G195" i="11"/>
  <c r="F48" i="11"/>
  <c r="G48" i="11"/>
  <c r="F174" i="11"/>
  <c r="G174" i="11"/>
  <c r="F96" i="11"/>
  <c r="G96" i="11"/>
  <c r="F225" i="11"/>
  <c r="G225" i="11"/>
  <c r="G39" i="11"/>
  <c r="F177" i="11"/>
  <c r="G177" i="11"/>
  <c r="F123" i="11"/>
  <c r="G123" i="11"/>
  <c r="F75" i="11"/>
  <c r="G75" i="11"/>
  <c r="F77" i="11"/>
  <c r="F205" i="11"/>
  <c r="G205" i="11"/>
  <c r="F133" i="11"/>
  <c r="G133" i="11"/>
  <c r="F239" i="11"/>
  <c r="G239" i="11"/>
  <c r="F78" i="11"/>
  <c r="G78" i="11"/>
  <c r="F251" i="11"/>
  <c r="G251" i="11"/>
  <c r="F122" i="11"/>
  <c r="G122" i="11"/>
  <c r="F109" i="11"/>
  <c r="G109" i="11"/>
  <c r="F98" i="11"/>
  <c r="G98" i="11"/>
  <c r="F55" i="11"/>
  <c r="G55" i="11"/>
  <c r="F196" i="11"/>
  <c r="G196" i="11"/>
  <c r="F61" i="11"/>
  <c r="G61" i="11"/>
  <c r="F66" i="11"/>
  <c r="G66" i="11"/>
  <c r="F144" i="11"/>
  <c r="G144" i="11"/>
  <c r="F145" i="11"/>
  <c r="G145" i="11"/>
  <c r="F162" i="11"/>
  <c r="G162" i="11"/>
  <c r="F242" i="11"/>
  <c r="G242" i="11"/>
  <c r="F181" i="11"/>
  <c r="G181" i="11"/>
  <c r="F132" i="11"/>
  <c r="G132" i="11"/>
  <c r="F188" i="11"/>
  <c r="G188" i="11"/>
  <c r="F136" i="11"/>
  <c r="G136" i="11"/>
  <c r="F113" i="11"/>
  <c r="G113" i="11"/>
  <c r="F63" i="11"/>
  <c r="G63" i="11"/>
  <c r="F50" i="11"/>
  <c r="G50" i="11"/>
  <c r="F86" i="11"/>
  <c r="G86" i="11"/>
  <c r="F129" i="11"/>
  <c r="G129" i="11"/>
  <c r="F255" i="11"/>
  <c r="G255" i="11"/>
  <c r="F212" i="11"/>
  <c r="G212" i="11"/>
  <c r="F79" i="11"/>
  <c r="G79" i="11"/>
  <c r="F69" i="11"/>
  <c r="G69" i="11"/>
  <c r="F157" i="11"/>
  <c r="G157" i="11"/>
  <c r="F155" i="11"/>
  <c r="G155" i="11"/>
  <c r="F71" i="11"/>
  <c r="G71" i="11"/>
  <c r="G33" i="11"/>
  <c r="F256" i="11"/>
  <c r="G256" i="11"/>
  <c r="F85" i="11"/>
  <c r="G85" i="11"/>
  <c r="F87" i="11"/>
  <c r="G87" i="11"/>
  <c r="F261" i="11"/>
  <c r="G261" i="11"/>
  <c r="F198" i="11"/>
  <c r="G198" i="11"/>
  <c r="F218" i="11"/>
  <c r="G218" i="11"/>
  <c r="F100" i="11"/>
  <c r="G100" i="11"/>
  <c r="G42" i="11"/>
  <c r="F115" i="11"/>
  <c r="G115" i="11"/>
  <c r="F210" i="11"/>
  <c r="G210" i="11"/>
  <c r="F135" i="11"/>
  <c r="G135" i="11"/>
  <c r="F119" i="11"/>
  <c r="G119" i="11"/>
  <c r="F170" i="11"/>
  <c r="G170" i="11"/>
  <c r="G27" i="11"/>
  <c r="F208" i="11"/>
  <c r="G208" i="11"/>
  <c r="F104" i="11"/>
  <c r="G104" i="11"/>
  <c r="F252" i="11"/>
  <c r="G252" i="11"/>
  <c r="F244" i="11"/>
  <c r="G244" i="11"/>
  <c r="F207" i="11"/>
  <c r="G207" i="11"/>
  <c r="F178" i="11"/>
  <c r="G178" i="11"/>
  <c r="F94" i="11"/>
  <c r="G94" i="11"/>
  <c r="F91" i="11"/>
  <c r="G91" i="11"/>
  <c r="G23" i="11"/>
  <c r="F161" i="11"/>
  <c r="G161" i="11"/>
  <c r="F137" i="11"/>
  <c r="G137" i="11"/>
  <c r="F204" i="11"/>
  <c r="G204" i="11"/>
  <c r="G41" i="11"/>
  <c r="F220" i="11"/>
  <c r="G220" i="11"/>
  <c r="F160" i="11"/>
  <c r="G160" i="11"/>
  <c r="F151" i="11"/>
  <c r="G151" i="11"/>
  <c r="F56" i="11"/>
  <c r="G56" i="11"/>
  <c r="F153" i="11"/>
  <c r="G153" i="11"/>
  <c r="F258" i="11"/>
  <c r="G258" i="11"/>
  <c r="F64" i="11"/>
  <c r="G64" i="11"/>
  <c r="F65" i="11"/>
  <c r="G65" i="11"/>
  <c r="F191" i="11"/>
  <c r="G191" i="11"/>
  <c r="G32" i="11"/>
  <c r="F142" i="11"/>
  <c r="G142" i="11"/>
  <c r="F223" i="11"/>
  <c r="G223" i="11"/>
  <c r="F183" i="11"/>
  <c r="G183" i="11"/>
  <c r="F73" i="11"/>
  <c r="G73" i="11"/>
  <c r="F180" i="11"/>
  <c r="G180" i="11"/>
  <c r="F140" i="11"/>
  <c r="G140" i="11"/>
  <c r="G30" i="11"/>
  <c r="G35" i="11"/>
  <c r="F146" i="11"/>
  <c r="G146" i="11"/>
  <c r="F101" i="11"/>
  <c r="G101" i="11"/>
  <c r="F57" i="11"/>
  <c r="G57" i="11"/>
  <c r="F192" i="11"/>
  <c r="G192" i="11"/>
  <c r="F110" i="11"/>
  <c r="G110" i="11"/>
  <c r="F127" i="11"/>
  <c r="G127" i="11"/>
  <c r="F148" i="11"/>
  <c r="G148" i="11"/>
  <c r="F182" i="11"/>
  <c r="G182" i="11"/>
  <c r="F159" i="11"/>
  <c r="G159" i="11"/>
  <c r="F187" i="11"/>
  <c r="G187" i="11"/>
  <c r="F189" i="11"/>
  <c r="G189" i="11"/>
  <c r="F231" i="11"/>
  <c r="G231" i="11"/>
  <c r="F194" i="11"/>
  <c r="G194" i="11"/>
  <c r="F130" i="11"/>
  <c r="G130" i="11"/>
  <c r="G34" i="11"/>
  <c r="F219" i="11"/>
  <c r="G219" i="11"/>
  <c r="G25" i="11"/>
  <c r="F248" i="11"/>
  <c r="G248" i="11"/>
  <c r="F233" i="11"/>
  <c r="G233" i="11"/>
  <c r="F254" i="11"/>
  <c r="G254" i="11"/>
  <c r="F246" i="11"/>
  <c r="G246" i="11"/>
  <c r="F234" i="11"/>
  <c r="G234" i="11"/>
  <c r="F120" i="11"/>
  <c r="G120" i="11"/>
  <c r="F232" i="11"/>
  <c r="G232" i="11"/>
  <c r="F139" i="11"/>
  <c r="G139" i="11"/>
  <c r="G29" i="11"/>
  <c r="F44" i="11"/>
  <c r="G44" i="11"/>
  <c r="F97" i="11"/>
  <c r="G97" i="11"/>
  <c r="F209" i="11"/>
  <c r="G209" i="11"/>
  <c r="F243" i="11"/>
  <c r="G243" i="11"/>
  <c r="F249" i="11"/>
  <c r="G249" i="11"/>
  <c r="F51" i="11"/>
  <c r="G51" i="11"/>
  <c r="F165" i="11"/>
  <c r="G165" i="11"/>
  <c r="F106" i="11"/>
  <c r="G106" i="11"/>
  <c r="F186" i="11"/>
  <c r="G186" i="11"/>
  <c r="F259" i="11"/>
  <c r="G259" i="11"/>
  <c r="F49" i="11"/>
  <c r="G49" i="11"/>
  <c r="F224" i="11"/>
  <c r="G224" i="11"/>
  <c r="F179" i="11"/>
  <c r="G179" i="11"/>
  <c r="F215" i="11"/>
  <c r="G215" i="11"/>
  <c r="F211" i="11"/>
  <c r="G211" i="11"/>
  <c r="F169" i="11"/>
  <c r="G169" i="11"/>
  <c r="F112" i="11"/>
  <c r="G112" i="11"/>
  <c r="G40" i="11"/>
  <c r="F185" i="11"/>
  <c r="G185" i="11"/>
  <c r="F143" i="11"/>
  <c r="G143" i="11"/>
  <c r="F111" i="11"/>
  <c r="G111" i="11"/>
  <c r="F152" i="11"/>
  <c r="G152" i="11"/>
  <c r="F230" i="11"/>
  <c r="G230" i="11"/>
  <c r="F72" i="11"/>
  <c r="G72" i="11"/>
  <c r="F247" i="11"/>
  <c r="G247" i="11"/>
  <c r="F95" i="11"/>
  <c r="G95" i="11"/>
  <c r="F190" i="11"/>
  <c r="G190" i="11"/>
  <c r="F52" i="11"/>
  <c r="G52" i="11"/>
  <c r="F128" i="11"/>
  <c r="G128" i="11"/>
  <c r="F226" i="11"/>
  <c r="G226" i="11"/>
  <c r="F222" i="11"/>
  <c r="G222" i="11"/>
  <c r="F206" i="11"/>
  <c r="G206" i="11"/>
  <c r="G22" i="11"/>
  <c r="G37" i="11"/>
  <c r="F228" i="11"/>
  <c r="G228" i="11"/>
  <c r="F262" i="11"/>
  <c r="G262" i="11"/>
  <c r="F250" i="11"/>
  <c r="G250" i="11"/>
  <c r="F82" i="11"/>
  <c r="G82" i="11"/>
  <c r="F62" i="11"/>
  <c r="G62" i="11"/>
  <c r="F84" i="11"/>
  <c r="G84" i="11"/>
  <c r="F45" i="11"/>
  <c r="G45" i="11"/>
  <c r="F253" i="11"/>
  <c r="G253" i="11"/>
  <c r="F81" i="11"/>
  <c r="G81" i="11"/>
  <c r="F124" i="11"/>
  <c r="G124" i="11"/>
  <c r="F60" i="11"/>
  <c r="G60" i="11"/>
  <c r="F46" i="11"/>
  <c r="G46" i="11"/>
  <c r="F102" i="11"/>
  <c r="G102" i="11"/>
  <c r="F158" i="11"/>
  <c r="G158" i="11"/>
  <c r="F184" i="11"/>
  <c r="G184" i="11"/>
  <c r="F138" i="11"/>
  <c r="G138" i="11"/>
  <c r="F163" i="11"/>
  <c r="G163" i="11"/>
  <c r="F99" i="11"/>
  <c r="G99" i="11"/>
  <c r="F203" i="11"/>
  <c r="G203" i="11"/>
  <c r="F241" i="11"/>
  <c r="G241" i="11"/>
  <c r="F105" i="11"/>
  <c r="G105" i="11"/>
  <c r="F154" i="11"/>
  <c r="G154" i="11"/>
  <c r="F168" i="11"/>
  <c r="G168" i="11"/>
  <c r="G24" i="11"/>
  <c r="F147" i="11"/>
  <c r="G147" i="11"/>
  <c r="F134" i="11"/>
  <c r="G134" i="11"/>
  <c r="F90" i="11"/>
  <c r="G90" i="11"/>
  <c r="F54" i="11"/>
  <c r="G54" i="11"/>
  <c r="F260" i="11"/>
  <c r="G260" i="11"/>
  <c r="F149" i="11"/>
  <c r="G149" i="11"/>
  <c r="F172" i="11"/>
  <c r="G172" i="11"/>
  <c r="F216" i="11"/>
  <c r="G216" i="11"/>
  <c r="F68" i="11"/>
  <c r="G68" i="11"/>
  <c r="F164" i="11"/>
  <c r="G164" i="11"/>
  <c r="F166" i="11"/>
  <c r="G166" i="11"/>
  <c r="F107" i="11"/>
  <c r="G107" i="11"/>
  <c r="G43" i="11"/>
  <c r="F108" i="11"/>
  <c r="G108" i="11"/>
  <c r="F121" i="11"/>
  <c r="G121" i="11"/>
  <c r="F141" i="11"/>
  <c r="G141" i="11"/>
  <c r="F89" i="11"/>
  <c r="G89" i="11"/>
  <c r="F237" i="11"/>
  <c r="G237" i="11"/>
  <c r="F126" i="11"/>
  <c r="G126" i="11"/>
  <c r="F175" i="11"/>
  <c r="G175" i="11"/>
  <c r="F80" i="11"/>
  <c r="G80" i="11"/>
  <c r="F150" i="11"/>
  <c r="G150" i="11"/>
  <c r="F200" i="11"/>
  <c r="G200" i="11"/>
  <c r="F47" i="11"/>
  <c r="G47" i="11"/>
  <c r="F88" i="11"/>
  <c r="G88" i="11"/>
  <c r="G139" i="10"/>
  <c r="G135" i="10"/>
  <c r="G131" i="10"/>
  <c r="G127" i="10"/>
  <c r="G123" i="10"/>
  <c r="G119" i="10"/>
  <c r="G115" i="10"/>
  <c r="G111" i="10"/>
  <c r="G107" i="10"/>
  <c r="G103" i="10"/>
  <c r="G99" i="10"/>
  <c r="G96" i="10"/>
  <c r="G92" i="10"/>
  <c r="G88" i="10"/>
  <c r="G84" i="10"/>
  <c r="G80" i="10"/>
  <c r="G76" i="10"/>
  <c r="G72" i="10"/>
  <c r="G68" i="10"/>
  <c r="G64" i="10"/>
  <c r="G60" i="10"/>
  <c r="G56" i="10"/>
  <c r="G52" i="10"/>
  <c r="G48" i="10"/>
  <c r="G43" i="10"/>
  <c r="G39" i="10"/>
  <c r="G35" i="10"/>
  <c r="G31" i="10"/>
  <c r="G27" i="10"/>
  <c r="G23" i="10"/>
  <c r="G138" i="10"/>
  <c r="G134" i="10"/>
  <c r="G130" i="10"/>
  <c r="G126" i="10"/>
  <c r="G122" i="10"/>
  <c r="G118" i="10"/>
  <c r="G114" i="10"/>
  <c r="G110" i="10"/>
  <c r="G106" i="10"/>
  <c r="G102" i="10"/>
  <c r="G95" i="10"/>
  <c r="G91" i="10"/>
  <c r="G87" i="10"/>
  <c r="G83" i="10"/>
  <c r="G79" i="10"/>
  <c r="G75" i="10"/>
  <c r="G71" i="10"/>
  <c r="G67" i="10"/>
  <c r="G63" i="10"/>
  <c r="G59" i="10"/>
  <c r="G55" i="10"/>
  <c r="G51" i="10"/>
  <c r="G46" i="10"/>
  <c r="G42" i="10"/>
  <c r="G38" i="10"/>
  <c r="G34" i="10"/>
  <c r="G30" i="10"/>
  <c r="G26" i="10"/>
  <c r="G22" i="10"/>
  <c r="G141" i="10"/>
  <c r="G137" i="10"/>
  <c r="G133" i="10"/>
  <c r="G129" i="10"/>
  <c r="G125" i="10"/>
  <c r="G121" i="10"/>
  <c r="G117" i="10"/>
  <c r="G113" i="10"/>
  <c r="G109" i="10"/>
  <c r="G105" i="10"/>
  <c r="G101" i="10"/>
  <c r="G98" i="10"/>
  <c r="G94" i="10"/>
  <c r="G90" i="10"/>
  <c r="G86" i="10"/>
  <c r="G82" i="10"/>
  <c r="G78" i="10"/>
  <c r="G74" i="10"/>
  <c r="G70" i="10"/>
  <c r="G66" i="10"/>
  <c r="G62" i="10"/>
  <c r="G58" i="10"/>
  <c r="G54" i="10"/>
  <c r="G50" i="10"/>
  <c r="G47" i="10"/>
  <c r="G41" i="10"/>
  <c r="G37" i="10"/>
  <c r="G33" i="10"/>
  <c r="G29" i="10"/>
  <c r="G25" i="10"/>
  <c r="G140" i="10"/>
  <c r="G136" i="10"/>
  <c r="G132" i="10"/>
  <c r="G128" i="10"/>
  <c r="G124" i="10"/>
  <c r="G120" i="10"/>
  <c r="G116" i="10"/>
  <c r="G112" i="10"/>
  <c r="G108" i="10"/>
  <c r="G104" i="10"/>
  <c r="G100" i="10"/>
  <c r="G97" i="10"/>
  <c r="G93" i="10"/>
  <c r="G89" i="10"/>
  <c r="G85" i="10"/>
  <c r="G81" i="10"/>
  <c r="G77" i="10"/>
  <c r="G73" i="10"/>
  <c r="G69" i="10"/>
  <c r="G65" i="10"/>
  <c r="G61" i="10"/>
  <c r="G57" i="10"/>
  <c r="G53" i="10"/>
  <c r="G49" i="10"/>
  <c r="G45" i="10"/>
  <c r="G40" i="10"/>
  <c r="G36" i="10"/>
  <c r="G32" i="10"/>
  <c r="G28" i="10"/>
  <c r="G24" i="10"/>
  <c r="G44" i="10"/>
  <c r="G188" i="9"/>
  <c r="G180" i="9"/>
  <c r="G172" i="9"/>
  <c r="G164" i="9"/>
  <c r="G156" i="9"/>
  <c r="G148" i="9"/>
  <c r="G144" i="9"/>
  <c r="G140" i="9"/>
  <c r="G136" i="9"/>
  <c r="G132" i="9"/>
  <c r="G128" i="9"/>
  <c r="G124" i="9"/>
  <c r="G120" i="9"/>
  <c r="G116" i="9"/>
  <c r="G112" i="9"/>
  <c r="G108" i="9"/>
  <c r="G161" i="9"/>
  <c r="G175" i="9"/>
  <c r="G189" i="9"/>
  <c r="G157" i="9"/>
  <c r="G98" i="9"/>
  <c r="G82" i="9"/>
  <c r="G66" i="9"/>
  <c r="G52" i="9"/>
  <c r="G95" i="9"/>
  <c r="G47" i="9"/>
  <c r="G34" i="9"/>
  <c r="G101" i="9"/>
  <c r="G85" i="9"/>
  <c r="G69" i="9"/>
  <c r="G25" i="9"/>
  <c r="G83" i="9"/>
  <c r="G45" i="9"/>
  <c r="G33" i="9"/>
  <c r="G163" i="9"/>
  <c r="G92" i="9"/>
  <c r="G76" i="9"/>
  <c r="G60" i="9"/>
  <c r="G26" i="9"/>
  <c r="G87" i="9"/>
  <c r="G46" i="9"/>
  <c r="G35" i="9"/>
  <c r="G186" i="9"/>
  <c r="G178" i="9"/>
  <c r="G170" i="9"/>
  <c r="G162" i="9"/>
  <c r="G154" i="9"/>
  <c r="G147" i="9"/>
  <c r="G143" i="9"/>
  <c r="G139" i="9"/>
  <c r="G135" i="9"/>
  <c r="G131" i="9"/>
  <c r="G127" i="9"/>
  <c r="G123" i="9"/>
  <c r="G119" i="9"/>
  <c r="G115" i="9"/>
  <c r="G111" i="9"/>
  <c r="G107" i="9"/>
  <c r="G185" i="9"/>
  <c r="G153" i="9"/>
  <c r="G167" i="9"/>
  <c r="G181" i="9"/>
  <c r="G149" i="9"/>
  <c r="G94" i="9"/>
  <c r="G78" i="9"/>
  <c r="G62" i="9"/>
  <c r="G50" i="9"/>
  <c r="G79" i="9"/>
  <c r="G44" i="9"/>
  <c r="G31" i="9"/>
  <c r="G97" i="9"/>
  <c r="G81" i="9"/>
  <c r="G65" i="9"/>
  <c r="G71" i="9"/>
  <c r="G42" i="9"/>
  <c r="G30" i="9"/>
  <c r="G104" i="9"/>
  <c r="G88" i="9"/>
  <c r="G72" i="9"/>
  <c r="G56" i="9"/>
  <c r="G22" i="9"/>
  <c r="G75" i="9"/>
  <c r="G43" i="9"/>
  <c r="G32" i="9"/>
  <c r="G192" i="9"/>
  <c r="G184" i="9"/>
  <c r="G176" i="9"/>
  <c r="G168" i="9"/>
  <c r="G160" i="9"/>
  <c r="G152" i="9"/>
  <c r="G146" i="9"/>
  <c r="G142" i="9"/>
  <c r="G138" i="9"/>
  <c r="G134" i="9"/>
  <c r="G130" i="9"/>
  <c r="G126" i="9"/>
  <c r="G122" i="9"/>
  <c r="G118" i="9"/>
  <c r="G114" i="9"/>
  <c r="G110" i="9"/>
  <c r="G106" i="9"/>
  <c r="G177" i="9"/>
  <c r="G191" i="9"/>
  <c r="G159" i="9"/>
  <c r="G173" i="9"/>
  <c r="G179" i="9"/>
  <c r="G90" i="9"/>
  <c r="G74" i="9"/>
  <c r="G58" i="9"/>
  <c r="G24" i="9"/>
  <c r="G67" i="9"/>
  <c r="G41" i="9"/>
  <c r="G28" i="9"/>
  <c r="G93" i="9"/>
  <c r="G77" i="9"/>
  <c r="G61" i="9"/>
  <c r="G103" i="9"/>
  <c r="G59" i="9"/>
  <c r="G39" i="9"/>
  <c r="G27" i="9"/>
  <c r="G100" i="9"/>
  <c r="G84" i="9"/>
  <c r="G68" i="9"/>
  <c r="G53" i="9"/>
  <c r="G187" i="9"/>
  <c r="G55" i="9"/>
  <c r="G40" i="9"/>
  <c r="G29" i="9"/>
  <c r="G190" i="9"/>
  <c r="G182" i="9"/>
  <c r="G174" i="9"/>
  <c r="G166" i="9"/>
  <c r="G158" i="9"/>
  <c r="G150" i="9"/>
  <c r="G145" i="9"/>
  <c r="G141" i="9"/>
  <c r="G137" i="9"/>
  <c r="G133" i="9"/>
  <c r="G129" i="9"/>
  <c r="G125" i="9"/>
  <c r="G121" i="9"/>
  <c r="G117" i="9"/>
  <c r="G113" i="9"/>
  <c r="G109" i="9"/>
  <c r="G105" i="9"/>
  <c r="G169" i="9"/>
  <c r="G183" i="9"/>
  <c r="G151" i="9"/>
  <c r="G165" i="9"/>
  <c r="G102" i="9"/>
  <c r="G86" i="9"/>
  <c r="G70" i="9"/>
  <c r="G54" i="9"/>
  <c r="G155" i="9"/>
  <c r="G63" i="9"/>
  <c r="G38" i="9"/>
  <c r="G171" i="9"/>
  <c r="G89" i="9"/>
  <c r="G73" i="9"/>
  <c r="G57" i="9"/>
  <c r="G91" i="9"/>
  <c r="G48" i="9"/>
  <c r="G36" i="9"/>
  <c r="G23" i="9"/>
  <c r="G96" i="9"/>
  <c r="G80" i="9"/>
  <c r="G64" i="9"/>
  <c r="G51" i="9"/>
  <c r="G99" i="9"/>
  <c r="G49" i="9"/>
  <c r="G37" i="9"/>
  <c r="G143" i="8"/>
  <c r="G135" i="8"/>
  <c r="G127" i="8"/>
  <c r="G119" i="8"/>
  <c r="G111" i="8"/>
  <c r="G105" i="8"/>
  <c r="G101" i="8"/>
  <c r="G97" i="8"/>
  <c r="G93" i="8"/>
  <c r="G89" i="8"/>
  <c r="G85" i="8"/>
  <c r="G81" i="8"/>
  <c r="G77" i="8"/>
  <c r="G73" i="8"/>
  <c r="G69" i="8"/>
  <c r="G65" i="8"/>
  <c r="G61" i="8"/>
  <c r="G57" i="8"/>
  <c r="G53" i="8"/>
  <c r="G118" i="8"/>
  <c r="G136" i="8"/>
  <c r="G148" i="8"/>
  <c r="G116" i="8"/>
  <c r="G22" i="8"/>
  <c r="G138" i="8"/>
  <c r="G52" i="8"/>
  <c r="G48" i="8"/>
  <c r="G44" i="8"/>
  <c r="G40" i="8"/>
  <c r="G36" i="8"/>
  <c r="G32" i="8"/>
  <c r="G120" i="8"/>
  <c r="G38" i="8"/>
  <c r="G30" i="8"/>
  <c r="G149" i="8"/>
  <c r="G141" i="8"/>
  <c r="G133" i="8"/>
  <c r="G125" i="8"/>
  <c r="G117" i="8"/>
  <c r="G109" i="8"/>
  <c r="G104" i="8"/>
  <c r="G100" i="8"/>
  <c r="G96" i="8"/>
  <c r="G92" i="8"/>
  <c r="G88" i="8"/>
  <c r="G84" i="8"/>
  <c r="G80" i="8"/>
  <c r="G76" i="8"/>
  <c r="G72" i="8"/>
  <c r="G68" i="8"/>
  <c r="G64" i="8"/>
  <c r="G60" i="8"/>
  <c r="G56" i="8"/>
  <c r="G142" i="8"/>
  <c r="G110" i="8"/>
  <c r="G112" i="8"/>
  <c r="G140" i="8"/>
  <c r="G108" i="8"/>
  <c r="G144" i="8"/>
  <c r="G130" i="8"/>
  <c r="G51" i="8"/>
  <c r="G47" i="8"/>
  <c r="G43" i="8"/>
  <c r="G39" i="8"/>
  <c r="G35" i="8"/>
  <c r="G31" i="8"/>
  <c r="G34" i="8"/>
  <c r="G147" i="8"/>
  <c r="G139" i="8"/>
  <c r="G131" i="8"/>
  <c r="G123" i="8"/>
  <c r="G115" i="8"/>
  <c r="G107" i="8"/>
  <c r="G103" i="8"/>
  <c r="G99" i="8"/>
  <c r="G95" i="8"/>
  <c r="G91" i="8"/>
  <c r="G87" i="8"/>
  <c r="G83" i="8"/>
  <c r="G79" i="8"/>
  <c r="G75" i="8"/>
  <c r="G71" i="8"/>
  <c r="G67" i="8"/>
  <c r="G63" i="8"/>
  <c r="G59" i="8"/>
  <c r="G55" i="8"/>
  <c r="G134" i="8"/>
  <c r="G28" i="8"/>
  <c r="G27" i="8"/>
  <c r="G132" i="8"/>
  <c r="G29" i="8"/>
  <c r="G128" i="8"/>
  <c r="G122" i="8"/>
  <c r="G50" i="8"/>
  <c r="G46" i="8"/>
  <c r="G42" i="8"/>
  <c r="G26" i="8"/>
  <c r="G145" i="8"/>
  <c r="G137" i="8"/>
  <c r="G129" i="8"/>
  <c r="G121" i="8"/>
  <c r="G113" i="8"/>
  <c r="G106" i="8"/>
  <c r="G102" i="8"/>
  <c r="G98" i="8"/>
  <c r="G94" i="8"/>
  <c r="G90" i="8"/>
  <c r="G86" i="8"/>
  <c r="G82" i="8"/>
  <c r="G78" i="8"/>
  <c r="G74" i="8"/>
  <c r="G70" i="8"/>
  <c r="G66" i="8"/>
  <c r="G62" i="8"/>
  <c r="G58" i="8"/>
  <c r="G54" i="8"/>
  <c r="G126" i="8"/>
  <c r="G24" i="8"/>
  <c r="G23" i="8"/>
  <c r="G124" i="8"/>
  <c r="G25" i="8"/>
  <c r="G146" i="8"/>
  <c r="G114" i="8"/>
  <c r="G49" i="8"/>
  <c r="G45" i="8"/>
  <c r="G41" i="8"/>
  <c r="G37" i="8"/>
  <c r="G33" i="8"/>
  <c r="G380" i="7"/>
  <c r="G381" i="7"/>
  <c r="G244" i="7"/>
  <c r="G302" i="7"/>
  <c r="G209" i="7"/>
  <c r="G177" i="7"/>
  <c r="G318" i="7"/>
  <c r="G207" i="7"/>
  <c r="G176" i="7"/>
  <c r="G96" i="7"/>
  <c r="G103" i="7"/>
  <c r="G222" i="7"/>
  <c r="G321" i="7"/>
  <c r="G275" i="7"/>
  <c r="G351" i="7"/>
  <c r="G84" i="7"/>
  <c r="G245" i="7"/>
  <c r="G29" i="7"/>
  <c r="G254" i="7"/>
  <c r="G366" i="7"/>
  <c r="G269" i="7"/>
  <c r="G294" i="7"/>
  <c r="G202" i="7"/>
  <c r="G70" i="7"/>
  <c r="G250" i="7"/>
  <c r="G333" i="7"/>
  <c r="G46" i="7"/>
  <c r="G273" i="7"/>
  <c r="G274" i="7"/>
  <c r="G65" i="7"/>
  <c r="G28" i="7"/>
  <c r="G262" i="7"/>
  <c r="G97" i="7"/>
  <c r="G367" i="7"/>
  <c r="G282" i="7"/>
  <c r="G45" i="7"/>
  <c r="G78" i="7"/>
  <c r="G325" i="7"/>
  <c r="G68" i="7"/>
  <c r="G88" i="7"/>
  <c r="G276" i="7"/>
  <c r="G268" i="7"/>
  <c r="G50" i="7"/>
  <c r="G354" i="7"/>
  <c r="G377" i="7"/>
  <c r="G69" i="7"/>
  <c r="G346" i="7"/>
  <c r="G129" i="7"/>
  <c r="G121" i="7"/>
  <c r="G183" i="7"/>
  <c r="G59" i="7"/>
  <c r="G164" i="7"/>
  <c r="G287" i="7"/>
  <c r="G36" i="7"/>
  <c r="G186" i="7"/>
  <c r="G57" i="7"/>
  <c r="G49" i="7"/>
  <c r="G290" i="7"/>
  <c r="G313" i="7"/>
  <c r="G77" i="7"/>
  <c r="G182" i="7"/>
  <c r="G31" i="7"/>
  <c r="G169" i="7"/>
  <c r="G251" i="7"/>
  <c r="G90" i="7"/>
  <c r="G112" i="7"/>
  <c r="G180" i="7"/>
  <c r="G368" i="7"/>
  <c r="G361" i="7"/>
  <c r="G215" i="7"/>
  <c r="G133" i="7"/>
  <c r="G256" i="7"/>
  <c r="G39" i="7"/>
  <c r="G327" i="7"/>
  <c r="G37" i="7"/>
  <c r="G75" i="7"/>
  <c r="G258" i="7"/>
  <c r="G71" i="7"/>
  <c r="G324" i="7"/>
  <c r="G63" i="7"/>
  <c r="G359" i="7"/>
  <c r="G328" i="7"/>
  <c r="G352" i="7"/>
  <c r="G338" i="7"/>
  <c r="G280" i="7"/>
  <c r="G335" i="7"/>
  <c r="G102" i="7"/>
  <c r="G289" i="7"/>
  <c r="G86" i="7"/>
  <c r="G264" i="7"/>
  <c r="G48" i="7"/>
  <c r="G122" i="7"/>
  <c r="G296" i="7"/>
  <c r="G85" i="7"/>
  <c r="G24" i="7"/>
  <c r="G160" i="7"/>
  <c r="G114" i="7"/>
  <c r="G25" i="7"/>
  <c r="G148" i="7"/>
  <c r="G118" i="7"/>
  <c r="G67" i="7"/>
  <c r="G82" i="7"/>
  <c r="G123" i="7"/>
  <c r="G198" i="7"/>
  <c r="G347" i="7"/>
  <c r="G372" i="7"/>
  <c r="G326" i="7"/>
  <c r="G227" i="7"/>
  <c r="G298" i="7"/>
  <c r="G249" i="7"/>
  <c r="G304" i="7"/>
  <c r="G371" i="7"/>
  <c r="G200" i="7"/>
  <c r="G341" i="7"/>
  <c r="G115" i="7"/>
  <c r="G106" i="7"/>
  <c r="G178" i="7"/>
  <c r="G150" i="7"/>
  <c r="G136" i="7"/>
  <c r="G73" i="7"/>
  <c r="G255" i="7"/>
  <c r="G101" i="7"/>
  <c r="G32" i="7"/>
  <c r="G234" i="7"/>
  <c r="G66" i="7"/>
  <c r="G170" i="7"/>
  <c r="G128" i="7"/>
  <c r="G94" i="7"/>
  <c r="G62" i="7"/>
  <c r="G132" i="7"/>
  <c r="G117" i="7"/>
  <c r="G281" i="7"/>
  <c r="G76" i="7"/>
  <c r="G189" i="7"/>
  <c r="G124" i="7"/>
  <c r="G196" i="7"/>
  <c r="G348" i="7"/>
  <c r="G316" i="7"/>
  <c r="G47" i="7"/>
  <c r="G237" i="7"/>
  <c r="G55" i="7"/>
  <c r="G139" i="7"/>
  <c r="G311" i="7"/>
  <c r="G278" i="7"/>
  <c r="G331" i="7"/>
  <c r="G135" i="7"/>
  <c r="G284" i="7"/>
  <c r="G252" i="7"/>
  <c r="G288" i="7"/>
  <c r="G356" i="7"/>
  <c r="G193" i="7"/>
  <c r="G223" i="7"/>
  <c r="G231" i="7"/>
  <c r="G56" i="7"/>
  <c r="G172" i="7"/>
  <c r="G334" i="7"/>
  <c r="G305" i="7"/>
  <c r="G373" i="7"/>
  <c r="G315" i="7"/>
  <c r="G184" i="7"/>
  <c r="G26" i="7"/>
  <c r="G353" i="7"/>
  <c r="G312" i="7"/>
  <c r="G95" i="7"/>
  <c r="G60" i="7"/>
  <c r="G173" i="7"/>
  <c r="G213" i="7"/>
  <c r="G378" i="7"/>
  <c r="G163" i="7"/>
  <c r="G99" i="7"/>
  <c r="G267" i="7"/>
  <c r="G309" i="7"/>
  <c r="G130" i="7"/>
  <c r="G42" i="7"/>
  <c r="G340" i="7"/>
  <c r="G303" i="7"/>
  <c r="G314" i="7"/>
  <c r="G300" i="7"/>
  <c r="G233" i="7"/>
  <c r="G208" i="7"/>
  <c r="G232" i="7"/>
  <c r="G158" i="7"/>
  <c r="G168" i="7"/>
  <c r="G98" i="7"/>
  <c r="G104" i="7"/>
  <c r="G329" i="7"/>
  <c r="G271" i="7"/>
  <c r="G147" i="7"/>
  <c r="G211" i="7"/>
  <c r="G74" i="7"/>
  <c r="G291" i="7"/>
  <c r="G191" i="7"/>
  <c r="G131" i="7"/>
  <c r="G54" i="7"/>
  <c r="G34" i="7"/>
  <c r="G205" i="7"/>
  <c r="G108" i="7"/>
  <c r="G179" i="7"/>
  <c r="G363" i="7"/>
  <c r="G181" i="7"/>
  <c r="G111" i="7"/>
  <c r="G152" i="7"/>
  <c r="G228" i="7"/>
  <c r="G355" i="7"/>
  <c r="G212" i="7"/>
  <c r="G317" i="7"/>
  <c r="G277" i="7"/>
  <c r="G33" i="7"/>
  <c r="G210" i="7"/>
  <c r="G93" i="7"/>
  <c r="G308" i="7"/>
  <c r="G100" i="7"/>
  <c r="G357" i="7"/>
  <c r="G286" i="7"/>
  <c r="G330" i="7"/>
  <c r="G195" i="7"/>
  <c r="G220" i="7"/>
  <c r="G292" i="7"/>
  <c r="G89" i="7"/>
  <c r="G40" i="7"/>
  <c r="G270" i="7"/>
  <c r="G310" i="7"/>
  <c r="G259" i="7"/>
  <c r="G257" i="7"/>
  <c r="G53" i="7"/>
  <c r="G107" i="7"/>
  <c r="G81" i="7"/>
  <c r="G58" i="7"/>
  <c r="G344" i="7"/>
  <c r="G116" i="7"/>
  <c r="G166" i="7"/>
  <c r="G64" i="7"/>
  <c r="G83" i="7"/>
  <c r="G297" i="7"/>
  <c r="G293" i="7"/>
  <c r="G279" i="7"/>
  <c r="G376" i="7"/>
  <c r="G248" i="7"/>
  <c r="G127" i="7"/>
  <c r="G126" i="7"/>
  <c r="G138" i="7"/>
  <c r="G343" i="7"/>
  <c r="G369" i="7"/>
  <c r="G52" i="7"/>
  <c r="G161" i="7"/>
  <c r="G194" i="7"/>
  <c r="G192" i="7"/>
  <c r="G272" i="7"/>
  <c r="G224" i="7"/>
  <c r="G349" i="7"/>
  <c r="G247" i="7"/>
  <c r="G23" i="7"/>
  <c r="G199" i="7"/>
  <c r="G120" i="7"/>
  <c r="G243" i="7"/>
  <c r="G162" i="7"/>
  <c r="G217" i="7"/>
  <c r="G105" i="7"/>
  <c r="G174" i="7"/>
  <c r="G337" i="7"/>
  <c r="G175" i="7"/>
  <c r="G253" i="7"/>
  <c r="G375" i="7"/>
  <c r="G80" i="7"/>
  <c r="G113" i="7"/>
  <c r="G265" i="7"/>
  <c r="G218" i="7"/>
  <c r="G370" i="7"/>
  <c r="G156" i="7"/>
  <c r="G229" i="7"/>
  <c r="G342" i="7"/>
  <c r="G190" i="7"/>
  <c r="G38" i="7"/>
  <c r="G379" i="7"/>
  <c r="G137" i="7"/>
  <c r="G154" i="7"/>
  <c r="G226" i="7"/>
  <c r="G301" i="7"/>
  <c r="G153" i="7"/>
  <c r="G206" i="7"/>
  <c r="G203" i="7"/>
  <c r="G109" i="7"/>
  <c r="G295" i="7"/>
  <c r="G79" i="7"/>
  <c r="G261" i="7"/>
  <c r="G30" i="7"/>
  <c r="G61" i="7"/>
  <c r="G144" i="7"/>
  <c r="G134" i="7"/>
  <c r="G171" i="7"/>
  <c r="G51" i="7"/>
  <c r="G149" i="7"/>
  <c r="G110" i="7"/>
  <c r="G157" i="7"/>
  <c r="G43" i="7"/>
  <c r="G285" i="7"/>
  <c r="G214" i="7"/>
  <c r="G362" i="7"/>
  <c r="G141" i="7"/>
  <c r="G230" i="7"/>
  <c r="G323" i="7"/>
  <c r="F389" i="7"/>
  <c r="G143" i="7"/>
  <c r="G306" i="7"/>
  <c r="G238" i="7"/>
  <c r="G197" i="7"/>
  <c r="G27" i="7"/>
  <c r="G87" i="7"/>
  <c r="G41" i="7"/>
  <c r="G332" i="7"/>
  <c r="G225" i="7"/>
  <c r="G146" i="7"/>
  <c r="G358" i="7"/>
  <c r="G125" i="7"/>
  <c r="G140" i="7"/>
  <c r="G240" i="7"/>
  <c r="G35" i="7"/>
  <c r="G145" i="7"/>
  <c r="G119" i="7"/>
  <c r="G204" i="7"/>
  <c r="G360" i="7"/>
  <c r="G320" i="7"/>
  <c r="G155" i="7"/>
  <c r="G142" i="7"/>
  <c r="G307" i="7"/>
  <c r="G92" i="7"/>
  <c r="G322" i="7"/>
  <c r="G187" i="7"/>
  <c r="G201" i="7"/>
  <c r="G365" i="7"/>
  <c r="G246" i="7"/>
  <c r="G216" i="7"/>
  <c r="G151" i="7"/>
  <c r="G336" i="7"/>
  <c r="G235" i="7"/>
  <c r="G266" i="7"/>
  <c r="G185" i="7"/>
  <c r="G241" i="7"/>
  <c r="G345" i="7"/>
  <c r="G221" i="7"/>
  <c r="G242" i="7"/>
  <c r="G165" i="7"/>
  <c r="G167" i="7"/>
  <c r="G188" i="7"/>
  <c r="G159" i="7"/>
  <c r="G219" i="7"/>
  <c r="G44" i="7"/>
  <c r="G263" i="7"/>
  <c r="G260" i="7"/>
  <c r="G72" i="7"/>
  <c r="G299" i="7"/>
  <c r="G236" i="7"/>
  <c r="G364" i="7"/>
  <c r="G283" i="7"/>
  <c r="G319" i="7"/>
  <c r="G374" i="7"/>
  <c r="G239" i="7"/>
  <c r="G91" i="7"/>
  <c r="G339" i="7"/>
  <c r="G72" i="5"/>
  <c r="G43" i="5"/>
  <c r="G48" i="5"/>
  <c r="G106" i="5"/>
  <c r="G130" i="5"/>
  <c r="G54" i="5"/>
  <c r="G133" i="5"/>
  <c r="G122" i="5"/>
  <c r="G62" i="5"/>
  <c r="G142" i="5"/>
  <c r="G149" i="5"/>
  <c r="G148" i="5"/>
  <c r="G126" i="5"/>
  <c r="G145" i="5"/>
  <c r="G56" i="5"/>
  <c r="G113" i="5"/>
  <c r="G78" i="5"/>
  <c r="G37" i="5"/>
  <c r="G36" i="5"/>
  <c r="G123" i="5"/>
  <c r="G85" i="5"/>
  <c r="G28" i="5"/>
  <c r="G46" i="5"/>
  <c r="G67" i="5"/>
  <c r="G60" i="5"/>
  <c r="G147" i="5"/>
  <c r="G25" i="5"/>
  <c r="G103" i="5"/>
  <c r="G26" i="5"/>
  <c r="G61" i="5"/>
  <c r="G139" i="5"/>
  <c r="G24" i="5"/>
  <c r="G53" i="5"/>
  <c r="G121" i="5"/>
  <c r="G96" i="5"/>
  <c r="G71" i="5"/>
  <c r="G97" i="5"/>
  <c r="G146" i="5"/>
  <c r="G44" i="5"/>
  <c r="G83" i="5"/>
  <c r="G100" i="5"/>
  <c r="G115" i="5"/>
  <c r="G66" i="5"/>
  <c r="G32" i="5"/>
  <c r="G70" i="5"/>
  <c r="G124" i="5"/>
  <c r="G128" i="5"/>
  <c r="G91" i="5"/>
  <c r="G51" i="5"/>
  <c r="G136" i="5"/>
  <c r="G111" i="5"/>
  <c r="G69" i="5"/>
  <c r="G108" i="5"/>
  <c r="G140" i="5"/>
  <c r="G116" i="5"/>
  <c r="G27" i="5"/>
  <c r="G31" i="5"/>
  <c r="G81" i="5"/>
  <c r="G57" i="5"/>
  <c r="G40" i="5"/>
  <c r="G99" i="5"/>
  <c r="G77" i="5"/>
  <c r="G114" i="5"/>
  <c r="G101" i="5"/>
  <c r="G74" i="5"/>
  <c r="G29" i="5"/>
  <c r="G39" i="5"/>
  <c r="G93" i="5"/>
  <c r="G112" i="5"/>
  <c r="G68" i="5"/>
  <c r="G41" i="5"/>
  <c r="G94" i="5"/>
  <c r="G73" i="5"/>
  <c r="G120" i="5"/>
  <c r="G98" i="5"/>
  <c r="G135" i="5"/>
  <c r="G84" i="5"/>
  <c r="G49" i="5"/>
  <c r="G127" i="5"/>
  <c r="G34" i="5"/>
  <c r="G95" i="5"/>
  <c r="G87" i="5"/>
  <c r="G141" i="5"/>
  <c r="G107" i="5"/>
  <c r="G33" i="5"/>
  <c r="G50" i="5"/>
  <c r="G134" i="5"/>
  <c r="G82" i="5"/>
  <c r="G132" i="5"/>
  <c r="G105" i="5"/>
  <c r="G30" i="5"/>
  <c r="G58" i="5"/>
  <c r="G125" i="5"/>
  <c r="G137" i="5"/>
  <c r="G63" i="5"/>
  <c r="G76" i="5"/>
  <c r="G45" i="5"/>
  <c r="G65" i="5"/>
  <c r="G92" i="5"/>
  <c r="G131" i="5"/>
  <c r="G55" i="5"/>
  <c r="G47" i="5"/>
  <c r="G42" i="5"/>
  <c r="G138" i="5"/>
  <c r="G79" i="5"/>
  <c r="G118" i="5"/>
  <c r="G117" i="5"/>
  <c r="G102" i="5"/>
  <c r="G110" i="5"/>
  <c r="G23" i="5"/>
  <c r="G59" i="5"/>
  <c r="G35" i="5"/>
  <c r="G143" i="5"/>
  <c r="G109" i="5"/>
  <c r="G119" i="5"/>
  <c r="G38" i="5"/>
  <c r="G129" i="5"/>
  <c r="G88" i="5"/>
  <c r="G80" i="5"/>
  <c r="G64" i="5"/>
  <c r="G52" i="5"/>
  <c r="G104" i="5"/>
  <c r="G75" i="5"/>
  <c r="G144" i="5"/>
  <c r="G90" i="5"/>
  <c r="G89" i="5"/>
  <c r="G86" i="5"/>
  <c r="G383" i="4"/>
  <c r="G384" i="4"/>
  <c r="G381" i="4"/>
  <c r="G253" i="4"/>
  <c r="G375" i="4"/>
  <c r="G158" i="4"/>
  <c r="G342" i="4"/>
  <c r="G213" i="4"/>
  <c r="G333" i="4"/>
  <c r="G76" i="4"/>
  <c r="G234" i="4"/>
  <c r="G93" i="4"/>
  <c r="G223" i="4"/>
  <c r="G269" i="4"/>
  <c r="G231" i="4"/>
  <c r="G23" i="4"/>
  <c r="G191" i="4"/>
  <c r="G248" i="4"/>
  <c r="G126" i="4"/>
  <c r="G305" i="4"/>
  <c r="G371" i="4"/>
  <c r="G345" i="4"/>
  <c r="G334" i="4"/>
  <c r="G124" i="4"/>
  <c r="G338" i="4"/>
  <c r="G350" i="4"/>
  <c r="G172" i="4"/>
  <c r="G63" i="4"/>
  <c r="G341" i="4"/>
  <c r="G154" i="4"/>
  <c r="G127" i="4"/>
  <c r="G363" i="4"/>
  <c r="F392" i="4"/>
  <c r="G295" i="4"/>
  <c r="G290" i="4"/>
  <c r="G101" i="4"/>
  <c r="G162" i="4"/>
  <c r="G88" i="4"/>
  <c r="G165" i="4"/>
  <c r="G300" i="4"/>
  <c r="G153" i="4"/>
  <c r="G111" i="4"/>
  <c r="G110" i="4"/>
  <c r="G33" i="4"/>
  <c r="G173" i="4"/>
  <c r="G379" i="4"/>
  <c r="G268" i="4"/>
  <c r="G224" i="4"/>
  <c r="G197" i="4"/>
  <c r="G152" i="4"/>
  <c r="G232" i="4"/>
  <c r="G317" i="4"/>
  <c r="G296" i="4"/>
  <c r="G230" i="4"/>
  <c r="G264" i="4"/>
  <c r="G139" i="4"/>
  <c r="G151" i="4"/>
  <c r="G366" i="4"/>
  <c r="G135" i="4"/>
  <c r="G119" i="4"/>
  <c r="G277" i="4"/>
  <c r="G364" i="4"/>
  <c r="G325" i="4"/>
  <c r="G240" i="4"/>
  <c r="G318" i="4"/>
  <c r="G372" i="4"/>
  <c r="G280" i="4"/>
  <c r="G313" i="4"/>
  <c r="G146" i="4"/>
  <c r="G129" i="4"/>
  <c r="G198" i="4"/>
  <c r="G237" i="4"/>
  <c r="G265" i="4"/>
  <c r="G136" i="4"/>
  <c r="G227" i="4"/>
  <c r="G148" i="4"/>
  <c r="G159" i="4"/>
  <c r="G59" i="4"/>
  <c r="G261" i="4"/>
  <c r="G156" i="4"/>
  <c r="G311" i="4"/>
  <c r="G185" i="4"/>
  <c r="G285" i="4"/>
  <c r="G103" i="4"/>
  <c r="G332" i="4"/>
  <c r="G239" i="4"/>
  <c r="G89" i="4"/>
  <c r="G256" i="4"/>
  <c r="G226" i="4"/>
  <c r="G266" i="4"/>
  <c r="G279" i="4"/>
  <c r="G186" i="4"/>
  <c r="G339" i="4"/>
  <c r="G170" i="4"/>
  <c r="G64" i="4"/>
  <c r="G53" i="4"/>
  <c r="G54" i="4"/>
  <c r="G316" i="4"/>
  <c r="G187" i="4"/>
  <c r="G95" i="4"/>
  <c r="G209" i="4"/>
  <c r="G31" i="4"/>
  <c r="G149" i="4"/>
  <c r="G42" i="4"/>
  <c r="G86" i="4"/>
  <c r="G123" i="4"/>
  <c r="G212" i="4"/>
  <c r="G130" i="4"/>
  <c r="G189" i="4"/>
  <c r="G29" i="4"/>
  <c r="G169" i="4"/>
  <c r="G301" i="4"/>
  <c r="G283" i="4"/>
  <c r="G354" i="4"/>
  <c r="G200" i="4"/>
  <c r="G235" i="4"/>
  <c r="G303" i="4"/>
  <c r="G270" i="4"/>
  <c r="G202" i="4"/>
  <c r="G378" i="4"/>
  <c r="G377" i="4"/>
  <c r="G55" i="4"/>
  <c r="G43" i="4"/>
  <c r="G26" i="4"/>
  <c r="G160" i="4"/>
  <c r="G211" i="4"/>
  <c r="G251" i="4"/>
  <c r="G208" i="4"/>
  <c r="G274" i="4"/>
  <c r="G70" i="4"/>
  <c r="G164" i="4"/>
  <c r="G161" i="4"/>
  <c r="G281" i="4"/>
  <c r="G122" i="4"/>
  <c r="G245" i="4"/>
  <c r="G68" i="4"/>
  <c r="G137" i="4"/>
  <c r="G25" i="4"/>
  <c r="G150" i="4"/>
  <c r="G140" i="4"/>
  <c r="G312" i="4"/>
  <c r="G289" i="4"/>
  <c r="G310" i="4"/>
  <c r="G35" i="4"/>
  <c r="G276" i="4"/>
  <c r="G85" i="4"/>
  <c r="G91" i="4"/>
  <c r="G221" i="4"/>
  <c r="G114" i="4"/>
  <c r="G206" i="4"/>
  <c r="G34" i="4"/>
  <c r="G141" i="4"/>
  <c r="G196" i="4"/>
  <c r="G207" i="4"/>
  <c r="G46" i="4"/>
  <c r="G132" i="4"/>
  <c r="G249" i="4"/>
  <c r="G336" i="4"/>
  <c r="G181" i="4"/>
  <c r="G155" i="4"/>
  <c r="G321" i="4"/>
  <c r="G115" i="4"/>
  <c r="G81" i="4"/>
  <c r="G308" i="4"/>
  <c r="G112" i="4"/>
  <c r="G72" i="4"/>
  <c r="G275" i="4"/>
  <c r="G182" i="4"/>
  <c r="G210" i="4"/>
  <c r="G183" i="4"/>
  <c r="G184" i="4"/>
  <c r="G370" i="4"/>
  <c r="G195" i="4"/>
  <c r="G243" i="4"/>
  <c r="G214" i="4"/>
  <c r="G287" i="4"/>
  <c r="G166" i="4"/>
  <c r="G340" i="4"/>
  <c r="G44" i="4"/>
  <c r="G246" i="4"/>
  <c r="G121" i="4"/>
  <c r="G109" i="4"/>
  <c r="G369" i="4"/>
  <c r="G67" i="4"/>
  <c r="G306" i="4"/>
  <c r="G56" i="4"/>
  <c r="G77" i="4"/>
  <c r="G117" i="4"/>
  <c r="G147" i="4"/>
  <c r="G299" i="4"/>
  <c r="G105" i="4"/>
  <c r="G219" i="4"/>
  <c r="G352" i="4"/>
  <c r="G190" i="4"/>
  <c r="G382" i="4"/>
  <c r="G326" i="4"/>
  <c r="G87" i="4"/>
  <c r="G286" i="4"/>
  <c r="G90" i="4"/>
  <c r="G50" i="4"/>
  <c r="G242" i="4"/>
  <c r="G357" i="4"/>
  <c r="G362" i="4"/>
  <c r="G368" i="4"/>
  <c r="G319" i="4"/>
  <c r="G331" i="4"/>
  <c r="G142" i="4"/>
  <c r="G247" i="4"/>
  <c r="G138" i="4"/>
  <c r="G217" i="4"/>
  <c r="G215" i="4"/>
  <c r="G307" i="4"/>
  <c r="G75" i="4"/>
  <c r="G328" i="4"/>
  <c r="G179" i="4"/>
  <c r="G163" i="4"/>
  <c r="G171" i="4"/>
  <c r="G24" i="4"/>
  <c r="G204" i="4"/>
  <c r="G294" i="4"/>
  <c r="G233" i="4"/>
  <c r="G106" i="4"/>
  <c r="G365" i="4"/>
  <c r="G358" i="4"/>
  <c r="G229" i="4"/>
  <c r="G94" i="4"/>
  <c r="G376" i="4"/>
  <c r="G177" i="4"/>
  <c r="G203" i="4"/>
  <c r="G348" i="4"/>
  <c r="G113" i="4"/>
  <c r="G324" i="4"/>
  <c r="G120" i="4"/>
  <c r="G134" i="4"/>
  <c r="G66" i="4"/>
  <c r="G144" i="4"/>
  <c r="G361" i="4"/>
  <c r="G116" i="4"/>
  <c r="G257" i="4"/>
  <c r="G60" i="4"/>
  <c r="G96" i="4"/>
  <c r="G225" i="4"/>
  <c r="G380" i="4"/>
  <c r="G62" i="4"/>
  <c r="G71" i="4"/>
  <c r="G49" i="4"/>
  <c r="G74" i="4"/>
  <c r="G216" i="4"/>
  <c r="G349" i="4"/>
  <c r="G107" i="4"/>
  <c r="G302" i="4"/>
  <c r="G222" i="4"/>
  <c r="G298" i="4"/>
  <c r="G40" i="4"/>
  <c r="G359" i="4"/>
  <c r="G118" i="4"/>
  <c r="G218" i="4"/>
  <c r="G288" i="4"/>
  <c r="G39" i="4"/>
  <c r="G36" i="4"/>
  <c r="G38" i="4"/>
  <c r="G176" i="4"/>
  <c r="G98" i="4"/>
  <c r="G315" i="4"/>
  <c r="G201" i="4"/>
  <c r="G73" i="4"/>
  <c r="G194" i="4"/>
  <c r="G45" i="4"/>
  <c r="G27" i="4"/>
  <c r="G128" i="4"/>
  <c r="G244" i="4"/>
  <c r="G367" i="4"/>
  <c r="G259" i="4"/>
  <c r="G355" i="4"/>
  <c r="G293" i="4"/>
  <c r="G92" i="4"/>
  <c r="G32" i="4"/>
  <c r="G291" i="4"/>
  <c r="G51" i="4"/>
  <c r="G262" i="4"/>
  <c r="G343" i="4"/>
  <c r="G199" i="4"/>
  <c r="G84" i="4"/>
  <c r="G258" i="4"/>
  <c r="G238" i="4"/>
  <c r="G97" i="4"/>
  <c r="G100" i="4"/>
  <c r="G99" i="4"/>
  <c r="G335" i="4"/>
  <c r="G157" i="4"/>
  <c r="G102" i="4"/>
  <c r="G104" i="4"/>
  <c r="G125" i="4"/>
  <c r="G271" i="4"/>
  <c r="G241" i="4"/>
  <c r="G174" i="4"/>
  <c r="G192" i="4"/>
  <c r="G80" i="4"/>
  <c r="G322" i="4"/>
  <c r="G167" i="4"/>
  <c r="G263" i="4"/>
  <c r="G188" i="4"/>
  <c r="G297" i="4"/>
  <c r="G168" i="4"/>
  <c r="G58" i="4"/>
  <c r="G309" i="4"/>
  <c r="G329" i="4"/>
  <c r="G205" i="4"/>
  <c r="G57" i="4"/>
  <c r="G272" i="4"/>
  <c r="G327" i="4"/>
  <c r="G79" i="4"/>
  <c r="G178" i="4"/>
  <c r="G41" i="4"/>
  <c r="G82" i="4"/>
  <c r="G255" i="4"/>
  <c r="G131" i="4"/>
  <c r="G228" i="4"/>
  <c r="G267" i="4"/>
  <c r="G236" i="4"/>
  <c r="G346" i="4"/>
  <c r="G28" i="4"/>
  <c r="G250" i="4"/>
  <c r="G252" i="4"/>
  <c r="G180" i="4"/>
  <c r="G22" i="4"/>
  <c r="G323" i="4"/>
  <c r="G52" i="4"/>
  <c r="G374" i="4"/>
  <c r="G193" i="4"/>
  <c r="G69" i="4"/>
  <c r="G344" i="4"/>
  <c r="G292" i="4"/>
  <c r="G83" i="4"/>
  <c r="G356" i="4"/>
  <c r="G220" i="4"/>
  <c r="G48" i="4"/>
  <c r="G30" i="4"/>
  <c r="G278" i="4"/>
  <c r="G133" i="4"/>
  <c r="G108" i="4"/>
  <c r="G273" i="4"/>
  <c r="G260" i="4"/>
  <c r="G330" i="4"/>
  <c r="G337" i="4"/>
  <c r="G175" i="4"/>
  <c r="G320" i="4"/>
  <c r="G254" i="4"/>
  <c r="G347" i="4"/>
  <c r="G373" i="4"/>
  <c r="G351" i="4"/>
  <c r="G143" i="4"/>
  <c r="G314" i="4"/>
  <c r="G282" i="4"/>
  <c r="G284" i="4"/>
  <c r="G78" i="4"/>
  <c r="G65" i="4"/>
  <c r="G37" i="4"/>
  <c r="G61" i="4"/>
  <c r="G47" i="4"/>
  <c r="G304" i="4"/>
  <c r="G145" i="4"/>
  <c r="G360" i="4"/>
  <c r="B21" i="2"/>
  <c r="C21" i="2"/>
  <c r="B22" i="2"/>
  <c r="B23" i="2"/>
  <c r="B24" i="2"/>
  <c r="B25" i="2"/>
  <c r="B26" i="2"/>
  <c r="B27" i="2"/>
  <c r="B28" i="2"/>
  <c r="B29" i="2"/>
  <c r="C31" i="2"/>
  <c r="D31" i="2"/>
  <c r="C32" i="2"/>
  <c r="C33" i="2"/>
  <c r="D33" i="2"/>
  <c r="C34" i="2"/>
  <c r="D34" i="2"/>
  <c r="C35" i="2"/>
  <c r="D35" i="2"/>
  <c r="C36" i="2"/>
  <c r="C37" i="2"/>
  <c r="D37" i="2"/>
  <c r="C38" i="2"/>
  <c r="D38" i="2"/>
  <c r="C39" i="2"/>
  <c r="D39" i="2"/>
  <c r="C40" i="2"/>
  <c r="C41" i="2"/>
  <c r="D41" i="2"/>
  <c r="C42" i="2"/>
  <c r="D42" i="2"/>
  <c r="C43" i="2"/>
  <c r="D43" i="2"/>
  <c r="C44" i="2"/>
  <c r="C45" i="2"/>
  <c r="D45" i="2"/>
  <c r="C46" i="2"/>
  <c r="D46" i="2"/>
  <c r="C47" i="2"/>
  <c r="D47" i="2"/>
  <c r="C48" i="2"/>
  <c r="C49" i="2"/>
  <c r="D49" i="2"/>
  <c r="C50" i="2"/>
  <c r="D50" i="2"/>
  <c r="C51" i="2"/>
  <c r="D51" i="2"/>
  <c r="C52" i="2"/>
  <c r="C53" i="2"/>
  <c r="D53" i="2"/>
  <c r="C54" i="2"/>
  <c r="D54" i="2"/>
  <c r="C55" i="2"/>
  <c r="D55" i="2"/>
  <c r="C56" i="2"/>
  <c r="C57" i="2"/>
  <c r="D57" i="2"/>
  <c r="C58" i="2"/>
  <c r="D58" i="2"/>
  <c r="C59" i="2"/>
  <c r="D59" i="2"/>
  <c r="C60" i="2"/>
  <c r="C61" i="2"/>
  <c r="D61" i="2"/>
  <c r="C62" i="2"/>
  <c r="D62" i="2"/>
  <c r="C63" i="2"/>
  <c r="D63" i="2"/>
  <c r="C64" i="2"/>
  <c r="C65" i="2"/>
  <c r="D65" i="2"/>
  <c r="C66" i="2"/>
  <c r="D66" i="2"/>
  <c r="C67" i="2"/>
  <c r="D67" i="2"/>
  <c r="C68" i="2"/>
  <c r="C69" i="2"/>
  <c r="D69" i="2"/>
  <c r="C70" i="2"/>
  <c r="D70" i="2"/>
  <c r="C71" i="2"/>
  <c r="D71" i="2"/>
  <c r="C72" i="2"/>
  <c r="C73" i="2"/>
  <c r="D73" i="2"/>
  <c r="C74" i="2"/>
  <c r="D74" i="2"/>
  <c r="C75" i="2"/>
  <c r="D75" i="2"/>
  <c r="C76" i="2"/>
  <c r="C77" i="2"/>
  <c r="D77" i="2"/>
  <c r="C78" i="2"/>
  <c r="D78" i="2"/>
  <c r="C79" i="2"/>
  <c r="D79" i="2"/>
  <c r="C80" i="2"/>
  <c r="C81" i="2"/>
  <c r="D81" i="2"/>
  <c r="C82" i="2"/>
  <c r="D82" i="2"/>
  <c r="C83" i="2"/>
  <c r="D83" i="2"/>
  <c r="C84" i="2"/>
  <c r="C85" i="2"/>
  <c r="D85" i="2"/>
  <c r="C86" i="2"/>
  <c r="D86" i="2"/>
  <c r="C87" i="2"/>
  <c r="D87" i="2"/>
  <c r="C88" i="2"/>
  <c r="C89" i="2"/>
  <c r="D89" i="2"/>
  <c r="C90" i="2"/>
  <c r="D90" i="2"/>
  <c r="C91" i="2"/>
  <c r="D91" i="2"/>
  <c r="C92" i="2"/>
  <c r="C93" i="2"/>
  <c r="D93" i="2"/>
  <c r="C94" i="2"/>
  <c r="D94" i="2"/>
  <c r="C95" i="2"/>
  <c r="D95" i="2"/>
  <c r="C96" i="2"/>
  <c r="C97" i="2"/>
  <c r="D97" i="2"/>
  <c r="C98" i="2"/>
  <c r="D98" i="2"/>
  <c r="C99" i="2"/>
  <c r="D99" i="2"/>
  <c r="C100" i="2"/>
  <c r="C101" i="2"/>
  <c r="D101" i="2"/>
  <c r="C102" i="2"/>
  <c r="D102" i="2"/>
  <c r="C103" i="2"/>
  <c r="D103" i="2"/>
  <c r="C104" i="2"/>
  <c r="C105" i="2"/>
  <c r="D105" i="2"/>
  <c r="C106" i="2"/>
  <c r="D106" i="2"/>
  <c r="C107" i="2"/>
  <c r="D107" i="2"/>
  <c r="C108" i="2"/>
  <c r="C109" i="2"/>
  <c r="D109" i="2"/>
  <c r="C110" i="2"/>
  <c r="D110" i="2"/>
  <c r="C111" i="2"/>
  <c r="D111" i="2"/>
  <c r="C112" i="2"/>
  <c r="C113" i="2"/>
  <c r="D113" i="2"/>
  <c r="C114" i="2"/>
  <c r="D114" i="2"/>
  <c r="C115" i="2"/>
  <c r="D115" i="2"/>
  <c r="C116" i="2"/>
  <c r="C117" i="2"/>
  <c r="D117" i="2"/>
  <c r="C118" i="2"/>
  <c r="D118" i="2"/>
  <c r="C119" i="2"/>
  <c r="D119" i="2"/>
  <c r="C120" i="2"/>
  <c r="C121" i="2"/>
  <c r="D121" i="2"/>
  <c r="C122" i="2"/>
  <c r="D122" i="2"/>
  <c r="C123" i="2"/>
  <c r="D123" i="2"/>
  <c r="C124" i="2"/>
  <c r="C125" i="2"/>
  <c r="D125" i="2"/>
  <c r="C126" i="2"/>
  <c r="D126" i="2"/>
  <c r="C127" i="2"/>
  <c r="D127" i="2"/>
  <c r="C128" i="2"/>
  <c r="C129" i="2"/>
  <c r="D129" i="2"/>
  <c r="C130" i="2"/>
  <c r="D130" i="2"/>
  <c r="C131" i="2"/>
  <c r="D131" i="2"/>
  <c r="C132" i="2"/>
  <c r="C133" i="2"/>
  <c r="D133" i="2"/>
  <c r="C134" i="2"/>
  <c r="D134" i="2"/>
  <c r="C135" i="2"/>
  <c r="D135" i="2"/>
  <c r="C136" i="2"/>
  <c r="C137" i="2"/>
  <c r="D137" i="2"/>
  <c r="C138" i="2"/>
  <c r="D138" i="2"/>
  <c r="C139" i="2"/>
  <c r="D139" i="2"/>
  <c r="C140" i="2"/>
  <c r="C141" i="2"/>
  <c r="D141" i="2"/>
  <c r="C142" i="2"/>
  <c r="D142" i="2"/>
  <c r="C143" i="2"/>
  <c r="D143" i="2"/>
  <c r="C144" i="2"/>
  <c r="C145" i="2"/>
  <c r="D145" i="2"/>
  <c r="C146" i="2"/>
  <c r="D146" i="2"/>
  <c r="C147" i="2"/>
  <c r="D147" i="2"/>
  <c r="C148" i="2"/>
  <c r="C149" i="2"/>
  <c r="D149" i="2"/>
  <c r="C150" i="2"/>
  <c r="D150" i="2"/>
  <c r="C151" i="2"/>
  <c r="D151" i="2"/>
  <c r="C152" i="2"/>
  <c r="C153" i="2"/>
  <c r="D153" i="2"/>
  <c r="C154" i="2"/>
  <c r="D154" i="2"/>
  <c r="C155" i="2"/>
  <c r="D155" i="2"/>
  <c r="C156" i="2"/>
  <c r="C157" i="2"/>
  <c r="D157" i="2"/>
  <c r="C158" i="2"/>
  <c r="D158" i="2"/>
  <c r="C159" i="2"/>
  <c r="D159" i="2"/>
  <c r="C160" i="2"/>
  <c r="C161" i="2"/>
  <c r="D161" i="2"/>
  <c r="C162" i="2"/>
  <c r="D162" i="2"/>
  <c r="C163" i="2"/>
  <c r="D163" i="2"/>
  <c r="C164" i="2"/>
  <c r="C165" i="2"/>
  <c r="D165" i="2"/>
  <c r="C166" i="2"/>
  <c r="D166" i="2"/>
  <c r="C167" i="2"/>
  <c r="D167" i="2"/>
  <c r="C168" i="2"/>
  <c r="C169" i="2"/>
  <c r="D169" i="2"/>
  <c r="C170" i="2"/>
  <c r="D170" i="2"/>
  <c r="C171" i="2"/>
  <c r="C172" i="2"/>
  <c r="C173" i="2"/>
  <c r="D173" i="2"/>
  <c r="C174" i="2"/>
  <c r="D174" i="2"/>
  <c r="C175" i="2"/>
  <c r="D175" i="2"/>
  <c r="C176" i="2"/>
  <c r="C177" i="2"/>
  <c r="D177" i="2"/>
  <c r="C178" i="2"/>
  <c r="D178" i="2"/>
  <c r="C179" i="2"/>
  <c r="D179" i="2"/>
  <c r="C180" i="2"/>
  <c r="C181" i="2"/>
  <c r="D181" i="2"/>
  <c r="C182" i="2"/>
  <c r="D182" i="2"/>
  <c r="C183" i="2"/>
  <c r="D183" i="2"/>
  <c r="C184" i="2"/>
  <c r="C185" i="2"/>
  <c r="D185" i="2"/>
  <c r="C186" i="2"/>
  <c r="D186" i="2"/>
  <c r="C187" i="2"/>
  <c r="D187" i="2"/>
  <c r="C188" i="2"/>
  <c r="C189" i="2"/>
  <c r="D189" i="2"/>
  <c r="C190" i="2"/>
  <c r="D190" i="2"/>
  <c r="C191" i="2"/>
  <c r="D191" i="2"/>
  <c r="C192" i="2"/>
  <c r="C193" i="2"/>
  <c r="D193" i="2"/>
  <c r="C194" i="2"/>
  <c r="D194" i="2"/>
  <c r="C195" i="2"/>
  <c r="D195" i="2"/>
  <c r="C196" i="2"/>
  <c r="C197" i="2"/>
  <c r="D197" i="2"/>
  <c r="C198" i="2"/>
  <c r="D198" i="2"/>
  <c r="C199" i="2"/>
  <c r="D199" i="2"/>
  <c r="C200" i="2"/>
  <c r="C201" i="2"/>
  <c r="D201" i="2"/>
  <c r="C202" i="2"/>
  <c r="D202" i="2"/>
  <c r="C203" i="2"/>
  <c r="D203" i="2"/>
  <c r="C204" i="2"/>
  <c r="C205" i="2"/>
  <c r="D205" i="2"/>
  <c r="C206" i="2"/>
  <c r="D206" i="2"/>
  <c r="C207" i="2"/>
  <c r="D207" i="2"/>
  <c r="C208" i="2"/>
  <c r="C209" i="2"/>
  <c r="D209" i="2"/>
  <c r="C210" i="2"/>
  <c r="D210" i="2"/>
  <c r="C211" i="2"/>
  <c r="D211" i="2"/>
  <c r="C212" i="2"/>
  <c r="C213" i="2"/>
  <c r="D213" i="2"/>
  <c r="C214" i="2"/>
  <c r="D214" i="2"/>
  <c r="C215" i="2"/>
  <c r="D215" i="2"/>
  <c r="C216" i="2"/>
  <c r="C217" i="2"/>
  <c r="D217" i="2"/>
  <c r="C218" i="2"/>
  <c r="D218" i="2"/>
  <c r="C219" i="2"/>
  <c r="D219" i="2"/>
  <c r="C220" i="2"/>
  <c r="C221" i="2"/>
  <c r="D221" i="2"/>
  <c r="C222" i="2"/>
  <c r="D222" i="2"/>
  <c r="C223" i="2"/>
  <c r="D223" i="2"/>
  <c r="C224" i="2"/>
  <c r="C225" i="2"/>
  <c r="D225" i="2"/>
  <c r="C226" i="2"/>
  <c r="D226" i="2"/>
  <c r="C227" i="2"/>
  <c r="D227" i="2"/>
  <c r="C228" i="2"/>
  <c r="C229" i="2"/>
  <c r="D229" i="2"/>
  <c r="C230" i="2"/>
  <c r="D230" i="2"/>
  <c r="C231" i="2"/>
  <c r="D231" i="2"/>
  <c r="C232" i="2"/>
  <c r="C233" i="2"/>
  <c r="D233" i="2"/>
  <c r="C234" i="2"/>
  <c r="D234" i="2"/>
  <c r="C235" i="2"/>
  <c r="D235" i="2"/>
  <c r="C236" i="2"/>
  <c r="C237" i="2"/>
  <c r="D237" i="2"/>
  <c r="C238" i="2"/>
  <c r="D238" i="2"/>
  <c r="C239" i="2"/>
  <c r="D239" i="2"/>
  <c r="C240" i="2"/>
  <c r="C241" i="2"/>
  <c r="D241" i="2"/>
  <c r="C242" i="2"/>
  <c r="D242" i="2"/>
  <c r="C243" i="2"/>
  <c r="D243" i="2"/>
  <c r="C244" i="2"/>
  <c r="C245" i="2"/>
  <c r="D245" i="2"/>
  <c r="C246" i="2"/>
  <c r="D246" i="2"/>
  <c r="C247" i="2"/>
  <c r="D247" i="2"/>
  <c r="C248" i="2"/>
  <c r="C249" i="2"/>
  <c r="D249" i="2"/>
  <c r="C250" i="2"/>
  <c r="D250" i="2"/>
  <c r="C251" i="2"/>
  <c r="D251" i="2"/>
  <c r="C252" i="2"/>
  <c r="F242" i="2"/>
  <c r="G242" i="2"/>
  <c r="F231" i="2"/>
  <c r="G231" i="2"/>
  <c r="F223" i="2"/>
  <c r="G223" i="2"/>
  <c r="F215" i="2"/>
  <c r="G215" i="2"/>
  <c r="F207" i="2"/>
  <c r="G207" i="2"/>
  <c r="F197" i="2"/>
  <c r="G197" i="2"/>
  <c r="F189" i="2"/>
  <c r="G189" i="2"/>
  <c r="F181" i="2"/>
  <c r="G181" i="2"/>
  <c r="F173" i="2"/>
  <c r="G173" i="2"/>
  <c r="F165" i="2"/>
  <c r="G165" i="2"/>
  <c r="F157" i="2"/>
  <c r="G157" i="2"/>
  <c r="F201" i="2"/>
  <c r="G201" i="2"/>
  <c r="F232" i="2"/>
  <c r="G232" i="2"/>
  <c r="F224" i="2"/>
  <c r="G224" i="2"/>
  <c r="F216" i="2"/>
  <c r="G216" i="2"/>
  <c r="F208" i="2"/>
  <c r="G208" i="2"/>
  <c r="F198" i="2"/>
  <c r="G198" i="2"/>
  <c r="F190" i="2"/>
  <c r="G190" i="2"/>
  <c r="F182" i="2"/>
  <c r="G182" i="2"/>
  <c r="F174" i="2"/>
  <c r="G174" i="2"/>
  <c r="F166" i="2"/>
  <c r="G166" i="2"/>
  <c r="F158" i="2"/>
  <c r="G158" i="2"/>
  <c r="F151" i="2"/>
  <c r="G151" i="2"/>
  <c r="F143" i="2"/>
  <c r="G143" i="2"/>
  <c r="F135" i="2"/>
  <c r="G135" i="2"/>
  <c r="F127" i="2"/>
  <c r="G127" i="2"/>
  <c r="F119" i="2"/>
  <c r="G119" i="2"/>
  <c r="F111" i="2"/>
  <c r="G111" i="2"/>
  <c r="F107" i="2"/>
  <c r="G107" i="2"/>
  <c r="F103" i="2"/>
  <c r="G103" i="2"/>
  <c r="F99" i="2"/>
  <c r="G99" i="2"/>
  <c r="F95" i="2"/>
  <c r="G95" i="2"/>
  <c r="F91" i="2"/>
  <c r="G91" i="2"/>
  <c r="F87" i="2"/>
  <c r="G87" i="2"/>
  <c r="F83" i="2"/>
  <c r="G83" i="2"/>
  <c r="F79" i="2"/>
  <c r="G79" i="2"/>
  <c r="F75" i="2"/>
  <c r="G75" i="2"/>
  <c r="G71" i="2"/>
  <c r="G67" i="2"/>
  <c r="G63" i="2"/>
  <c r="G59" i="2"/>
  <c r="F152" i="2"/>
  <c r="G152" i="2"/>
  <c r="F144" i="2"/>
  <c r="G144" i="2"/>
  <c r="F136" i="2"/>
  <c r="G136" i="2"/>
  <c r="F128" i="2"/>
  <c r="G128" i="2"/>
  <c r="F120" i="2"/>
  <c r="G120" i="2"/>
  <c r="F112" i="2"/>
  <c r="G112" i="2"/>
  <c r="G53" i="2"/>
  <c r="G49" i="2"/>
  <c r="G45" i="2"/>
  <c r="G41" i="2"/>
  <c r="G37" i="2"/>
  <c r="G33" i="2"/>
  <c r="F203" i="2"/>
  <c r="G203" i="2"/>
  <c r="G22" i="2"/>
  <c r="G34" i="2"/>
  <c r="F238" i="2"/>
  <c r="G238" i="2"/>
  <c r="F229" i="2"/>
  <c r="G229" i="2"/>
  <c r="F221" i="2"/>
  <c r="G221" i="2"/>
  <c r="F213" i="2"/>
  <c r="G213" i="2"/>
  <c r="F205" i="2"/>
  <c r="G205" i="2"/>
  <c r="F195" i="2"/>
  <c r="G195" i="2"/>
  <c r="F187" i="2"/>
  <c r="G187" i="2"/>
  <c r="F179" i="2"/>
  <c r="G179" i="2"/>
  <c r="F171" i="2"/>
  <c r="G171" i="2"/>
  <c r="F163" i="2"/>
  <c r="G163" i="2"/>
  <c r="F155" i="2"/>
  <c r="G155" i="2"/>
  <c r="F240" i="2"/>
  <c r="G240" i="2"/>
  <c r="F230" i="2"/>
  <c r="G230" i="2"/>
  <c r="F222" i="2"/>
  <c r="G222" i="2"/>
  <c r="F214" i="2"/>
  <c r="G214" i="2"/>
  <c r="F206" i="2"/>
  <c r="G206" i="2"/>
  <c r="F196" i="2"/>
  <c r="G196" i="2"/>
  <c r="F188" i="2"/>
  <c r="G188" i="2"/>
  <c r="F180" i="2"/>
  <c r="G180" i="2"/>
  <c r="F172" i="2"/>
  <c r="G172" i="2"/>
  <c r="F164" i="2"/>
  <c r="G164" i="2"/>
  <c r="F156" i="2"/>
  <c r="G156" i="2"/>
  <c r="F149" i="2"/>
  <c r="G149" i="2"/>
  <c r="F141" i="2"/>
  <c r="G141" i="2"/>
  <c r="F133" i="2"/>
  <c r="G133" i="2"/>
  <c r="F125" i="2"/>
  <c r="G125" i="2"/>
  <c r="F117" i="2"/>
  <c r="G117" i="2"/>
  <c r="F110" i="2"/>
  <c r="G110" i="2"/>
  <c r="F106" i="2"/>
  <c r="G106" i="2"/>
  <c r="F102" i="2"/>
  <c r="G102" i="2"/>
  <c r="F98" i="2"/>
  <c r="G98" i="2"/>
  <c r="F94" i="2"/>
  <c r="G94" i="2"/>
  <c r="F90" i="2"/>
  <c r="G90" i="2"/>
  <c r="F86" i="2"/>
  <c r="G86" i="2"/>
  <c r="F82" i="2"/>
  <c r="G82" i="2"/>
  <c r="F78" i="2"/>
  <c r="G78" i="2"/>
  <c r="F74" i="2"/>
  <c r="G74" i="2"/>
  <c r="G70" i="2"/>
  <c r="G66" i="2"/>
  <c r="G62" i="2"/>
  <c r="G58" i="2"/>
  <c r="F150" i="2"/>
  <c r="G150" i="2"/>
  <c r="F142" i="2"/>
  <c r="G142" i="2"/>
  <c r="F134" i="2"/>
  <c r="G134" i="2"/>
  <c r="F126" i="2"/>
  <c r="G126" i="2"/>
  <c r="F118" i="2"/>
  <c r="G118" i="2"/>
  <c r="F154" i="2"/>
  <c r="G154" i="2"/>
  <c r="G52" i="2"/>
  <c r="G48" i="2"/>
  <c r="G44" i="2"/>
  <c r="G40" i="2"/>
  <c r="G36" i="2"/>
  <c r="G29" i="2"/>
  <c r="G30" i="2"/>
  <c r="G31" i="2"/>
  <c r="G32" i="2"/>
  <c r="G38" i="2"/>
  <c r="G25" i="2"/>
  <c r="F235" i="2"/>
  <c r="G235" i="2"/>
  <c r="F227" i="2"/>
  <c r="G227" i="2"/>
  <c r="F219" i="2"/>
  <c r="G219" i="2"/>
  <c r="F211" i="2"/>
  <c r="G211" i="2"/>
  <c r="F202" i="2"/>
  <c r="G202" i="2"/>
  <c r="F193" i="2"/>
  <c r="G193" i="2"/>
  <c r="F185" i="2"/>
  <c r="G185" i="2"/>
  <c r="F177" i="2"/>
  <c r="G177" i="2"/>
  <c r="F169" i="2"/>
  <c r="G169" i="2"/>
  <c r="F161" i="2"/>
  <c r="G161" i="2"/>
  <c r="F241" i="2"/>
  <c r="G241" i="2"/>
  <c r="F236" i="2"/>
  <c r="G236" i="2"/>
  <c r="F228" i="2"/>
  <c r="G228" i="2"/>
  <c r="F220" i="2"/>
  <c r="G220" i="2"/>
  <c r="F212" i="2"/>
  <c r="G212" i="2"/>
  <c r="F204" i="2"/>
  <c r="G204" i="2"/>
  <c r="F194" i="2"/>
  <c r="G194" i="2"/>
  <c r="F186" i="2"/>
  <c r="G186" i="2"/>
  <c r="F178" i="2"/>
  <c r="G178" i="2"/>
  <c r="F170" i="2"/>
  <c r="G170" i="2"/>
  <c r="F162" i="2"/>
  <c r="G162" i="2"/>
  <c r="F239" i="2"/>
  <c r="G239" i="2"/>
  <c r="F147" i="2"/>
  <c r="G147" i="2"/>
  <c r="F139" i="2"/>
  <c r="G139" i="2"/>
  <c r="F131" i="2"/>
  <c r="G131" i="2"/>
  <c r="F123" i="2"/>
  <c r="G123" i="2"/>
  <c r="F115" i="2"/>
  <c r="G115" i="2"/>
  <c r="F109" i="2"/>
  <c r="G109" i="2"/>
  <c r="F105" i="2"/>
  <c r="G105" i="2"/>
  <c r="F101" i="2"/>
  <c r="G101" i="2"/>
  <c r="F97" i="2"/>
  <c r="G97" i="2"/>
  <c r="F93" i="2"/>
  <c r="G93" i="2"/>
  <c r="F89" i="2"/>
  <c r="G89" i="2"/>
  <c r="F85" i="2"/>
  <c r="G85" i="2"/>
  <c r="F81" i="2"/>
  <c r="G81" i="2"/>
  <c r="F77" i="2"/>
  <c r="G77" i="2"/>
  <c r="F73" i="2"/>
  <c r="G73" i="2"/>
  <c r="G69" i="2"/>
  <c r="G65" i="2"/>
  <c r="G61" i="2"/>
  <c r="G57" i="2"/>
  <c r="F148" i="2"/>
  <c r="G148" i="2"/>
  <c r="F140" i="2"/>
  <c r="G140" i="2"/>
  <c r="F132" i="2"/>
  <c r="G132" i="2"/>
  <c r="F124" i="2"/>
  <c r="G124" i="2"/>
  <c r="F116" i="2"/>
  <c r="G116" i="2"/>
  <c r="G55" i="2"/>
  <c r="G51" i="2"/>
  <c r="G47" i="2"/>
  <c r="G43" i="2"/>
  <c r="G39" i="2"/>
  <c r="G35" i="2"/>
  <c r="G26" i="2"/>
  <c r="G23" i="2"/>
  <c r="G27" i="2"/>
  <c r="G24" i="2"/>
  <c r="F233" i="2"/>
  <c r="G233" i="2"/>
  <c r="F225" i="2"/>
  <c r="G225" i="2"/>
  <c r="F217" i="2"/>
  <c r="G217" i="2"/>
  <c r="F209" i="2"/>
  <c r="G209" i="2"/>
  <c r="F199" i="2"/>
  <c r="G199" i="2"/>
  <c r="F191" i="2"/>
  <c r="G191" i="2"/>
  <c r="F183" i="2"/>
  <c r="G183" i="2"/>
  <c r="F175" i="2"/>
  <c r="G175" i="2"/>
  <c r="F167" i="2"/>
  <c r="G167" i="2"/>
  <c r="F159" i="2"/>
  <c r="G159" i="2"/>
  <c r="F237" i="2"/>
  <c r="G237" i="2"/>
  <c r="F234" i="2"/>
  <c r="G234" i="2"/>
  <c r="F226" i="2"/>
  <c r="G226" i="2"/>
  <c r="F218" i="2"/>
  <c r="G218" i="2"/>
  <c r="F210" i="2"/>
  <c r="G210" i="2"/>
  <c r="F200" i="2"/>
  <c r="G200" i="2"/>
  <c r="F192" i="2"/>
  <c r="G192" i="2"/>
  <c r="F184" i="2"/>
  <c r="G184" i="2"/>
  <c r="F176" i="2"/>
  <c r="G176" i="2"/>
  <c r="F168" i="2"/>
  <c r="G168" i="2"/>
  <c r="F160" i="2"/>
  <c r="G160" i="2"/>
  <c r="F153" i="2"/>
  <c r="G153" i="2"/>
  <c r="F145" i="2"/>
  <c r="G145" i="2"/>
  <c r="F137" i="2"/>
  <c r="G137" i="2"/>
  <c r="F129" i="2"/>
  <c r="G129" i="2"/>
  <c r="F121" i="2"/>
  <c r="G121" i="2"/>
  <c r="F113" i="2"/>
  <c r="G113" i="2"/>
  <c r="F108" i="2"/>
  <c r="G108" i="2"/>
  <c r="F104" i="2"/>
  <c r="G104" i="2"/>
  <c r="F100" i="2"/>
  <c r="G100" i="2"/>
  <c r="F96" i="2"/>
  <c r="G96" i="2"/>
  <c r="F92" i="2"/>
  <c r="G92" i="2"/>
  <c r="F88" i="2"/>
  <c r="G88" i="2"/>
  <c r="F84" i="2"/>
  <c r="G84" i="2"/>
  <c r="F80" i="2"/>
  <c r="G80" i="2"/>
  <c r="F76" i="2"/>
  <c r="G76" i="2"/>
  <c r="G72" i="2"/>
  <c r="G68" i="2"/>
  <c r="G64" i="2"/>
  <c r="F60" i="2"/>
  <c r="G60" i="2"/>
  <c r="G56" i="2"/>
  <c r="F146" i="2"/>
  <c r="G146" i="2"/>
  <c r="F138" i="2"/>
  <c r="G138" i="2"/>
  <c r="F130" i="2"/>
  <c r="G130" i="2"/>
  <c r="F122" i="2"/>
  <c r="G122" i="2"/>
  <c r="F114" i="2"/>
  <c r="G114" i="2"/>
  <c r="G54" i="2"/>
  <c r="G50" i="2"/>
  <c r="G46" i="2"/>
  <c r="G42" i="2"/>
  <c r="G28" i="2"/>
  <c r="G176" i="6"/>
  <c r="G132" i="6"/>
  <c r="G32" i="6"/>
  <c r="G241" i="6"/>
  <c r="G242" i="6"/>
  <c r="G275" i="6"/>
  <c r="G171" i="6"/>
  <c r="G147" i="6"/>
  <c r="G202" i="6"/>
  <c r="G105" i="6"/>
  <c r="G104" i="6"/>
  <c r="G273" i="6"/>
  <c r="G67" i="6"/>
  <c r="G198" i="6"/>
  <c r="G186" i="6"/>
  <c r="G203" i="6"/>
  <c r="G281" i="6"/>
  <c r="G266" i="6"/>
  <c r="G27" i="6"/>
  <c r="G91" i="6"/>
  <c r="G229" i="6"/>
  <c r="G71" i="6"/>
  <c r="G213" i="6"/>
  <c r="G113" i="6"/>
  <c r="G216" i="6"/>
  <c r="G69" i="6"/>
  <c r="G292" i="6"/>
  <c r="G123" i="6"/>
  <c r="G75" i="6"/>
  <c r="G223" i="6"/>
  <c r="G145" i="6"/>
  <c r="G134" i="6"/>
  <c r="G227" i="6"/>
  <c r="G140" i="6"/>
  <c r="G184" i="6"/>
  <c r="G60" i="6"/>
  <c r="G247" i="6"/>
  <c r="G284" i="6"/>
  <c r="G220" i="6"/>
  <c r="G206" i="6"/>
  <c r="G41" i="6"/>
  <c r="G280" i="6"/>
  <c r="G110" i="6"/>
  <c r="G122" i="6"/>
  <c r="G117" i="6"/>
  <c r="G30" i="6"/>
  <c r="G272" i="6"/>
  <c r="G85" i="6"/>
  <c r="G114" i="6"/>
  <c r="G153" i="6"/>
  <c r="G173" i="6"/>
  <c r="G36" i="6"/>
  <c r="G78" i="6"/>
  <c r="G109" i="6"/>
  <c r="G142" i="6"/>
  <c r="G278" i="6"/>
  <c r="G221" i="6"/>
  <c r="G270" i="6"/>
  <c r="G215" i="6"/>
  <c r="G86" i="6"/>
  <c r="G191" i="6"/>
  <c r="G178" i="6"/>
  <c r="G208" i="6"/>
  <c r="G253" i="6"/>
  <c r="G204" i="6"/>
  <c r="G209" i="6"/>
  <c r="G211" i="6"/>
  <c r="G240" i="6"/>
  <c r="G68" i="6"/>
  <c r="G106" i="6"/>
  <c r="G156" i="6"/>
  <c r="G233" i="6"/>
  <c r="G279" i="6"/>
  <c r="G39" i="6"/>
  <c r="G218" i="6"/>
  <c r="G50" i="6"/>
  <c r="G170" i="6"/>
  <c r="G65" i="6"/>
  <c r="G265" i="6"/>
  <c r="G49" i="6"/>
  <c r="G226" i="6"/>
  <c r="G251" i="6"/>
  <c r="G28" i="6"/>
  <c r="G276" i="6"/>
  <c r="G180" i="6"/>
  <c r="G259" i="6"/>
  <c r="G196" i="6"/>
  <c r="G94" i="6"/>
  <c r="G52" i="6"/>
  <c r="G103" i="6"/>
  <c r="G197" i="6"/>
  <c r="G158" i="6"/>
  <c r="G239" i="6"/>
  <c r="G25" i="6"/>
  <c r="G146" i="6"/>
  <c r="G267" i="6"/>
  <c r="G172" i="6"/>
  <c r="G192" i="6"/>
  <c r="G252" i="6"/>
  <c r="G128" i="6"/>
  <c r="G64" i="6"/>
  <c r="G287" i="6"/>
  <c r="G141" i="6"/>
  <c r="G157" i="6"/>
  <c r="G256" i="6"/>
  <c r="G235" i="6"/>
  <c r="G56" i="6"/>
  <c r="G231" i="6"/>
  <c r="G62" i="6"/>
  <c r="G219" i="6"/>
  <c r="G286" i="6"/>
  <c r="G93" i="6"/>
  <c r="G37" i="6"/>
  <c r="G261" i="6"/>
  <c r="G97" i="6"/>
  <c r="G246" i="6"/>
  <c r="G46" i="6"/>
  <c r="G107" i="6"/>
  <c r="G168" i="6"/>
  <c r="G188" i="6"/>
  <c r="G77" i="6"/>
  <c r="G154" i="6"/>
  <c r="G181" i="6"/>
  <c r="G282" i="6"/>
  <c r="G81" i="6"/>
  <c r="G133" i="6"/>
  <c r="G193" i="6"/>
  <c r="G116" i="6"/>
  <c r="G205" i="6"/>
  <c r="G124" i="6"/>
  <c r="G24" i="6"/>
  <c r="G151" i="6"/>
  <c r="G31" i="6"/>
  <c r="G79" i="6"/>
  <c r="G164" i="6"/>
  <c r="G99" i="6"/>
  <c r="G108" i="6"/>
  <c r="G101" i="6"/>
  <c r="G288" i="6"/>
  <c r="G111" i="6"/>
  <c r="G222" i="6"/>
  <c r="G160" i="6"/>
  <c r="G43" i="6"/>
  <c r="G40" i="6"/>
  <c r="G187" i="6"/>
  <c r="G155" i="6"/>
  <c r="G290" i="6"/>
  <c r="G102" i="6"/>
  <c r="G98" i="6"/>
  <c r="G29" i="6"/>
  <c r="G212" i="6"/>
  <c r="G126" i="6"/>
  <c r="G234" i="6"/>
  <c r="G159" i="6"/>
  <c r="G152" i="6"/>
  <c r="G150" i="6"/>
  <c r="G74" i="6"/>
  <c r="G38" i="6"/>
  <c r="G162" i="6"/>
  <c r="G130" i="6"/>
  <c r="G169" i="6"/>
  <c r="G96" i="6"/>
  <c r="G217" i="6"/>
  <c r="G26" i="6"/>
  <c r="G225" i="6"/>
  <c r="G257" i="6"/>
  <c r="G274" i="6"/>
  <c r="G83" i="6"/>
  <c r="G127" i="6"/>
  <c r="G163" i="6"/>
  <c r="G177" i="6"/>
  <c r="G112" i="6"/>
  <c r="G237" i="6"/>
  <c r="G115" i="6"/>
  <c r="G165" i="6"/>
  <c r="G207" i="6"/>
  <c r="G254" i="6"/>
  <c r="G138" i="6"/>
  <c r="G230" i="6"/>
  <c r="G57" i="6"/>
  <c r="G175" i="6"/>
  <c r="G250" i="6"/>
  <c r="G262" i="6"/>
  <c r="G248" i="6"/>
  <c r="G148" i="6"/>
  <c r="G201" i="6"/>
  <c r="G182" i="6"/>
  <c r="G131" i="6"/>
  <c r="G119" i="6"/>
  <c r="G44" i="6"/>
  <c r="G76" i="6"/>
  <c r="G121" i="6"/>
  <c r="G58" i="6"/>
  <c r="G42" i="6"/>
  <c r="G80" i="6"/>
  <c r="G224" i="6"/>
  <c r="G210" i="6"/>
  <c r="G55" i="6"/>
  <c r="G139" i="6"/>
  <c r="G214" i="6"/>
  <c r="G129" i="6"/>
  <c r="G289" i="6"/>
  <c r="G82" i="6"/>
  <c r="G236" i="6"/>
  <c r="G90" i="6"/>
  <c r="G268" i="6"/>
  <c r="G249" i="6"/>
  <c r="G144" i="6"/>
  <c r="G277" i="6"/>
  <c r="G285" i="6"/>
  <c r="G255" i="6"/>
  <c r="G258" i="6"/>
  <c r="G189" i="6"/>
  <c r="G269" i="6"/>
  <c r="G51" i="6"/>
  <c r="G59" i="6"/>
  <c r="G174" i="6"/>
  <c r="G271" i="6"/>
  <c r="G48" i="6"/>
  <c r="G244" i="6"/>
  <c r="G161" i="6"/>
  <c r="G183" i="6"/>
  <c r="G135" i="6"/>
  <c r="G89" i="6"/>
  <c r="G167" i="6"/>
  <c r="G95" i="6"/>
  <c r="G61" i="6"/>
  <c r="G136" i="6"/>
  <c r="G149" i="6"/>
  <c r="G66" i="6"/>
  <c r="G70" i="6"/>
  <c r="G73" i="6"/>
  <c r="G92" i="6"/>
  <c r="G54" i="6"/>
  <c r="G143" i="6"/>
  <c r="G232" i="6"/>
  <c r="G190" i="6"/>
  <c r="G22" i="6"/>
  <c r="G47" i="6"/>
  <c r="G291" i="6"/>
  <c r="G185" i="6"/>
  <c r="G194" i="6"/>
  <c r="G34" i="6"/>
  <c r="G72" i="6"/>
  <c r="G238" i="6"/>
  <c r="G166" i="6"/>
  <c r="G200" i="6"/>
  <c r="G283" i="6"/>
  <c r="G84" i="6"/>
  <c r="G263" i="6"/>
  <c r="G179" i="6"/>
  <c r="G228" i="6"/>
  <c r="G245" i="6"/>
  <c r="G125" i="6"/>
  <c r="G53" i="6"/>
  <c r="G35" i="6"/>
  <c r="G118" i="6"/>
  <c r="G23" i="6"/>
  <c r="G63" i="6"/>
  <c r="G264" i="6"/>
  <c r="G120" i="6"/>
  <c r="G45" i="6"/>
  <c r="G195" i="6"/>
  <c r="G87" i="6"/>
  <c r="G199" i="6"/>
  <c r="G243" i="6"/>
  <c r="G88" i="6"/>
  <c r="G260" i="6"/>
  <c r="G100" i="6"/>
  <c r="G137" i="6"/>
  <c r="G33" i="6"/>
  <c r="G147" i="37"/>
  <c r="C147" i="37"/>
  <c r="D147" i="37"/>
  <c r="G164" i="33"/>
  <c r="C164" i="33"/>
  <c r="D164" i="33"/>
  <c r="F164" i="33"/>
  <c r="F229" i="19"/>
  <c r="D158" i="45"/>
  <c r="G311" i="13"/>
  <c r="D311" i="13"/>
  <c r="F311" i="13"/>
  <c r="G146" i="37"/>
  <c r="C146" i="37"/>
  <c r="D146" i="37"/>
  <c r="C282" i="23"/>
  <c r="D282" i="23"/>
  <c r="F282" i="23"/>
  <c r="G282" i="23"/>
  <c r="H282" i="23"/>
  <c r="C283" i="23"/>
  <c r="D283" i="23"/>
  <c r="F283" i="23"/>
  <c r="G283" i="23"/>
  <c r="H283" i="23"/>
  <c r="C284" i="23"/>
  <c r="D284" i="23"/>
  <c r="F284" i="23"/>
  <c r="G284" i="23"/>
  <c r="H284" i="23"/>
  <c r="C285" i="23"/>
  <c r="D285" i="23"/>
  <c r="F285" i="23"/>
  <c r="G285" i="23"/>
  <c r="H285" i="23"/>
  <c r="C286" i="23"/>
  <c r="D286" i="23"/>
  <c r="F286" i="23"/>
  <c r="G286" i="23"/>
  <c r="H286" i="23"/>
  <c r="D82" i="46"/>
  <c r="F82" i="46"/>
  <c r="H221" i="20"/>
  <c r="F97" i="41"/>
  <c r="G181" i="29"/>
  <c r="G176" i="32"/>
  <c r="G83" i="47"/>
  <c r="C83" i="47"/>
  <c r="D83" i="47"/>
  <c r="F83" i="47"/>
  <c r="G297" i="14"/>
  <c r="H297" i="14"/>
  <c r="F297" i="14"/>
  <c r="G178" i="30"/>
  <c r="C178" i="30"/>
  <c r="D178" i="30"/>
  <c r="F178" i="30"/>
  <c r="G39" i="48"/>
  <c r="C39" i="48"/>
  <c r="D39" i="48"/>
  <c r="F39" i="48"/>
  <c r="G163" i="33"/>
  <c r="C163" i="33"/>
  <c r="D163" i="33"/>
  <c r="F163" i="33"/>
  <c r="C32" i="49"/>
  <c r="D32" i="49"/>
  <c r="C33" i="49"/>
  <c r="D33" i="49"/>
  <c r="C34" i="49"/>
  <c r="D34" i="49"/>
  <c r="F32" i="49"/>
  <c r="F33" i="49"/>
  <c r="F34" i="49"/>
  <c r="C31" i="49"/>
  <c r="D31" i="49"/>
  <c r="F31" i="49"/>
  <c r="H220" i="20"/>
  <c r="F366" i="11"/>
  <c r="G366" i="11"/>
  <c r="G310" i="13"/>
  <c r="F310" i="13"/>
  <c r="G148" i="38"/>
  <c r="D81" i="46"/>
  <c r="F81" i="46"/>
  <c r="G38" i="48"/>
  <c r="C38" i="48"/>
  <c r="D38" i="48"/>
  <c r="F38" i="48"/>
  <c r="G296" i="14"/>
  <c r="H296" i="14"/>
  <c r="F296" i="14"/>
  <c r="G147" i="38"/>
  <c r="G177" i="30"/>
  <c r="C177" i="30"/>
  <c r="D177" i="30"/>
  <c r="F177" i="30"/>
  <c r="G180" i="29"/>
  <c r="G82" i="47"/>
  <c r="C82" i="47"/>
  <c r="D82" i="47"/>
  <c r="F82" i="47"/>
  <c r="C176" i="32"/>
  <c r="D176" i="32"/>
  <c r="C177" i="32"/>
  <c r="D177" i="32"/>
  <c r="C180" i="32"/>
  <c r="D180" i="32"/>
  <c r="F176" i="32"/>
  <c r="F177" i="32"/>
  <c r="F180" i="32"/>
  <c r="G175" i="32"/>
  <c r="C175" i="32"/>
  <c r="D175" i="32"/>
  <c r="F175" i="32"/>
  <c r="G146" i="38"/>
  <c r="G145" i="37"/>
  <c r="C145" i="37"/>
  <c r="D145" i="37"/>
  <c r="G309" i="13"/>
  <c r="F309" i="13"/>
  <c r="F365" i="11"/>
  <c r="G365" i="11"/>
  <c r="G37" i="48"/>
  <c r="C37" i="48"/>
  <c r="D37" i="48"/>
  <c r="F37" i="48"/>
  <c r="G162" i="33"/>
  <c r="C162" i="33"/>
  <c r="D162" i="33"/>
  <c r="F162" i="33"/>
  <c r="F346" i="25"/>
  <c r="G346" i="25"/>
  <c r="F347" i="25"/>
  <c r="G347" i="25"/>
  <c r="F348" i="25"/>
  <c r="G348" i="25"/>
  <c r="F349" i="25"/>
  <c r="G349" i="25"/>
  <c r="F350" i="25"/>
  <c r="G350" i="25"/>
  <c r="H219" i="20"/>
  <c r="G179" i="29"/>
  <c r="F95" i="41"/>
  <c r="F96" i="41"/>
  <c r="G176" i="30"/>
  <c r="C176" i="30"/>
  <c r="D176" i="30"/>
  <c r="F176" i="30"/>
  <c r="G174" i="32"/>
  <c r="C174" i="32"/>
  <c r="D174" i="32"/>
  <c r="F174" i="32"/>
  <c r="G81" i="47"/>
  <c r="C81" i="47"/>
  <c r="D81" i="47"/>
  <c r="F81" i="47"/>
  <c r="G145" i="38"/>
  <c r="G36" i="48"/>
  <c r="C36" i="48"/>
  <c r="D36" i="48"/>
  <c r="F36" i="48"/>
  <c r="F364" i="11"/>
  <c r="G364" i="11"/>
  <c r="G161" i="33"/>
  <c r="C161" i="33"/>
  <c r="D161" i="33"/>
  <c r="F161" i="33"/>
  <c r="H218" i="20"/>
  <c r="G308" i="13"/>
  <c r="F308" i="13"/>
  <c r="G144" i="37"/>
  <c r="C144" i="37"/>
  <c r="D144" i="37"/>
  <c r="F23" i="50"/>
  <c r="F22" i="50"/>
  <c r="F21" i="50"/>
  <c r="B8" i="50"/>
  <c r="G4" i="50"/>
  <c r="D207" i="22"/>
  <c r="F393" i="4"/>
  <c r="F394" i="4"/>
  <c r="F395" i="4"/>
  <c r="F396" i="4"/>
  <c r="G345" i="25"/>
  <c r="F294" i="14"/>
  <c r="G294" i="14"/>
  <c r="H294" i="14"/>
  <c r="F295" i="14"/>
  <c r="G295" i="14"/>
  <c r="H295" i="14"/>
  <c r="G175" i="30"/>
  <c r="C175" i="30"/>
  <c r="D175" i="30"/>
  <c r="F175" i="30"/>
  <c r="G178" i="29"/>
  <c r="C178" i="29"/>
  <c r="D178" i="29"/>
  <c r="C179" i="29"/>
  <c r="D179" i="29"/>
  <c r="C180" i="29"/>
  <c r="D180" i="29"/>
  <c r="C181" i="29"/>
  <c r="D181" i="29"/>
  <c r="C182" i="29"/>
  <c r="D182" i="29"/>
  <c r="F178" i="29"/>
  <c r="F179" i="29"/>
  <c r="F180" i="29"/>
  <c r="F181" i="29"/>
  <c r="F182" i="29"/>
  <c r="G80" i="47"/>
  <c r="C80" i="47"/>
  <c r="D80" i="47"/>
  <c r="F80" i="47"/>
  <c r="C29" i="49"/>
  <c r="D29" i="49"/>
  <c r="F29" i="49"/>
  <c r="C30" i="49"/>
  <c r="D30" i="49"/>
  <c r="F30" i="49"/>
  <c r="F224" i="19"/>
  <c r="F226" i="19"/>
  <c r="F227" i="19"/>
  <c r="D228" i="19"/>
  <c r="F228" i="19"/>
  <c r="F324" i="12"/>
  <c r="D325" i="12"/>
  <c r="F326" i="12"/>
  <c r="F327" i="12"/>
  <c r="F228" i="18"/>
  <c r="F229" i="18"/>
  <c r="F230" i="18"/>
  <c r="F231" i="18"/>
  <c r="F216" i="20"/>
  <c r="H216" i="20"/>
  <c r="H217" i="20"/>
  <c r="C152" i="35"/>
  <c r="D152" i="35"/>
  <c r="F152" i="35"/>
  <c r="G152" i="35"/>
  <c r="C153" i="35"/>
  <c r="D153" i="35"/>
  <c r="F153" i="35"/>
  <c r="G153" i="35"/>
  <c r="C154" i="35"/>
  <c r="D154" i="35"/>
  <c r="F154" i="35"/>
  <c r="G154" i="35"/>
  <c r="C155" i="35"/>
  <c r="D155" i="35"/>
  <c r="F155" i="35"/>
  <c r="G155" i="35"/>
  <c r="C156" i="35"/>
  <c r="D156" i="35"/>
  <c r="F156" i="35"/>
  <c r="G156" i="35"/>
  <c r="C157" i="35"/>
  <c r="D157" i="35"/>
  <c r="F157" i="35"/>
  <c r="G157" i="35"/>
  <c r="C158" i="35"/>
  <c r="D158" i="35"/>
  <c r="F158" i="35"/>
  <c r="G158" i="35"/>
  <c r="F360" i="11"/>
  <c r="G360" i="11"/>
  <c r="F361" i="11"/>
  <c r="G361" i="11"/>
  <c r="F362" i="11"/>
  <c r="G362" i="11"/>
  <c r="F363" i="11"/>
  <c r="G363" i="11"/>
  <c r="C95" i="40"/>
  <c r="D95" i="40"/>
  <c r="F95" i="40"/>
  <c r="C96" i="40"/>
  <c r="D96" i="40"/>
  <c r="F96" i="40"/>
  <c r="C97" i="40"/>
  <c r="D97" i="40"/>
  <c r="F97" i="40"/>
  <c r="C98" i="40"/>
  <c r="D98" i="40"/>
  <c r="F98" i="40"/>
  <c r="C99" i="40"/>
  <c r="D99" i="40"/>
  <c r="F99" i="40"/>
  <c r="C178" i="28"/>
  <c r="D178" i="28"/>
  <c r="F178" i="28"/>
  <c r="G178" i="28"/>
  <c r="C179" i="28"/>
  <c r="D179" i="28"/>
  <c r="F179" i="28"/>
  <c r="G179" i="28"/>
  <c r="C180" i="28"/>
  <c r="D180" i="28"/>
  <c r="F180" i="28"/>
  <c r="G180" i="28"/>
  <c r="C181" i="28"/>
  <c r="D181" i="28"/>
  <c r="F181" i="28"/>
  <c r="G181" i="28"/>
  <c r="C182" i="28"/>
  <c r="D182" i="28"/>
  <c r="F182" i="28"/>
  <c r="G182" i="28"/>
  <c r="G177" i="28"/>
  <c r="G34" i="48"/>
  <c r="G35" i="48"/>
  <c r="C34" i="48"/>
  <c r="D34" i="48"/>
  <c r="C35" i="48"/>
  <c r="D35" i="48"/>
  <c r="F34" i="48"/>
  <c r="F35" i="48"/>
  <c r="G304" i="13"/>
  <c r="G305" i="13"/>
  <c r="G306" i="13"/>
  <c r="G307" i="13"/>
  <c r="F304" i="13"/>
  <c r="F305" i="13"/>
  <c r="F306" i="13"/>
  <c r="F307" i="13"/>
  <c r="G143" i="37"/>
  <c r="C143" i="37"/>
  <c r="D143" i="37"/>
  <c r="F392" i="5"/>
  <c r="G392" i="5"/>
  <c r="F393" i="5"/>
  <c r="G393" i="5"/>
  <c r="F394" i="5"/>
  <c r="G394" i="5"/>
  <c r="F395" i="5"/>
  <c r="G395" i="5"/>
  <c r="F396" i="5"/>
  <c r="G396" i="5"/>
  <c r="F397" i="5"/>
  <c r="G397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D391" i="5"/>
  <c r="G388" i="5"/>
  <c r="G389" i="5"/>
  <c r="G390" i="5"/>
  <c r="F391" i="5"/>
  <c r="G391" i="5"/>
  <c r="G160" i="33"/>
  <c r="C160" i="33"/>
  <c r="D160" i="33"/>
  <c r="F160" i="33"/>
  <c r="C26" i="49"/>
  <c r="D26" i="49"/>
  <c r="F26" i="49"/>
  <c r="C27" i="49"/>
  <c r="D27" i="49"/>
  <c r="F27" i="49"/>
  <c r="C28" i="49"/>
  <c r="D28" i="49"/>
  <c r="F28" i="49"/>
  <c r="F25" i="49"/>
  <c r="C25" i="49"/>
  <c r="D25" i="49"/>
  <c r="F24" i="49"/>
  <c r="C24" i="49"/>
  <c r="D24" i="49"/>
  <c r="F23" i="49"/>
  <c r="C23" i="49"/>
  <c r="D23" i="49"/>
  <c r="F22" i="49"/>
  <c r="C22" i="49"/>
  <c r="D22" i="49"/>
  <c r="F21" i="49"/>
  <c r="C21" i="49"/>
  <c r="B8" i="49"/>
  <c r="G4" i="49"/>
  <c r="C277" i="23"/>
  <c r="D277" i="23"/>
  <c r="F277" i="23"/>
  <c r="G277" i="23"/>
  <c r="H277" i="23"/>
  <c r="C278" i="23"/>
  <c r="D278" i="23"/>
  <c r="F278" i="23"/>
  <c r="G278" i="23"/>
  <c r="H278" i="23"/>
  <c r="C279" i="23"/>
  <c r="D279" i="23"/>
  <c r="F279" i="23"/>
  <c r="G279" i="23"/>
  <c r="H279" i="23"/>
  <c r="C280" i="23"/>
  <c r="D280" i="23"/>
  <c r="F280" i="23"/>
  <c r="G280" i="23"/>
  <c r="H280" i="23"/>
  <c r="C281" i="23"/>
  <c r="D281" i="23"/>
  <c r="F281" i="23"/>
  <c r="G281" i="23"/>
  <c r="H281" i="23"/>
  <c r="G174" i="30"/>
  <c r="C174" i="30"/>
  <c r="D174" i="30"/>
  <c r="F174" i="30"/>
  <c r="D78" i="46"/>
  <c r="F78" i="46"/>
  <c r="D79" i="46"/>
  <c r="F79" i="46"/>
  <c r="D80" i="46"/>
  <c r="F80" i="46"/>
  <c r="G177" i="29"/>
  <c r="C177" i="29"/>
  <c r="D177" i="29"/>
  <c r="F177" i="29"/>
  <c r="D81" i="43"/>
  <c r="F79" i="43"/>
  <c r="F81" i="43"/>
  <c r="F82" i="43"/>
  <c r="F83" i="43"/>
  <c r="G344" i="25"/>
  <c r="G79" i="47"/>
  <c r="C79" i="47"/>
  <c r="D79" i="47"/>
  <c r="F79" i="47"/>
  <c r="F343" i="24"/>
  <c r="G343" i="24"/>
  <c r="F344" i="24"/>
  <c r="G344" i="24"/>
  <c r="F345" i="24"/>
  <c r="G345" i="24"/>
  <c r="F346" i="24"/>
  <c r="G346" i="24"/>
  <c r="F347" i="24"/>
  <c r="G347" i="24"/>
  <c r="F348" i="24"/>
  <c r="G348" i="24"/>
  <c r="F345" i="25"/>
  <c r="F218" i="20"/>
  <c r="F219" i="20"/>
  <c r="F220" i="20"/>
  <c r="F221" i="20"/>
  <c r="F391" i="4"/>
  <c r="D154" i="45"/>
  <c r="C144" i="38"/>
  <c r="D144" i="38"/>
  <c r="C145" i="38"/>
  <c r="D145" i="38"/>
  <c r="C146" i="38"/>
  <c r="D146" i="38"/>
  <c r="C147" i="38"/>
  <c r="D147" i="38"/>
  <c r="C148" i="38"/>
  <c r="D148" i="38"/>
  <c r="G142" i="38"/>
  <c r="G143" i="38"/>
  <c r="G144" i="38"/>
  <c r="F146" i="38"/>
  <c r="F147" i="38"/>
  <c r="F148" i="38"/>
  <c r="C142" i="38"/>
  <c r="D142" i="38"/>
  <c r="C143" i="38"/>
  <c r="D143" i="38"/>
  <c r="F142" i="38"/>
  <c r="F143" i="38"/>
  <c r="F144" i="38"/>
  <c r="F145" i="38"/>
  <c r="C93" i="40"/>
  <c r="D93" i="40"/>
  <c r="C94" i="40"/>
  <c r="D94" i="40"/>
  <c r="F93" i="40"/>
  <c r="F94" i="40"/>
  <c r="C63" i="40"/>
  <c r="D63" i="40"/>
  <c r="C64" i="40"/>
  <c r="D64" i="40"/>
  <c r="C65" i="40"/>
  <c r="D65" i="40"/>
  <c r="C66" i="40"/>
  <c r="D66" i="40"/>
  <c r="C67" i="40"/>
  <c r="D67" i="40"/>
  <c r="C68" i="40"/>
  <c r="D68" i="40"/>
  <c r="C69" i="40"/>
  <c r="C70" i="40"/>
  <c r="D70" i="40"/>
  <c r="C71" i="40"/>
  <c r="D71" i="40"/>
  <c r="C72" i="40"/>
  <c r="D72" i="40"/>
  <c r="C73" i="40"/>
  <c r="D73" i="40"/>
  <c r="C74" i="40"/>
  <c r="D74" i="40"/>
  <c r="C75" i="40"/>
  <c r="D75" i="40"/>
  <c r="C76" i="40"/>
  <c r="D76" i="40"/>
  <c r="C77" i="40"/>
  <c r="D77" i="40"/>
  <c r="C78" i="40"/>
  <c r="D78" i="40"/>
  <c r="C79" i="40"/>
  <c r="D79" i="40"/>
  <c r="C80" i="40"/>
  <c r="D80" i="40"/>
  <c r="C81" i="40"/>
  <c r="D81" i="40"/>
  <c r="C82" i="40"/>
  <c r="C83" i="40"/>
  <c r="D83" i="40"/>
  <c r="C84" i="40"/>
  <c r="D84" i="40"/>
  <c r="C85" i="40"/>
  <c r="D85" i="40"/>
  <c r="C86" i="40"/>
  <c r="D86" i="40"/>
  <c r="C87" i="40"/>
  <c r="D87" i="40"/>
  <c r="C88" i="40"/>
  <c r="D88" i="40"/>
  <c r="C89" i="40"/>
  <c r="D89" i="40"/>
  <c r="C90" i="40"/>
  <c r="D90" i="40"/>
  <c r="C91" i="40"/>
  <c r="D91" i="40"/>
  <c r="C92" i="40"/>
  <c r="D92" i="40"/>
  <c r="D69" i="40"/>
  <c r="D82" i="40"/>
  <c r="F63" i="40"/>
  <c r="F64" i="40"/>
  <c r="F65" i="40"/>
  <c r="F66" i="40"/>
  <c r="F67" i="40"/>
  <c r="F68" i="40"/>
  <c r="F69" i="40"/>
  <c r="F70" i="40"/>
  <c r="F71" i="40"/>
  <c r="F72" i="40"/>
  <c r="F73" i="40"/>
  <c r="F74" i="40"/>
  <c r="F75" i="40"/>
  <c r="F76" i="40"/>
  <c r="F77" i="40"/>
  <c r="F78" i="40"/>
  <c r="F79" i="40"/>
  <c r="F80" i="40"/>
  <c r="F81" i="40"/>
  <c r="F82" i="40"/>
  <c r="F83" i="40"/>
  <c r="F84" i="40"/>
  <c r="F85" i="40"/>
  <c r="F86" i="40"/>
  <c r="F87" i="40"/>
  <c r="F88" i="40"/>
  <c r="F89" i="40"/>
  <c r="F90" i="40"/>
  <c r="F91" i="40"/>
  <c r="F92" i="40"/>
  <c r="F323" i="12"/>
  <c r="G151" i="35"/>
  <c r="C151" i="35"/>
  <c r="D151" i="35"/>
  <c r="F151" i="35"/>
  <c r="G276" i="23"/>
  <c r="H276" i="23"/>
  <c r="C276" i="23"/>
  <c r="D276" i="23"/>
  <c r="F276" i="23"/>
  <c r="D77" i="46"/>
  <c r="F77" i="46"/>
  <c r="G176" i="28"/>
  <c r="C176" i="28"/>
  <c r="D176" i="28"/>
  <c r="C177" i="28"/>
  <c r="D177" i="28"/>
  <c r="F176" i="28"/>
  <c r="F177" i="28"/>
  <c r="F227" i="18"/>
  <c r="G291" i="14"/>
  <c r="H291" i="14"/>
  <c r="G292" i="14"/>
  <c r="H292" i="14"/>
  <c r="G293" i="14"/>
  <c r="H293" i="14"/>
  <c r="F293" i="14"/>
  <c r="F93" i="41"/>
  <c r="G172" i="32"/>
  <c r="G173" i="32"/>
  <c r="C172" i="32"/>
  <c r="D172" i="32"/>
  <c r="C173" i="32"/>
  <c r="D173" i="32"/>
  <c r="F172" i="32"/>
  <c r="F173" i="32"/>
  <c r="G23" i="48"/>
  <c r="G24" i="48"/>
  <c r="G25" i="48"/>
  <c r="G26" i="48"/>
  <c r="G27" i="48"/>
  <c r="G28" i="48"/>
  <c r="G29" i="48"/>
  <c r="G30" i="48"/>
  <c r="G31" i="48"/>
  <c r="G32" i="48"/>
  <c r="G33" i="48"/>
  <c r="G22" i="48"/>
  <c r="F21" i="48"/>
  <c r="F22" i="48"/>
  <c r="F23" i="48"/>
  <c r="F24" i="48"/>
  <c r="F25" i="48"/>
  <c r="F26" i="48"/>
  <c r="F27" i="48"/>
  <c r="F28" i="48"/>
  <c r="F29" i="48"/>
  <c r="F30" i="48"/>
  <c r="F31" i="48"/>
  <c r="F32" i="48"/>
  <c r="F33" i="48"/>
  <c r="C23" i="48"/>
  <c r="D23" i="48"/>
  <c r="C24" i="48"/>
  <c r="D24" i="48"/>
  <c r="C25" i="48"/>
  <c r="D25" i="48"/>
  <c r="C26" i="48"/>
  <c r="D26" i="48"/>
  <c r="C27" i="48"/>
  <c r="D27" i="48"/>
  <c r="C28" i="48"/>
  <c r="D28" i="48"/>
  <c r="C29" i="48"/>
  <c r="D29" i="48"/>
  <c r="C30" i="48"/>
  <c r="D30" i="48"/>
  <c r="C31" i="48"/>
  <c r="D31" i="48"/>
  <c r="C32" i="48"/>
  <c r="D32" i="48"/>
  <c r="C33" i="48"/>
  <c r="D33" i="48"/>
  <c r="C22" i="48"/>
  <c r="D22" i="48"/>
  <c r="C175" i="28"/>
  <c r="D175" i="28"/>
  <c r="F175" i="28"/>
  <c r="G175" i="28"/>
  <c r="F78" i="43"/>
  <c r="C150" i="35"/>
  <c r="D150" i="35"/>
  <c r="F150" i="35"/>
  <c r="G150" i="35"/>
  <c r="F92" i="41"/>
  <c r="C141" i="38"/>
  <c r="D141" i="38"/>
  <c r="F141" i="38"/>
  <c r="G141" i="38"/>
  <c r="C158" i="33"/>
  <c r="D158" i="33"/>
  <c r="F158" i="33"/>
  <c r="G158" i="33"/>
  <c r="C159" i="33"/>
  <c r="D159" i="33"/>
  <c r="F159" i="33"/>
  <c r="G159" i="33"/>
  <c r="F341" i="24"/>
  <c r="G341" i="24"/>
  <c r="F342" i="24"/>
  <c r="G342" i="24"/>
  <c r="D76" i="46"/>
  <c r="F76" i="46"/>
  <c r="C77" i="47"/>
  <c r="D77" i="47"/>
  <c r="F77" i="47"/>
  <c r="G77" i="47"/>
  <c r="C78" i="47"/>
  <c r="D78" i="47"/>
  <c r="F78" i="47"/>
  <c r="G78" i="47"/>
  <c r="C141" i="37"/>
  <c r="D141" i="37"/>
  <c r="G141" i="37"/>
  <c r="C142" i="37"/>
  <c r="D142" i="37"/>
  <c r="G142" i="37"/>
  <c r="C170" i="32"/>
  <c r="D170" i="32"/>
  <c r="F170" i="32"/>
  <c r="G170" i="32"/>
  <c r="C171" i="32"/>
  <c r="D171" i="32"/>
  <c r="F171" i="32"/>
  <c r="G171" i="32"/>
  <c r="F224" i="18"/>
  <c r="F225" i="18"/>
  <c r="F226" i="18"/>
  <c r="C175" i="29"/>
  <c r="D175" i="29"/>
  <c r="F175" i="29"/>
  <c r="G175" i="29"/>
  <c r="C176" i="29"/>
  <c r="D176" i="29"/>
  <c r="F176" i="29"/>
  <c r="G176" i="29"/>
  <c r="G22" i="35"/>
  <c r="C275" i="23"/>
  <c r="D275" i="23"/>
  <c r="F275" i="23"/>
  <c r="G275" i="23"/>
  <c r="H275" i="23"/>
  <c r="C172" i="30"/>
  <c r="D172" i="30"/>
  <c r="F172" i="30"/>
  <c r="G172" i="30"/>
  <c r="C173" i="30"/>
  <c r="D173" i="30"/>
  <c r="F173" i="30"/>
  <c r="G173" i="30"/>
  <c r="C21" i="48"/>
  <c r="B8" i="48"/>
  <c r="G4" i="48"/>
  <c r="F342" i="25"/>
  <c r="G342" i="25"/>
  <c r="F343" i="25"/>
  <c r="G343" i="25"/>
  <c r="F222" i="19"/>
  <c r="F223" i="19"/>
  <c r="F390" i="4"/>
  <c r="F291" i="14"/>
  <c r="F292" i="14"/>
  <c r="F91" i="41"/>
  <c r="D77" i="43"/>
  <c r="F77" i="43"/>
  <c r="F322" i="12"/>
  <c r="F389" i="4"/>
  <c r="F214" i="20"/>
  <c r="H214" i="20"/>
  <c r="F215" i="20"/>
  <c r="H215" i="20"/>
  <c r="C149" i="35"/>
  <c r="D149" i="35"/>
  <c r="F149" i="35"/>
  <c r="G149" i="35"/>
  <c r="F89" i="41"/>
  <c r="F90" i="41"/>
  <c r="C138" i="38"/>
  <c r="D138" i="38"/>
  <c r="F138" i="38"/>
  <c r="G138" i="38"/>
  <c r="C139" i="38"/>
  <c r="D139" i="38"/>
  <c r="F139" i="38"/>
  <c r="G139" i="38"/>
  <c r="C140" i="38"/>
  <c r="D140" i="38"/>
  <c r="F140" i="38"/>
  <c r="G140" i="38"/>
  <c r="C156" i="33"/>
  <c r="D156" i="33"/>
  <c r="F156" i="33"/>
  <c r="G156" i="33"/>
  <c r="C157" i="33"/>
  <c r="D157" i="33"/>
  <c r="F157" i="33"/>
  <c r="G157" i="33"/>
  <c r="F72" i="43"/>
  <c r="D73" i="43"/>
  <c r="F73" i="43"/>
  <c r="F74" i="43"/>
  <c r="F75" i="43"/>
  <c r="F76" i="43"/>
  <c r="C73" i="47"/>
  <c r="D73" i="47"/>
  <c r="F73" i="47"/>
  <c r="G73" i="47"/>
  <c r="C74" i="47"/>
  <c r="D74" i="47"/>
  <c r="F74" i="47"/>
  <c r="G74" i="47"/>
  <c r="C75" i="47"/>
  <c r="D75" i="47"/>
  <c r="F75" i="47"/>
  <c r="G75" i="47"/>
  <c r="C76" i="47"/>
  <c r="D76" i="47"/>
  <c r="F76" i="47"/>
  <c r="G76" i="47"/>
  <c r="D72" i="46"/>
  <c r="F72" i="46"/>
  <c r="D73" i="46"/>
  <c r="F73" i="46"/>
  <c r="D74" i="46"/>
  <c r="F74" i="46"/>
  <c r="D75" i="46"/>
  <c r="F75" i="46"/>
  <c r="C139" i="37"/>
  <c r="D139" i="37"/>
  <c r="G139" i="37"/>
  <c r="C140" i="37"/>
  <c r="D140" i="37"/>
  <c r="G140" i="37"/>
  <c r="C169" i="32"/>
  <c r="D169" i="32"/>
  <c r="F169" i="32"/>
  <c r="G169" i="32"/>
  <c r="C170" i="30"/>
  <c r="D170" i="30"/>
  <c r="F170" i="30"/>
  <c r="G170" i="30"/>
  <c r="C171" i="30"/>
  <c r="D171" i="30"/>
  <c r="F171" i="30"/>
  <c r="G171" i="30"/>
  <c r="C173" i="29"/>
  <c r="D173" i="29"/>
  <c r="F173" i="29"/>
  <c r="G173" i="29"/>
  <c r="C174" i="29"/>
  <c r="D174" i="29"/>
  <c r="F174" i="29"/>
  <c r="G174" i="29"/>
  <c r="C174" i="28"/>
  <c r="D174" i="28"/>
  <c r="F174" i="28"/>
  <c r="G174" i="28"/>
  <c r="F290" i="14"/>
  <c r="G290" i="14"/>
  <c r="H290" i="14"/>
  <c r="C273" i="23"/>
  <c r="D273" i="23"/>
  <c r="F273" i="23"/>
  <c r="G273" i="23"/>
  <c r="H273" i="23"/>
  <c r="C274" i="23"/>
  <c r="D274" i="23"/>
  <c r="F274" i="23"/>
  <c r="G274" i="23"/>
  <c r="H274" i="23"/>
  <c r="F213" i="20"/>
  <c r="H213" i="20"/>
  <c r="F339" i="25"/>
  <c r="G339" i="25"/>
  <c r="F340" i="25"/>
  <c r="G340" i="25"/>
  <c r="F341" i="25"/>
  <c r="G341" i="25"/>
  <c r="F218" i="19"/>
  <c r="F219" i="19"/>
  <c r="D220" i="19"/>
  <c r="F220" i="19"/>
  <c r="F221" i="19"/>
  <c r="D203" i="22"/>
  <c r="F320" i="12"/>
  <c r="F321" i="12"/>
  <c r="F340" i="24"/>
  <c r="G340" i="24"/>
  <c r="F388" i="4"/>
  <c r="F359" i="11"/>
  <c r="G359" i="11"/>
  <c r="G303" i="13"/>
  <c r="F303" i="13"/>
  <c r="G167" i="32"/>
  <c r="G168" i="32"/>
  <c r="F339" i="24"/>
  <c r="G339" i="24"/>
  <c r="G289" i="14"/>
  <c r="H289" i="14"/>
  <c r="F289" i="14"/>
  <c r="G387" i="5"/>
  <c r="G148" i="35"/>
  <c r="C148" i="35"/>
  <c r="D148" i="35"/>
  <c r="F148" i="35"/>
  <c r="G173" i="28"/>
  <c r="C173" i="28"/>
  <c r="D173" i="28"/>
  <c r="F173" i="28"/>
  <c r="F387" i="4"/>
  <c r="F336" i="24"/>
  <c r="G336" i="24"/>
  <c r="F337" i="24"/>
  <c r="G337" i="24"/>
  <c r="F338" i="24"/>
  <c r="G338" i="24"/>
  <c r="G172" i="28"/>
  <c r="G138" i="37"/>
  <c r="F358" i="11"/>
  <c r="G358" i="11"/>
  <c r="G302" i="13"/>
  <c r="G155" i="33"/>
  <c r="G272" i="23"/>
  <c r="H272" i="23"/>
  <c r="G172" i="29"/>
  <c r="H212" i="20"/>
  <c r="G147" i="35"/>
  <c r="G386" i="5"/>
  <c r="F384" i="4"/>
  <c r="F385" i="4"/>
  <c r="F386" i="4"/>
  <c r="G287" i="14"/>
  <c r="H287" i="14"/>
  <c r="G288" i="14"/>
  <c r="H288" i="14"/>
  <c r="F288" i="14"/>
  <c r="F287" i="14"/>
  <c r="G169" i="30"/>
  <c r="G137" i="38"/>
  <c r="F316" i="12"/>
  <c r="F317" i="12"/>
  <c r="F318" i="12"/>
  <c r="F319" i="12"/>
  <c r="G145" i="35"/>
  <c r="G146" i="35"/>
  <c r="C146" i="35"/>
  <c r="D146" i="35"/>
  <c r="C147" i="35"/>
  <c r="D147" i="35"/>
  <c r="F146" i="35"/>
  <c r="F147" i="35"/>
  <c r="D71" i="46"/>
  <c r="F71" i="46"/>
  <c r="G168" i="30"/>
  <c r="C155" i="33"/>
  <c r="D155" i="33"/>
  <c r="F155" i="33"/>
  <c r="F338" i="25"/>
  <c r="G338" i="25"/>
  <c r="G135" i="38"/>
  <c r="G136" i="38"/>
  <c r="C135" i="38"/>
  <c r="D135" i="38"/>
  <c r="C136" i="38"/>
  <c r="D136" i="38"/>
  <c r="C137" i="38"/>
  <c r="D137" i="38"/>
  <c r="F135" i="38"/>
  <c r="F136" i="38"/>
  <c r="F137" i="38"/>
  <c r="F88" i="41"/>
  <c r="F86" i="41"/>
  <c r="F87" i="41"/>
  <c r="G152" i="33"/>
  <c r="G153" i="33"/>
  <c r="G154" i="33"/>
  <c r="C153" i="33"/>
  <c r="D153" i="33"/>
  <c r="C154" i="33"/>
  <c r="D154" i="33"/>
  <c r="F153" i="33"/>
  <c r="F154" i="33"/>
  <c r="G135" i="37"/>
  <c r="G136" i="37"/>
  <c r="G137" i="37"/>
  <c r="C135" i="37"/>
  <c r="D135" i="37"/>
  <c r="C136" i="37"/>
  <c r="D136" i="37"/>
  <c r="C137" i="37"/>
  <c r="D137" i="37"/>
  <c r="C138" i="37"/>
  <c r="D138" i="37"/>
  <c r="G170" i="28"/>
  <c r="G171" i="28"/>
  <c r="C172" i="28"/>
  <c r="D172" i="28"/>
  <c r="F172" i="28"/>
  <c r="C170" i="28"/>
  <c r="D170" i="28"/>
  <c r="C171" i="28"/>
  <c r="D171" i="28"/>
  <c r="F170" i="28"/>
  <c r="F171" i="28"/>
  <c r="G270" i="23"/>
  <c r="H270" i="23"/>
  <c r="G271" i="23"/>
  <c r="H271" i="23"/>
  <c r="C270" i="23"/>
  <c r="D270" i="23"/>
  <c r="C271" i="23"/>
  <c r="D271" i="23"/>
  <c r="C272" i="23"/>
  <c r="D272" i="23"/>
  <c r="F270" i="23"/>
  <c r="F271" i="23"/>
  <c r="F272" i="23"/>
  <c r="G301" i="13"/>
  <c r="F301" i="13"/>
  <c r="F302" i="13"/>
  <c r="G385" i="5"/>
  <c r="D387" i="5"/>
  <c r="F356" i="11"/>
  <c r="G356" i="11"/>
  <c r="F357" i="11"/>
  <c r="G357" i="11"/>
  <c r="D223" i="18"/>
  <c r="F222" i="18"/>
  <c r="F223" i="18"/>
  <c r="F210" i="20"/>
  <c r="H210" i="20"/>
  <c r="F211" i="20"/>
  <c r="H211" i="20"/>
  <c r="F212" i="20"/>
  <c r="G169" i="29"/>
  <c r="G170" i="29"/>
  <c r="G171" i="29"/>
  <c r="C169" i="29"/>
  <c r="D169" i="29"/>
  <c r="C170" i="29"/>
  <c r="D170" i="29"/>
  <c r="C171" i="29"/>
  <c r="D171" i="29"/>
  <c r="C172" i="29"/>
  <c r="D172" i="29"/>
  <c r="F169" i="29"/>
  <c r="F170" i="29"/>
  <c r="F171" i="29"/>
  <c r="F172" i="29"/>
  <c r="C168" i="30"/>
  <c r="D168" i="30"/>
  <c r="C169" i="30"/>
  <c r="D169" i="30"/>
  <c r="F168" i="30"/>
  <c r="F169" i="30"/>
  <c r="G166" i="32"/>
  <c r="C166" i="32"/>
  <c r="D166" i="32"/>
  <c r="C167" i="32"/>
  <c r="D167" i="32"/>
  <c r="C168" i="32"/>
  <c r="D168" i="32"/>
  <c r="F166" i="32"/>
  <c r="F167" i="32"/>
  <c r="F168" i="32"/>
  <c r="G167" i="30"/>
  <c r="C167" i="30"/>
  <c r="D167" i="30"/>
  <c r="F167" i="30"/>
  <c r="G165" i="32"/>
  <c r="C165" i="32"/>
  <c r="D165" i="32"/>
  <c r="F165" i="32"/>
  <c r="D199" i="22"/>
  <c r="F220" i="18"/>
  <c r="F221" i="18"/>
  <c r="C145" i="35"/>
  <c r="D145" i="35"/>
  <c r="F145" i="35"/>
  <c r="G300" i="13"/>
  <c r="F300" i="13"/>
  <c r="G384" i="5"/>
  <c r="F337" i="25"/>
  <c r="G337" i="25"/>
  <c r="G286" i="14"/>
  <c r="H286" i="14"/>
  <c r="F286" i="14"/>
  <c r="D70" i="46"/>
  <c r="F70" i="46"/>
  <c r="G72" i="47"/>
  <c r="C72" i="47"/>
  <c r="D72" i="47"/>
  <c r="F72" i="47"/>
  <c r="F336" i="25"/>
  <c r="G336" i="25"/>
  <c r="F335" i="24"/>
  <c r="G335" i="24"/>
  <c r="F216" i="19"/>
  <c r="F217" i="19"/>
  <c r="G144" i="35"/>
  <c r="C144" i="35"/>
  <c r="D144" i="35"/>
  <c r="F144" i="35"/>
  <c r="C152" i="33"/>
  <c r="D152" i="33"/>
  <c r="F152" i="33"/>
  <c r="G71" i="47"/>
  <c r="C71" i="47"/>
  <c r="D71" i="47"/>
  <c r="F71" i="47"/>
  <c r="F355" i="11"/>
  <c r="G355" i="11"/>
  <c r="G269" i="23"/>
  <c r="H269" i="23"/>
  <c r="C269" i="23"/>
  <c r="D269" i="23"/>
  <c r="F269" i="23"/>
  <c r="G169" i="28"/>
  <c r="C169" i="28"/>
  <c r="D169" i="28"/>
  <c r="F169" i="28"/>
  <c r="G299" i="13"/>
  <c r="F299" i="13"/>
  <c r="G383" i="5"/>
  <c r="D383" i="5"/>
  <c r="H209" i="20"/>
  <c r="F209" i="20"/>
  <c r="G285" i="14"/>
  <c r="H285" i="14"/>
  <c r="F285" i="14"/>
  <c r="G166" i="30"/>
  <c r="C166" i="30"/>
  <c r="D166" i="30"/>
  <c r="F166" i="30"/>
  <c r="G164" i="32"/>
  <c r="G298" i="13"/>
  <c r="F298" i="13"/>
  <c r="F354" i="11"/>
  <c r="G354" i="11"/>
  <c r="F85" i="41"/>
  <c r="F71" i="43"/>
  <c r="G268" i="23"/>
  <c r="H268" i="23"/>
  <c r="C268" i="23"/>
  <c r="D268" i="23"/>
  <c r="F268" i="23"/>
  <c r="G143" i="35"/>
  <c r="C143" i="35"/>
  <c r="D143" i="35"/>
  <c r="F143" i="35"/>
  <c r="F219" i="18"/>
  <c r="G134" i="37"/>
  <c r="C134" i="37"/>
  <c r="D134" i="37"/>
  <c r="H208" i="20"/>
  <c r="F208" i="20"/>
  <c r="D69" i="46"/>
  <c r="F69" i="46"/>
  <c r="G151" i="33"/>
  <c r="C151" i="33"/>
  <c r="D151" i="33"/>
  <c r="F151" i="33"/>
  <c r="G168" i="29"/>
  <c r="C168" i="29"/>
  <c r="D168" i="29"/>
  <c r="F168" i="29"/>
  <c r="F335" i="25"/>
  <c r="G335" i="25"/>
  <c r="G168" i="28"/>
  <c r="C168" i="28"/>
  <c r="D168" i="28"/>
  <c r="F168" i="28"/>
  <c r="G382" i="5"/>
  <c r="G165" i="30"/>
  <c r="C165" i="30"/>
  <c r="D165" i="30"/>
  <c r="F165" i="30"/>
  <c r="F383" i="4"/>
  <c r="F334" i="24"/>
  <c r="G334" i="24"/>
  <c r="F70" i="43"/>
  <c r="F84" i="41"/>
  <c r="G284" i="14"/>
  <c r="H284" i="14"/>
  <c r="F284" i="14"/>
  <c r="G70" i="47"/>
  <c r="C70" i="47"/>
  <c r="D70" i="47"/>
  <c r="F70" i="47"/>
  <c r="G163" i="32"/>
  <c r="C163" i="32"/>
  <c r="D163" i="32"/>
  <c r="C164" i="32"/>
  <c r="D164" i="32"/>
  <c r="F163" i="32"/>
  <c r="F164" i="32"/>
  <c r="F214" i="19"/>
  <c r="F215" i="19"/>
  <c r="D215" i="19"/>
  <c r="G134" i="38"/>
  <c r="C134" i="38"/>
  <c r="D134" i="38"/>
  <c r="F134" i="38"/>
  <c r="G142" i="35"/>
  <c r="C142" i="35"/>
  <c r="D142" i="35"/>
  <c r="F142" i="35"/>
  <c r="F314" i="12"/>
  <c r="F315" i="12"/>
  <c r="F352" i="11"/>
  <c r="G352" i="11"/>
  <c r="F353" i="11"/>
  <c r="G353" i="11"/>
  <c r="G133" i="37"/>
  <c r="C133" i="37"/>
  <c r="D133" i="37"/>
  <c r="G297" i="13"/>
  <c r="F297" i="13"/>
  <c r="G381" i="5"/>
  <c r="G167" i="29"/>
  <c r="C167" i="29"/>
  <c r="D167" i="29"/>
  <c r="F167" i="29"/>
  <c r="D68" i="46"/>
  <c r="F68" i="46"/>
  <c r="G167" i="28"/>
  <c r="C167" i="28"/>
  <c r="D167" i="28"/>
  <c r="F167" i="28"/>
  <c r="G150" i="33"/>
  <c r="C150" i="33"/>
  <c r="D150" i="33"/>
  <c r="F150" i="33"/>
  <c r="G133" i="38"/>
  <c r="C133" i="38"/>
  <c r="D133" i="38"/>
  <c r="F133" i="38"/>
  <c r="F382" i="4"/>
  <c r="G267" i="23"/>
  <c r="H267" i="23"/>
  <c r="C267" i="23"/>
  <c r="D267" i="23"/>
  <c r="F267" i="23"/>
  <c r="G164" i="30"/>
  <c r="C164" i="30"/>
  <c r="D164" i="30"/>
  <c r="F164" i="30"/>
  <c r="H207" i="20"/>
  <c r="F207" i="20"/>
  <c r="F334" i="25"/>
  <c r="G334" i="25"/>
  <c r="F333" i="24"/>
  <c r="G333" i="24"/>
  <c r="G162" i="32"/>
  <c r="G283" i="14"/>
  <c r="H283" i="14"/>
  <c r="F283" i="14"/>
  <c r="G69" i="47"/>
  <c r="C69" i="47"/>
  <c r="D69" i="47"/>
  <c r="F69" i="47"/>
  <c r="G141" i="35"/>
  <c r="G149" i="33"/>
  <c r="H206" i="20"/>
  <c r="F333" i="25"/>
  <c r="G333" i="25"/>
  <c r="G296" i="13"/>
  <c r="G132" i="37"/>
  <c r="G266" i="23"/>
  <c r="H266" i="23"/>
  <c r="C266" i="23"/>
  <c r="D266" i="23"/>
  <c r="F266" i="23"/>
  <c r="G380" i="5"/>
  <c r="G166" i="28"/>
  <c r="G132" i="38"/>
  <c r="F381" i="4"/>
  <c r="G166" i="29"/>
  <c r="G163" i="30"/>
  <c r="C163" i="30"/>
  <c r="D163" i="30"/>
  <c r="F163" i="30"/>
  <c r="G68" i="47"/>
  <c r="F332" i="24"/>
  <c r="G332" i="24"/>
  <c r="G282" i="14"/>
  <c r="H282" i="14"/>
  <c r="G161" i="32"/>
  <c r="F213" i="19"/>
  <c r="F313" i="12"/>
  <c r="F216" i="18"/>
  <c r="F217" i="18"/>
  <c r="F218" i="18"/>
  <c r="G140" i="35"/>
  <c r="C140" i="35"/>
  <c r="D140" i="35"/>
  <c r="C141" i="35"/>
  <c r="D141" i="35"/>
  <c r="F140" i="35"/>
  <c r="F141" i="35"/>
  <c r="C166" i="29"/>
  <c r="D166" i="29"/>
  <c r="F166" i="29"/>
  <c r="G165" i="29"/>
  <c r="C165" i="29"/>
  <c r="D165" i="29"/>
  <c r="F165" i="29"/>
  <c r="F351" i="11"/>
  <c r="G351" i="11"/>
  <c r="F349" i="11"/>
  <c r="G349" i="11"/>
  <c r="F350" i="11"/>
  <c r="G350" i="11"/>
  <c r="G148" i="33"/>
  <c r="C148" i="33"/>
  <c r="D148" i="33"/>
  <c r="C149" i="33"/>
  <c r="D149" i="33"/>
  <c r="F148" i="33"/>
  <c r="F149" i="33"/>
  <c r="G295" i="13"/>
  <c r="F295" i="13"/>
  <c r="F296" i="13"/>
  <c r="H205" i="20"/>
  <c r="F205" i="20"/>
  <c r="F206" i="20"/>
  <c r="F380" i="4"/>
  <c r="G165" i="28"/>
  <c r="C165" i="28"/>
  <c r="D165" i="28"/>
  <c r="C166" i="28"/>
  <c r="D166" i="28"/>
  <c r="F165" i="28"/>
  <c r="F166" i="28"/>
  <c r="G131" i="37"/>
  <c r="D313" i="12"/>
  <c r="G162" i="30"/>
  <c r="C162" i="30"/>
  <c r="D162" i="30"/>
  <c r="F162" i="30"/>
  <c r="G379" i="5"/>
  <c r="D379" i="5"/>
  <c r="G281" i="14"/>
  <c r="H281" i="14"/>
  <c r="F281" i="14"/>
  <c r="F282" i="14"/>
  <c r="G265" i="23"/>
  <c r="H265" i="23"/>
  <c r="C265" i="23"/>
  <c r="D265" i="23"/>
  <c r="F265" i="23"/>
  <c r="F332" i="25"/>
  <c r="G332" i="25"/>
  <c r="D332" i="25"/>
  <c r="D69" i="43"/>
  <c r="F67" i="43"/>
  <c r="F68" i="43"/>
  <c r="F69" i="43"/>
  <c r="F83" i="41"/>
  <c r="F81" i="41"/>
  <c r="F82" i="41"/>
  <c r="G67" i="47"/>
  <c r="C67" i="47"/>
  <c r="D67" i="47"/>
  <c r="C68" i="47"/>
  <c r="D68" i="47"/>
  <c r="F67" i="47"/>
  <c r="F68" i="47"/>
  <c r="F331" i="24"/>
  <c r="G331" i="24"/>
  <c r="G160" i="32"/>
  <c r="C160" i="32"/>
  <c r="D160" i="32"/>
  <c r="C161" i="32"/>
  <c r="D161" i="32"/>
  <c r="C162" i="32"/>
  <c r="D162" i="32"/>
  <c r="F160" i="32"/>
  <c r="F161" i="32"/>
  <c r="F162" i="32"/>
  <c r="G131" i="38"/>
  <c r="C131" i="38"/>
  <c r="D131" i="38"/>
  <c r="C132" i="38"/>
  <c r="D132" i="38"/>
  <c r="F131" i="38"/>
  <c r="F132" i="38"/>
  <c r="F212" i="19"/>
  <c r="C131" i="37"/>
  <c r="D131" i="37"/>
  <c r="C132" i="37"/>
  <c r="D132" i="37"/>
  <c r="D195" i="22"/>
  <c r="D65" i="46"/>
  <c r="D66" i="46"/>
  <c r="D67" i="46"/>
  <c r="F65" i="46"/>
  <c r="F66" i="46"/>
  <c r="F67" i="46"/>
  <c r="D142" i="45"/>
  <c r="F215" i="18"/>
  <c r="G294" i="13"/>
  <c r="F294" i="13"/>
  <c r="G164" i="28"/>
  <c r="C164" i="28"/>
  <c r="D164" i="28"/>
  <c r="F164" i="28"/>
  <c r="G378" i="5"/>
  <c r="G264" i="23"/>
  <c r="H264" i="23"/>
  <c r="C264" i="23"/>
  <c r="D264" i="23"/>
  <c r="F264" i="23"/>
  <c r="H204" i="20"/>
  <c r="F204" i="20"/>
  <c r="G147" i="33"/>
  <c r="C147" i="33"/>
  <c r="D147" i="33"/>
  <c r="F147" i="33"/>
  <c r="F331" i="25"/>
  <c r="G331" i="25"/>
  <c r="F379" i="4"/>
  <c r="G130" i="37"/>
  <c r="C130" i="37"/>
  <c r="D130" i="37"/>
  <c r="G164" i="29"/>
  <c r="C164" i="29"/>
  <c r="D164" i="29"/>
  <c r="F164" i="29"/>
  <c r="G280" i="14"/>
  <c r="H280" i="14"/>
  <c r="F280" i="14"/>
  <c r="F312" i="12"/>
  <c r="F66" i="43"/>
  <c r="F80" i="41"/>
  <c r="G161" i="30"/>
  <c r="C161" i="30"/>
  <c r="D161" i="30"/>
  <c r="F161" i="30"/>
  <c r="G139" i="35"/>
  <c r="C139" i="35"/>
  <c r="D139" i="35"/>
  <c r="F139" i="35"/>
  <c r="G66" i="47"/>
  <c r="C66" i="47"/>
  <c r="D66" i="47"/>
  <c r="F66" i="47"/>
  <c r="G159" i="32"/>
  <c r="C159" i="32"/>
  <c r="D159" i="32"/>
  <c r="F159" i="32"/>
  <c r="F330" i="24"/>
  <c r="G330" i="24"/>
  <c r="G130" i="38"/>
  <c r="C130" i="38"/>
  <c r="D130" i="38"/>
  <c r="F130" i="38"/>
  <c r="F211" i="19"/>
  <c r="G138" i="35"/>
  <c r="C138" i="35"/>
  <c r="D138" i="35"/>
  <c r="F138" i="35"/>
  <c r="F311" i="12"/>
  <c r="G146" i="33"/>
  <c r="C146" i="33"/>
  <c r="D146" i="33"/>
  <c r="F146" i="33"/>
  <c r="G263" i="23"/>
  <c r="H263" i="23"/>
  <c r="C263" i="23"/>
  <c r="D263" i="23"/>
  <c r="F263" i="23"/>
  <c r="F214" i="18"/>
  <c r="D64" i="46"/>
  <c r="F64" i="46"/>
  <c r="G163" i="28"/>
  <c r="C163" i="28"/>
  <c r="D163" i="28"/>
  <c r="F163" i="28"/>
  <c r="G293" i="13"/>
  <c r="F293" i="13"/>
  <c r="G129" i="37"/>
  <c r="C129" i="37"/>
  <c r="D129" i="37"/>
  <c r="G376" i="5"/>
  <c r="G377" i="5"/>
  <c r="G162" i="29"/>
  <c r="G163" i="29"/>
  <c r="C163" i="29"/>
  <c r="D163" i="29"/>
  <c r="F163" i="29"/>
  <c r="G129" i="38"/>
  <c r="C129" i="38"/>
  <c r="D129" i="38"/>
  <c r="F129" i="38"/>
  <c r="F330" i="25"/>
  <c r="G330" i="25"/>
  <c r="F378" i="4"/>
  <c r="H203" i="20"/>
  <c r="F203" i="20"/>
  <c r="G279" i="14"/>
  <c r="H279" i="14"/>
  <c r="F279" i="14"/>
  <c r="G160" i="30"/>
  <c r="C160" i="30"/>
  <c r="D160" i="30"/>
  <c r="F160" i="30"/>
  <c r="G158" i="32"/>
  <c r="C158" i="32"/>
  <c r="D158" i="32"/>
  <c r="F158" i="32"/>
  <c r="F79" i="41"/>
  <c r="D65" i="43"/>
  <c r="F65" i="43"/>
  <c r="F329" i="24"/>
  <c r="G329" i="24"/>
  <c r="G65" i="47"/>
  <c r="C65" i="47"/>
  <c r="D65" i="47"/>
  <c r="F65" i="47"/>
  <c r="D191" i="22"/>
  <c r="G137" i="35"/>
  <c r="C137" i="35"/>
  <c r="D137" i="35"/>
  <c r="F137" i="35"/>
  <c r="G278" i="14"/>
  <c r="H278" i="14"/>
  <c r="F278" i="14"/>
  <c r="F348" i="11"/>
  <c r="G348" i="11"/>
  <c r="F210" i="19"/>
  <c r="F310" i="12"/>
  <c r="D63" i="46"/>
  <c r="F63" i="46"/>
  <c r="G159" i="30"/>
  <c r="C159" i="30"/>
  <c r="D159" i="30"/>
  <c r="F159" i="30"/>
  <c r="C162" i="29"/>
  <c r="D162" i="29"/>
  <c r="F162" i="29"/>
  <c r="G145" i="33"/>
  <c r="C145" i="33"/>
  <c r="D145" i="33"/>
  <c r="F145" i="33"/>
  <c r="F213" i="18"/>
  <c r="G162" i="28"/>
  <c r="C162" i="28"/>
  <c r="D162" i="28"/>
  <c r="F162" i="28"/>
  <c r="G292" i="13"/>
  <c r="F292" i="13"/>
  <c r="G128" i="37"/>
  <c r="C128" i="37"/>
  <c r="D128" i="37"/>
  <c r="G262" i="23"/>
  <c r="H262" i="23"/>
  <c r="C262" i="23"/>
  <c r="D262" i="23"/>
  <c r="F262" i="23"/>
  <c r="F328" i="24"/>
  <c r="G328" i="24"/>
  <c r="H202" i="20"/>
  <c r="F202" i="20"/>
  <c r="F64" i="43"/>
  <c r="F78" i="41"/>
  <c r="F329" i="25"/>
  <c r="G329" i="25"/>
  <c r="F377" i="4"/>
  <c r="G157" i="32"/>
  <c r="C157" i="32"/>
  <c r="D157" i="32"/>
  <c r="F157" i="32"/>
  <c r="G64" i="47"/>
  <c r="C64" i="47"/>
  <c r="D64" i="47"/>
  <c r="F64" i="47"/>
  <c r="F209" i="19"/>
  <c r="G128" i="38"/>
  <c r="C128" i="38"/>
  <c r="D128" i="38"/>
  <c r="F128" i="38"/>
  <c r="F309" i="12"/>
  <c r="G135" i="35"/>
  <c r="G136" i="35"/>
  <c r="C136" i="35"/>
  <c r="D136" i="35"/>
  <c r="F136" i="35"/>
  <c r="F308" i="12"/>
  <c r="C135" i="35"/>
  <c r="D135" i="35"/>
  <c r="F135" i="35"/>
  <c r="D62" i="46"/>
  <c r="F62" i="46"/>
  <c r="G161" i="28"/>
  <c r="C161" i="28"/>
  <c r="D161" i="28"/>
  <c r="F161" i="28"/>
  <c r="G144" i="33"/>
  <c r="C144" i="33"/>
  <c r="D144" i="33"/>
  <c r="F144" i="33"/>
  <c r="F346" i="11"/>
  <c r="G346" i="11"/>
  <c r="F347" i="11"/>
  <c r="G347" i="11"/>
  <c r="F212" i="18"/>
  <c r="G375" i="5"/>
  <c r="D375" i="5"/>
  <c r="G290" i="13"/>
  <c r="G291" i="13"/>
  <c r="F291" i="13"/>
  <c r="G127" i="37"/>
  <c r="C127" i="37"/>
  <c r="D127" i="37"/>
  <c r="G161" i="29"/>
  <c r="C161" i="29"/>
  <c r="D161" i="29"/>
  <c r="F161" i="29"/>
  <c r="F328" i="25"/>
  <c r="G328" i="25"/>
  <c r="D328" i="25"/>
  <c r="G261" i="23"/>
  <c r="H261" i="23"/>
  <c r="C261" i="23"/>
  <c r="D261" i="23"/>
  <c r="F261" i="23"/>
  <c r="H201" i="20"/>
  <c r="F201" i="20"/>
  <c r="G158" i="30"/>
  <c r="C158" i="30"/>
  <c r="D158" i="30"/>
  <c r="F158" i="30"/>
  <c r="G277" i="14"/>
  <c r="H277" i="14"/>
  <c r="F277" i="14"/>
  <c r="G63" i="47"/>
  <c r="C63" i="47"/>
  <c r="D63" i="47"/>
  <c r="F63" i="47"/>
  <c r="F211" i="18"/>
  <c r="F345" i="11"/>
  <c r="G345" i="11"/>
  <c r="G127" i="38"/>
  <c r="C127" i="38"/>
  <c r="D127" i="38"/>
  <c r="F127" i="38"/>
  <c r="F208" i="19"/>
  <c r="D208" i="19"/>
  <c r="G156" i="32"/>
  <c r="C156" i="32"/>
  <c r="D156" i="32"/>
  <c r="F156" i="32"/>
  <c r="F327" i="24"/>
  <c r="G327" i="24"/>
  <c r="F63" i="43"/>
  <c r="F77" i="41"/>
  <c r="F376" i="4"/>
  <c r="G62" i="47"/>
  <c r="C62" i="47"/>
  <c r="D62" i="47"/>
  <c r="F62" i="47"/>
  <c r="G260" i="23"/>
  <c r="H260" i="23"/>
  <c r="C260" i="23"/>
  <c r="D260" i="23"/>
  <c r="F260" i="23"/>
  <c r="G126" i="37"/>
  <c r="C126" i="37"/>
  <c r="D126" i="37"/>
  <c r="D61" i="46"/>
  <c r="F61" i="46"/>
  <c r="G143" i="33"/>
  <c r="C143" i="33"/>
  <c r="D143" i="33"/>
  <c r="F143" i="33"/>
  <c r="H200" i="20"/>
  <c r="F200" i="20"/>
  <c r="F290" i="13"/>
  <c r="G160" i="28"/>
  <c r="C160" i="28"/>
  <c r="D160" i="28"/>
  <c r="F160" i="28"/>
  <c r="G374" i="5"/>
  <c r="G276" i="14"/>
  <c r="H276" i="14"/>
  <c r="D276" i="14"/>
  <c r="F276" i="14"/>
  <c r="G157" i="30"/>
  <c r="C157" i="30"/>
  <c r="D157" i="30"/>
  <c r="F157" i="30"/>
  <c r="G160" i="29"/>
  <c r="C160" i="29"/>
  <c r="D160" i="29"/>
  <c r="F160" i="29"/>
  <c r="F375" i="4"/>
  <c r="F62" i="43"/>
  <c r="F76" i="41"/>
  <c r="F327" i="25"/>
  <c r="G327" i="25"/>
  <c r="F326" i="24"/>
  <c r="G326" i="24"/>
  <c r="G155" i="32"/>
  <c r="C155" i="32"/>
  <c r="D155" i="32"/>
  <c r="F155" i="32"/>
  <c r="G126" i="38"/>
  <c r="C126" i="38"/>
  <c r="D126" i="38"/>
  <c r="F126" i="38"/>
  <c r="F207" i="19"/>
  <c r="F326" i="25"/>
  <c r="G326" i="25"/>
  <c r="F307" i="12"/>
  <c r="F325" i="24"/>
  <c r="G325" i="24"/>
  <c r="F324" i="24"/>
  <c r="G324" i="24"/>
  <c r="G142" i="33"/>
  <c r="G259" i="23"/>
  <c r="H259" i="23"/>
  <c r="C259" i="23"/>
  <c r="D259" i="23"/>
  <c r="F259" i="23"/>
  <c r="F210" i="18"/>
  <c r="G134" i="35"/>
  <c r="C134" i="35"/>
  <c r="D134" i="35"/>
  <c r="F134" i="35"/>
  <c r="D60" i="46"/>
  <c r="F60" i="46"/>
  <c r="G125" i="38"/>
  <c r="C125" i="38"/>
  <c r="D125" i="38"/>
  <c r="F125" i="38"/>
  <c r="C142" i="33"/>
  <c r="D142" i="33"/>
  <c r="F142" i="33"/>
  <c r="G125" i="37"/>
  <c r="C125" i="37"/>
  <c r="D125" i="37"/>
  <c r="F374" i="4"/>
  <c r="G289" i="13"/>
  <c r="F289" i="13"/>
  <c r="G373" i="5"/>
  <c r="G156" i="30"/>
  <c r="C156" i="30"/>
  <c r="D156" i="30"/>
  <c r="F156" i="30"/>
  <c r="G275" i="14"/>
  <c r="H275" i="14"/>
  <c r="F275" i="14"/>
  <c r="G61" i="47"/>
  <c r="C61" i="47"/>
  <c r="D61" i="47"/>
  <c r="F61" i="47"/>
  <c r="D61" i="43"/>
  <c r="F61" i="43"/>
  <c r="F75" i="41"/>
  <c r="G258" i="23"/>
  <c r="H258" i="23"/>
  <c r="C258" i="23"/>
  <c r="D258" i="23"/>
  <c r="F258" i="23"/>
  <c r="H198" i="20"/>
  <c r="H199" i="20"/>
  <c r="F199" i="20"/>
  <c r="F198" i="20"/>
  <c r="G159" i="28"/>
  <c r="C159" i="28"/>
  <c r="D159" i="28"/>
  <c r="F159" i="28"/>
  <c r="G159" i="29"/>
  <c r="C159" i="29"/>
  <c r="D159" i="29"/>
  <c r="F159" i="29"/>
  <c r="G154" i="32"/>
  <c r="C154" i="32"/>
  <c r="D154" i="32"/>
  <c r="F154" i="32"/>
  <c r="F206" i="19"/>
  <c r="D187" i="22"/>
  <c r="F306" i="12"/>
  <c r="G141" i="33"/>
  <c r="C141" i="33"/>
  <c r="D141" i="33"/>
  <c r="F141" i="33"/>
  <c r="F344" i="11"/>
  <c r="G344" i="11"/>
  <c r="F209" i="18"/>
  <c r="G124" i="37"/>
  <c r="C124" i="37"/>
  <c r="D124" i="37"/>
  <c r="G288" i="13"/>
  <c r="F288" i="13"/>
  <c r="D59" i="46"/>
  <c r="F59" i="46"/>
  <c r="G371" i="5"/>
  <c r="G372" i="5"/>
  <c r="D371" i="5"/>
  <c r="G274" i="14"/>
  <c r="H274" i="14"/>
  <c r="F274" i="14"/>
  <c r="F373" i="4"/>
  <c r="G155" i="30"/>
  <c r="F325" i="25"/>
  <c r="G325" i="25"/>
  <c r="G158" i="29"/>
  <c r="C158" i="29"/>
  <c r="D158" i="29"/>
  <c r="F158" i="29"/>
  <c r="G158" i="28"/>
  <c r="C158" i="28"/>
  <c r="D158" i="28"/>
  <c r="F158" i="28"/>
  <c r="F60" i="43"/>
  <c r="F74" i="41"/>
  <c r="C155" i="30"/>
  <c r="D155" i="30"/>
  <c r="F155" i="30"/>
  <c r="G153" i="32"/>
  <c r="C153" i="32"/>
  <c r="D153" i="32"/>
  <c r="F153" i="32"/>
  <c r="G60" i="47"/>
  <c r="C60" i="47"/>
  <c r="D60" i="47"/>
  <c r="F60" i="47"/>
  <c r="G124" i="38"/>
  <c r="C124" i="38"/>
  <c r="D124" i="38"/>
  <c r="F124" i="38"/>
  <c r="G133" i="35"/>
  <c r="C133" i="35"/>
  <c r="D133" i="35"/>
  <c r="F133" i="35"/>
  <c r="F343" i="11"/>
  <c r="G343" i="11"/>
  <c r="G140" i="33"/>
  <c r="C140" i="33"/>
  <c r="D140" i="33"/>
  <c r="F140" i="33"/>
  <c r="F204" i="19"/>
  <c r="F205" i="19"/>
  <c r="F305" i="12"/>
  <c r="F208" i="18"/>
  <c r="G257" i="23"/>
  <c r="H257" i="23"/>
  <c r="C257" i="23"/>
  <c r="D257" i="23"/>
  <c r="F257" i="23"/>
  <c r="G123" i="38"/>
  <c r="C123" i="38"/>
  <c r="D123" i="38"/>
  <c r="F123" i="38"/>
  <c r="F324" i="25"/>
  <c r="G324" i="25"/>
  <c r="D324" i="25"/>
  <c r="H197" i="20"/>
  <c r="F197" i="20"/>
  <c r="F323" i="24"/>
  <c r="G323" i="24"/>
  <c r="G132" i="35"/>
  <c r="C132" i="35"/>
  <c r="D132" i="35"/>
  <c r="F132" i="35"/>
  <c r="D58" i="46"/>
  <c r="F58" i="46"/>
  <c r="G286" i="13"/>
  <c r="G287" i="13"/>
  <c r="F286" i="13"/>
  <c r="F287" i="13"/>
  <c r="G123" i="37"/>
  <c r="C123" i="37"/>
  <c r="D123" i="37"/>
  <c r="G273" i="14"/>
  <c r="H273" i="14"/>
  <c r="F273" i="14"/>
  <c r="G157" i="29"/>
  <c r="C157" i="29"/>
  <c r="D157" i="29"/>
  <c r="F157" i="29"/>
  <c r="F59" i="43"/>
  <c r="F73" i="41"/>
  <c r="F372" i="4"/>
  <c r="G152" i="32"/>
  <c r="C152" i="32"/>
  <c r="D152" i="32"/>
  <c r="F152" i="32"/>
  <c r="G157" i="28"/>
  <c r="C157" i="28"/>
  <c r="D157" i="28"/>
  <c r="F157" i="28"/>
  <c r="G154" i="30"/>
  <c r="C154" i="30"/>
  <c r="D154" i="30"/>
  <c r="F154" i="30"/>
  <c r="G59" i="47"/>
  <c r="C59" i="47"/>
  <c r="D59" i="47"/>
  <c r="F59" i="47"/>
  <c r="F304" i="12"/>
  <c r="D204" i="19"/>
  <c r="G131" i="35"/>
  <c r="C131" i="35"/>
  <c r="D131" i="35"/>
  <c r="F131" i="35"/>
  <c r="G156" i="28"/>
  <c r="C156" i="28"/>
  <c r="D156" i="28"/>
  <c r="F156" i="28"/>
  <c r="F207" i="18"/>
  <c r="F342" i="11"/>
  <c r="G342" i="11"/>
  <c r="D57" i="46"/>
  <c r="F57" i="46"/>
  <c r="G122" i="37"/>
  <c r="C122" i="37"/>
  <c r="D122" i="37"/>
  <c r="G256" i="23"/>
  <c r="H256" i="23"/>
  <c r="C256" i="23"/>
  <c r="D256" i="23"/>
  <c r="F256" i="23"/>
  <c r="G370" i="5"/>
  <c r="G139" i="33"/>
  <c r="C139" i="33"/>
  <c r="D139" i="33"/>
  <c r="F139" i="33"/>
  <c r="F58" i="43"/>
  <c r="F72" i="41"/>
  <c r="H196" i="20"/>
  <c r="F196" i="20"/>
  <c r="G272" i="14"/>
  <c r="H272" i="14"/>
  <c r="F272" i="14"/>
  <c r="F323" i="25"/>
  <c r="G323" i="25"/>
  <c r="G156" i="29"/>
  <c r="C156" i="29"/>
  <c r="D156" i="29"/>
  <c r="F156" i="29"/>
  <c r="G151" i="32"/>
  <c r="C151" i="32"/>
  <c r="D151" i="32"/>
  <c r="F151" i="32"/>
  <c r="G153" i="30"/>
  <c r="C153" i="30"/>
  <c r="D153" i="30"/>
  <c r="F153" i="30"/>
  <c r="G50" i="47"/>
  <c r="G51" i="47"/>
  <c r="G52" i="47"/>
  <c r="G53" i="47"/>
  <c r="G54" i="47"/>
  <c r="G55" i="47"/>
  <c r="G56" i="47"/>
  <c r="G57" i="47"/>
  <c r="G58" i="47"/>
  <c r="G49" i="47"/>
  <c r="C58" i="47"/>
  <c r="D58" i="47"/>
  <c r="F58" i="47"/>
  <c r="G122" i="38"/>
  <c r="C122" i="38"/>
  <c r="D122" i="38"/>
  <c r="F122" i="38"/>
  <c r="F206" i="18"/>
  <c r="F202" i="19"/>
  <c r="F203" i="19"/>
  <c r="D203" i="19"/>
  <c r="F322" i="24"/>
  <c r="G322" i="24"/>
  <c r="F371" i="4"/>
  <c r="G138" i="33"/>
  <c r="C138" i="33"/>
  <c r="D138" i="33"/>
  <c r="F138" i="33"/>
  <c r="G255" i="23"/>
  <c r="H255" i="23"/>
  <c r="C255" i="23"/>
  <c r="D255" i="23"/>
  <c r="F255" i="23"/>
  <c r="F341" i="11"/>
  <c r="G341" i="11"/>
  <c r="G285" i="13"/>
  <c r="F285" i="13"/>
  <c r="G121" i="37"/>
  <c r="C121" i="37"/>
  <c r="D121" i="37"/>
  <c r="F303" i="12"/>
  <c r="G155" i="28"/>
  <c r="C155" i="28"/>
  <c r="D155" i="28"/>
  <c r="F155" i="28"/>
  <c r="G369" i="5"/>
  <c r="G271" i="14"/>
  <c r="H271" i="14"/>
  <c r="F271" i="14"/>
  <c r="F322" i="25"/>
  <c r="G322" i="25"/>
  <c r="G155" i="29"/>
  <c r="C155" i="29"/>
  <c r="D155" i="29"/>
  <c r="F155" i="29"/>
  <c r="D57" i="43"/>
  <c r="F57" i="43"/>
  <c r="F71" i="41"/>
  <c r="D56" i="46"/>
  <c r="F56" i="46"/>
  <c r="F370" i="4"/>
  <c r="G121" i="38"/>
  <c r="C121" i="38"/>
  <c r="D121" i="38"/>
  <c r="F121" i="38"/>
  <c r="H195" i="20"/>
  <c r="F195" i="20"/>
  <c r="F321" i="24"/>
  <c r="G321" i="24"/>
  <c r="G150" i="32"/>
  <c r="C150" i="32"/>
  <c r="D150" i="32"/>
  <c r="F150" i="32"/>
  <c r="C57" i="47"/>
  <c r="D57" i="47"/>
  <c r="F57" i="47"/>
  <c r="G152" i="30"/>
  <c r="C152" i="30"/>
  <c r="D152" i="30"/>
  <c r="F152" i="30"/>
  <c r="F302" i="12"/>
  <c r="G130" i="35"/>
  <c r="C130" i="35"/>
  <c r="D130" i="35"/>
  <c r="F130" i="35"/>
  <c r="D183" i="22"/>
  <c r="G137" i="33"/>
  <c r="C137" i="33"/>
  <c r="D137" i="33"/>
  <c r="F137" i="33"/>
  <c r="G254" i="23"/>
  <c r="H254" i="23"/>
  <c r="C254" i="23"/>
  <c r="D254" i="23"/>
  <c r="F254" i="23"/>
  <c r="F56" i="43"/>
  <c r="F70" i="41"/>
  <c r="D55" i="46"/>
  <c r="F55" i="46"/>
  <c r="G284" i="13"/>
  <c r="F284" i="13"/>
  <c r="F339" i="11"/>
  <c r="G339" i="11"/>
  <c r="F340" i="11"/>
  <c r="G340" i="11"/>
  <c r="G368" i="5"/>
  <c r="G120" i="37"/>
  <c r="C120" i="37"/>
  <c r="D120" i="37"/>
  <c r="F205" i="18"/>
  <c r="H194" i="20"/>
  <c r="F194" i="20"/>
  <c r="F369" i="4"/>
  <c r="G270" i="14"/>
  <c r="H270" i="14"/>
  <c r="F270" i="14"/>
  <c r="F320" i="24"/>
  <c r="G320" i="24"/>
  <c r="C56" i="47"/>
  <c r="D56" i="47"/>
  <c r="F56" i="47"/>
  <c r="G153" i="28"/>
  <c r="G154" i="28"/>
  <c r="C154" i="28"/>
  <c r="D154" i="28"/>
  <c r="F154" i="28"/>
  <c r="C153" i="28"/>
  <c r="D153" i="28"/>
  <c r="F153" i="28"/>
  <c r="F321" i="25"/>
  <c r="G321" i="25"/>
  <c r="G149" i="32"/>
  <c r="C149" i="32"/>
  <c r="D149" i="32"/>
  <c r="F149" i="32"/>
  <c r="G151" i="30"/>
  <c r="C151" i="30"/>
  <c r="D151" i="30"/>
  <c r="F151" i="30"/>
  <c r="G154" i="29"/>
  <c r="C154" i="29"/>
  <c r="D154" i="29"/>
  <c r="F154" i="29"/>
  <c r="G129" i="35"/>
  <c r="C129" i="35"/>
  <c r="D129" i="35"/>
  <c r="F129" i="35"/>
  <c r="G128" i="35"/>
  <c r="C128" i="35"/>
  <c r="D128" i="35"/>
  <c r="F128" i="35"/>
  <c r="G120" i="38"/>
  <c r="C120" i="38"/>
  <c r="D120" i="38"/>
  <c r="F120" i="38"/>
  <c r="F201" i="19"/>
  <c r="F204" i="18"/>
  <c r="F301" i="12"/>
  <c r="F368" i="4"/>
  <c r="F320" i="25"/>
  <c r="G320" i="25"/>
  <c r="D320" i="25"/>
  <c r="H193" i="20"/>
  <c r="F193" i="20"/>
  <c r="G253" i="23"/>
  <c r="H253" i="23"/>
  <c r="C253" i="23"/>
  <c r="D253" i="23"/>
  <c r="F253" i="23"/>
  <c r="G136" i="33"/>
  <c r="C136" i="33"/>
  <c r="D136" i="33"/>
  <c r="F136" i="33"/>
  <c r="G283" i="13"/>
  <c r="F283" i="13"/>
  <c r="D54" i="46"/>
  <c r="F54" i="46"/>
  <c r="G118" i="37"/>
  <c r="G119" i="37"/>
  <c r="C119" i="37"/>
  <c r="D119" i="37"/>
  <c r="G367" i="5"/>
  <c r="D367" i="5"/>
  <c r="G150" i="30"/>
  <c r="C150" i="30"/>
  <c r="D150" i="30"/>
  <c r="F150" i="30"/>
  <c r="G135" i="33"/>
  <c r="C135" i="33"/>
  <c r="D135" i="33"/>
  <c r="F135" i="33"/>
  <c r="C55" i="47"/>
  <c r="D55" i="47"/>
  <c r="F55" i="47"/>
  <c r="G269" i="14"/>
  <c r="H269" i="14"/>
  <c r="F269" i="14"/>
  <c r="G153" i="29"/>
  <c r="C153" i="29"/>
  <c r="D153" i="29"/>
  <c r="F153" i="29"/>
  <c r="F55" i="43"/>
  <c r="F69" i="41"/>
  <c r="F319" i="24"/>
  <c r="G319" i="24"/>
  <c r="G148" i="32"/>
  <c r="C148" i="32"/>
  <c r="D148" i="32"/>
  <c r="F148" i="32"/>
  <c r="F300" i="12"/>
  <c r="F337" i="11"/>
  <c r="G337" i="11"/>
  <c r="F338" i="11"/>
  <c r="G338" i="11"/>
  <c r="G252" i="23"/>
  <c r="H252" i="23"/>
  <c r="C252" i="23"/>
  <c r="D252" i="23"/>
  <c r="F252" i="23"/>
  <c r="C118" i="37"/>
  <c r="D118" i="37"/>
  <c r="F203" i="18"/>
  <c r="G152" i="28"/>
  <c r="C152" i="28"/>
  <c r="D152" i="28"/>
  <c r="F152" i="28"/>
  <c r="G282" i="13"/>
  <c r="F282" i="13"/>
  <c r="G268" i="14"/>
  <c r="H268" i="14"/>
  <c r="F268" i="14"/>
  <c r="G149" i="30"/>
  <c r="C149" i="30"/>
  <c r="D149" i="30"/>
  <c r="F149" i="30"/>
  <c r="G366" i="5"/>
  <c r="G119" i="38"/>
  <c r="C119" i="38"/>
  <c r="D119" i="38"/>
  <c r="F119" i="38"/>
  <c r="F200" i="19"/>
  <c r="F367" i="4"/>
  <c r="H192" i="20"/>
  <c r="F192" i="20"/>
  <c r="G152" i="29"/>
  <c r="C152" i="29"/>
  <c r="D152" i="29"/>
  <c r="F152" i="29"/>
  <c r="F54" i="43"/>
  <c r="F68" i="41"/>
  <c r="F318" i="25"/>
  <c r="G318" i="25"/>
  <c r="F319" i="25"/>
  <c r="G319" i="25"/>
  <c r="G147" i="32"/>
  <c r="C147" i="32"/>
  <c r="D147" i="32"/>
  <c r="F147" i="32"/>
  <c r="F318" i="24"/>
  <c r="G318" i="24"/>
  <c r="C54" i="47"/>
  <c r="D54" i="47"/>
  <c r="F54" i="47"/>
  <c r="D53" i="46"/>
  <c r="F53" i="46"/>
  <c r="G127" i="35"/>
  <c r="C127" i="35"/>
  <c r="D127" i="35"/>
  <c r="F127" i="35"/>
  <c r="F298" i="12"/>
  <c r="F299" i="12"/>
  <c r="G281" i="13"/>
  <c r="F281" i="13"/>
  <c r="F199" i="19"/>
  <c r="G118" i="38"/>
  <c r="C118" i="38"/>
  <c r="D118" i="38"/>
  <c r="F118" i="38"/>
  <c r="G365" i="5"/>
  <c r="G267" i="14"/>
  <c r="H267" i="14"/>
  <c r="F267" i="14"/>
  <c r="G134" i="33"/>
  <c r="C134" i="33"/>
  <c r="D134" i="33"/>
  <c r="F134" i="33"/>
  <c r="G126" i="35"/>
  <c r="C126" i="35"/>
  <c r="D126" i="35"/>
  <c r="F126" i="35"/>
  <c r="G251" i="23"/>
  <c r="H251" i="23"/>
  <c r="C251" i="23"/>
  <c r="D251" i="23"/>
  <c r="F251" i="23"/>
  <c r="F317" i="24"/>
  <c r="G317" i="24"/>
  <c r="F202" i="18"/>
  <c r="F336" i="11"/>
  <c r="G336" i="11"/>
  <c r="G151" i="28"/>
  <c r="C151" i="28"/>
  <c r="D151" i="28"/>
  <c r="F151" i="28"/>
  <c r="F366" i="4"/>
  <c r="D52" i="46"/>
  <c r="F52" i="46"/>
  <c r="G117" i="37"/>
  <c r="C117" i="37"/>
  <c r="D117" i="37"/>
  <c r="H191" i="20"/>
  <c r="G148" i="30"/>
  <c r="C148" i="30"/>
  <c r="D148" i="30"/>
  <c r="F148" i="30"/>
  <c r="G151" i="29"/>
  <c r="C151" i="29"/>
  <c r="D151" i="29"/>
  <c r="F151" i="29"/>
  <c r="F191" i="20"/>
  <c r="F67" i="41"/>
  <c r="D53" i="43"/>
  <c r="F53" i="43"/>
  <c r="F317" i="25"/>
  <c r="G317" i="25"/>
  <c r="C53" i="47"/>
  <c r="D53" i="47"/>
  <c r="F53" i="47"/>
  <c r="G146" i="32"/>
  <c r="C146" i="32"/>
  <c r="D146" i="32"/>
  <c r="F146" i="32"/>
  <c r="F197" i="19"/>
  <c r="F198" i="19"/>
  <c r="G117" i="38"/>
  <c r="C117" i="38"/>
  <c r="D117" i="38"/>
  <c r="F117" i="38"/>
  <c r="G133" i="33"/>
  <c r="C133" i="33"/>
  <c r="D133" i="33"/>
  <c r="F133" i="33"/>
  <c r="G250" i="23"/>
  <c r="H250" i="23"/>
  <c r="C250" i="23"/>
  <c r="D250" i="23"/>
  <c r="F250" i="23"/>
  <c r="D179" i="2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G116" i="37"/>
  <c r="C116" i="37"/>
  <c r="D116" i="37"/>
  <c r="G125" i="35"/>
  <c r="C125" i="35"/>
  <c r="D125" i="35"/>
  <c r="F125" i="35"/>
  <c r="F201" i="18"/>
  <c r="F365" i="4"/>
  <c r="D51" i="46"/>
  <c r="F51" i="46"/>
  <c r="G150" i="28"/>
  <c r="C150" i="28"/>
  <c r="D150" i="28"/>
  <c r="F150" i="28"/>
  <c r="G364" i="5"/>
  <c r="G280" i="13"/>
  <c r="F280" i="13"/>
  <c r="G150" i="29"/>
  <c r="C150" i="29"/>
  <c r="D150" i="29"/>
  <c r="F150" i="29"/>
  <c r="H190" i="20"/>
  <c r="F190" i="20"/>
  <c r="G266" i="14"/>
  <c r="H266" i="14"/>
  <c r="F266" i="14"/>
  <c r="G147" i="30"/>
  <c r="C147" i="30"/>
  <c r="D147" i="30"/>
  <c r="F147" i="30"/>
  <c r="F66" i="41"/>
  <c r="F52" i="43"/>
  <c r="F316" i="24"/>
  <c r="G316" i="24"/>
  <c r="C52" i="47"/>
  <c r="D52" i="47"/>
  <c r="F52" i="47"/>
  <c r="F316" i="25"/>
  <c r="G316" i="25"/>
  <c r="G145" i="32"/>
  <c r="C145" i="32"/>
  <c r="D145" i="32"/>
  <c r="F145" i="32"/>
  <c r="D297" i="12"/>
  <c r="F335" i="11"/>
  <c r="G335" i="11"/>
  <c r="G124" i="35"/>
  <c r="C124" i="35"/>
  <c r="D124" i="35"/>
  <c r="F124" i="35"/>
  <c r="G116" i="38"/>
  <c r="C116" i="38"/>
  <c r="D116" i="38"/>
  <c r="F116" i="38"/>
  <c r="F196" i="19"/>
  <c r="G132" i="33"/>
  <c r="C132" i="33"/>
  <c r="D132" i="33"/>
  <c r="F132" i="33"/>
  <c r="F200" i="18"/>
  <c r="D50" i="46"/>
  <c r="F50" i="46"/>
  <c r="G115" i="37"/>
  <c r="C115" i="37"/>
  <c r="D115" i="37"/>
  <c r="G279" i="13"/>
  <c r="F279" i="13"/>
  <c r="F333" i="11"/>
  <c r="G333" i="11"/>
  <c r="F334" i="11"/>
  <c r="G334" i="11"/>
  <c r="G363" i="5"/>
  <c r="D363" i="5"/>
  <c r="G265" i="14"/>
  <c r="H265" i="14"/>
  <c r="F265" i="14"/>
  <c r="G249" i="23"/>
  <c r="H249" i="23"/>
  <c r="C249" i="23"/>
  <c r="D249" i="23"/>
  <c r="F249" i="23"/>
  <c r="G149" i="28"/>
  <c r="C149" i="28"/>
  <c r="D149" i="28"/>
  <c r="F149" i="28"/>
  <c r="F364" i="4"/>
  <c r="H189" i="20"/>
  <c r="F189" i="20"/>
  <c r="F51" i="43"/>
  <c r="F65" i="41"/>
  <c r="F314" i="24"/>
  <c r="G314" i="24"/>
  <c r="F315" i="24"/>
  <c r="G315" i="24"/>
  <c r="C51" i="47"/>
  <c r="D51" i="47"/>
  <c r="F51" i="47"/>
  <c r="G144" i="32"/>
  <c r="C144" i="32"/>
  <c r="D144" i="32"/>
  <c r="F144" i="32"/>
  <c r="G146" i="30"/>
  <c r="C146" i="30"/>
  <c r="D146" i="30"/>
  <c r="F146" i="30"/>
  <c r="G149" i="29"/>
  <c r="C149" i="29"/>
  <c r="D149" i="29"/>
  <c r="F149" i="29"/>
  <c r="G114" i="37"/>
  <c r="C114" i="37"/>
  <c r="D114" i="37"/>
  <c r="D199" i="18"/>
  <c r="F199" i="18"/>
  <c r="G123" i="35"/>
  <c r="C123" i="35"/>
  <c r="D123" i="35"/>
  <c r="F123" i="35"/>
  <c r="G248" i="23"/>
  <c r="H248" i="23"/>
  <c r="C248" i="23"/>
  <c r="D248" i="23"/>
  <c r="F248" i="23"/>
  <c r="G115" i="38"/>
  <c r="C115" i="38"/>
  <c r="D115" i="38"/>
  <c r="F115" i="38"/>
  <c r="D49" i="46"/>
  <c r="F49" i="46"/>
  <c r="G131" i="33"/>
  <c r="C131" i="33"/>
  <c r="D131" i="33"/>
  <c r="F131" i="33"/>
  <c r="G114" i="38"/>
  <c r="C114" i="38"/>
  <c r="D114" i="38"/>
  <c r="F114" i="38"/>
  <c r="F195" i="19"/>
  <c r="D196" i="19"/>
  <c r="F315" i="25"/>
  <c r="G315" i="25"/>
  <c r="G148" i="28"/>
  <c r="C148" i="28"/>
  <c r="D148" i="28"/>
  <c r="F148" i="28"/>
  <c r="F362" i="4"/>
  <c r="F363" i="4"/>
  <c r="G278" i="13"/>
  <c r="F278" i="13"/>
  <c r="G143" i="32"/>
  <c r="C143" i="32"/>
  <c r="D143" i="32"/>
  <c r="F143" i="32"/>
  <c r="C50" i="47"/>
  <c r="D50" i="47"/>
  <c r="F50" i="47"/>
  <c r="G264" i="14"/>
  <c r="H264" i="14"/>
  <c r="F264" i="14"/>
  <c r="G145" i="30"/>
  <c r="C145" i="30"/>
  <c r="D145" i="30"/>
  <c r="F145" i="30"/>
  <c r="G148" i="29"/>
  <c r="C148" i="29"/>
  <c r="D148" i="29"/>
  <c r="F148" i="29"/>
  <c r="G361" i="5"/>
  <c r="G362" i="5"/>
  <c r="F64" i="41"/>
  <c r="F50" i="43"/>
  <c r="H188" i="20"/>
  <c r="F188" i="20"/>
  <c r="F194" i="19"/>
  <c r="G122" i="35"/>
  <c r="C122" i="35"/>
  <c r="D122" i="35"/>
  <c r="F122" i="35"/>
  <c r="G113" i="38"/>
  <c r="C113" i="38"/>
  <c r="D113" i="38"/>
  <c r="F113" i="38"/>
  <c r="D48" i="46"/>
  <c r="F48" i="46"/>
  <c r="G130" i="33"/>
  <c r="C130" i="33"/>
  <c r="D130" i="33"/>
  <c r="F130" i="33"/>
  <c r="H187" i="20"/>
  <c r="F187" i="20"/>
  <c r="F198" i="18"/>
  <c r="G113" i="37"/>
  <c r="C113" i="37"/>
  <c r="D113" i="37"/>
  <c r="G147" i="28"/>
  <c r="C147" i="28"/>
  <c r="D147" i="28"/>
  <c r="F147" i="28"/>
  <c r="G277" i="13"/>
  <c r="F277" i="13"/>
  <c r="F329" i="11"/>
  <c r="G329" i="11"/>
  <c r="F330" i="11"/>
  <c r="G330" i="11"/>
  <c r="F331" i="11"/>
  <c r="G331" i="11"/>
  <c r="F332" i="11"/>
  <c r="G332" i="11"/>
  <c r="G247" i="23"/>
  <c r="H247" i="23"/>
  <c r="C247" i="23"/>
  <c r="D247" i="23"/>
  <c r="F247" i="23"/>
  <c r="F361" i="4"/>
  <c r="D362" i="4"/>
  <c r="G263" i="14"/>
  <c r="H263" i="14"/>
  <c r="F263" i="14"/>
  <c r="G144" i="30"/>
  <c r="C144" i="30"/>
  <c r="D144" i="30"/>
  <c r="F144" i="30"/>
  <c r="D49" i="43"/>
  <c r="F49" i="43"/>
  <c r="F63" i="41"/>
  <c r="C48" i="47"/>
  <c r="D48" i="47"/>
  <c r="C49" i="47"/>
  <c r="D49" i="47"/>
  <c r="F48" i="47"/>
  <c r="F49" i="47"/>
  <c r="G147" i="29"/>
  <c r="C147" i="29"/>
  <c r="D147" i="29"/>
  <c r="F147" i="29"/>
  <c r="G142" i="32"/>
  <c r="C142" i="32"/>
  <c r="D142" i="32"/>
  <c r="F142" i="32"/>
  <c r="F312" i="24"/>
  <c r="G312" i="24"/>
  <c r="F313" i="24"/>
  <c r="G313" i="24"/>
  <c r="F313" i="25"/>
  <c r="G313" i="25"/>
  <c r="F314" i="25"/>
  <c r="G314" i="25"/>
  <c r="D175" i="22"/>
  <c r="F193" i="19"/>
  <c r="G129" i="33"/>
  <c r="C129" i="33"/>
  <c r="D129" i="33"/>
  <c r="F129" i="33"/>
  <c r="G246" i="23"/>
  <c r="H246" i="23"/>
  <c r="C246" i="23"/>
  <c r="D246" i="23"/>
  <c r="F246" i="23"/>
  <c r="H186" i="20"/>
  <c r="F186" i="20"/>
  <c r="G112" i="37"/>
  <c r="C112" i="37"/>
  <c r="D112" i="37"/>
  <c r="F197" i="18"/>
  <c r="G276" i="13"/>
  <c r="F276" i="13"/>
  <c r="D47" i="46"/>
  <c r="F47" i="46"/>
  <c r="G146" i="28"/>
  <c r="C146" i="28"/>
  <c r="D146" i="28"/>
  <c r="F146" i="28"/>
  <c r="F360" i="4"/>
  <c r="F48" i="43"/>
  <c r="D62" i="41"/>
  <c r="F62" i="41"/>
  <c r="G360" i="5"/>
  <c r="G261" i="14"/>
  <c r="H261" i="14"/>
  <c r="G262" i="14"/>
  <c r="H262" i="14"/>
  <c r="F262" i="14"/>
  <c r="F261" i="14"/>
  <c r="G141" i="32"/>
  <c r="C141" i="32"/>
  <c r="D141" i="32"/>
  <c r="F141" i="32"/>
  <c r="G142" i="30"/>
  <c r="G143" i="30"/>
  <c r="C143" i="30"/>
  <c r="D143" i="30"/>
  <c r="F143" i="30"/>
  <c r="G146" i="29"/>
  <c r="C146" i="29"/>
  <c r="D146" i="29"/>
  <c r="F146" i="29"/>
  <c r="F311" i="24"/>
  <c r="G311" i="24"/>
  <c r="F312" i="25"/>
  <c r="G312" i="25"/>
  <c r="C47" i="47"/>
  <c r="D47" i="47"/>
  <c r="F47" i="47"/>
  <c r="G121" i="35"/>
  <c r="C121" i="35"/>
  <c r="D121" i="35"/>
  <c r="F121" i="35"/>
  <c r="G128" i="33"/>
  <c r="C128" i="33"/>
  <c r="D128" i="33"/>
  <c r="F128" i="33"/>
  <c r="C142" i="30"/>
  <c r="D142" i="30"/>
  <c r="F142" i="30"/>
  <c r="G260" i="14"/>
  <c r="H260" i="14"/>
  <c r="F260" i="14"/>
  <c r="C46" i="47"/>
  <c r="D46" i="47"/>
  <c r="F46" i="47"/>
  <c r="F196" i="18"/>
  <c r="G120" i="35"/>
  <c r="C120" i="35"/>
  <c r="D120" i="35"/>
  <c r="F120" i="35"/>
  <c r="F310" i="24"/>
  <c r="G310" i="24"/>
  <c r="F192" i="19"/>
  <c r="G112" i="38"/>
  <c r="C112" i="38"/>
  <c r="D112" i="38"/>
  <c r="F112" i="38"/>
  <c r="D46" i="46"/>
  <c r="F46" i="46"/>
  <c r="G359" i="5"/>
  <c r="D359" i="5"/>
  <c r="G275" i="13"/>
  <c r="F275" i="13"/>
  <c r="G62" i="40"/>
  <c r="C62" i="40"/>
  <c r="D62" i="40"/>
  <c r="F62" i="40"/>
  <c r="G145" i="28"/>
  <c r="C145" i="28"/>
  <c r="D145" i="28"/>
  <c r="F145" i="28"/>
  <c r="G245" i="23"/>
  <c r="H245" i="23"/>
  <c r="C245" i="23"/>
  <c r="D245" i="23"/>
  <c r="F245" i="23"/>
  <c r="H184" i="20"/>
  <c r="H185" i="20"/>
  <c r="F185" i="20"/>
  <c r="G111" i="38"/>
  <c r="C111" i="38"/>
  <c r="D111" i="38"/>
  <c r="F111" i="38"/>
  <c r="G111" i="37"/>
  <c r="C111" i="37"/>
  <c r="D111" i="37"/>
  <c r="F311" i="25"/>
  <c r="G311" i="25"/>
  <c r="G145" i="29"/>
  <c r="C145" i="29"/>
  <c r="D145" i="29"/>
  <c r="F145" i="29"/>
  <c r="F359" i="4"/>
  <c r="F47" i="43"/>
  <c r="F61" i="41"/>
  <c r="G140" i="32"/>
  <c r="C140" i="32"/>
  <c r="D140" i="32"/>
  <c r="F140" i="32"/>
  <c r="F191" i="19"/>
  <c r="G119" i="35"/>
  <c r="C119" i="35"/>
  <c r="D119" i="35"/>
  <c r="F119" i="35"/>
  <c r="G127" i="33"/>
  <c r="C127" i="33"/>
  <c r="D127" i="33"/>
  <c r="F127" i="33"/>
  <c r="G141" i="30"/>
  <c r="F310" i="25"/>
  <c r="G310" i="25"/>
  <c r="D311" i="25"/>
  <c r="G244" i="23"/>
  <c r="H244" i="23"/>
  <c r="C244" i="23"/>
  <c r="D244" i="23"/>
  <c r="F244" i="23"/>
  <c r="G61" i="40"/>
  <c r="C61" i="40"/>
  <c r="D61" i="40"/>
  <c r="F61" i="40"/>
  <c r="D45" i="46"/>
  <c r="F45" i="46"/>
  <c r="G144" i="28"/>
  <c r="C144" i="28"/>
  <c r="D144" i="28"/>
  <c r="F144" i="28"/>
  <c r="D195" i="18"/>
  <c r="F195" i="18"/>
  <c r="G274" i="13"/>
  <c r="F274" i="13"/>
  <c r="G358" i="5"/>
  <c r="G110" i="37"/>
  <c r="C110" i="37"/>
  <c r="D110" i="37"/>
  <c r="F184" i="20"/>
  <c r="C45" i="47"/>
  <c r="D45" i="47"/>
  <c r="F45" i="47"/>
  <c r="F44" i="47"/>
  <c r="C44" i="47"/>
  <c r="D44" i="47"/>
  <c r="F43" i="47"/>
  <c r="C43" i="47"/>
  <c r="D43" i="47"/>
  <c r="F42" i="47"/>
  <c r="C42" i="47"/>
  <c r="D42" i="47"/>
  <c r="F41" i="47"/>
  <c r="C41" i="47"/>
  <c r="D41" i="47"/>
  <c r="F40" i="47"/>
  <c r="C40" i="47"/>
  <c r="D40" i="47"/>
  <c r="F39" i="47"/>
  <c r="C39" i="47"/>
  <c r="D39" i="47"/>
  <c r="F38" i="47"/>
  <c r="C38" i="47"/>
  <c r="D38" i="47"/>
  <c r="F37" i="47"/>
  <c r="C37" i="47"/>
  <c r="D37" i="47"/>
  <c r="F36" i="47"/>
  <c r="C36" i="47"/>
  <c r="D36" i="47"/>
  <c r="F35" i="47"/>
  <c r="C35" i="47"/>
  <c r="D35" i="47"/>
  <c r="F34" i="47"/>
  <c r="C34" i="47"/>
  <c r="D34" i="47"/>
  <c r="F33" i="47"/>
  <c r="C33" i="47"/>
  <c r="D33" i="47"/>
  <c r="F32" i="47"/>
  <c r="C32" i="47"/>
  <c r="D32" i="47"/>
  <c r="F31" i="47"/>
  <c r="C31" i="47"/>
  <c r="D31" i="47"/>
  <c r="F30" i="47"/>
  <c r="C30" i="47"/>
  <c r="D30" i="47"/>
  <c r="F29" i="47"/>
  <c r="C29" i="47"/>
  <c r="D29" i="47"/>
  <c r="F28" i="47"/>
  <c r="C28" i="47"/>
  <c r="D28" i="47"/>
  <c r="F27" i="47"/>
  <c r="C27" i="47"/>
  <c r="D27" i="47"/>
  <c r="F26" i="47"/>
  <c r="C26" i="47"/>
  <c r="D26" i="47"/>
  <c r="F25" i="47"/>
  <c r="C25" i="47"/>
  <c r="D25" i="47"/>
  <c r="F24" i="47"/>
  <c r="C24" i="47"/>
  <c r="D24" i="47"/>
  <c r="F23" i="47"/>
  <c r="C23" i="47"/>
  <c r="D23" i="47"/>
  <c r="F22" i="47"/>
  <c r="C22" i="47"/>
  <c r="D22" i="47"/>
  <c r="F21" i="47"/>
  <c r="C21" i="47"/>
  <c r="B8" i="47"/>
  <c r="G4" i="47"/>
  <c r="F46" i="43"/>
  <c r="F60" i="41"/>
  <c r="G144" i="29"/>
  <c r="C144" i="29"/>
  <c r="D144" i="29"/>
  <c r="F144" i="29"/>
  <c r="F309" i="24"/>
  <c r="G309" i="24"/>
  <c r="F358" i="4"/>
  <c r="G139" i="32"/>
  <c r="C139" i="32"/>
  <c r="D139" i="32"/>
  <c r="F139" i="32"/>
  <c r="D44" i="46"/>
  <c r="F44" i="46"/>
  <c r="F43" i="46"/>
  <c r="D43" i="46"/>
  <c r="F42" i="46"/>
  <c r="D42" i="46"/>
  <c r="F41" i="46"/>
  <c r="D41" i="46"/>
  <c r="F40" i="46"/>
  <c r="D40" i="46"/>
  <c r="F39" i="46"/>
  <c r="D39" i="46"/>
  <c r="F38" i="46"/>
  <c r="D38" i="46"/>
  <c r="F37" i="46"/>
  <c r="D37" i="46"/>
  <c r="F36" i="46"/>
  <c r="D36" i="46"/>
  <c r="F35" i="46"/>
  <c r="D35" i="46"/>
  <c r="F34" i="46"/>
  <c r="D34" i="46"/>
  <c r="F33" i="46"/>
  <c r="D33" i="46"/>
  <c r="F32" i="46"/>
  <c r="D32" i="46"/>
  <c r="F31" i="46"/>
  <c r="D31" i="46"/>
  <c r="F30" i="46"/>
  <c r="D30" i="46"/>
  <c r="F29" i="46"/>
  <c r="D29" i="46"/>
  <c r="F28" i="46"/>
  <c r="D28" i="46"/>
  <c r="F27" i="46"/>
  <c r="D27" i="46"/>
  <c r="F26" i="46"/>
  <c r="D26" i="46"/>
  <c r="F25" i="46"/>
  <c r="D25" i="46"/>
  <c r="F24" i="46"/>
  <c r="D24" i="46"/>
  <c r="F23" i="46"/>
  <c r="D23" i="46"/>
  <c r="F22" i="46"/>
  <c r="D22" i="46"/>
  <c r="G4" i="46"/>
  <c r="F190" i="19"/>
  <c r="G118" i="35"/>
  <c r="C118" i="35"/>
  <c r="D118" i="35"/>
  <c r="F118" i="35"/>
  <c r="G110" i="38"/>
  <c r="C110" i="38"/>
  <c r="D110" i="38"/>
  <c r="F110" i="38"/>
  <c r="G117" i="35"/>
  <c r="G126" i="33"/>
  <c r="C126" i="33"/>
  <c r="D126" i="33"/>
  <c r="F126" i="33"/>
  <c r="G259" i="14"/>
  <c r="H259" i="14"/>
  <c r="F259" i="14"/>
  <c r="G116" i="35"/>
  <c r="C116" i="35"/>
  <c r="D116" i="35"/>
  <c r="C117" i="35"/>
  <c r="D117" i="35"/>
  <c r="F116" i="35"/>
  <c r="F117" i="35"/>
  <c r="G140" i="30"/>
  <c r="G243" i="23"/>
  <c r="H243" i="23"/>
  <c r="C243" i="23"/>
  <c r="D243" i="23"/>
  <c r="F243" i="23"/>
  <c r="F327" i="11"/>
  <c r="G327" i="11"/>
  <c r="F328" i="11"/>
  <c r="G328" i="11"/>
  <c r="G109" i="38"/>
  <c r="C109" i="38"/>
  <c r="D109" i="38"/>
  <c r="F109" i="38"/>
  <c r="G273" i="13"/>
  <c r="F273" i="13"/>
  <c r="G60" i="40"/>
  <c r="C60" i="40"/>
  <c r="D60" i="40"/>
  <c r="F60" i="40"/>
  <c r="F309" i="25"/>
  <c r="G309" i="25"/>
  <c r="G109" i="37"/>
  <c r="C109" i="37"/>
  <c r="D109" i="37"/>
  <c r="F194" i="18"/>
  <c r="F308" i="24"/>
  <c r="G308" i="24"/>
  <c r="G357" i="5"/>
  <c r="G143" i="29"/>
  <c r="C143" i="29"/>
  <c r="D143" i="29"/>
  <c r="F143" i="29"/>
  <c r="F53" i="42"/>
  <c r="G53" i="42"/>
  <c r="F54" i="42"/>
  <c r="G54" i="42"/>
  <c r="F55" i="42"/>
  <c r="G55" i="42"/>
  <c r="G138" i="32"/>
  <c r="G143" i="28"/>
  <c r="C143" i="28"/>
  <c r="D143" i="28"/>
  <c r="F143" i="28"/>
  <c r="G125" i="33"/>
  <c r="C125" i="33"/>
  <c r="D125" i="33"/>
  <c r="F125" i="33"/>
  <c r="F189" i="19"/>
  <c r="G59" i="40"/>
  <c r="C59" i="40"/>
  <c r="D59" i="40"/>
  <c r="F59" i="40"/>
  <c r="F325" i="11"/>
  <c r="G325" i="11"/>
  <c r="F326" i="11"/>
  <c r="G326" i="11"/>
  <c r="D171" i="22"/>
  <c r="G242" i="23"/>
  <c r="H242" i="23"/>
  <c r="C242" i="23"/>
  <c r="D242" i="23"/>
  <c r="F242" i="23"/>
  <c r="G257" i="14"/>
  <c r="H257" i="14"/>
  <c r="G258" i="14"/>
  <c r="H258" i="14"/>
  <c r="G138" i="30"/>
  <c r="G139" i="30"/>
  <c r="G108" i="37"/>
  <c r="C108" i="37"/>
  <c r="D108" i="37"/>
  <c r="G355" i="5"/>
  <c r="G356" i="5"/>
  <c r="D355" i="5"/>
  <c r="G272" i="13"/>
  <c r="F272" i="13"/>
  <c r="H181" i="20"/>
  <c r="H182" i="20"/>
  <c r="H183" i="20"/>
  <c r="F183" i="20"/>
  <c r="F182" i="20"/>
  <c r="G142" i="29"/>
  <c r="G142" i="28"/>
  <c r="C142" i="28"/>
  <c r="D142" i="28"/>
  <c r="F142" i="28"/>
  <c r="F308" i="25"/>
  <c r="G308" i="25"/>
  <c r="F356" i="4"/>
  <c r="F357" i="4"/>
  <c r="D44" i="43"/>
  <c r="D45" i="43"/>
  <c r="F44" i="43"/>
  <c r="F45" i="43"/>
  <c r="F58" i="41"/>
  <c r="F59" i="41"/>
  <c r="C54" i="42"/>
  <c r="D54" i="42"/>
  <c r="C55" i="42"/>
  <c r="D55" i="42"/>
  <c r="G141" i="29"/>
  <c r="C141" i="29"/>
  <c r="D141" i="29"/>
  <c r="C142" i="29"/>
  <c r="D142" i="29"/>
  <c r="F141" i="29"/>
  <c r="F142" i="29"/>
  <c r="F307" i="24"/>
  <c r="G307" i="24"/>
  <c r="G137" i="32"/>
  <c r="C137" i="32"/>
  <c r="D137" i="32"/>
  <c r="C138" i="32"/>
  <c r="D138" i="32"/>
  <c r="F137" i="32"/>
  <c r="F138" i="32"/>
  <c r="F192" i="18"/>
  <c r="F193" i="18"/>
  <c r="G107" i="38"/>
  <c r="G108" i="38"/>
  <c r="C107" i="38"/>
  <c r="D107" i="38"/>
  <c r="C108" i="38"/>
  <c r="D108" i="38"/>
  <c r="F107" i="38"/>
  <c r="F108" i="38"/>
  <c r="F257" i="14"/>
  <c r="F258" i="14"/>
  <c r="C138" i="30"/>
  <c r="D138" i="30"/>
  <c r="C139" i="30"/>
  <c r="D139" i="30"/>
  <c r="C140" i="30"/>
  <c r="D140" i="30"/>
  <c r="C141" i="30"/>
  <c r="D141" i="30"/>
  <c r="F138" i="30"/>
  <c r="F139" i="30"/>
  <c r="F140" i="30"/>
  <c r="F141" i="30"/>
  <c r="F188" i="19"/>
  <c r="G107" i="37"/>
  <c r="C107" i="37"/>
  <c r="D107" i="37"/>
  <c r="G241" i="23"/>
  <c r="H241" i="23"/>
  <c r="C241" i="23"/>
  <c r="D241" i="23"/>
  <c r="F241" i="23"/>
  <c r="G124" i="33"/>
  <c r="C124" i="33"/>
  <c r="D124" i="33"/>
  <c r="F124" i="33"/>
  <c r="G271" i="13"/>
  <c r="F271" i="13"/>
  <c r="F181" i="20"/>
  <c r="F191" i="18"/>
  <c r="F187" i="19"/>
  <c r="F43" i="43"/>
  <c r="F57" i="41"/>
  <c r="F52" i="42"/>
  <c r="G52" i="42"/>
  <c r="C53" i="42"/>
  <c r="D53" i="42"/>
  <c r="F355" i="4"/>
  <c r="G113" i="35"/>
  <c r="G114" i="35"/>
  <c r="G115" i="35"/>
  <c r="C114" i="35"/>
  <c r="D114" i="35"/>
  <c r="C115" i="35"/>
  <c r="D115" i="35"/>
  <c r="F114" i="35"/>
  <c r="F115" i="35"/>
  <c r="C113" i="35"/>
  <c r="D113" i="35"/>
  <c r="F113" i="35"/>
  <c r="D308" i="25"/>
  <c r="G136" i="32"/>
  <c r="C136" i="32"/>
  <c r="D136" i="32"/>
  <c r="F136" i="32"/>
  <c r="G58" i="40"/>
  <c r="C58" i="40"/>
  <c r="D58" i="40"/>
  <c r="F58" i="40"/>
  <c r="G141" i="28"/>
  <c r="C141" i="28"/>
  <c r="D141" i="28"/>
  <c r="F141" i="28"/>
  <c r="G123" i="33"/>
  <c r="C123" i="33"/>
  <c r="D123" i="33"/>
  <c r="F123" i="33"/>
  <c r="G137" i="30"/>
  <c r="C137" i="30"/>
  <c r="D137" i="30"/>
  <c r="F137" i="30"/>
  <c r="G256" i="14"/>
  <c r="H256" i="14"/>
  <c r="F256" i="14"/>
  <c r="G57" i="40"/>
  <c r="C57" i="40"/>
  <c r="D57" i="40"/>
  <c r="F57" i="40"/>
  <c r="F113" i="45"/>
  <c r="F112" i="45"/>
  <c r="F111" i="45"/>
  <c r="F110" i="45"/>
  <c r="F109" i="45"/>
  <c r="F108" i="45"/>
  <c r="F107" i="45"/>
  <c r="F106" i="45"/>
  <c r="F105" i="45"/>
  <c r="F104" i="45"/>
  <c r="F103" i="45"/>
  <c r="F102" i="45"/>
  <c r="F101" i="45"/>
  <c r="F100" i="45"/>
  <c r="F99" i="45"/>
  <c r="F98" i="45"/>
  <c r="F97" i="45"/>
  <c r="F96" i="45"/>
  <c r="F95" i="45"/>
  <c r="F94" i="45"/>
  <c r="F93" i="45"/>
  <c r="F92" i="45"/>
  <c r="F91" i="45"/>
  <c r="F90" i="45"/>
  <c r="F89" i="45"/>
  <c r="F88" i="45"/>
  <c r="F87" i="45"/>
  <c r="F86" i="45"/>
  <c r="F85" i="45"/>
  <c r="F84" i="45"/>
  <c r="F83" i="45"/>
  <c r="F82" i="45"/>
  <c r="F81" i="45"/>
  <c r="F80" i="45"/>
  <c r="F79" i="45"/>
  <c r="F78" i="45"/>
  <c r="F77" i="45"/>
  <c r="F76" i="45"/>
  <c r="F75" i="45"/>
  <c r="F74" i="45"/>
  <c r="F73" i="45"/>
  <c r="F72" i="45"/>
  <c r="F71" i="45"/>
  <c r="F70" i="45"/>
  <c r="F64" i="45"/>
  <c r="F63" i="45"/>
  <c r="F62" i="45"/>
  <c r="F61" i="45"/>
  <c r="D61" i="45"/>
  <c r="F60" i="45"/>
  <c r="F59" i="45"/>
  <c r="F58" i="45"/>
  <c r="D58" i="45"/>
  <c r="F57" i="45"/>
  <c r="D57" i="45"/>
  <c r="F56" i="45"/>
  <c r="F55" i="45"/>
  <c r="F54" i="45"/>
  <c r="F53" i="45"/>
  <c r="D53" i="45"/>
  <c r="F52" i="45"/>
  <c r="F51" i="45"/>
  <c r="F50" i="45"/>
  <c r="D50" i="45"/>
  <c r="F49" i="45"/>
  <c r="D49" i="45"/>
  <c r="F48" i="45"/>
  <c r="F47" i="45"/>
  <c r="F46" i="45"/>
  <c r="F45" i="45"/>
  <c r="D45" i="45"/>
  <c r="F44" i="45"/>
  <c r="F43" i="45"/>
  <c r="F42" i="45"/>
  <c r="D42" i="45"/>
  <c r="F41" i="45"/>
  <c r="D41" i="45"/>
  <c r="F40" i="45"/>
  <c r="F39" i="45"/>
  <c r="F38" i="45"/>
  <c r="F37" i="45"/>
  <c r="D37" i="45"/>
  <c r="F36" i="45"/>
  <c r="F35" i="45"/>
  <c r="F34" i="45"/>
  <c r="D34" i="45"/>
  <c r="F33" i="45"/>
  <c r="D33" i="45"/>
  <c r="F32" i="45"/>
  <c r="F31" i="45"/>
  <c r="F30" i="45"/>
  <c r="F29" i="45"/>
  <c r="D29" i="45"/>
  <c r="F28" i="45"/>
  <c r="F27" i="45"/>
  <c r="F26" i="45"/>
  <c r="D26" i="45"/>
  <c r="F25" i="45"/>
  <c r="D25" i="45"/>
  <c r="F24" i="45"/>
  <c r="F23" i="45"/>
  <c r="F22" i="45"/>
  <c r="F21" i="45"/>
  <c r="G4" i="45"/>
  <c r="B8" i="45"/>
  <c r="D21" i="45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H180" i="20"/>
  <c r="G270" i="13"/>
  <c r="F270" i="13"/>
  <c r="G240" i="23"/>
  <c r="H240" i="23"/>
  <c r="C240" i="23"/>
  <c r="D240" i="23"/>
  <c r="F240" i="23"/>
  <c r="G106" i="37"/>
  <c r="C106" i="37"/>
  <c r="D106" i="37"/>
  <c r="F349" i="4"/>
  <c r="F350" i="4"/>
  <c r="F351" i="4"/>
  <c r="F352" i="4"/>
  <c r="F353" i="4"/>
  <c r="F354" i="4"/>
  <c r="F348" i="4"/>
  <c r="G106" i="38"/>
  <c r="C106" i="38"/>
  <c r="D106" i="38"/>
  <c r="F106" i="38"/>
  <c r="G354" i="5"/>
  <c r="F306" i="25"/>
  <c r="G306" i="25"/>
  <c r="F307" i="25"/>
  <c r="G307" i="25"/>
  <c r="F56" i="41"/>
  <c r="F42" i="43"/>
  <c r="F51" i="42"/>
  <c r="G51" i="42"/>
  <c r="C52" i="42"/>
  <c r="D52" i="42"/>
  <c r="G135" i="32"/>
  <c r="C135" i="32"/>
  <c r="D135" i="32"/>
  <c r="F135" i="32"/>
  <c r="F305" i="24"/>
  <c r="G305" i="24"/>
  <c r="F306" i="24"/>
  <c r="G306" i="24"/>
  <c r="G140" i="28"/>
  <c r="C140" i="28"/>
  <c r="D140" i="28"/>
  <c r="F140" i="28"/>
  <c r="G140" i="29"/>
  <c r="C140" i="29"/>
  <c r="D140" i="29"/>
  <c r="F140" i="29"/>
  <c r="G122" i="33"/>
  <c r="C122" i="33"/>
  <c r="D122" i="33"/>
  <c r="F122" i="33"/>
  <c r="G136" i="30"/>
  <c r="C136" i="30"/>
  <c r="D136" i="30"/>
  <c r="F136" i="30"/>
  <c r="G255" i="14"/>
  <c r="H255" i="14"/>
  <c r="F255" i="14"/>
  <c r="F190" i="18"/>
  <c r="G105" i="37"/>
  <c r="C105" i="37"/>
  <c r="D105" i="37"/>
  <c r="H179" i="20"/>
  <c r="G239" i="23"/>
  <c r="H239" i="23"/>
  <c r="C239" i="23"/>
  <c r="D239" i="23"/>
  <c r="F239" i="23"/>
  <c r="G139" i="28"/>
  <c r="C139" i="28"/>
  <c r="D139" i="28"/>
  <c r="F139" i="28"/>
  <c r="G269" i="13"/>
  <c r="F269" i="13"/>
  <c r="G353" i="5"/>
  <c r="G138" i="29"/>
  <c r="G139" i="29"/>
  <c r="C139" i="29"/>
  <c r="D139" i="29"/>
  <c r="F139" i="29"/>
  <c r="G105" i="38"/>
  <c r="C105" i="38"/>
  <c r="D105" i="38"/>
  <c r="F105" i="38"/>
  <c r="F186" i="19"/>
  <c r="D41" i="43"/>
  <c r="F41" i="43"/>
  <c r="F55" i="41"/>
  <c r="F48" i="42"/>
  <c r="F49" i="42"/>
  <c r="F50" i="42"/>
  <c r="C51" i="42"/>
  <c r="D51" i="42"/>
  <c r="F305" i="25"/>
  <c r="G305" i="25"/>
  <c r="G56" i="40"/>
  <c r="C56" i="40"/>
  <c r="D56" i="40"/>
  <c r="F56" i="40"/>
  <c r="G134" i="32"/>
  <c r="C134" i="32"/>
  <c r="D134" i="32"/>
  <c r="F134" i="32"/>
  <c r="F304" i="24"/>
  <c r="G304" i="24"/>
  <c r="G238" i="23"/>
  <c r="H238" i="23"/>
  <c r="C238" i="23"/>
  <c r="D238" i="23"/>
  <c r="F238" i="23"/>
  <c r="G254" i="14"/>
  <c r="H254" i="14"/>
  <c r="F254" i="14"/>
  <c r="G135" i="30"/>
  <c r="C135" i="30"/>
  <c r="D135" i="30"/>
  <c r="F135" i="30"/>
  <c r="G121" i="33"/>
  <c r="C121" i="33"/>
  <c r="D121" i="33"/>
  <c r="F121" i="33"/>
  <c r="D167" i="22"/>
  <c r="F189" i="18"/>
  <c r="G268" i="13"/>
  <c r="F268" i="13"/>
  <c r="G55" i="40"/>
  <c r="C55" i="40"/>
  <c r="D55" i="40"/>
  <c r="F55" i="40"/>
  <c r="F137" i="28"/>
  <c r="G137" i="28"/>
  <c r="F138" i="28"/>
  <c r="G138" i="28"/>
  <c r="F323" i="11"/>
  <c r="G323" i="11"/>
  <c r="F324" i="11"/>
  <c r="G324" i="11"/>
  <c r="G104" i="37"/>
  <c r="C104" i="37"/>
  <c r="D104" i="37"/>
  <c r="H178" i="20"/>
  <c r="G352" i="5"/>
  <c r="C138" i="29"/>
  <c r="D138" i="29"/>
  <c r="F138" i="29"/>
  <c r="F303" i="24"/>
  <c r="G303" i="24"/>
  <c r="F40" i="43"/>
  <c r="G50" i="42"/>
  <c r="G133" i="32"/>
  <c r="G237" i="23"/>
  <c r="H237" i="23"/>
  <c r="C237" i="23"/>
  <c r="D237" i="23"/>
  <c r="F237" i="23"/>
  <c r="H177" i="20"/>
  <c r="G112" i="35"/>
  <c r="C112" i="35"/>
  <c r="D112" i="35"/>
  <c r="F112" i="35"/>
  <c r="F188" i="18"/>
  <c r="F303" i="25"/>
  <c r="G303" i="25"/>
  <c r="F304" i="25"/>
  <c r="G304" i="25"/>
  <c r="G120" i="33"/>
  <c r="C120" i="33"/>
  <c r="D120" i="33"/>
  <c r="F120" i="33"/>
  <c r="F184" i="19"/>
  <c r="F185" i="19"/>
  <c r="G104" i="38"/>
  <c r="C104" i="38"/>
  <c r="D104" i="38"/>
  <c r="F104" i="38"/>
  <c r="G54" i="40"/>
  <c r="C54" i="40"/>
  <c r="D54" i="40"/>
  <c r="F54" i="40"/>
  <c r="F322" i="11"/>
  <c r="G322" i="11"/>
  <c r="G267" i="13"/>
  <c r="F267" i="13"/>
  <c r="G103" i="37"/>
  <c r="C103" i="37"/>
  <c r="D103" i="37"/>
  <c r="G134" i="30"/>
  <c r="C134" i="30"/>
  <c r="D134" i="30"/>
  <c r="F134" i="30"/>
  <c r="G253" i="14"/>
  <c r="H253" i="14"/>
  <c r="F253" i="14"/>
  <c r="G351" i="5"/>
  <c r="D351" i="5"/>
  <c r="G48" i="42"/>
  <c r="G49" i="42"/>
  <c r="G137" i="29"/>
  <c r="C137" i="29"/>
  <c r="D137" i="29"/>
  <c r="F137" i="29"/>
  <c r="F39" i="43"/>
  <c r="C49" i="42"/>
  <c r="D49" i="42"/>
  <c r="C50" i="42"/>
  <c r="D50" i="42"/>
  <c r="C48" i="42"/>
  <c r="D48" i="42"/>
  <c r="F53" i="41"/>
  <c r="F54" i="41"/>
  <c r="G131" i="32"/>
  <c r="G132" i="32"/>
  <c r="C132" i="32"/>
  <c r="D132" i="32"/>
  <c r="C133" i="32"/>
  <c r="D133" i="32"/>
  <c r="F132" i="32"/>
  <c r="F133" i="32"/>
  <c r="F302" i="24"/>
  <c r="G302" i="24"/>
  <c r="G252" i="14"/>
  <c r="H252" i="14"/>
  <c r="F252" i="14"/>
  <c r="G119" i="33"/>
  <c r="C119" i="33"/>
  <c r="D119" i="33"/>
  <c r="F119" i="33"/>
  <c r="G133" i="30"/>
  <c r="C133" i="30"/>
  <c r="D133" i="30"/>
  <c r="F133" i="30"/>
  <c r="G102" i="38"/>
  <c r="G103" i="38"/>
  <c r="C103" i="38"/>
  <c r="D103" i="38"/>
  <c r="F103" i="38"/>
  <c r="C102" i="38"/>
  <c r="D102" i="38"/>
  <c r="F102" i="38"/>
  <c r="F183" i="19"/>
  <c r="D184" i="19"/>
  <c r="F187" i="18"/>
  <c r="G102" i="37"/>
  <c r="C102" i="37"/>
  <c r="D102" i="37"/>
  <c r="G266" i="13"/>
  <c r="F266" i="13"/>
  <c r="G53" i="40"/>
  <c r="C53" i="40"/>
  <c r="D53" i="40"/>
  <c r="F53" i="40"/>
  <c r="F321" i="11"/>
  <c r="G321" i="11"/>
  <c r="G350" i="5"/>
  <c r="G110" i="35"/>
  <c r="G111" i="35"/>
  <c r="C111" i="35"/>
  <c r="D111" i="35"/>
  <c r="F111" i="35"/>
  <c r="C110" i="35"/>
  <c r="D110" i="35"/>
  <c r="F110" i="35"/>
  <c r="G236" i="23"/>
  <c r="H236" i="23"/>
  <c r="C236" i="23"/>
  <c r="D236" i="23"/>
  <c r="F236" i="23"/>
  <c r="G136" i="28"/>
  <c r="C138" i="28"/>
  <c r="D138" i="28"/>
  <c r="C136" i="28"/>
  <c r="D136" i="28"/>
  <c r="C137" i="28"/>
  <c r="D137" i="28"/>
  <c r="F136" i="28"/>
  <c r="H175" i="20"/>
  <c r="H176" i="20"/>
  <c r="F302" i="25"/>
  <c r="G302" i="25"/>
  <c r="F301" i="24"/>
  <c r="G301" i="24"/>
  <c r="F38" i="43"/>
  <c r="F52" i="41"/>
  <c r="G136" i="29"/>
  <c r="C136" i="29"/>
  <c r="D136" i="29"/>
  <c r="F136" i="29"/>
  <c r="C131" i="32"/>
  <c r="D131" i="32"/>
  <c r="F131" i="32"/>
  <c r="G118" i="33"/>
  <c r="C118" i="33"/>
  <c r="D118" i="33"/>
  <c r="F118" i="33"/>
  <c r="G132" i="30"/>
  <c r="C132" i="30"/>
  <c r="D132" i="30"/>
  <c r="F132" i="30"/>
  <c r="G251" i="14"/>
  <c r="H251" i="14"/>
  <c r="F251" i="14"/>
  <c r="F182" i="19"/>
  <c r="F186" i="18"/>
  <c r="F320" i="11"/>
  <c r="G320" i="11"/>
  <c r="G52" i="40"/>
  <c r="C52" i="40"/>
  <c r="D52" i="40"/>
  <c r="F52" i="40"/>
  <c r="G101" i="37"/>
  <c r="C101" i="37"/>
  <c r="D101" i="37"/>
  <c r="G265" i="13"/>
  <c r="F265" i="13"/>
  <c r="G109" i="35"/>
  <c r="C109" i="35"/>
  <c r="D109" i="35"/>
  <c r="F109" i="35"/>
  <c r="G349" i="5"/>
  <c r="D37" i="43"/>
  <c r="F37" i="43"/>
  <c r="F51" i="41"/>
  <c r="F47" i="42"/>
  <c r="G47" i="42"/>
  <c r="C47" i="42"/>
  <c r="D47" i="42"/>
  <c r="G130" i="32"/>
  <c r="C130" i="32"/>
  <c r="D130" i="32"/>
  <c r="F130" i="32"/>
  <c r="F300" i="24"/>
  <c r="G300" i="24"/>
  <c r="G135" i="28"/>
  <c r="C135" i="28"/>
  <c r="D135" i="28"/>
  <c r="F135" i="28"/>
  <c r="G235" i="23"/>
  <c r="H235" i="23"/>
  <c r="C235" i="23"/>
  <c r="D235" i="23"/>
  <c r="F235" i="23"/>
  <c r="G135" i="29"/>
  <c r="C135" i="29"/>
  <c r="D135" i="29"/>
  <c r="F135" i="29"/>
  <c r="G100" i="38"/>
  <c r="G101" i="38"/>
  <c r="C101" i="38"/>
  <c r="D101" i="38"/>
  <c r="F101" i="38"/>
  <c r="F181" i="19"/>
  <c r="D163" i="22"/>
  <c r="G116" i="33"/>
  <c r="G117" i="33"/>
  <c r="C117" i="33"/>
  <c r="D117" i="33"/>
  <c r="F117" i="33"/>
  <c r="G250" i="14"/>
  <c r="H250" i="14"/>
  <c r="F250" i="14"/>
  <c r="G131" i="30"/>
  <c r="C131" i="30"/>
  <c r="D131" i="30"/>
  <c r="F131" i="30"/>
  <c r="F185" i="18"/>
  <c r="G100" i="37"/>
  <c r="C100" i="37"/>
  <c r="D100" i="37"/>
  <c r="G264" i="13"/>
  <c r="F264" i="13"/>
  <c r="G51" i="40"/>
  <c r="C51" i="40"/>
  <c r="D51" i="40"/>
  <c r="F51" i="40"/>
  <c r="F319" i="11"/>
  <c r="G319" i="11"/>
  <c r="G134" i="28"/>
  <c r="C134" i="28"/>
  <c r="D134" i="28"/>
  <c r="F134" i="28"/>
  <c r="G234" i="23"/>
  <c r="H234" i="23"/>
  <c r="C234" i="23"/>
  <c r="D234" i="23"/>
  <c r="F234" i="23"/>
  <c r="H174" i="20"/>
  <c r="G348" i="5"/>
  <c r="F44" i="42"/>
  <c r="G44" i="42"/>
  <c r="F45" i="42"/>
  <c r="G45" i="42"/>
  <c r="F46" i="42"/>
  <c r="G46" i="42"/>
  <c r="F300" i="25"/>
  <c r="G300" i="25"/>
  <c r="F301" i="25"/>
  <c r="G301" i="25"/>
  <c r="G129" i="32"/>
  <c r="F299" i="24"/>
  <c r="G299" i="24"/>
  <c r="G134" i="29"/>
  <c r="C134" i="29"/>
  <c r="D134" i="29"/>
  <c r="F134" i="29"/>
  <c r="C100" i="38"/>
  <c r="D100" i="38"/>
  <c r="F100" i="38"/>
  <c r="F180" i="19"/>
  <c r="G249" i="14"/>
  <c r="H249" i="14"/>
  <c r="F249" i="14"/>
  <c r="G130" i="30"/>
  <c r="F21" i="30"/>
  <c r="F22" i="30"/>
  <c r="F23" i="30"/>
  <c r="F24" i="30"/>
  <c r="F25" i="30"/>
  <c r="F26" i="30"/>
  <c r="F27" i="30"/>
  <c r="F28" i="30"/>
  <c r="F29" i="30"/>
  <c r="F30" i="30"/>
  <c r="F31" i="30"/>
  <c r="F32" i="30"/>
  <c r="F33" i="30"/>
  <c r="F34" i="30"/>
  <c r="F35" i="30"/>
  <c r="F36" i="30"/>
  <c r="F37" i="30"/>
  <c r="F38" i="30"/>
  <c r="F39" i="30"/>
  <c r="F40" i="30"/>
  <c r="F41" i="30"/>
  <c r="F42" i="30"/>
  <c r="F43" i="30"/>
  <c r="F44" i="30"/>
  <c r="F45" i="30"/>
  <c r="F46" i="30"/>
  <c r="F47" i="30"/>
  <c r="F48" i="30"/>
  <c r="F49" i="30"/>
  <c r="F50" i="30"/>
  <c r="F51" i="30"/>
  <c r="F52" i="30"/>
  <c r="F53" i="30"/>
  <c r="F54" i="30"/>
  <c r="F55" i="30"/>
  <c r="F56" i="30"/>
  <c r="F57" i="30"/>
  <c r="F58" i="30"/>
  <c r="F59" i="30"/>
  <c r="F60" i="30"/>
  <c r="F61" i="30"/>
  <c r="F62" i="30"/>
  <c r="F63" i="30"/>
  <c r="F64" i="30"/>
  <c r="F65" i="30"/>
  <c r="F66" i="30"/>
  <c r="F67" i="30"/>
  <c r="F68" i="30"/>
  <c r="F69" i="30"/>
  <c r="F70" i="30"/>
  <c r="F71" i="30"/>
  <c r="F72" i="30"/>
  <c r="F73" i="30"/>
  <c r="F74" i="30"/>
  <c r="F75" i="30"/>
  <c r="F76" i="30"/>
  <c r="F77" i="30"/>
  <c r="F78" i="30"/>
  <c r="F79" i="30"/>
  <c r="F80" i="30"/>
  <c r="F81" i="30"/>
  <c r="F82" i="30"/>
  <c r="F83" i="30"/>
  <c r="F84" i="30"/>
  <c r="F85" i="30"/>
  <c r="F86" i="30"/>
  <c r="F87" i="30"/>
  <c r="F88" i="30"/>
  <c r="F89" i="30"/>
  <c r="F90" i="30"/>
  <c r="F91" i="30"/>
  <c r="F92" i="30"/>
  <c r="F93" i="30"/>
  <c r="F94" i="30"/>
  <c r="F95" i="30"/>
  <c r="F96" i="30"/>
  <c r="F97" i="30"/>
  <c r="F98" i="30"/>
  <c r="F99" i="30"/>
  <c r="F100" i="30"/>
  <c r="F101" i="30"/>
  <c r="F102" i="30"/>
  <c r="F103" i="30"/>
  <c r="F104" i="30"/>
  <c r="F105" i="30"/>
  <c r="F106" i="30"/>
  <c r="F107" i="30"/>
  <c r="F108" i="30"/>
  <c r="F109" i="30"/>
  <c r="F110" i="30"/>
  <c r="F111" i="30"/>
  <c r="F112" i="30"/>
  <c r="F113" i="30"/>
  <c r="F114" i="30"/>
  <c r="F115" i="30"/>
  <c r="F116" i="30"/>
  <c r="F117" i="30"/>
  <c r="F118" i="30"/>
  <c r="F119" i="30"/>
  <c r="F120" i="30"/>
  <c r="F121" i="30"/>
  <c r="F122" i="30"/>
  <c r="F123" i="30"/>
  <c r="F124" i="30"/>
  <c r="F125" i="30"/>
  <c r="F126" i="30"/>
  <c r="F127" i="30"/>
  <c r="F128" i="30"/>
  <c r="F129" i="30"/>
  <c r="F130" i="30"/>
  <c r="C130" i="30"/>
  <c r="D130" i="30"/>
  <c r="F184" i="18"/>
  <c r="H173" i="20"/>
  <c r="G263" i="13"/>
  <c r="F263" i="13"/>
  <c r="G50" i="40"/>
  <c r="C50" i="40"/>
  <c r="D50" i="40"/>
  <c r="F50" i="40"/>
  <c r="F318" i="11"/>
  <c r="G318" i="11"/>
  <c r="G99" i="37"/>
  <c r="C99" i="37"/>
  <c r="D99" i="37"/>
  <c r="G233" i="23"/>
  <c r="H233" i="23"/>
  <c r="C233" i="23"/>
  <c r="D233" i="23"/>
  <c r="F233" i="23"/>
  <c r="F298" i="25"/>
  <c r="G298" i="25"/>
  <c r="F299" i="25"/>
  <c r="G299" i="25"/>
  <c r="G133" i="28"/>
  <c r="C133" i="28"/>
  <c r="D133" i="28"/>
  <c r="F133" i="28"/>
  <c r="F298" i="24"/>
  <c r="G298" i="24"/>
  <c r="G347" i="5"/>
  <c r="D347" i="5"/>
  <c r="F35" i="43"/>
  <c r="F36" i="43"/>
  <c r="F49" i="41"/>
  <c r="F50" i="41"/>
  <c r="C45" i="42"/>
  <c r="D45" i="42"/>
  <c r="C46" i="42"/>
  <c r="D46" i="42"/>
  <c r="G132" i="29"/>
  <c r="G133" i="29"/>
  <c r="C132" i="29"/>
  <c r="D132" i="29"/>
  <c r="C133" i="29"/>
  <c r="D133" i="29"/>
  <c r="F132" i="29"/>
  <c r="F133" i="29"/>
  <c r="G127" i="32"/>
  <c r="G128" i="32"/>
  <c r="C128" i="32"/>
  <c r="D128" i="32"/>
  <c r="C129" i="32"/>
  <c r="D129" i="32"/>
  <c r="F128" i="32"/>
  <c r="F129" i="32"/>
  <c r="G108" i="35"/>
  <c r="C108" i="35"/>
  <c r="D108" i="35"/>
  <c r="F108" i="35"/>
  <c r="G99" i="38"/>
  <c r="C99" i="38"/>
  <c r="D99" i="38"/>
  <c r="F99" i="38"/>
  <c r="F179" i="19"/>
  <c r="D180" i="19"/>
  <c r="F317" i="11"/>
  <c r="G317" i="11"/>
  <c r="G115" i="33"/>
  <c r="C115" i="33"/>
  <c r="D115" i="33"/>
  <c r="C116" i="33"/>
  <c r="D116" i="33"/>
  <c r="F115" i="33"/>
  <c r="F116" i="33"/>
  <c r="G129" i="30"/>
  <c r="C129" i="30"/>
  <c r="D129" i="30"/>
  <c r="F347" i="4"/>
  <c r="G232" i="23"/>
  <c r="H232" i="23"/>
  <c r="C232" i="23"/>
  <c r="D232" i="23"/>
  <c r="F232" i="23"/>
  <c r="H172" i="20"/>
  <c r="F183" i="18"/>
  <c r="G248" i="14"/>
  <c r="H248" i="14"/>
  <c r="F248" i="14"/>
  <c r="G98" i="37"/>
  <c r="C98" i="37"/>
  <c r="D98" i="37"/>
  <c r="G132" i="28"/>
  <c r="C132" i="28"/>
  <c r="D132" i="28"/>
  <c r="F132" i="28"/>
  <c r="G107" i="35"/>
  <c r="C107" i="35"/>
  <c r="D107" i="35"/>
  <c r="F107" i="35"/>
  <c r="G262" i="13"/>
  <c r="F262" i="13"/>
  <c r="G345" i="5"/>
  <c r="G346" i="5"/>
  <c r="F346" i="4"/>
  <c r="H171" i="20"/>
  <c r="G49" i="40"/>
  <c r="C49" i="40"/>
  <c r="D49" i="40"/>
  <c r="F49" i="40"/>
  <c r="F297" i="24"/>
  <c r="G297" i="24"/>
  <c r="F34" i="43"/>
  <c r="F48" i="41"/>
  <c r="C44" i="42"/>
  <c r="D44" i="42"/>
  <c r="C127" i="32"/>
  <c r="D127" i="32"/>
  <c r="F127" i="32"/>
  <c r="G114" i="33"/>
  <c r="C114" i="33"/>
  <c r="D114" i="33"/>
  <c r="F114" i="33"/>
  <c r="F296" i="24"/>
  <c r="G296" i="24"/>
  <c r="G48" i="40"/>
  <c r="C48" i="40"/>
  <c r="D48" i="40"/>
  <c r="F48" i="40"/>
  <c r="G98" i="38"/>
  <c r="C98" i="38"/>
  <c r="D98" i="38"/>
  <c r="F98" i="38"/>
  <c r="F177" i="19"/>
  <c r="F178" i="19"/>
  <c r="F182" i="18"/>
  <c r="G247" i="14"/>
  <c r="H247" i="14"/>
  <c r="F247" i="14"/>
  <c r="G128" i="30"/>
  <c r="C128" i="30"/>
  <c r="D128" i="30"/>
  <c r="F316" i="11"/>
  <c r="G316" i="11"/>
  <c r="G106" i="35"/>
  <c r="C106" i="35"/>
  <c r="D106" i="35"/>
  <c r="F106" i="35"/>
  <c r="G261" i="13"/>
  <c r="F261" i="13"/>
  <c r="G97" i="37"/>
  <c r="C97" i="37"/>
  <c r="D97" i="37"/>
  <c r="G131" i="28"/>
  <c r="C131" i="28"/>
  <c r="D131" i="28"/>
  <c r="F131" i="28"/>
  <c r="G231" i="23"/>
  <c r="H231" i="23"/>
  <c r="C231" i="23"/>
  <c r="D231" i="23"/>
  <c r="F231" i="23"/>
  <c r="F297" i="25"/>
  <c r="G97" i="38"/>
  <c r="C97" i="38"/>
  <c r="D97" i="38"/>
  <c r="F97" i="38"/>
  <c r="F345" i="4"/>
  <c r="D33" i="43"/>
  <c r="F33" i="43"/>
  <c r="F47" i="41"/>
  <c r="G131" i="29"/>
  <c r="C131" i="29"/>
  <c r="D131" i="29"/>
  <c r="F131" i="29"/>
  <c r="F43" i="42"/>
  <c r="G43" i="42"/>
  <c r="C43" i="42"/>
  <c r="D43" i="42"/>
  <c r="G126" i="32"/>
  <c r="C126" i="32"/>
  <c r="D126" i="32"/>
  <c r="F126" i="32"/>
  <c r="F315" i="11"/>
  <c r="G315" i="11"/>
  <c r="G113" i="33"/>
  <c r="C113" i="33"/>
  <c r="D113" i="33"/>
  <c r="F113" i="33"/>
  <c r="D159" i="22"/>
  <c r="F181" i="18"/>
  <c r="G96" i="37"/>
  <c r="C96" i="37"/>
  <c r="D96" i="37"/>
  <c r="G344" i="5"/>
  <c r="G260" i="13"/>
  <c r="F260" i="13"/>
  <c r="F32" i="43"/>
  <c r="F46" i="41"/>
  <c r="G230" i="23"/>
  <c r="H230" i="23"/>
  <c r="C230" i="23"/>
  <c r="D230" i="23"/>
  <c r="F230" i="23"/>
  <c r="G130" i="28"/>
  <c r="C130" i="28"/>
  <c r="D130" i="28"/>
  <c r="F130" i="28"/>
  <c r="G105" i="35"/>
  <c r="C105" i="35"/>
  <c r="D105" i="35"/>
  <c r="F105" i="35"/>
  <c r="H170" i="20"/>
  <c r="G127" i="30"/>
  <c r="C127" i="30"/>
  <c r="D127" i="30"/>
  <c r="G246" i="14"/>
  <c r="H246" i="14"/>
  <c r="F246" i="14"/>
  <c r="G297" i="25"/>
  <c r="F295" i="24"/>
  <c r="G295" i="24"/>
  <c r="F42" i="42"/>
  <c r="G42" i="42"/>
  <c r="C42" i="42"/>
  <c r="D42" i="42"/>
  <c r="G130" i="29"/>
  <c r="C130" i="29"/>
  <c r="D130" i="29"/>
  <c r="F130" i="29"/>
  <c r="G47" i="40"/>
  <c r="C47" i="40"/>
  <c r="D47" i="40"/>
  <c r="F47" i="40"/>
  <c r="G125" i="32"/>
  <c r="C125" i="32"/>
  <c r="D125" i="32"/>
  <c r="F125" i="32"/>
  <c r="G46" i="40"/>
  <c r="C46" i="40"/>
  <c r="D46" i="40"/>
  <c r="F46" i="40"/>
  <c r="G104" i="35"/>
  <c r="C104" i="35"/>
  <c r="D104" i="35"/>
  <c r="F104" i="35"/>
  <c r="F180" i="18"/>
  <c r="G129" i="29"/>
  <c r="C129" i="29"/>
  <c r="D129" i="29"/>
  <c r="F129" i="29"/>
  <c r="G94" i="37"/>
  <c r="G95" i="37"/>
  <c r="C95" i="37"/>
  <c r="D95" i="37"/>
  <c r="G123" i="32"/>
  <c r="G124" i="32"/>
  <c r="C124" i="32"/>
  <c r="D124" i="32"/>
  <c r="F124" i="32"/>
  <c r="G129" i="28"/>
  <c r="C129" i="28"/>
  <c r="D129" i="28"/>
  <c r="F129" i="28"/>
  <c r="G343" i="5"/>
  <c r="D343" i="5"/>
  <c r="F31" i="43"/>
  <c r="F45" i="41"/>
  <c r="F41" i="42"/>
  <c r="G41" i="42"/>
  <c r="C41" i="42"/>
  <c r="D41" i="42"/>
  <c r="F343" i="4"/>
  <c r="F344" i="4"/>
  <c r="F21" i="25"/>
  <c r="F22" i="25"/>
  <c r="F23" i="25"/>
  <c r="F24" i="25"/>
  <c r="F25" i="25"/>
  <c r="F26" i="25"/>
  <c r="F27" i="25"/>
  <c r="F28" i="25"/>
  <c r="F29" i="25"/>
  <c r="F30" i="25"/>
  <c r="F31" i="25"/>
  <c r="F32" i="25"/>
  <c r="F33" i="25"/>
  <c r="F34" i="25"/>
  <c r="F35" i="25"/>
  <c r="F36" i="25"/>
  <c r="F37" i="25"/>
  <c r="F38" i="25"/>
  <c r="F39" i="25"/>
  <c r="F40" i="25"/>
  <c r="F41" i="25"/>
  <c r="F42" i="25"/>
  <c r="F43" i="25"/>
  <c r="F44" i="25"/>
  <c r="F45" i="25"/>
  <c r="F46" i="25"/>
  <c r="F47" i="25"/>
  <c r="F48" i="25"/>
  <c r="F49" i="25"/>
  <c r="F50" i="25"/>
  <c r="F51" i="25"/>
  <c r="F52" i="25"/>
  <c r="F53" i="25"/>
  <c r="F54" i="25"/>
  <c r="F55" i="25"/>
  <c r="F56" i="25"/>
  <c r="F57" i="25"/>
  <c r="F58" i="25"/>
  <c r="F59" i="25"/>
  <c r="F60" i="25"/>
  <c r="F61" i="25"/>
  <c r="F62" i="25"/>
  <c r="F63" i="25"/>
  <c r="F64" i="25"/>
  <c r="F65" i="25"/>
  <c r="F66" i="25"/>
  <c r="F67" i="25"/>
  <c r="F68" i="25"/>
  <c r="F69" i="25"/>
  <c r="F70" i="25"/>
  <c r="F71" i="25"/>
  <c r="F72" i="25"/>
  <c r="F73" i="25"/>
  <c r="F74" i="25"/>
  <c r="F75" i="25"/>
  <c r="F76" i="25"/>
  <c r="F77" i="25"/>
  <c r="F78" i="25"/>
  <c r="F79" i="25"/>
  <c r="F80" i="25"/>
  <c r="F81" i="25"/>
  <c r="F82" i="25"/>
  <c r="F83" i="25"/>
  <c r="F84" i="25"/>
  <c r="F85" i="25"/>
  <c r="F86" i="25"/>
  <c r="F87" i="25"/>
  <c r="F88" i="25"/>
  <c r="F89" i="25"/>
  <c r="F90" i="25"/>
  <c r="F91" i="25"/>
  <c r="F92" i="25"/>
  <c r="F93" i="25"/>
  <c r="F94" i="25"/>
  <c r="F95" i="25"/>
  <c r="F96" i="25"/>
  <c r="F97" i="25"/>
  <c r="F98" i="25"/>
  <c r="F99" i="25"/>
  <c r="F100" i="25"/>
  <c r="F101" i="25"/>
  <c r="F102" i="25"/>
  <c r="F103" i="25"/>
  <c r="F104" i="25"/>
  <c r="F105" i="25"/>
  <c r="F106" i="25"/>
  <c r="F107" i="25"/>
  <c r="F108" i="25"/>
  <c r="F109" i="25"/>
  <c r="F110" i="25"/>
  <c r="F111" i="25"/>
  <c r="F112" i="25"/>
  <c r="F113" i="25"/>
  <c r="F114" i="25"/>
  <c r="F115" i="25"/>
  <c r="F116" i="25"/>
  <c r="F117" i="25"/>
  <c r="F118" i="25"/>
  <c r="F119" i="25"/>
  <c r="F120" i="25"/>
  <c r="F121" i="25"/>
  <c r="F122" i="25"/>
  <c r="F123" i="25"/>
  <c r="F124" i="25"/>
  <c r="F125" i="25"/>
  <c r="F126" i="25"/>
  <c r="F127" i="25"/>
  <c r="F128" i="25"/>
  <c r="F129" i="25"/>
  <c r="F130" i="25"/>
  <c r="F131" i="25"/>
  <c r="F132" i="25"/>
  <c r="F133" i="25"/>
  <c r="F134" i="25"/>
  <c r="F135" i="25"/>
  <c r="F136" i="25"/>
  <c r="F137" i="25"/>
  <c r="F138" i="25"/>
  <c r="F139" i="25"/>
  <c r="F140" i="25"/>
  <c r="F141" i="25"/>
  <c r="F142" i="25"/>
  <c r="F143" i="25"/>
  <c r="F144" i="25"/>
  <c r="F145" i="25"/>
  <c r="F146" i="25"/>
  <c r="F147" i="25"/>
  <c r="F148" i="25"/>
  <c r="F149" i="25"/>
  <c r="F150" i="25"/>
  <c r="F151" i="25"/>
  <c r="F152" i="25"/>
  <c r="F153" i="25"/>
  <c r="F154" i="25"/>
  <c r="F155" i="25"/>
  <c r="F156" i="25"/>
  <c r="F157" i="25"/>
  <c r="F158" i="25"/>
  <c r="F159" i="25"/>
  <c r="F160" i="25"/>
  <c r="F161" i="25"/>
  <c r="F162" i="25"/>
  <c r="F163" i="25"/>
  <c r="F164" i="25"/>
  <c r="F165" i="25"/>
  <c r="F166" i="25"/>
  <c r="F167" i="25"/>
  <c r="F168" i="25"/>
  <c r="F169" i="25"/>
  <c r="F170" i="25"/>
  <c r="F171" i="25"/>
  <c r="F172" i="25"/>
  <c r="F173" i="25"/>
  <c r="F174" i="25"/>
  <c r="F175" i="25"/>
  <c r="F176" i="25"/>
  <c r="F177" i="25"/>
  <c r="F178" i="25"/>
  <c r="F179" i="25"/>
  <c r="F180" i="25"/>
  <c r="F181" i="25"/>
  <c r="F182" i="25"/>
  <c r="F183" i="25"/>
  <c r="F184" i="25"/>
  <c r="F185" i="25"/>
  <c r="F186" i="25"/>
  <c r="F187" i="25"/>
  <c r="F188" i="25"/>
  <c r="F189" i="25"/>
  <c r="F190" i="25"/>
  <c r="F191" i="25"/>
  <c r="F192" i="25"/>
  <c r="F193" i="25"/>
  <c r="F194" i="25"/>
  <c r="F195" i="25"/>
  <c r="F296" i="25"/>
  <c r="H169" i="20"/>
  <c r="G296" i="25"/>
  <c r="G95" i="38"/>
  <c r="G96" i="38"/>
  <c r="G126" i="30"/>
  <c r="C126" i="30"/>
  <c r="D126" i="30"/>
  <c r="G229" i="23"/>
  <c r="H229" i="23"/>
  <c r="C229" i="23"/>
  <c r="D229" i="23"/>
  <c r="F229" i="23"/>
  <c r="G244" i="14"/>
  <c r="H244" i="14"/>
  <c r="G245" i="14"/>
  <c r="H245" i="14"/>
  <c r="F245" i="14"/>
  <c r="F244" i="14"/>
  <c r="G259" i="13"/>
  <c r="F259" i="13"/>
  <c r="G112" i="33"/>
  <c r="C112" i="33"/>
  <c r="D112" i="33"/>
  <c r="F112" i="33"/>
  <c r="C96" i="38"/>
  <c r="D96" i="38"/>
  <c r="F96" i="38"/>
  <c r="C95" i="38"/>
  <c r="D95" i="38"/>
  <c r="F95" i="38"/>
  <c r="F176" i="19"/>
  <c r="G258" i="13"/>
  <c r="F258" i="13"/>
  <c r="G45" i="40"/>
  <c r="C45" i="40"/>
  <c r="D45" i="40"/>
  <c r="F45" i="40"/>
  <c r="D179" i="18"/>
  <c r="F179" i="18"/>
  <c r="C94" i="37"/>
  <c r="D94" i="37"/>
  <c r="G228" i="23"/>
  <c r="H228" i="23"/>
  <c r="C228" i="23"/>
  <c r="D228" i="23"/>
  <c r="F228" i="23"/>
  <c r="F313" i="11"/>
  <c r="G313" i="11"/>
  <c r="F314" i="11"/>
  <c r="G314" i="11"/>
  <c r="G125" i="30"/>
  <c r="C125" i="30"/>
  <c r="D125" i="30"/>
  <c r="G103" i="35"/>
  <c r="C103" i="35"/>
  <c r="D103" i="35"/>
  <c r="F103" i="35"/>
  <c r="G128" i="28"/>
  <c r="C128" i="28"/>
  <c r="D128" i="28"/>
  <c r="F128" i="28"/>
  <c r="G295" i="25"/>
  <c r="D295" i="25"/>
  <c r="H168" i="20"/>
  <c r="G128" i="29"/>
  <c r="C128" i="29"/>
  <c r="D128" i="29"/>
  <c r="F128" i="29"/>
  <c r="F30" i="43"/>
  <c r="F44" i="41"/>
  <c r="F40" i="42"/>
  <c r="G40" i="42"/>
  <c r="C40" i="42"/>
  <c r="D40" i="42"/>
  <c r="G342" i="5"/>
  <c r="G111" i="33"/>
  <c r="C111" i="33"/>
  <c r="D111" i="33"/>
  <c r="F111" i="33"/>
  <c r="C123" i="32"/>
  <c r="D123" i="32"/>
  <c r="F123" i="32"/>
  <c r="F293" i="24"/>
  <c r="G293" i="24"/>
  <c r="F294" i="24"/>
  <c r="G294" i="24"/>
  <c r="F342" i="4"/>
  <c r="G110" i="33"/>
  <c r="C110" i="33"/>
  <c r="D110" i="33"/>
  <c r="F110" i="33"/>
  <c r="F174" i="19"/>
  <c r="F175" i="19"/>
  <c r="G94" i="38"/>
  <c r="C94" i="38"/>
  <c r="D94" i="38"/>
  <c r="F94" i="38"/>
  <c r="G44" i="40"/>
  <c r="G227" i="23"/>
  <c r="H227" i="23"/>
  <c r="C227" i="23"/>
  <c r="D227" i="23"/>
  <c r="F227" i="23"/>
  <c r="F44" i="40"/>
  <c r="F21" i="40"/>
  <c r="F22" i="40"/>
  <c r="F23" i="40"/>
  <c r="F24" i="40"/>
  <c r="F25" i="40"/>
  <c r="F26" i="40"/>
  <c r="F27" i="40"/>
  <c r="F28" i="40"/>
  <c r="F29" i="40"/>
  <c r="F30" i="40"/>
  <c r="F31" i="40"/>
  <c r="F32" i="40"/>
  <c r="F33" i="40"/>
  <c r="F34" i="40"/>
  <c r="F35" i="40"/>
  <c r="F36" i="40"/>
  <c r="F37" i="40"/>
  <c r="F38" i="40"/>
  <c r="F39" i="40"/>
  <c r="F40" i="40"/>
  <c r="F41" i="40"/>
  <c r="F42" i="40"/>
  <c r="F43" i="40"/>
  <c r="C44" i="40"/>
  <c r="D44" i="40"/>
  <c r="G124" i="30"/>
  <c r="C124" i="30"/>
  <c r="D124" i="30"/>
  <c r="G243" i="14"/>
  <c r="H243" i="14"/>
  <c r="F243" i="14"/>
  <c r="G92" i="37"/>
  <c r="G93" i="37"/>
  <c r="C93" i="37"/>
  <c r="D93" i="37"/>
  <c r="G257" i="13"/>
  <c r="F257" i="13"/>
  <c r="F178" i="18"/>
  <c r="G126" i="28"/>
  <c r="G127" i="28"/>
  <c r="C126" i="28"/>
  <c r="D126" i="28"/>
  <c r="C127" i="28"/>
  <c r="D127" i="28"/>
  <c r="F126" i="28"/>
  <c r="F127" i="28"/>
  <c r="F292" i="24"/>
  <c r="G292" i="24"/>
  <c r="G341" i="5"/>
  <c r="D29" i="43"/>
  <c r="F29" i="43"/>
  <c r="F43" i="41"/>
  <c r="F39" i="42"/>
  <c r="G39" i="42"/>
  <c r="C39" i="42"/>
  <c r="D39" i="42"/>
  <c r="G102" i="35"/>
  <c r="C102" i="35"/>
  <c r="D102" i="35"/>
  <c r="F102" i="35"/>
  <c r="G93" i="38"/>
  <c r="C93" i="38"/>
  <c r="D93" i="38"/>
  <c r="F93" i="38"/>
  <c r="G294" i="25"/>
  <c r="F341" i="4"/>
  <c r="H167" i="20"/>
  <c r="G127" i="29"/>
  <c r="C127" i="29"/>
  <c r="D127" i="29"/>
  <c r="F127" i="29"/>
  <c r="G122" i="32"/>
  <c r="C122" i="32"/>
  <c r="D122" i="32"/>
  <c r="F122" i="32"/>
  <c r="G108" i="33"/>
  <c r="G109" i="33"/>
  <c r="C109" i="33"/>
  <c r="D109" i="33"/>
  <c r="F109" i="33"/>
  <c r="C108" i="33"/>
  <c r="D108" i="33"/>
  <c r="F108" i="33"/>
  <c r="G101" i="35"/>
  <c r="C101" i="35"/>
  <c r="D101" i="35"/>
  <c r="F101" i="35"/>
  <c r="G240" i="14"/>
  <c r="H240" i="14"/>
  <c r="G241" i="14"/>
  <c r="H241" i="14"/>
  <c r="G242" i="14"/>
  <c r="H242" i="14"/>
  <c r="F242" i="14"/>
  <c r="G123" i="30"/>
  <c r="C123" i="30"/>
  <c r="D123" i="30"/>
  <c r="D155" i="22"/>
  <c r="G43" i="40"/>
  <c r="C43" i="40"/>
  <c r="D43" i="40"/>
  <c r="G226" i="23"/>
  <c r="H226" i="23"/>
  <c r="C226" i="23"/>
  <c r="D226" i="23"/>
  <c r="F226" i="23"/>
  <c r="F173" i="19"/>
  <c r="C92" i="37"/>
  <c r="D92" i="37"/>
  <c r="F177" i="18"/>
  <c r="F312" i="11"/>
  <c r="G312" i="11"/>
  <c r="G256" i="13"/>
  <c r="F256" i="13"/>
  <c r="G340" i="5"/>
  <c r="H166" i="20"/>
  <c r="F28" i="43"/>
  <c r="G126" i="29"/>
  <c r="C126" i="29"/>
  <c r="D126" i="29"/>
  <c r="F126" i="29"/>
  <c r="G38" i="42"/>
  <c r="F38" i="42"/>
  <c r="C38" i="42"/>
  <c r="D38" i="42"/>
  <c r="F42" i="41"/>
  <c r="G120" i="32"/>
  <c r="G121" i="32"/>
  <c r="C121" i="32"/>
  <c r="D121" i="32"/>
  <c r="F121" i="32"/>
  <c r="G293" i="25"/>
  <c r="G91" i="37"/>
  <c r="C91" i="37"/>
  <c r="D91" i="37"/>
  <c r="F176" i="18"/>
  <c r="F310" i="11"/>
  <c r="G310" i="11"/>
  <c r="F311" i="11"/>
  <c r="G311" i="11"/>
  <c r="G100" i="35"/>
  <c r="C100" i="35"/>
  <c r="D100" i="35"/>
  <c r="F100" i="35"/>
  <c r="G42" i="40"/>
  <c r="C42" i="40"/>
  <c r="D42" i="40"/>
  <c r="G90" i="38"/>
  <c r="G91" i="38"/>
  <c r="G92" i="38"/>
  <c r="C92" i="38"/>
  <c r="D92" i="38"/>
  <c r="F92" i="38"/>
  <c r="F290" i="24"/>
  <c r="G290" i="24"/>
  <c r="F291" i="24"/>
  <c r="G291" i="24"/>
  <c r="G255" i="13"/>
  <c r="F255" i="13"/>
  <c r="G338" i="5"/>
  <c r="G339" i="5"/>
  <c r="D339" i="5"/>
  <c r="G125" i="28"/>
  <c r="C125" i="28"/>
  <c r="D125" i="28"/>
  <c r="F125" i="28"/>
  <c r="G125" i="29"/>
  <c r="C125" i="29"/>
  <c r="D125" i="29"/>
  <c r="F125" i="29"/>
  <c r="C120" i="32"/>
  <c r="D120" i="32"/>
  <c r="F120" i="32"/>
  <c r="F27" i="43"/>
  <c r="F41" i="41"/>
  <c r="G36" i="42"/>
  <c r="G37" i="42"/>
  <c r="C37" i="42"/>
  <c r="D37" i="42"/>
  <c r="G225" i="23"/>
  <c r="H225" i="23"/>
  <c r="C225" i="23"/>
  <c r="D225" i="23"/>
  <c r="F225" i="23"/>
  <c r="H165" i="20"/>
  <c r="F340" i="4"/>
  <c r="G292" i="25"/>
  <c r="G41" i="40"/>
  <c r="C41" i="40"/>
  <c r="D41" i="40"/>
  <c r="F171" i="19"/>
  <c r="F172" i="19"/>
  <c r="G107" i="33"/>
  <c r="C107" i="33"/>
  <c r="D107" i="33"/>
  <c r="F107" i="33"/>
  <c r="G90" i="37"/>
  <c r="C90" i="37"/>
  <c r="D90" i="37"/>
  <c r="F175" i="18"/>
  <c r="C90" i="38"/>
  <c r="D90" i="38"/>
  <c r="C91" i="38"/>
  <c r="D91" i="38"/>
  <c r="F90" i="38"/>
  <c r="F91" i="38"/>
  <c r="G224" i="23"/>
  <c r="H224" i="23"/>
  <c r="C224" i="23"/>
  <c r="D224" i="23"/>
  <c r="F224" i="23"/>
  <c r="F241" i="14"/>
  <c r="F240" i="14"/>
  <c r="G121" i="30"/>
  <c r="G122" i="30"/>
  <c r="C122" i="30"/>
  <c r="D122" i="30"/>
  <c r="C121" i="30"/>
  <c r="D121" i="30"/>
  <c r="G254" i="13"/>
  <c r="F254" i="13"/>
  <c r="G99" i="35"/>
  <c r="C99" i="35"/>
  <c r="D99" i="35"/>
  <c r="F99" i="35"/>
  <c r="H164" i="20"/>
  <c r="G124" i="28"/>
  <c r="C124" i="28"/>
  <c r="D124" i="28"/>
  <c r="F124" i="28"/>
  <c r="G124" i="29"/>
  <c r="C124" i="29"/>
  <c r="D124" i="29"/>
  <c r="F124" i="29"/>
  <c r="F26" i="43"/>
  <c r="F40" i="41"/>
  <c r="F338" i="4"/>
  <c r="F339" i="4"/>
  <c r="G291" i="25"/>
  <c r="C36" i="42"/>
  <c r="D36" i="42"/>
  <c r="G119" i="32"/>
  <c r="C119" i="32"/>
  <c r="D119" i="32"/>
  <c r="F119" i="32"/>
  <c r="G106" i="33"/>
  <c r="C106" i="33"/>
  <c r="D106" i="33"/>
  <c r="F106" i="33"/>
  <c r="F174" i="18"/>
  <c r="G239" i="14"/>
  <c r="H239" i="14"/>
  <c r="F239" i="14"/>
  <c r="G89" i="38"/>
  <c r="C89" i="38"/>
  <c r="D89" i="38"/>
  <c r="F89" i="38"/>
  <c r="G98" i="35"/>
  <c r="C98" i="35"/>
  <c r="D98" i="35"/>
  <c r="F98" i="35"/>
  <c r="G40" i="40"/>
  <c r="C40" i="40"/>
  <c r="D40" i="40"/>
  <c r="F308" i="11"/>
  <c r="G308" i="11"/>
  <c r="F309" i="11"/>
  <c r="G309" i="11"/>
  <c r="G120" i="30"/>
  <c r="C120" i="30"/>
  <c r="D120" i="30"/>
  <c r="G35" i="42"/>
  <c r="C35" i="42"/>
  <c r="D35" i="42"/>
  <c r="G89" i="37"/>
  <c r="C89" i="37"/>
  <c r="D89" i="37"/>
  <c r="G252" i="13"/>
  <c r="G253" i="13"/>
  <c r="F253" i="13"/>
  <c r="G222" i="23"/>
  <c r="H222" i="23"/>
  <c r="G223" i="23"/>
  <c r="H223" i="23"/>
  <c r="C223" i="23"/>
  <c r="D223" i="23"/>
  <c r="F223" i="23"/>
  <c r="C222" i="23"/>
  <c r="D222" i="23"/>
  <c r="F222" i="23"/>
  <c r="G123" i="28"/>
  <c r="C123" i="28"/>
  <c r="D123" i="28"/>
  <c r="F123" i="28"/>
  <c r="G123" i="29"/>
  <c r="C123" i="29"/>
  <c r="D123" i="29"/>
  <c r="F123" i="29"/>
  <c r="G337" i="5"/>
  <c r="G122" i="28"/>
  <c r="C122" i="28"/>
  <c r="D122" i="28"/>
  <c r="F122" i="28"/>
  <c r="G39" i="40"/>
  <c r="C39" i="40"/>
  <c r="D39" i="40"/>
  <c r="D25" i="43"/>
  <c r="F25" i="43"/>
  <c r="F39" i="41"/>
  <c r="G290" i="25"/>
  <c r="H163" i="20"/>
  <c r="G118" i="32"/>
  <c r="C118" i="32"/>
  <c r="D118" i="32"/>
  <c r="F118" i="32"/>
  <c r="F337" i="4"/>
  <c r="D338" i="4"/>
  <c r="F288" i="24"/>
  <c r="G288" i="24"/>
  <c r="F289" i="24"/>
  <c r="G289" i="24"/>
  <c r="G251" i="13"/>
  <c r="F251" i="13"/>
  <c r="F252" i="13"/>
  <c r="G105" i="33"/>
  <c r="C105" i="33"/>
  <c r="D105" i="33"/>
  <c r="F105" i="33"/>
  <c r="G237" i="14"/>
  <c r="H237" i="14"/>
  <c r="G238" i="14"/>
  <c r="H238" i="14"/>
  <c r="F238" i="14"/>
  <c r="G119" i="30"/>
  <c r="C119" i="30"/>
  <c r="D119" i="30"/>
  <c r="F169" i="19"/>
  <c r="F170" i="19"/>
  <c r="G88" i="37"/>
  <c r="C88" i="37"/>
  <c r="D88" i="37"/>
  <c r="G96" i="35"/>
  <c r="G97" i="35"/>
  <c r="C96" i="35"/>
  <c r="D96" i="35"/>
  <c r="C97" i="35"/>
  <c r="D97" i="35"/>
  <c r="F96" i="35"/>
  <c r="F97" i="35"/>
  <c r="F24" i="43"/>
  <c r="F23" i="43"/>
  <c r="F22" i="43"/>
  <c r="F21" i="43"/>
  <c r="D21" i="43"/>
  <c r="B8" i="43"/>
  <c r="G4" i="43"/>
  <c r="D151" i="22"/>
  <c r="H161" i="20"/>
  <c r="H162" i="20"/>
  <c r="G289" i="25"/>
  <c r="F306" i="11"/>
  <c r="G306" i="11"/>
  <c r="F307" i="11"/>
  <c r="G307" i="11"/>
  <c r="F173" i="18"/>
  <c r="G336" i="5"/>
  <c r="F287" i="24"/>
  <c r="G287" i="24"/>
  <c r="F38" i="41"/>
  <c r="G34" i="42"/>
  <c r="G122" i="29"/>
  <c r="C122" i="29"/>
  <c r="D122" i="29"/>
  <c r="F122" i="29"/>
  <c r="G117" i="32"/>
  <c r="C117" i="32"/>
  <c r="D117" i="32"/>
  <c r="F117" i="32"/>
  <c r="G118" i="30"/>
  <c r="C118" i="30"/>
  <c r="D118" i="30"/>
  <c r="C34" i="42"/>
  <c r="D34" i="42"/>
  <c r="F34" i="42"/>
  <c r="G88" i="38"/>
  <c r="C88" i="38"/>
  <c r="D88" i="38"/>
  <c r="F88" i="38"/>
  <c r="F168" i="19"/>
  <c r="F237" i="14"/>
  <c r="G104" i="33"/>
  <c r="C104" i="33"/>
  <c r="D104" i="33"/>
  <c r="F104" i="33"/>
  <c r="G38" i="40"/>
  <c r="C38" i="40"/>
  <c r="D38" i="40"/>
  <c r="G121" i="28"/>
  <c r="C121" i="28"/>
  <c r="D121" i="28"/>
  <c r="F121" i="28"/>
  <c r="G87" i="37"/>
  <c r="C87" i="37"/>
  <c r="D87" i="37"/>
  <c r="F172" i="18"/>
  <c r="G221" i="23"/>
  <c r="H221" i="23"/>
  <c r="C221" i="23"/>
  <c r="D221" i="23"/>
  <c r="F221" i="23"/>
  <c r="G335" i="5"/>
  <c r="D335" i="5"/>
  <c r="F37" i="41"/>
  <c r="G33" i="42"/>
  <c r="C33" i="42"/>
  <c r="D33" i="42"/>
  <c r="F33" i="42"/>
  <c r="G288" i="25"/>
  <c r="D288" i="25"/>
  <c r="G116" i="32"/>
  <c r="C116" i="32"/>
  <c r="D116" i="32"/>
  <c r="F116" i="32"/>
  <c r="G121" i="29"/>
  <c r="C121" i="29"/>
  <c r="D121" i="29"/>
  <c r="F121" i="29"/>
  <c r="F286" i="24"/>
  <c r="G286" i="24"/>
  <c r="F335" i="4"/>
  <c r="F336" i="4"/>
  <c r="G102" i="33"/>
  <c r="G103" i="33"/>
  <c r="C103" i="33"/>
  <c r="D103" i="33"/>
  <c r="F103" i="33"/>
  <c r="G36" i="40"/>
  <c r="G37" i="40"/>
  <c r="C37" i="40"/>
  <c r="D37" i="40"/>
  <c r="C36" i="40"/>
  <c r="D36" i="40"/>
  <c r="F167" i="19"/>
  <c r="G87" i="38"/>
  <c r="C87" i="38"/>
  <c r="D87" i="38"/>
  <c r="F87" i="38"/>
  <c r="C102" i="33"/>
  <c r="D102" i="33"/>
  <c r="F102" i="33"/>
  <c r="G86" i="37"/>
  <c r="C86" i="37"/>
  <c r="D86" i="37"/>
  <c r="G250" i="13"/>
  <c r="F250" i="13"/>
  <c r="F171" i="18"/>
  <c r="G95" i="35"/>
  <c r="C95" i="35"/>
  <c r="D95" i="35"/>
  <c r="F95" i="35"/>
  <c r="G117" i="30"/>
  <c r="C117" i="30"/>
  <c r="D117" i="30"/>
  <c r="G236" i="14"/>
  <c r="H236" i="14"/>
  <c r="F236" i="14"/>
  <c r="G334" i="5"/>
  <c r="G220" i="23"/>
  <c r="H220" i="23"/>
  <c r="C220" i="23"/>
  <c r="D220" i="23"/>
  <c r="F220" i="23"/>
  <c r="F304" i="11"/>
  <c r="G304" i="11"/>
  <c r="F305" i="11"/>
  <c r="G305" i="11"/>
  <c r="H160" i="20"/>
  <c r="G287" i="25"/>
  <c r="G120" i="28"/>
  <c r="C120" i="28"/>
  <c r="D120" i="28"/>
  <c r="F120" i="28"/>
  <c r="G120" i="29"/>
  <c r="C120" i="29"/>
  <c r="D120" i="29"/>
  <c r="F120" i="29"/>
  <c r="F285" i="24"/>
  <c r="G285" i="24"/>
  <c r="F334" i="4"/>
  <c r="F36" i="41"/>
  <c r="G32" i="42"/>
  <c r="G115" i="32"/>
  <c r="C115" i="32"/>
  <c r="D115" i="32"/>
  <c r="F115" i="32"/>
  <c r="G86" i="38"/>
  <c r="C86" i="38"/>
  <c r="D86" i="38"/>
  <c r="F86" i="38"/>
  <c r="C32" i="42"/>
  <c r="D32" i="42"/>
  <c r="F32" i="42"/>
  <c r="F166" i="19"/>
  <c r="F170" i="18"/>
  <c r="G217" i="23"/>
  <c r="H217" i="23"/>
  <c r="G218" i="23"/>
  <c r="H218" i="23"/>
  <c r="G219" i="23"/>
  <c r="H219" i="23"/>
  <c r="G117" i="28"/>
  <c r="G118" i="28"/>
  <c r="G119" i="28"/>
  <c r="G333" i="5"/>
  <c r="G85" i="37"/>
  <c r="C85" i="37"/>
  <c r="D85" i="37"/>
  <c r="G94" i="35"/>
  <c r="C94" i="35"/>
  <c r="D94" i="35"/>
  <c r="F94" i="35"/>
  <c r="G116" i="30"/>
  <c r="C116" i="30"/>
  <c r="D116" i="30"/>
  <c r="G235" i="14"/>
  <c r="H235" i="14"/>
  <c r="F235" i="14"/>
  <c r="G286" i="25"/>
  <c r="G85" i="38"/>
  <c r="C85" i="38"/>
  <c r="D85" i="38"/>
  <c r="F85" i="38"/>
  <c r="C219" i="23"/>
  <c r="D219" i="23"/>
  <c r="F219" i="23"/>
  <c r="C217" i="23"/>
  <c r="D217" i="23"/>
  <c r="C218" i="23"/>
  <c r="D218" i="23"/>
  <c r="F217" i="23"/>
  <c r="F218" i="23"/>
  <c r="F284" i="24"/>
  <c r="G284" i="24"/>
  <c r="C119" i="28"/>
  <c r="D119" i="28"/>
  <c r="F119" i="28"/>
  <c r="C117" i="28"/>
  <c r="D117" i="28"/>
  <c r="C118" i="28"/>
  <c r="D118" i="28"/>
  <c r="F117" i="28"/>
  <c r="F118" i="28"/>
  <c r="G101" i="33"/>
  <c r="C101" i="33"/>
  <c r="D101" i="33"/>
  <c r="F101" i="33"/>
  <c r="F333" i="4"/>
  <c r="D334" i="4"/>
  <c r="G249" i="13"/>
  <c r="F249" i="13"/>
  <c r="G119" i="29"/>
  <c r="C119" i="29"/>
  <c r="D119" i="29"/>
  <c r="F119" i="29"/>
  <c r="H158" i="20"/>
  <c r="H159" i="20"/>
  <c r="F35" i="41"/>
  <c r="G31" i="42"/>
  <c r="C31" i="42"/>
  <c r="D31" i="42"/>
  <c r="F31" i="42"/>
  <c r="G114" i="32"/>
  <c r="C114" i="32"/>
  <c r="D114" i="32"/>
  <c r="F114" i="32"/>
  <c r="G100" i="33"/>
  <c r="C100" i="33"/>
  <c r="D100" i="33"/>
  <c r="F100" i="33"/>
  <c r="G115" i="30"/>
  <c r="C115" i="30"/>
  <c r="D115" i="30"/>
  <c r="G284" i="25"/>
  <c r="G285" i="25"/>
  <c r="G35" i="40"/>
  <c r="C35" i="40"/>
  <c r="D35" i="40"/>
  <c r="F169" i="18"/>
  <c r="D147" i="22"/>
  <c r="G93" i="35"/>
  <c r="C93" i="35"/>
  <c r="D93" i="35"/>
  <c r="F93" i="35"/>
  <c r="G84" i="37"/>
  <c r="C84" i="37"/>
  <c r="D84" i="37"/>
  <c r="G234" i="14"/>
  <c r="H234" i="14"/>
  <c r="F234" i="14"/>
  <c r="F303" i="11"/>
  <c r="G303" i="11"/>
  <c r="G332" i="5"/>
  <c r="G247" i="13"/>
  <c r="G248" i="13"/>
  <c r="F248" i="13"/>
  <c r="F283" i="24"/>
  <c r="G283" i="24"/>
  <c r="H157" i="20"/>
  <c r="G30" i="42"/>
  <c r="C30" i="42"/>
  <c r="D30" i="42"/>
  <c r="F30" i="42"/>
  <c r="F34" i="41"/>
  <c r="G118" i="29"/>
  <c r="C118" i="29"/>
  <c r="D118" i="29"/>
  <c r="F118" i="29"/>
  <c r="G113" i="32"/>
  <c r="C113" i="32"/>
  <c r="D113" i="32"/>
  <c r="F113" i="32"/>
  <c r="F331" i="4"/>
  <c r="F332" i="4"/>
  <c r="G91" i="35"/>
  <c r="G92" i="35"/>
  <c r="C91" i="35"/>
  <c r="D91" i="35"/>
  <c r="C92" i="35"/>
  <c r="D92" i="35"/>
  <c r="F91" i="35"/>
  <c r="F92" i="35"/>
  <c r="G84" i="38"/>
  <c r="C84" i="38"/>
  <c r="D84" i="38"/>
  <c r="F84" i="38"/>
  <c r="F165" i="19"/>
  <c r="G34" i="40"/>
  <c r="C34" i="40"/>
  <c r="D34" i="40"/>
  <c r="F168" i="18"/>
  <c r="F247" i="13"/>
  <c r="G83" i="38"/>
  <c r="C83" i="38"/>
  <c r="D83" i="38"/>
  <c r="F83" i="38"/>
  <c r="F300" i="11"/>
  <c r="G300" i="11"/>
  <c r="F301" i="11"/>
  <c r="G301" i="11"/>
  <c r="F302" i="11"/>
  <c r="G302" i="11"/>
  <c r="G331" i="5"/>
  <c r="D331" i="5"/>
  <c r="G83" i="37"/>
  <c r="C83" i="37"/>
  <c r="D83" i="37"/>
  <c r="G114" i="30"/>
  <c r="C114" i="30"/>
  <c r="D114" i="30"/>
  <c r="G233" i="14"/>
  <c r="H233" i="14"/>
  <c r="F233" i="14"/>
  <c r="G117" i="29"/>
  <c r="C117" i="29"/>
  <c r="D117" i="29"/>
  <c r="F117" i="29"/>
  <c r="F33" i="41"/>
  <c r="G29" i="42"/>
  <c r="C29" i="42"/>
  <c r="D29" i="42"/>
  <c r="F29" i="42"/>
  <c r="G116" i="28"/>
  <c r="G112" i="32"/>
  <c r="C112" i="32"/>
  <c r="D112" i="32"/>
  <c r="F112" i="32"/>
  <c r="F282" i="24"/>
  <c r="G282" i="24"/>
  <c r="G99" i="33"/>
  <c r="C99" i="33"/>
  <c r="D99" i="33"/>
  <c r="F99" i="33"/>
  <c r="G246" i="13"/>
  <c r="F246" i="13"/>
  <c r="F167" i="18"/>
  <c r="D164" i="19"/>
  <c r="F164" i="19"/>
  <c r="G81" i="37"/>
  <c r="G82" i="37"/>
  <c r="C82" i="37"/>
  <c r="D82" i="37"/>
  <c r="G112" i="30"/>
  <c r="G113" i="30"/>
  <c r="C113" i="30"/>
  <c r="D113" i="30"/>
  <c r="G232" i="14"/>
  <c r="H232" i="14"/>
  <c r="F232" i="14"/>
  <c r="G115" i="29"/>
  <c r="G116" i="29"/>
  <c r="C116" i="29"/>
  <c r="D116" i="29"/>
  <c r="F116" i="29"/>
  <c r="G33" i="40"/>
  <c r="C33" i="40"/>
  <c r="D33" i="40"/>
  <c r="C116" i="28"/>
  <c r="D116" i="28"/>
  <c r="F116" i="28"/>
  <c r="C81" i="37"/>
  <c r="D81" i="37"/>
  <c r="G216" i="23"/>
  <c r="H216" i="23"/>
  <c r="C216" i="23"/>
  <c r="D216" i="23"/>
  <c r="F216" i="23"/>
  <c r="G330" i="5"/>
  <c r="H156" i="20"/>
  <c r="G283" i="25"/>
  <c r="F32" i="41"/>
  <c r="G28" i="42"/>
  <c r="C28" i="42"/>
  <c r="D28" i="42"/>
  <c r="F28" i="42"/>
  <c r="G111" i="32"/>
  <c r="C111" i="32"/>
  <c r="D111" i="32"/>
  <c r="F111" i="32"/>
  <c r="F281" i="24"/>
  <c r="G281" i="24"/>
  <c r="F163" i="19"/>
  <c r="G98" i="33"/>
  <c r="C98" i="33"/>
  <c r="D98" i="33"/>
  <c r="F98" i="33"/>
  <c r="G82" i="38"/>
  <c r="C82" i="38"/>
  <c r="D82" i="38"/>
  <c r="F82" i="38"/>
  <c r="G90" i="35"/>
  <c r="C90" i="35"/>
  <c r="D90" i="35"/>
  <c r="F90" i="35"/>
  <c r="G32" i="40"/>
  <c r="C32" i="40"/>
  <c r="D32" i="40"/>
  <c r="F166" i="18"/>
  <c r="H154" i="20"/>
  <c r="H155" i="20"/>
  <c r="G115" i="28"/>
  <c r="C115" i="28"/>
  <c r="D115" i="28"/>
  <c r="F115" i="28"/>
  <c r="F330" i="4"/>
  <c r="G215" i="23"/>
  <c r="H215" i="23"/>
  <c r="C215" i="23"/>
  <c r="D215" i="23"/>
  <c r="F215" i="23"/>
  <c r="G329" i="5"/>
  <c r="G244" i="13"/>
  <c r="G245" i="13"/>
  <c r="F245" i="13"/>
  <c r="C115" i="29"/>
  <c r="D115" i="29"/>
  <c r="F115" i="29"/>
  <c r="G111" i="30"/>
  <c r="C112" i="30"/>
  <c r="D112" i="30"/>
  <c r="G231" i="14"/>
  <c r="H231" i="14"/>
  <c r="F231" i="14"/>
  <c r="G282" i="25"/>
  <c r="G81" i="38"/>
  <c r="C81" i="38"/>
  <c r="D81" i="38"/>
  <c r="F81" i="38"/>
  <c r="F280" i="24"/>
  <c r="G280" i="24"/>
  <c r="F31" i="41"/>
  <c r="G27" i="42"/>
  <c r="C27" i="42"/>
  <c r="D27" i="42"/>
  <c r="F27" i="42"/>
  <c r="G110" i="32"/>
  <c r="C110" i="32"/>
  <c r="D110" i="32"/>
  <c r="F110" i="32"/>
  <c r="F244" i="13"/>
  <c r="G242" i="13"/>
  <c r="G243" i="13"/>
  <c r="F243" i="13"/>
  <c r="G113" i="28"/>
  <c r="G114" i="28"/>
  <c r="C114" i="28"/>
  <c r="D114" i="28"/>
  <c r="F114" i="28"/>
  <c r="F162" i="19"/>
  <c r="G97" i="33"/>
  <c r="C97" i="33"/>
  <c r="D97" i="33"/>
  <c r="F97" i="33"/>
  <c r="C111" i="30"/>
  <c r="D111" i="30"/>
  <c r="F165" i="18"/>
  <c r="D143" i="22"/>
  <c r="G89" i="35"/>
  <c r="C89" i="35"/>
  <c r="D89" i="35"/>
  <c r="F89" i="35"/>
  <c r="G31" i="40"/>
  <c r="C31" i="40"/>
  <c r="D31" i="40"/>
  <c r="G230" i="14"/>
  <c r="H230" i="14"/>
  <c r="F230" i="14"/>
  <c r="G214" i="23"/>
  <c r="H214" i="23"/>
  <c r="C214" i="23"/>
  <c r="D214" i="23"/>
  <c r="F214" i="23"/>
  <c r="F328" i="4"/>
  <c r="F329" i="4"/>
  <c r="G80" i="38"/>
  <c r="C80" i="38"/>
  <c r="D80" i="38"/>
  <c r="F80" i="38"/>
  <c r="G80" i="37"/>
  <c r="C80" i="37"/>
  <c r="D80" i="37"/>
  <c r="G328" i="5"/>
  <c r="F30" i="41"/>
  <c r="G114" i="29"/>
  <c r="C114" i="29"/>
  <c r="D114" i="29"/>
  <c r="F114" i="29"/>
  <c r="F26" i="42"/>
  <c r="G26" i="42"/>
  <c r="G281" i="25"/>
  <c r="G108" i="32"/>
  <c r="G109" i="32"/>
  <c r="C109" i="32"/>
  <c r="D109" i="32"/>
  <c r="F109" i="32"/>
  <c r="G96" i="33"/>
  <c r="C96" i="33"/>
  <c r="D96" i="33"/>
  <c r="F96" i="33"/>
  <c r="F164" i="18"/>
  <c r="G88" i="35"/>
  <c r="C88" i="35"/>
  <c r="D88" i="35"/>
  <c r="F88" i="35"/>
  <c r="F161" i="19"/>
  <c r="G228" i="14"/>
  <c r="H228" i="14"/>
  <c r="G229" i="14"/>
  <c r="H229" i="14"/>
  <c r="F229" i="14"/>
  <c r="G30" i="40"/>
  <c r="C30" i="40"/>
  <c r="D30" i="40"/>
  <c r="G113" i="29"/>
  <c r="C113" i="29"/>
  <c r="D113" i="29"/>
  <c r="F113" i="29"/>
  <c r="G213" i="23"/>
  <c r="H213" i="23"/>
  <c r="C213" i="23"/>
  <c r="D213" i="23"/>
  <c r="F213" i="23"/>
  <c r="G280" i="25"/>
  <c r="G79" i="37"/>
  <c r="C79" i="37"/>
  <c r="D79" i="37"/>
  <c r="F298" i="11"/>
  <c r="G298" i="11"/>
  <c r="F299" i="11"/>
  <c r="G299" i="11"/>
  <c r="H153" i="20"/>
  <c r="F327" i="4"/>
  <c r="C113" i="28"/>
  <c r="D113" i="28"/>
  <c r="F113" i="28"/>
  <c r="G326" i="5"/>
  <c r="G327" i="5"/>
  <c r="D327" i="5"/>
  <c r="F278" i="24"/>
  <c r="G278" i="24"/>
  <c r="F279" i="24"/>
  <c r="G279" i="24"/>
  <c r="G110" i="30"/>
  <c r="C110" i="30"/>
  <c r="D110" i="30"/>
  <c r="F29" i="41"/>
  <c r="G79" i="38"/>
  <c r="C79" i="38"/>
  <c r="D79" i="38"/>
  <c r="F79" i="38"/>
  <c r="G107" i="32"/>
  <c r="C108" i="32"/>
  <c r="D108" i="32"/>
  <c r="F108" i="32"/>
  <c r="G78" i="37"/>
  <c r="G95" i="33"/>
  <c r="C95" i="33"/>
  <c r="D95" i="33"/>
  <c r="F95" i="33"/>
  <c r="F160" i="19"/>
  <c r="F326" i="4"/>
  <c r="G87" i="35"/>
  <c r="C87" i="35"/>
  <c r="D87" i="35"/>
  <c r="F87" i="35"/>
  <c r="G212" i="23"/>
  <c r="H212" i="23"/>
  <c r="C212" i="23"/>
  <c r="D212" i="23"/>
  <c r="F212" i="23"/>
  <c r="F163" i="18"/>
  <c r="H152" i="20"/>
  <c r="G29" i="40"/>
  <c r="C29" i="40"/>
  <c r="D29" i="40"/>
  <c r="F242" i="13"/>
  <c r="G279" i="25"/>
  <c r="G278" i="25"/>
  <c r="C78" i="37"/>
  <c r="D78" i="37"/>
  <c r="G109" i="30"/>
  <c r="C109" i="30"/>
  <c r="D109" i="30"/>
  <c r="F227" i="14"/>
  <c r="G227" i="14"/>
  <c r="H227" i="14"/>
  <c r="F228" i="14"/>
  <c r="F297" i="11"/>
  <c r="G297" i="11"/>
  <c r="G112" i="28"/>
  <c r="C112" i="28"/>
  <c r="D112" i="28"/>
  <c r="F112" i="28"/>
  <c r="F28" i="41"/>
  <c r="G112" i="29"/>
  <c r="C112" i="29"/>
  <c r="D112" i="29"/>
  <c r="F112" i="29"/>
  <c r="F277" i="24"/>
  <c r="G277" i="24"/>
  <c r="C107" i="32"/>
  <c r="D107" i="32"/>
  <c r="F107" i="32"/>
  <c r="G86" i="35"/>
  <c r="C86" i="35"/>
  <c r="D86" i="35"/>
  <c r="F86" i="35"/>
  <c r="G28" i="40"/>
  <c r="G94" i="33"/>
  <c r="C94" i="33"/>
  <c r="D94" i="33"/>
  <c r="F94" i="33"/>
  <c r="G78" i="38"/>
  <c r="C78" i="38"/>
  <c r="D78" i="38"/>
  <c r="F78" i="38"/>
  <c r="F296" i="11"/>
  <c r="G296" i="11"/>
  <c r="G108" i="30"/>
  <c r="C108" i="30"/>
  <c r="D108" i="30"/>
  <c r="G241" i="13"/>
  <c r="D241" i="13"/>
  <c r="F241" i="13"/>
  <c r="F226" i="14"/>
  <c r="G226" i="14"/>
  <c r="H226" i="14"/>
  <c r="F325" i="4"/>
  <c r="G325" i="5"/>
  <c r="F162" i="18"/>
  <c r="G211" i="23"/>
  <c r="H211" i="23"/>
  <c r="C211" i="23"/>
  <c r="D211" i="23"/>
  <c r="F211" i="23"/>
  <c r="F159" i="19"/>
  <c r="F27" i="41"/>
  <c r="G77" i="37"/>
  <c r="C77" i="37"/>
  <c r="D77" i="37"/>
  <c r="H150" i="20"/>
  <c r="H151" i="20"/>
  <c r="G111" i="28"/>
  <c r="C111" i="28"/>
  <c r="D111" i="28"/>
  <c r="F111" i="28"/>
  <c r="G106" i="32"/>
  <c r="C106" i="32"/>
  <c r="D106" i="32"/>
  <c r="F106" i="32"/>
  <c r="F276" i="24"/>
  <c r="G276" i="24"/>
  <c r="C28" i="40"/>
  <c r="D28" i="40"/>
  <c r="G111" i="29"/>
  <c r="C111" i="29"/>
  <c r="D111" i="29"/>
  <c r="F111" i="29"/>
  <c r="G92" i="33"/>
  <c r="G93" i="33"/>
  <c r="C93" i="33"/>
  <c r="D93" i="33"/>
  <c r="F93" i="33"/>
  <c r="G77" i="38"/>
  <c r="C77" i="38"/>
  <c r="D77" i="38"/>
  <c r="F77" i="38"/>
  <c r="G27" i="40"/>
  <c r="C27" i="40"/>
  <c r="D27" i="40"/>
  <c r="F158" i="19"/>
  <c r="F225" i="14"/>
  <c r="G225" i="14"/>
  <c r="H225" i="14"/>
  <c r="G107" i="30"/>
  <c r="C107" i="30"/>
  <c r="D107" i="30"/>
  <c r="D139" i="22"/>
  <c r="G76" i="37"/>
  <c r="C76" i="37"/>
  <c r="D76" i="37"/>
  <c r="G210" i="23"/>
  <c r="H210" i="23"/>
  <c r="C210" i="23"/>
  <c r="D210" i="23"/>
  <c r="F210" i="23"/>
  <c r="G277" i="25"/>
  <c r="F324" i="4"/>
  <c r="G240" i="13"/>
  <c r="F240" i="13"/>
  <c r="F161" i="18"/>
  <c r="F295" i="11"/>
  <c r="G295" i="11"/>
  <c r="G110" i="28"/>
  <c r="C110" i="28"/>
  <c r="D110" i="28"/>
  <c r="F110" i="28"/>
  <c r="G324" i="5"/>
  <c r="C26" i="42"/>
  <c r="D26" i="42"/>
  <c r="G25" i="42"/>
  <c r="F25" i="42"/>
  <c r="C25" i="42"/>
  <c r="D25" i="42"/>
  <c r="G24" i="42"/>
  <c r="F24" i="42"/>
  <c r="C24" i="42"/>
  <c r="D24" i="42"/>
  <c r="G23" i="42"/>
  <c r="F23" i="42"/>
  <c r="C23" i="42"/>
  <c r="D23" i="42"/>
  <c r="G22" i="42"/>
  <c r="F22" i="42"/>
  <c r="C22" i="42"/>
  <c r="D22" i="42"/>
  <c r="F21" i="42"/>
  <c r="C21" i="42"/>
  <c r="B8" i="42"/>
  <c r="G4" i="42"/>
  <c r="F26" i="41"/>
  <c r="G105" i="32"/>
  <c r="C105" i="32"/>
  <c r="D105" i="32"/>
  <c r="F105" i="32"/>
  <c r="G85" i="35"/>
  <c r="C85" i="35"/>
  <c r="D85" i="35"/>
  <c r="F85" i="35"/>
  <c r="G110" i="29"/>
  <c r="C110" i="29"/>
  <c r="D110" i="29"/>
  <c r="F110" i="29"/>
  <c r="F275" i="24"/>
  <c r="G275" i="24"/>
  <c r="F274" i="24"/>
  <c r="G274" i="24"/>
  <c r="G76" i="38"/>
  <c r="C76" i="38"/>
  <c r="D76" i="38"/>
  <c r="F76" i="38"/>
  <c r="F157" i="19"/>
  <c r="C92" i="33"/>
  <c r="D92" i="33"/>
  <c r="F92" i="33"/>
  <c r="G106" i="30"/>
  <c r="C106" i="30"/>
  <c r="D106" i="30"/>
  <c r="F224" i="14"/>
  <c r="G224" i="14"/>
  <c r="H224" i="14"/>
  <c r="F160" i="18"/>
  <c r="G26" i="40"/>
  <c r="C26" i="40"/>
  <c r="D26" i="40"/>
  <c r="G208" i="23"/>
  <c r="H208" i="23"/>
  <c r="G209" i="23"/>
  <c r="H209" i="23"/>
  <c r="C209" i="23"/>
  <c r="D209" i="23"/>
  <c r="F209" i="23"/>
  <c r="G239" i="13"/>
  <c r="F239" i="13"/>
  <c r="F294" i="11"/>
  <c r="G294" i="11"/>
  <c r="F323" i="4"/>
  <c r="G75" i="37"/>
  <c r="C75" i="37"/>
  <c r="D75" i="37"/>
  <c r="G323" i="5"/>
  <c r="D323" i="5"/>
  <c r="G91" i="33"/>
  <c r="C91" i="33"/>
  <c r="D91" i="33"/>
  <c r="F91" i="33"/>
  <c r="G84" i="35"/>
  <c r="C84" i="35"/>
  <c r="D84" i="35"/>
  <c r="F84" i="35"/>
  <c r="H149" i="20"/>
  <c r="G276" i="25"/>
  <c r="D276" i="25"/>
  <c r="G109" i="28"/>
  <c r="C109" i="28"/>
  <c r="D109" i="28"/>
  <c r="F109" i="28"/>
  <c r="G104" i="32"/>
  <c r="C104" i="32"/>
  <c r="D104" i="32"/>
  <c r="F104" i="32"/>
  <c r="G109" i="29"/>
  <c r="C109" i="29"/>
  <c r="D109" i="29"/>
  <c r="F109" i="29"/>
  <c r="G25" i="40"/>
  <c r="C25" i="40"/>
  <c r="D25" i="40"/>
  <c r="G75" i="38"/>
  <c r="C75" i="38"/>
  <c r="D75" i="38"/>
  <c r="F75" i="38"/>
  <c r="G237" i="13"/>
  <c r="G238" i="13"/>
  <c r="F238" i="13"/>
  <c r="G322" i="5"/>
  <c r="G74" i="37"/>
  <c r="C74" i="37"/>
  <c r="D74" i="37"/>
  <c r="F156" i="19"/>
  <c r="H148" i="20"/>
  <c r="F159" i="18"/>
  <c r="C208" i="23"/>
  <c r="D208" i="23"/>
  <c r="F208" i="23"/>
  <c r="G74" i="38"/>
  <c r="C74" i="38"/>
  <c r="D74" i="38"/>
  <c r="F74" i="38"/>
  <c r="F223" i="14"/>
  <c r="G223" i="14"/>
  <c r="H223" i="14"/>
  <c r="F293" i="11"/>
  <c r="G293" i="11"/>
  <c r="G105" i="30"/>
  <c r="C105" i="30"/>
  <c r="D105" i="30"/>
  <c r="F322" i="4"/>
  <c r="G83" i="35"/>
  <c r="C83" i="35"/>
  <c r="D83" i="35"/>
  <c r="F83" i="35"/>
  <c r="G275" i="25"/>
  <c r="G108" i="29"/>
  <c r="C108" i="29"/>
  <c r="D108" i="29"/>
  <c r="F108" i="29"/>
  <c r="G107" i="28"/>
  <c r="G108" i="28"/>
  <c r="C108" i="28"/>
  <c r="D108" i="28"/>
  <c r="F108" i="28"/>
  <c r="F25" i="41"/>
  <c r="F24" i="41"/>
  <c r="F23" i="41"/>
  <c r="F22" i="41"/>
  <c r="F21" i="41"/>
  <c r="B8" i="41"/>
  <c r="G4" i="41"/>
  <c r="G103" i="32"/>
  <c r="C103" i="32"/>
  <c r="D103" i="32"/>
  <c r="F103" i="32"/>
  <c r="G106" i="28"/>
  <c r="C107" i="28"/>
  <c r="D107" i="28"/>
  <c r="F107" i="28"/>
  <c r="F155" i="19"/>
  <c r="G90" i="33"/>
  <c r="C90" i="33"/>
  <c r="D90" i="33"/>
  <c r="F90" i="33"/>
  <c r="G24" i="40"/>
  <c r="C24" i="40"/>
  <c r="D24" i="40"/>
  <c r="G104" i="30"/>
  <c r="C104" i="30"/>
  <c r="D104" i="30"/>
  <c r="F222" i="14"/>
  <c r="G222" i="14"/>
  <c r="H222" i="14"/>
  <c r="F272" i="24"/>
  <c r="G272" i="24"/>
  <c r="F273" i="24"/>
  <c r="G273" i="24"/>
  <c r="F292" i="11"/>
  <c r="G292" i="11"/>
  <c r="F237" i="13"/>
  <c r="G73" i="37"/>
  <c r="C73" i="37"/>
  <c r="D73" i="37"/>
  <c r="G207" i="23"/>
  <c r="H207" i="23"/>
  <c r="C207" i="23"/>
  <c r="D207" i="23"/>
  <c r="F207" i="23"/>
  <c r="G320" i="5"/>
  <c r="G321" i="5"/>
  <c r="F158" i="18"/>
  <c r="F321" i="4"/>
  <c r="G107" i="29"/>
  <c r="C107" i="29"/>
  <c r="D107" i="29"/>
  <c r="F107" i="29"/>
  <c r="G274" i="25"/>
  <c r="H147" i="20"/>
  <c r="G82" i="35"/>
  <c r="C82" i="35"/>
  <c r="D82" i="35"/>
  <c r="F82" i="35"/>
  <c r="G102" i="32"/>
  <c r="C102" i="32"/>
  <c r="D102" i="32"/>
  <c r="F102" i="32"/>
  <c r="F320" i="4"/>
  <c r="D135" i="22"/>
  <c r="G73" i="38"/>
  <c r="C73" i="38"/>
  <c r="D73" i="38"/>
  <c r="F73" i="38"/>
  <c r="F154" i="19"/>
  <c r="F221" i="14"/>
  <c r="G221" i="14"/>
  <c r="H221" i="14"/>
  <c r="G23" i="40"/>
  <c r="C23" i="40"/>
  <c r="D23" i="40"/>
  <c r="G81" i="35"/>
  <c r="C81" i="35"/>
  <c r="D81" i="35"/>
  <c r="F81" i="35"/>
  <c r="G103" i="30"/>
  <c r="C103" i="30"/>
  <c r="D103" i="30"/>
  <c r="G72" i="37"/>
  <c r="C72" i="37"/>
  <c r="D72" i="37"/>
  <c r="F157" i="18"/>
  <c r="C106" i="28"/>
  <c r="D106" i="28"/>
  <c r="F106" i="28"/>
  <c r="G206" i="23"/>
  <c r="H206" i="23"/>
  <c r="C206" i="23"/>
  <c r="D206" i="23"/>
  <c r="F206" i="23"/>
  <c r="G89" i="33"/>
  <c r="C89" i="33"/>
  <c r="D89" i="33"/>
  <c r="F89" i="33"/>
  <c r="G236" i="13"/>
  <c r="F236" i="13"/>
  <c r="G106" i="29"/>
  <c r="C106" i="29"/>
  <c r="D106" i="29"/>
  <c r="F106" i="29"/>
  <c r="G319" i="5"/>
  <c r="D319" i="5"/>
  <c r="H146" i="20"/>
  <c r="F271" i="24"/>
  <c r="G271" i="24"/>
  <c r="G273" i="25"/>
  <c r="G101" i="32"/>
  <c r="C101" i="32"/>
  <c r="D101" i="32"/>
  <c r="F101" i="32"/>
  <c r="G72" i="38"/>
  <c r="C72" i="38"/>
  <c r="D72" i="38"/>
  <c r="F72" i="38"/>
  <c r="F153" i="19"/>
  <c r="G88" i="33"/>
  <c r="C88" i="33"/>
  <c r="D88" i="33"/>
  <c r="F88" i="33"/>
  <c r="G71" i="38"/>
  <c r="C71" i="38"/>
  <c r="D71" i="38"/>
  <c r="F71" i="38"/>
  <c r="G22" i="40"/>
  <c r="C22" i="40"/>
  <c r="D22" i="40"/>
  <c r="C21" i="40"/>
  <c r="B8" i="40"/>
  <c r="G4" i="40"/>
  <c r="G102" i="30"/>
  <c r="C102" i="30"/>
  <c r="D102" i="30"/>
  <c r="F290" i="11"/>
  <c r="G290" i="11"/>
  <c r="F291" i="11"/>
  <c r="G291" i="11"/>
  <c r="D291" i="11"/>
  <c r="F156" i="18"/>
  <c r="G71" i="37"/>
  <c r="C71" i="37"/>
  <c r="D71" i="37"/>
  <c r="G205" i="23"/>
  <c r="H205" i="23"/>
  <c r="C205" i="23"/>
  <c r="D205" i="23"/>
  <c r="F205" i="23"/>
  <c r="G235" i="13"/>
  <c r="F235" i="13"/>
  <c r="H145" i="20"/>
  <c r="G272" i="25"/>
  <c r="F319" i="4"/>
  <c r="G105" i="28"/>
  <c r="C105" i="28"/>
  <c r="D105" i="28"/>
  <c r="F105" i="28"/>
  <c r="F270" i="24"/>
  <c r="G270" i="24"/>
  <c r="G80" i="35"/>
  <c r="C80" i="35"/>
  <c r="D80" i="35"/>
  <c r="F80" i="35"/>
  <c r="G100" i="32"/>
  <c r="C100" i="32"/>
  <c r="D100" i="32"/>
  <c r="F100" i="32"/>
  <c r="G105" i="29"/>
  <c r="C105" i="29"/>
  <c r="D105" i="29"/>
  <c r="F105" i="29"/>
  <c r="G87" i="33"/>
  <c r="C87" i="33"/>
  <c r="D87" i="33"/>
  <c r="F87" i="33"/>
  <c r="F152" i="19"/>
  <c r="F289" i="11"/>
  <c r="G289" i="11"/>
  <c r="D155" i="18"/>
  <c r="F155" i="18"/>
  <c r="G70" i="37"/>
  <c r="C70" i="37"/>
  <c r="D70" i="37"/>
  <c r="G204" i="23"/>
  <c r="H204" i="23"/>
  <c r="C204" i="23"/>
  <c r="D204" i="23"/>
  <c r="F204" i="23"/>
  <c r="G101" i="30"/>
  <c r="C101" i="30"/>
  <c r="D101" i="30"/>
  <c r="G104" i="28"/>
  <c r="C104" i="28"/>
  <c r="D104" i="28"/>
  <c r="F104" i="28"/>
  <c r="F219" i="14"/>
  <c r="G219" i="14"/>
  <c r="H219" i="14"/>
  <c r="F220" i="14"/>
  <c r="G220" i="14"/>
  <c r="H220" i="14"/>
  <c r="G271" i="25"/>
  <c r="G317" i="5"/>
  <c r="G318" i="5"/>
  <c r="G234" i="13"/>
  <c r="F234" i="13"/>
  <c r="G104" i="29"/>
  <c r="C104" i="29"/>
  <c r="D104" i="29"/>
  <c r="F104" i="29"/>
  <c r="G79" i="35"/>
  <c r="C79" i="35"/>
  <c r="D79" i="35"/>
  <c r="F79" i="35"/>
  <c r="G99" i="32"/>
  <c r="C99" i="32"/>
  <c r="D99" i="32"/>
  <c r="F99" i="32"/>
  <c r="F318" i="4"/>
  <c r="F269" i="24"/>
  <c r="G269" i="24"/>
  <c r="H144" i="20"/>
  <c r="G70" i="38"/>
  <c r="C70" i="38"/>
  <c r="D70" i="38"/>
  <c r="F70" i="38"/>
  <c r="F151" i="19"/>
  <c r="G86" i="33"/>
  <c r="C86" i="33"/>
  <c r="D86" i="33"/>
  <c r="F86" i="33"/>
  <c r="F154" i="18"/>
  <c r="G100" i="30"/>
  <c r="C100" i="30"/>
  <c r="D100" i="30"/>
  <c r="G203" i="23"/>
  <c r="H203" i="23"/>
  <c r="C203" i="23"/>
  <c r="D203" i="23"/>
  <c r="F203" i="23"/>
  <c r="F287" i="11"/>
  <c r="G287" i="11"/>
  <c r="F288" i="11"/>
  <c r="G288" i="11"/>
  <c r="F218" i="14"/>
  <c r="G218" i="14"/>
  <c r="H218" i="14"/>
  <c r="G78" i="35"/>
  <c r="C78" i="35"/>
  <c r="D78" i="35"/>
  <c r="F78" i="35"/>
  <c r="G67" i="37"/>
  <c r="G68" i="37"/>
  <c r="G69" i="37"/>
  <c r="C69" i="37"/>
  <c r="D69" i="37"/>
  <c r="G103" i="28"/>
  <c r="C103" i="28"/>
  <c r="D103" i="28"/>
  <c r="F103" i="28"/>
  <c r="G233" i="13"/>
  <c r="F233" i="13"/>
  <c r="G103" i="29"/>
  <c r="C103" i="29"/>
  <c r="D103" i="29"/>
  <c r="F103" i="29"/>
  <c r="H143" i="20"/>
  <c r="G98" i="32"/>
  <c r="C98" i="32"/>
  <c r="D98" i="32"/>
  <c r="F98" i="32"/>
  <c r="G270" i="25"/>
  <c r="F317" i="4"/>
  <c r="D318" i="4"/>
  <c r="G69" i="38"/>
  <c r="C69" i="38"/>
  <c r="D69" i="38"/>
  <c r="F69" i="38"/>
  <c r="F267" i="24"/>
  <c r="G267" i="24"/>
  <c r="F268" i="24"/>
  <c r="G268" i="24"/>
  <c r="G85" i="33"/>
  <c r="C85" i="33"/>
  <c r="D85" i="33"/>
  <c r="F85" i="33"/>
  <c r="F150" i="19"/>
  <c r="D131" i="22"/>
  <c r="F153" i="18"/>
  <c r="G99" i="30"/>
  <c r="C99" i="30"/>
  <c r="D99" i="30"/>
  <c r="F217" i="14"/>
  <c r="G217" i="14"/>
  <c r="H217" i="14"/>
  <c r="G68" i="38"/>
  <c r="C68" i="38"/>
  <c r="D68" i="38"/>
  <c r="F68" i="38"/>
  <c r="C67" i="37"/>
  <c r="D67" i="37"/>
  <c r="C68" i="37"/>
  <c r="D68" i="37"/>
  <c r="G231" i="13"/>
  <c r="G232" i="13"/>
  <c r="F232" i="13"/>
  <c r="F231" i="13"/>
  <c r="G315" i="5"/>
  <c r="G316" i="5"/>
  <c r="D315" i="5"/>
  <c r="G77" i="35"/>
  <c r="C77" i="35"/>
  <c r="D77" i="35"/>
  <c r="F77" i="35"/>
  <c r="G202" i="23"/>
  <c r="H202" i="23"/>
  <c r="C202" i="23"/>
  <c r="D202" i="23"/>
  <c r="F202" i="23"/>
  <c r="H142" i="20"/>
  <c r="G269" i="25"/>
  <c r="G102" i="29"/>
  <c r="C102" i="29"/>
  <c r="D102" i="29"/>
  <c r="F102" i="29"/>
  <c r="G102" i="28"/>
  <c r="C102" i="28"/>
  <c r="D102" i="28"/>
  <c r="F102" i="28"/>
  <c r="G97" i="32"/>
  <c r="C97" i="32"/>
  <c r="D97" i="32"/>
  <c r="F97" i="32"/>
  <c r="F152" i="18"/>
  <c r="G84" i="33"/>
  <c r="C84" i="33"/>
  <c r="D84" i="33"/>
  <c r="F84" i="33"/>
  <c r="F286" i="11"/>
  <c r="G286" i="11"/>
  <c r="F149" i="19"/>
  <c r="F216" i="14"/>
  <c r="G216" i="14"/>
  <c r="H216" i="14"/>
  <c r="G98" i="30"/>
  <c r="C98" i="30"/>
  <c r="D98" i="30"/>
  <c r="G201" i="23"/>
  <c r="H201" i="23"/>
  <c r="C201" i="23"/>
  <c r="D201" i="23"/>
  <c r="F201" i="23"/>
  <c r="G268" i="25"/>
  <c r="H141" i="20"/>
  <c r="G101" i="28"/>
  <c r="C101" i="28"/>
  <c r="D101" i="28"/>
  <c r="F101" i="28"/>
  <c r="F315" i="4"/>
  <c r="F316" i="4"/>
  <c r="G101" i="29"/>
  <c r="C101" i="29"/>
  <c r="D101" i="29"/>
  <c r="F101" i="29"/>
  <c r="G96" i="32"/>
  <c r="C96" i="32"/>
  <c r="D96" i="32"/>
  <c r="F96" i="32"/>
  <c r="G76" i="35"/>
  <c r="C76" i="35"/>
  <c r="D76" i="35"/>
  <c r="F76" i="35"/>
  <c r="G67" i="38"/>
  <c r="C67" i="38"/>
  <c r="D67" i="38"/>
  <c r="F67" i="38"/>
  <c r="G83" i="33"/>
  <c r="C83" i="33"/>
  <c r="D83" i="33"/>
  <c r="F83" i="33"/>
  <c r="F148" i="19"/>
  <c r="F151" i="18"/>
  <c r="G97" i="30"/>
  <c r="C97" i="30"/>
  <c r="D97" i="30"/>
  <c r="F215" i="14"/>
  <c r="G215" i="14"/>
  <c r="H215" i="14"/>
  <c r="G66" i="37"/>
  <c r="C66" i="37"/>
  <c r="D66" i="37"/>
  <c r="G100" i="28"/>
  <c r="C100" i="28"/>
  <c r="D100" i="28"/>
  <c r="F100" i="28"/>
  <c r="G200" i="23"/>
  <c r="H200" i="23"/>
  <c r="C200" i="23"/>
  <c r="D200" i="23"/>
  <c r="F200" i="23"/>
  <c r="F285" i="11"/>
  <c r="G285" i="11"/>
  <c r="G230" i="13"/>
  <c r="F230" i="13"/>
  <c r="G314" i="5"/>
  <c r="H140" i="20"/>
  <c r="G75" i="35"/>
  <c r="C75" i="35"/>
  <c r="D75" i="35"/>
  <c r="F75" i="35"/>
  <c r="F265" i="24"/>
  <c r="G265" i="24"/>
  <c r="F266" i="24"/>
  <c r="G266" i="24"/>
  <c r="G100" i="29"/>
  <c r="C100" i="29"/>
  <c r="D100" i="29"/>
  <c r="F100" i="29"/>
  <c r="G267" i="25"/>
  <c r="F314" i="4"/>
  <c r="G95" i="32"/>
  <c r="C95" i="32"/>
  <c r="D95" i="32"/>
  <c r="F95" i="32"/>
  <c r="G66" i="38"/>
  <c r="C66" i="38"/>
  <c r="D66" i="38"/>
  <c r="F66" i="38"/>
  <c r="F147" i="19"/>
  <c r="G82" i="33"/>
  <c r="C82" i="33"/>
  <c r="D82" i="33"/>
  <c r="F82" i="33"/>
  <c r="F150" i="18"/>
  <c r="G65" i="37"/>
  <c r="C65" i="37"/>
  <c r="D65" i="37"/>
  <c r="F214" i="14"/>
  <c r="G214" i="14"/>
  <c r="H214" i="14"/>
  <c r="G96" i="30"/>
  <c r="C96" i="30"/>
  <c r="D96" i="30"/>
  <c r="G65" i="38"/>
  <c r="C65" i="38"/>
  <c r="D65" i="38"/>
  <c r="F65" i="38"/>
  <c r="G98" i="28"/>
  <c r="G99" i="28"/>
  <c r="C99" i="28"/>
  <c r="D99" i="28"/>
  <c r="F99" i="28"/>
  <c r="C98" i="28"/>
  <c r="D98" i="28"/>
  <c r="F98" i="28"/>
  <c r="F283" i="11"/>
  <c r="G283" i="11"/>
  <c r="F284" i="11"/>
  <c r="G284" i="11"/>
  <c r="H139" i="20"/>
  <c r="G313" i="5"/>
  <c r="G228" i="13"/>
  <c r="G229" i="13"/>
  <c r="F229" i="13"/>
  <c r="F228" i="13"/>
  <c r="G74" i="35"/>
  <c r="C74" i="35"/>
  <c r="D74" i="35"/>
  <c r="F74" i="35"/>
  <c r="G73" i="35"/>
  <c r="C73" i="35"/>
  <c r="D73" i="35"/>
  <c r="F73" i="35"/>
  <c r="F313" i="4"/>
  <c r="G99" i="29"/>
  <c r="C99" i="29"/>
  <c r="D99" i="29"/>
  <c r="F99" i="29"/>
  <c r="G199" i="23"/>
  <c r="H199" i="23"/>
  <c r="C199" i="23"/>
  <c r="D199" i="23"/>
  <c r="F199" i="23"/>
  <c r="G266" i="25"/>
  <c r="F264" i="24"/>
  <c r="G264" i="24"/>
  <c r="G94" i="32"/>
  <c r="C94" i="32"/>
  <c r="D94" i="32"/>
  <c r="F94" i="32"/>
  <c r="F146" i="19"/>
  <c r="G81" i="33"/>
  <c r="C81" i="33"/>
  <c r="D81" i="33"/>
  <c r="F81" i="33"/>
  <c r="F149" i="18"/>
  <c r="G95" i="30"/>
  <c r="C95" i="30"/>
  <c r="D95" i="30"/>
  <c r="F213" i="14"/>
  <c r="G213" i="14"/>
  <c r="H213" i="14"/>
  <c r="G98" i="29"/>
  <c r="C98" i="29"/>
  <c r="D98" i="29"/>
  <c r="F98" i="29"/>
  <c r="G72" i="35"/>
  <c r="C72" i="35"/>
  <c r="D72" i="35"/>
  <c r="F72" i="35"/>
  <c r="G226" i="13"/>
  <c r="G227" i="13"/>
  <c r="F227" i="13"/>
  <c r="G312" i="5"/>
  <c r="G198" i="23"/>
  <c r="H198" i="23"/>
  <c r="C198" i="23"/>
  <c r="D198" i="23"/>
  <c r="F198" i="23"/>
  <c r="G265" i="25"/>
  <c r="H138" i="20"/>
  <c r="G64" i="37"/>
  <c r="C64" i="37"/>
  <c r="D64" i="37"/>
  <c r="D127" i="22"/>
  <c r="G93" i="32"/>
  <c r="C93" i="32"/>
  <c r="D93" i="32"/>
  <c r="F93" i="32"/>
  <c r="F263" i="24"/>
  <c r="G263" i="24"/>
  <c r="F148" i="18"/>
  <c r="F212" i="14"/>
  <c r="G212" i="14"/>
  <c r="H212" i="14"/>
  <c r="G94" i="30"/>
  <c r="C94" i="30"/>
  <c r="D94" i="30"/>
  <c r="G64" i="38"/>
  <c r="C64" i="38"/>
  <c r="D64" i="38"/>
  <c r="F64" i="38"/>
  <c r="G80" i="33"/>
  <c r="C80" i="33"/>
  <c r="D80" i="33"/>
  <c r="F80" i="33"/>
  <c r="G79" i="33"/>
  <c r="C79" i="33"/>
  <c r="D79" i="33"/>
  <c r="F79" i="33"/>
  <c r="F145" i="19"/>
  <c r="G63" i="37"/>
  <c r="C63" i="37"/>
  <c r="D63" i="37"/>
  <c r="G63" i="38"/>
  <c r="C63" i="38"/>
  <c r="D63" i="38"/>
  <c r="F63" i="38"/>
  <c r="G197" i="23"/>
  <c r="H197" i="23"/>
  <c r="C197" i="23"/>
  <c r="D197" i="23"/>
  <c r="F197" i="23"/>
  <c r="F226" i="13"/>
  <c r="G225" i="13"/>
  <c r="F282" i="11"/>
  <c r="G282" i="11"/>
  <c r="G97" i="28"/>
  <c r="C97" i="28"/>
  <c r="D97" i="28"/>
  <c r="F97" i="28"/>
  <c r="G264" i="25"/>
  <c r="D264" i="25"/>
  <c r="F312" i="4"/>
  <c r="G311" i="5"/>
  <c r="D311" i="5"/>
  <c r="H137" i="20"/>
  <c r="G97" i="29"/>
  <c r="C97" i="29"/>
  <c r="D97" i="29"/>
  <c r="F97" i="29"/>
  <c r="G92" i="32"/>
  <c r="C92" i="32"/>
  <c r="D92" i="32"/>
  <c r="F92" i="32"/>
  <c r="F262" i="24"/>
  <c r="G262" i="24"/>
  <c r="G62" i="37"/>
  <c r="C62" i="37"/>
  <c r="D62" i="37"/>
  <c r="D144" i="19"/>
  <c r="F144" i="19"/>
  <c r="G78" i="33"/>
  <c r="G93" i="30"/>
  <c r="C93" i="30"/>
  <c r="D93" i="30"/>
  <c r="F211" i="14"/>
  <c r="G211" i="14"/>
  <c r="H211" i="14"/>
  <c r="F147" i="18"/>
  <c r="G196" i="23"/>
  <c r="H196" i="23"/>
  <c r="C196" i="23"/>
  <c r="D196" i="23"/>
  <c r="F196" i="23"/>
  <c r="G62" i="38"/>
  <c r="C62" i="38"/>
  <c r="D62" i="38"/>
  <c r="F62" i="38"/>
  <c r="G96" i="29"/>
  <c r="C96" i="29"/>
  <c r="D96" i="29"/>
  <c r="F96" i="29"/>
  <c r="G310" i="5"/>
  <c r="G96" i="28"/>
  <c r="C96" i="28"/>
  <c r="D96" i="28"/>
  <c r="F96" i="28"/>
  <c r="H136" i="20"/>
  <c r="G263" i="25"/>
  <c r="F310" i="4"/>
  <c r="F311" i="4"/>
  <c r="F261" i="24"/>
  <c r="G261" i="24"/>
  <c r="G91" i="32"/>
  <c r="C68" i="35"/>
  <c r="D68" i="35"/>
  <c r="C69" i="35"/>
  <c r="D69" i="35"/>
  <c r="C70" i="35"/>
  <c r="D70" i="35"/>
  <c r="C71" i="35"/>
  <c r="D71" i="35"/>
  <c r="G71" i="35"/>
  <c r="F71" i="35"/>
  <c r="C89" i="32"/>
  <c r="D89" i="32"/>
  <c r="C90" i="32"/>
  <c r="D90" i="32"/>
  <c r="C91" i="32"/>
  <c r="D91" i="32"/>
  <c r="G90" i="32"/>
  <c r="F281" i="11"/>
  <c r="G281" i="11"/>
  <c r="F210" i="14"/>
  <c r="G210" i="14"/>
  <c r="H210" i="14"/>
  <c r="G92" i="30"/>
  <c r="C92" i="30"/>
  <c r="D92" i="30"/>
  <c r="F143" i="19"/>
  <c r="F146" i="18"/>
  <c r="G61" i="37"/>
  <c r="C61" i="37"/>
  <c r="D61" i="37"/>
  <c r="D241" i="12"/>
  <c r="G95" i="28"/>
  <c r="C95" i="28"/>
  <c r="D95" i="28"/>
  <c r="F95" i="28"/>
  <c r="G195" i="23"/>
  <c r="H195" i="23"/>
  <c r="C195" i="23"/>
  <c r="D195" i="23"/>
  <c r="F195" i="23"/>
  <c r="H135" i="20"/>
  <c r="G95" i="29"/>
  <c r="C95" i="29"/>
  <c r="D95" i="29"/>
  <c r="F95" i="29"/>
  <c r="G262" i="25"/>
  <c r="G309" i="5"/>
  <c r="G70" i="35"/>
  <c r="F225" i="13"/>
  <c r="G61" i="38"/>
  <c r="C61" i="38"/>
  <c r="D61" i="38"/>
  <c r="F61" i="38"/>
  <c r="G77" i="33"/>
  <c r="G91" i="30"/>
  <c r="C91" i="30"/>
  <c r="D91" i="30"/>
  <c r="F209" i="14"/>
  <c r="G209" i="14"/>
  <c r="H209" i="14"/>
  <c r="F145" i="18"/>
  <c r="D123" i="22"/>
  <c r="G194" i="23"/>
  <c r="H194" i="23"/>
  <c r="C194" i="23"/>
  <c r="D194" i="23"/>
  <c r="F194" i="23"/>
  <c r="G60" i="37"/>
  <c r="C60" i="37"/>
  <c r="D60" i="37"/>
  <c r="F279" i="11"/>
  <c r="G279" i="11"/>
  <c r="F280" i="11"/>
  <c r="G280" i="11"/>
  <c r="G60" i="38"/>
  <c r="C60" i="38"/>
  <c r="D60" i="38"/>
  <c r="F60" i="38"/>
  <c r="G94" i="29"/>
  <c r="C94" i="29"/>
  <c r="D94" i="29"/>
  <c r="F94" i="29"/>
  <c r="G261" i="25"/>
  <c r="H134" i="20"/>
  <c r="G224" i="13"/>
  <c r="G223" i="13"/>
  <c r="F224" i="13"/>
  <c r="G94" i="28"/>
  <c r="C94" i="28"/>
  <c r="D94" i="28"/>
  <c r="F94" i="28"/>
  <c r="G308" i="5"/>
  <c r="F309" i="4"/>
  <c r="G89" i="32"/>
  <c r="F260" i="24"/>
  <c r="G260" i="24"/>
  <c r="G68" i="35"/>
  <c r="G69" i="35"/>
  <c r="G76" i="33"/>
  <c r="G193" i="23"/>
  <c r="H193" i="23"/>
  <c r="C193" i="23"/>
  <c r="D193" i="23"/>
  <c r="F193" i="23"/>
  <c r="F223" i="13"/>
  <c r="F144" i="18"/>
  <c r="F278" i="11"/>
  <c r="G278" i="11"/>
  <c r="G93" i="28"/>
  <c r="C93" i="28"/>
  <c r="D93" i="28"/>
  <c r="F93" i="28"/>
  <c r="G59" i="38"/>
  <c r="C59" i="38"/>
  <c r="D59" i="38"/>
  <c r="F59" i="38"/>
  <c r="G260" i="25"/>
  <c r="H133" i="20"/>
  <c r="G59" i="37"/>
  <c r="C59" i="37"/>
  <c r="D59" i="37"/>
  <c r="G307" i="5"/>
  <c r="D307" i="5"/>
  <c r="G93" i="29"/>
  <c r="C93" i="29"/>
  <c r="D93" i="29"/>
  <c r="F93" i="29"/>
  <c r="F307" i="4"/>
  <c r="F308" i="4"/>
  <c r="G90" i="30"/>
  <c r="C90" i="30"/>
  <c r="D90" i="30"/>
  <c r="G88" i="32"/>
  <c r="C88" i="32"/>
  <c r="D88" i="32"/>
  <c r="F88" i="32"/>
  <c r="F89" i="32"/>
  <c r="F90" i="32"/>
  <c r="F91" i="32"/>
  <c r="F70" i="35"/>
  <c r="F68" i="35"/>
  <c r="F69" i="35"/>
  <c r="F259" i="24"/>
  <c r="G259" i="24"/>
  <c r="G75" i="33"/>
  <c r="C75" i="33"/>
  <c r="D75" i="33"/>
  <c r="C76" i="33"/>
  <c r="D76" i="33"/>
  <c r="C77" i="33"/>
  <c r="D77" i="33"/>
  <c r="C78" i="33"/>
  <c r="D78" i="33"/>
  <c r="F75" i="33"/>
  <c r="F76" i="33"/>
  <c r="F77" i="33"/>
  <c r="F78" i="33"/>
  <c r="F142" i="19"/>
  <c r="F141" i="19"/>
  <c r="D140" i="19"/>
  <c r="F140" i="19"/>
  <c r="F275" i="11"/>
  <c r="G275" i="11"/>
  <c r="F276" i="11"/>
  <c r="G276" i="11"/>
  <c r="F277" i="11"/>
  <c r="G277" i="11"/>
  <c r="D143" i="18"/>
  <c r="F143" i="18"/>
  <c r="G222" i="13"/>
  <c r="F222" i="13"/>
  <c r="G58" i="37"/>
  <c r="C58" i="37"/>
  <c r="D58" i="37"/>
  <c r="F207" i="14"/>
  <c r="G207" i="14"/>
  <c r="H207" i="14"/>
  <c r="F208" i="14"/>
  <c r="G208" i="14"/>
  <c r="H208" i="14"/>
  <c r="G89" i="30"/>
  <c r="C89" i="30"/>
  <c r="D89" i="30"/>
  <c r="G67" i="35"/>
  <c r="C67" i="35"/>
  <c r="D67" i="35"/>
  <c r="F67" i="35"/>
  <c r="G306" i="5"/>
  <c r="H132" i="20"/>
  <c r="G92" i="28"/>
  <c r="C92" i="28"/>
  <c r="D92" i="28"/>
  <c r="F92" i="28"/>
  <c r="G192" i="23"/>
  <c r="H192" i="23"/>
  <c r="C192" i="23"/>
  <c r="D192" i="23"/>
  <c r="F192" i="23"/>
  <c r="G259" i="25"/>
  <c r="F306" i="4"/>
  <c r="G92" i="29"/>
  <c r="C92" i="29"/>
  <c r="D92" i="29"/>
  <c r="F92" i="29"/>
  <c r="F257" i="24"/>
  <c r="G257" i="24"/>
  <c r="F258" i="24"/>
  <c r="G258" i="24"/>
  <c r="G87" i="32"/>
  <c r="C87" i="32"/>
  <c r="D87" i="32"/>
  <c r="F87" i="32"/>
  <c r="G221" i="13"/>
  <c r="F221" i="13"/>
  <c r="G74" i="33"/>
  <c r="C74" i="33"/>
  <c r="D74" i="33"/>
  <c r="F74" i="33"/>
  <c r="G87" i="30"/>
  <c r="G88" i="30"/>
  <c r="C88" i="30"/>
  <c r="D88" i="30"/>
  <c r="F206" i="14"/>
  <c r="G206" i="14"/>
  <c r="H206" i="14"/>
  <c r="F139" i="19"/>
  <c r="G58" i="38"/>
  <c r="C58" i="38"/>
  <c r="D58" i="38"/>
  <c r="F58" i="38"/>
  <c r="F142" i="18"/>
  <c r="G57" i="37"/>
  <c r="C57" i="37"/>
  <c r="D57" i="37"/>
  <c r="G258" i="25"/>
  <c r="G91" i="28"/>
  <c r="C91" i="28"/>
  <c r="D91" i="28"/>
  <c r="F91" i="28"/>
  <c r="F256" i="24"/>
  <c r="G256" i="24"/>
  <c r="F305" i="4"/>
  <c r="G66" i="35"/>
  <c r="C66" i="35"/>
  <c r="D66" i="35"/>
  <c r="F66" i="35"/>
  <c r="F255" i="24"/>
  <c r="G255" i="24"/>
  <c r="G86" i="32"/>
  <c r="C86" i="32"/>
  <c r="D86" i="32"/>
  <c r="F86" i="32"/>
  <c r="G191" i="23"/>
  <c r="H191" i="23"/>
  <c r="C191" i="23"/>
  <c r="D191" i="23"/>
  <c r="F191" i="23"/>
  <c r="H131" i="20"/>
  <c r="G305" i="5"/>
  <c r="G57" i="38"/>
  <c r="C57" i="38"/>
  <c r="D57" i="38"/>
  <c r="F57" i="38"/>
  <c r="G73" i="33"/>
  <c r="C73" i="33"/>
  <c r="D73" i="33"/>
  <c r="F73" i="33"/>
  <c r="G91" i="29"/>
  <c r="C91" i="29"/>
  <c r="D91" i="29"/>
  <c r="F91" i="29"/>
  <c r="F138" i="19"/>
  <c r="D119" i="22"/>
  <c r="G90" i="28"/>
  <c r="C90" i="28"/>
  <c r="D90" i="28"/>
  <c r="F90" i="28"/>
  <c r="F141" i="18"/>
  <c r="F205" i="14"/>
  <c r="G205" i="14"/>
  <c r="H205" i="14"/>
  <c r="C87" i="30"/>
  <c r="D87" i="30"/>
  <c r="F274" i="11"/>
  <c r="G274" i="11"/>
  <c r="G65" i="35"/>
  <c r="C65" i="35"/>
  <c r="D65" i="35"/>
  <c r="F65" i="35"/>
  <c r="G219" i="13"/>
  <c r="G220" i="13"/>
  <c r="F220" i="13"/>
  <c r="G304" i="5"/>
  <c r="G56" i="37"/>
  <c r="C56" i="37"/>
  <c r="D56" i="37"/>
  <c r="G190" i="23"/>
  <c r="H190" i="23"/>
  <c r="C190" i="23"/>
  <c r="D190" i="23"/>
  <c r="F190" i="23"/>
  <c r="H130" i="20"/>
  <c r="G90" i="29"/>
  <c r="C90" i="29"/>
  <c r="D90" i="29"/>
  <c r="F90" i="29"/>
  <c r="G257" i="25"/>
  <c r="G85" i="32"/>
  <c r="C85" i="32"/>
  <c r="D85" i="32"/>
  <c r="F85" i="32"/>
  <c r="G72" i="33"/>
  <c r="C72" i="33"/>
  <c r="D72" i="33"/>
  <c r="F72" i="33"/>
  <c r="G56" i="38"/>
  <c r="C56" i="38"/>
  <c r="D56" i="38"/>
  <c r="F56" i="38"/>
  <c r="F137" i="19"/>
  <c r="D237" i="12"/>
  <c r="G86" i="30"/>
  <c r="C86" i="30"/>
  <c r="D86" i="30"/>
  <c r="F204" i="14"/>
  <c r="G204" i="14"/>
  <c r="H204" i="14"/>
  <c r="G55" i="37"/>
  <c r="C55" i="37"/>
  <c r="D55" i="37"/>
  <c r="F140" i="18"/>
  <c r="F219" i="13"/>
  <c r="G64" i="35"/>
  <c r="C64" i="35"/>
  <c r="D64" i="35"/>
  <c r="F64" i="35"/>
  <c r="G303" i="5"/>
  <c r="D303" i="5"/>
  <c r="G189" i="23"/>
  <c r="H189" i="23"/>
  <c r="C189" i="23"/>
  <c r="D189" i="23"/>
  <c r="F189" i="23"/>
  <c r="H129" i="20"/>
  <c r="G255" i="25"/>
  <c r="G256" i="25"/>
  <c r="G89" i="28"/>
  <c r="C89" i="28"/>
  <c r="D89" i="28"/>
  <c r="F89" i="28"/>
  <c r="G89" i="29"/>
  <c r="C89" i="29"/>
  <c r="D89" i="29"/>
  <c r="F89" i="29"/>
  <c r="F303" i="4"/>
  <c r="F304" i="4"/>
  <c r="F254" i="24"/>
  <c r="G254" i="24"/>
  <c r="G83" i="32"/>
  <c r="G84" i="32"/>
  <c r="C84" i="32"/>
  <c r="D84" i="32"/>
  <c r="F84" i="32"/>
  <c r="G63" i="35"/>
  <c r="C63" i="35"/>
  <c r="D63" i="35"/>
  <c r="F63" i="35"/>
  <c r="G55" i="38"/>
  <c r="C55" i="38"/>
  <c r="D55" i="38"/>
  <c r="F55" i="38"/>
  <c r="F136" i="19"/>
  <c r="H128" i="20"/>
  <c r="F202" i="14"/>
  <c r="G202" i="14"/>
  <c r="H202" i="14"/>
  <c r="F203" i="14"/>
  <c r="G203" i="14"/>
  <c r="H203" i="14"/>
  <c r="G71" i="33"/>
  <c r="C71" i="33"/>
  <c r="D71" i="33"/>
  <c r="F71" i="33"/>
  <c r="F253" i="24"/>
  <c r="G253" i="24"/>
  <c r="F272" i="11"/>
  <c r="G272" i="11"/>
  <c r="F273" i="11"/>
  <c r="G273" i="11"/>
  <c r="I219" i="13"/>
  <c r="G218" i="13"/>
  <c r="F139" i="18"/>
  <c r="G84" i="30"/>
  <c r="G85" i="30"/>
  <c r="G188" i="23"/>
  <c r="H188" i="23"/>
  <c r="C188" i="23"/>
  <c r="D188" i="23"/>
  <c r="F188" i="23"/>
  <c r="G88" i="29"/>
  <c r="C88" i="29"/>
  <c r="D88" i="29"/>
  <c r="F88" i="29"/>
  <c r="G54" i="37"/>
  <c r="C54" i="37"/>
  <c r="D54" i="37"/>
  <c r="G83" i="30"/>
  <c r="C83" i="30"/>
  <c r="D83" i="30"/>
  <c r="C84" i="30"/>
  <c r="D84" i="30"/>
  <c r="C85" i="30"/>
  <c r="D85" i="30"/>
  <c r="G54" i="38"/>
  <c r="C54" i="38"/>
  <c r="D54" i="38"/>
  <c r="F54" i="38"/>
  <c r="F218" i="13"/>
  <c r="G216" i="13"/>
  <c r="G217" i="13"/>
  <c r="F217" i="13"/>
  <c r="G302" i="5"/>
  <c r="G254" i="25"/>
  <c r="D255" i="25"/>
  <c r="F302" i="4"/>
  <c r="C83" i="32"/>
  <c r="D83" i="32"/>
  <c r="F83" i="32"/>
  <c r="G88" i="28"/>
  <c r="C88" i="28"/>
  <c r="D88" i="28"/>
  <c r="F88" i="28"/>
  <c r="F138" i="18"/>
  <c r="G70" i="33"/>
  <c r="C70" i="33"/>
  <c r="D70" i="33"/>
  <c r="F70" i="33"/>
  <c r="F135" i="19"/>
  <c r="F201" i="14"/>
  <c r="G201" i="14"/>
  <c r="H201" i="14"/>
  <c r="H127" i="20"/>
  <c r="G62" i="35"/>
  <c r="C62" i="35"/>
  <c r="D62" i="35"/>
  <c r="F62" i="35"/>
  <c r="G187" i="23"/>
  <c r="H187" i="23"/>
  <c r="C187" i="23"/>
  <c r="D187" i="23"/>
  <c r="F187" i="23"/>
  <c r="G87" i="29"/>
  <c r="C87" i="29"/>
  <c r="D87" i="29"/>
  <c r="F87" i="29"/>
  <c r="F216" i="13"/>
  <c r="G53" i="37"/>
  <c r="C53" i="37"/>
  <c r="D53" i="37"/>
  <c r="G301" i="5"/>
  <c r="F252" i="24"/>
  <c r="G252" i="24"/>
  <c r="G87" i="28"/>
  <c r="C87" i="28"/>
  <c r="D87" i="28"/>
  <c r="F87" i="28"/>
  <c r="F301" i="4"/>
  <c r="G53" i="38"/>
  <c r="C53" i="38"/>
  <c r="D53" i="38"/>
  <c r="F53" i="38"/>
  <c r="G82" i="32"/>
  <c r="C82" i="32"/>
  <c r="D82" i="32"/>
  <c r="F82" i="32"/>
  <c r="F137" i="18"/>
  <c r="G69" i="33"/>
  <c r="C69" i="33"/>
  <c r="D69" i="33"/>
  <c r="F69" i="33"/>
  <c r="G61" i="35"/>
  <c r="C61" i="35"/>
  <c r="D61" i="35"/>
  <c r="F61" i="35"/>
  <c r="F134" i="19"/>
  <c r="D115" i="22"/>
  <c r="G52" i="37"/>
  <c r="C52" i="37"/>
  <c r="D52" i="37"/>
  <c r="F271" i="11"/>
  <c r="G271" i="11"/>
  <c r="H126" i="20"/>
  <c r="G186" i="23"/>
  <c r="H186" i="23"/>
  <c r="C186" i="23"/>
  <c r="D186" i="23"/>
  <c r="F186" i="23"/>
  <c r="G300" i="5"/>
  <c r="F251" i="24"/>
  <c r="G251" i="24"/>
  <c r="G253" i="25"/>
  <c r="G86" i="29"/>
  <c r="C86" i="29"/>
  <c r="D86" i="29"/>
  <c r="F86" i="29"/>
  <c r="F300" i="4"/>
  <c r="G81" i="32"/>
  <c r="C81" i="32"/>
  <c r="D81" i="32"/>
  <c r="F81" i="32"/>
  <c r="G86" i="28"/>
  <c r="C86" i="28"/>
  <c r="D86" i="28"/>
  <c r="F86" i="28"/>
  <c r="F269" i="11"/>
  <c r="G269" i="11"/>
  <c r="F270" i="11"/>
  <c r="G270" i="11"/>
  <c r="G52" i="38"/>
  <c r="C52" i="38"/>
  <c r="D52" i="38"/>
  <c r="F52" i="38"/>
  <c r="F133" i="19"/>
  <c r="F200" i="14"/>
  <c r="G200" i="14"/>
  <c r="H200" i="14"/>
  <c r="G215" i="13"/>
  <c r="F215" i="13"/>
  <c r="G51" i="37"/>
  <c r="C51" i="37"/>
  <c r="D51" i="37"/>
  <c r="F136" i="18"/>
  <c r="G59" i="35"/>
  <c r="G60" i="35"/>
  <c r="C60" i="35"/>
  <c r="D60" i="35"/>
  <c r="F60" i="35"/>
  <c r="C59" i="35"/>
  <c r="D59" i="35"/>
  <c r="F59" i="35"/>
  <c r="G82" i="30"/>
  <c r="C82" i="30"/>
  <c r="D82" i="30"/>
  <c r="H125" i="20"/>
  <c r="G298" i="5"/>
  <c r="G299" i="5"/>
  <c r="D299" i="5"/>
  <c r="G184" i="23"/>
  <c r="H184" i="23"/>
  <c r="G185" i="23"/>
  <c r="H185" i="23"/>
  <c r="C185" i="23"/>
  <c r="D185" i="23"/>
  <c r="F185" i="23"/>
  <c r="C184" i="23"/>
  <c r="D184" i="23"/>
  <c r="F184" i="23"/>
  <c r="G84" i="28"/>
  <c r="G85" i="28"/>
  <c r="C85" i="28"/>
  <c r="D85" i="28"/>
  <c r="F85" i="28"/>
  <c r="C84" i="28"/>
  <c r="D84" i="28"/>
  <c r="F84" i="28"/>
  <c r="G252" i="25"/>
  <c r="F299" i="4"/>
  <c r="G68" i="33"/>
  <c r="C68" i="33"/>
  <c r="D68" i="33"/>
  <c r="F68" i="33"/>
  <c r="G85" i="29"/>
  <c r="C85" i="29"/>
  <c r="D85" i="29"/>
  <c r="F85" i="29"/>
  <c r="G80" i="32"/>
  <c r="C80" i="32"/>
  <c r="D80" i="32"/>
  <c r="F80" i="32"/>
  <c r="F250" i="24"/>
  <c r="G250" i="24"/>
  <c r="G81" i="30"/>
  <c r="C81" i="30"/>
  <c r="D81" i="30"/>
  <c r="F199" i="14"/>
  <c r="G199" i="14"/>
  <c r="H199" i="14"/>
  <c r="G214" i="13"/>
  <c r="F214" i="13"/>
  <c r="F135" i="18"/>
  <c r="F132" i="19"/>
  <c r="G51" i="38"/>
  <c r="C51" i="38"/>
  <c r="D51" i="38"/>
  <c r="F51" i="38"/>
  <c r="G67" i="33"/>
  <c r="C67" i="33"/>
  <c r="D67" i="33"/>
  <c r="F67" i="33"/>
  <c r="G50" i="37"/>
  <c r="C50" i="37"/>
  <c r="D50" i="37"/>
  <c r="H124" i="20"/>
  <c r="F249" i="24"/>
  <c r="G249" i="24"/>
  <c r="G183" i="23"/>
  <c r="H183" i="23"/>
  <c r="C183" i="23"/>
  <c r="D183" i="23"/>
  <c r="F183" i="23"/>
  <c r="G297" i="5"/>
  <c r="G250" i="25"/>
  <c r="G251" i="25"/>
  <c r="F296" i="6"/>
  <c r="G296" i="6"/>
  <c r="F297" i="6"/>
  <c r="G297" i="6"/>
  <c r="F298" i="6"/>
  <c r="G298" i="6"/>
  <c r="G84" i="29"/>
  <c r="C84" i="29"/>
  <c r="D84" i="29"/>
  <c r="F84" i="29"/>
  <c r="F298" i="4"/>
  <c r="G79" i="32"/>
  <c r="C79" i="32"/>
  <c r="D79" i="32"/>
  <c r="F79" i="32"/>
  <c r="F248" i="24"/>
  <c r="G248" i="24"/>
  <c r="G50" i="38"/>
  <c r="C50" i="38"/>
  <c r="D50" i="38"/>
  <c r="F50" i="38"/>
  <c r="G49" i="37"/>
  <c r="C49" i="37"/>
  <c r="D49" i="37"/>
  <c r="F134" i="18"/>
  <c r="G213" i="13"/>
  <c r="D213" i="13"/>
  <c r="F213" i="13"/>
  <c r="G80" i="30"/>
  <c r="C80" i="30"/>
  <c r="D80" i="30"/>
  <c r="F268" i="11"/>
  <c r="G268" i="11"/>
  <c r="G83" i="29"/>
  <c r="C83" i="29"/>
  <c r="D83" i="29"/>
  <c r="F83" i="29"/>
  <c r="G49" i="38"/>
  <c r="C49" i="38"/>
  <c r="D49" i="38"/>
  <c r="F49" i="38"/>
  <c r="G58" i="35"/>
  <c r="C58" i="35"/>
  <c r="D58" i="35"/>
  <c r="F58" i="35"/>
  <c r="F198" i="14"/>
  <c r="G198" i="14"/>
  <c r="H198" i="14"/>
  <c r="G66" i="33"/>
  <c r="C66" i="33"/>
  <c r="D66" i="33"/>
  <c r="F66" i="33"/>
  <c r="F131" i="19"/>
  <c r="F295" i="6"/>
  <c r="G295" i="6"/>
  <c r="G83" i="28"/>
  <c r="C83" i="28"/>
  <c r="D83" i="28"/>
  <c r="F83" i="28"/>
  <c r="G182" i="23"/>
  <c r="H182" i="23"/>
  <c r="C182" i="23"/>
  <c r="D182" i="23"/>
  <c r="F182" i="23"/>
  <c r="F297" i="4"/>
  <c r="G65" i="33"/>
  <c r="C65" i="33"/>
  <c r="D65" i="33"/>
  <c r="F65" i="33"/>
  <c r="G78" i="32"/>
  <c r="C78" i="32"/>
  <c r="D78" i="32"/>
  <c r="F78" i="32"/>
  <c r="F247" i="24"/>
  <c r="G247" i="24"/>
  <c r="G57" i="35"/>
  <c r="C57" i="35"/>
  <c r="D57" i="35"/>
  <c r="F57" i="35"/>
  <c r="F130" i="19"/>
  <c r="D111" i="22"/>
  <c r="G48" i="37"/>
  <c r="C48" i="37"/>
  <c r="D48" i="37"/>
  <c r="F133" i="18"/>
  <c r="G47" i="37"/>
  <c r="C47" i="37"/>
  <c r="D47" i="37"/>
  <c r="F197" i="14"/>
  <c r="G197" i="14"/>
  <c r="H197" i="14"/>
  <c r="G79" i="30"/>
  <c r="C79" i="30"/>
  <c r="D79" i="30"/>
  <c r="F267" i="11"/>
  <c r="G267" i="11"/>
  <c r="D268" i="11"/>
  <c r="G212" i="13"/>
  <c r="G296" i="5"/>
  <c r="F212" i="13"/>
  <c r="G249" i="25"/>
  <c r="G82" i="29"/>
  <c r="C82" i="29"/>
  <c r="D82" i="29"/>
  <c r="F82" i="29"/>
  <c r="G82" i="28"/>
  <c r="C82" i="28"/>
  <c r="D82" i="28"/>
  <c r="F82" i="28"/>
  <c r="F296" i="4"/>
  <c r="G77" i="32"/>
  <c r="C77" i="32"/>
  <c r="D77" i="32"/>
  <c r="F77" i="32"/>
  <c r="F246" i="24"/>
  <c r="G246" i="24"/>
  <c r="F132" i="18"/>
  <c r="G56" i="35"/>
  <c r="C56" i="35"/>
  <c r="D56" i="35"/>
  <c r="F56" i="35"/>
  <c r="F129" i="19"/>
  <c r="G48" i="38"/>
  <c r="C48" i="38"/>
  <c r="D48" i="38"/>
  <c r="F48" i="38"/>
  <c r="G64" i="33"/>
  <c r="C64" i="33"/>
  <c r="D64" i="33"/>
  <c r="F64" i="33"/>
  <c r="G78" i="30"/>
  <c r="C78" i="30"/>
  <c r="D78" i="30"/>
  <c r="F196" i="14"/>
  <c r="G196" i="14"/>
  <c r="H196" i="14"/>
  <c r="F266" i="11"/>
  <c r="G266" i="11"/>
  <c r="G211" i="13"/>
  <c r="F211" i="13"/>
  <c r="G181" i="23"/>
  <c r="H181" i="23"/>
  <c r="C181" i="23"/>
  <c r="D181" i="23"/>
  <c r="F181" i="23"/>
  <c r="G295" i="5"/>
  <c r="G248" i="25"/>
  <c r="F294" i="6"/>
  <c r="G294" i="6"/>
  <c r="G81" i="28"/>
  <c r="C81" i="28"/>
  <c r="D81" i="28"/>
  <c r="F81" i="28"/>
  <c r="G81" i="29"/>
  <c r="C81" i="29"/>
  <c r="D81" i="29"/>
  <c r="F81" i="29"/>
  <c r="F295" i="4"/>
  <c r="G76" i="32"/>
  <c r="C76" i="32"/>
  <c r="D76" i="32"/>
  <c r="F76" i="32"/>
  <c r="G47" i="38"/>
  <c r="C47" i="38"/>
  <c r="D47" i="38"/>
  <c r="F47" i="38"/>
  <c r="F131" i="18"/>
  <c r="G180" i="23"/>
  <c r="H180" i="23"/>
  <c r="C180" i="23"/>
  <c r="D180" i="23"/>
  <c r="F180" i="23"/>
  <c r="G55" i="35"/>
  <c r="C55" i="35"/>
  <c r="D55" i="35"/>
  <c r="F55" i="35"/>
  <c r="G63" i="33"/>
  <c r="C63" i="33"/>
  <c r="D63" i="33"/>
  <c r="F63" i="33"/>
  <c r="F128" i="19"/>
  <c r="G46" i="37"/>
  <c r="C46" i="37"/>
  <c r="D46" i="37"/>
  <c r="F195" i="14"/>
  <c r="G195" i="14"/>
  <c r="H195" i="14"/>
  <c r="G77" i="30"/>
  <c r="C77" i="30"/>
  <c r="D77" i="30"/>
  <c r="G209" i="13"/>
  <c r="G210" i="13"/>
  <c r="F210" i="13"/>
  <c r="F209" i="13"/>
  <c r="F265" i="11"/>
  <c r="G265" i="11"/>
  <c r="F293" i="6"/>
  <c r="G80" i="28"/>
  <c r="C80" i="28"/>
  <c r="D80" i="28"/>
  <c r="F80" i="28"/>
  <c r="G247" i="25"/>
  <c r="G294" i="5"/>
  <c r="G75" i="32"/>
  <c r="C75" i="32"/>
  <c r="D75" i="32"/>
  <c r="F75" i="32"/>
  <c r="G80" i="29"/>
  <c r="C80" i="29"/>
  <c r="D80" i="29"/>
  <c r="F80" i="29"/>
  <c r="F294" i="4"/>
  <c r="F245" i="24"/>
  <c r="G245" i="24"/>
  <c r="G46" i="38"/>
  <c r="C46" i="38"/>
  <c r="D46" i="38"/>
  <c r="F46" i="38"/>
  <c r="G54" i="35"/>
  <c r="C54" i="35"/>
  <c r="D54" i="35"/>
  <c r="F54" i="35"/>
  <c r="F127" i="19"/>
  <c r="G246" i="25"/>
  <c r="F130" i="18"/>
  <c r="F264" i="11"/>
  <c r="G264" i="11"/>
  <c r="F292" i="6"/>
  <c r="D293" i="6"/>
  <c r="F194" i="14"/>
  <c r="G194" i="14"/>
  <c r="H194" i="14"/>
  <c r="G76" i="30"/>
  <c r="C76" i="30"/>
  <c r="D76" i="30"/>
  <c r="G62" i="33"/>
  <c r="C62" i="33"/>
  <c r="D62" i="33"/>
  <c r="F62" i="33"/>
  <c r="G179" i="23"/>
  <c r="H179" i="23"/>
  <c r="C179" i="23"/>
  <c r="D179" i="23"/>
  <c r="F179" i="23"/>
  <c r="G79" i="28"/>
  <c r="C79" i="28"/>
  <c r="D79" i="28"/>
  <c r="F79" i="28"/>
  <c r="G45" i="37"/>
  <c r="C45" i="37"/>
  <c r="D45" i="37"/>
  <c r="G293" i="5"/>
  <c r="G79" i="29"/>
  <c r="C79" i="29"/>
  <c r="D79" i="29"/>
  <c r="F79" i="29"/>
  <c r="G74" i="32"/>
  <c r="C74" i="32"/>
  <c r="D74" i="32"/>
  <c r="F74" i="32"/>
  <c r="F244" i="24"/>
  <c r="G244" i="24"/>
  <c r="G45" i="38"/>
  <c r="C45" i="38"/>
  <c r="D45" i="38"/>
  <c r="F45" i="38"/>
  <c r="F291" i="6"/>
  <c r="F126" i="19"/>
  <c r="G61" i="33"/>
  <c r="C61" i="33"/>
  <c r="D61" i="33"/>
  <c r="F61" i="33"/>
  <c r="F193" i="14"/>
  <c r="G193" i="14"/>
  <c r="H193" i="14"/>
  <c r="F129" i="18"/>
  <c r="D107" i="22"/>
  <c r="G53" i="35"/>
  <c r="C53" i="35"/>
  <c r="D53" i="35"/>
  <c r="F53" i="35"/>
  <c r="G178" i="23"/>
  <c r="H178" i="23"/>
  <c r="C178" i="23"/>
  <c r="D178" i="23"/>
  <c r="F178" i="23"/>
  <c r="G44" i="37"/>
  <c r="C44" i="37"/>
  <c r="D44" i="37"/>
  <c r="G208" i="13"/>
  <c r="F208" i="13"/>
  <c r="G245" i="25"/>
  <c r="F292" i="4"/>
  <c r="F293" i="4"/>
  <c r="G44" i="38"/>
  <c r="C44" i="38"/>
  <c r="D44" i="38"/>
  <c r="F44" i="38"/>
  <c r="G177" i="23"/>
  <c r="H177" i="23"/>
  <c r="G78" i="29"/>
  <c r="C78" i="29"/>
  <c r="D78" i="29"/>
  <c r="F78" i="29"/>
  <c r="G75" i="30"/>
  <c r="C75" i="30"/>
  <c r="D75" i="30"/>
  <c r="G78" i="28"/>
  <c r="C78" i="28"/>
  <c r="D78" i="28"/>
  <c r="F78" i="28"/>
  <c r="G292" i="5"/>
  <c r="F243" i="24"/>
  <c r="G243" i="24"/>
  <c r="G73" i="32"/>
  <c r="C73" i="32"/>
  <c r="D73" i="32"/>
  <c r="F73" i="32"/>
  <c r="F290" i="6"/>
  <c r="D124" i="19"/>
  <c r="F124" i="19"/>
  <c r="F125" i="19"/>
  <c r="G244" i="25"/>
  <c r="G60" i="33"/>
  <c r="G74" i="30"/>
  <c r="G43" i="37"/>
  <c r="F192" i="14"/>
  <c r="G192" i="14"/>
  <c r="H192" i="14"/>
  <c r="G52" i="35"/>
  <c r="G43" i="38"/>
  <c r="C43" i="38"/>
  <c r="D43" i="38"/>
  <c r="F43" i="38"/>
  <c r="G207" i="13"/>
  <c r="F207" i="13"/>
  <c r="D295" i="5"/>
  <c r="G289" i="5"/>
  <c r="G290" i="5"/>
  <c r="G291" i="5"/>
  <c r="D291" i="5"/>
  <c r="G72" i="32"/>
  <c r="C72" i="32"/>
  <c r="D72" i="32"/>
  <c r="F72" i="32"/>
  <c r="F291" i="4"/>
  <c r="G77" i="29"/>
  <c r="C77" i="29"/>
  <c r="D77" i="29"/>
  <c r="F77" i="29"/>
  <c r="G77" i="28"/>
  <c r="C77" i="28"/>
  <c r="D77" i="28"/>
  <c r="F77" i="28"/>
  <c r="F242" i="24"/>
  <c r="G242" i="24"/>
  <c r="G59" i="33"/>
  <c r="C59" i="33"/>
  <c r="D59" i="33"/>
  <c r="C60" i="33"/>
  <c r="D60" i="33"/>
  <c r="F59" i="33"/>
  <c r="F60" i="33"/>
  <c r="F191" i="14"/>
  <c r="G191" i="14"/>
  <c r="H191" i="14"/>
  <c r="D192" i="14"/>
  <c r="G73" i="30"/>
  <c r="C74" i="30"/>
  <c r="D74" i="30"/>
  <c r="G42" i="37"/>
  <c r="C42" i="37"/>
  <c r="D42" i="37"/>
  <c r="C43" i="37"/>
  <c r="D43" i="37"/>
  <c r="G176" i="23"/>
  <c r="H176" i="23"/>
  <c r="C176" i="23"/>
  <c r="D176" i="23"/>
  <c r="C177" i="23"/>
  <c r="D177" i="23"/>
  <c r="F176" i="23"/>
  <c r="F177" i="23"/>
  <c r="F127" i="18"/>
  <c r="F128" i="18"/>
  <c r="G51" i="35"/>
  <c r="C51" i="35"/>
  <c r="D51" i="35"/>
  <c r="C52" i="35"/>
  <c r="D52" i="35"/>
  <c r="F51" i="35"/>
  <c r="F52" i="35"/>
  <c r="G206" i="13"/>
  <c r="F206" i="13"/>
  <c r="F241" i="24"/>
  <c r="G241" i="24"/>
  <c r="F289" i="6"/>
  <c r="C73" i="30"/>
  <c r="D73" i="30"/>
  <c r="G243" i="25"/>
  <c r="D243" i="25"/>
  <c r="G76" i="28"/>
  <c r="C76" i="28"/>
  <c r="D76" i="28"/>
  <c r="F76" i="28"/>
  <c r="G76" i="29"/>
  <c r="C76" i="29"/>
  <c r="D76" i="29"/>
  <c r="F76" i="29"/>
  <c r="G71" i="32"/>
  <c r="C71" i="32"/>
  <c r="D71" i="32"/>
  <c r="F71" i="32"/>
  <c r="F290" i="4"/>
  <c r="G58" i="33"/>
  <c r="C58" i="33"/>
  <c r="D58" i="33"/>
  <c r="F58" i="33"/>
  <c r="G42" i="38"/>
  <c r="C42" i="38"/>
  <c r="D42" i="38"/>
  <c r="F42" i="38"/>
  <c r="F123" i="19"/>
  <c r="G205" i="13"/>
  <c r="F205" i="13"/>
  <c r="G41" i="37"/>
  <c r="C41" i="37"/>
  <c r="D41" i="37"/>
  <c r="F126" i="18"/>
  <c r="G175" i="23"/>
  <c r="H175" i="23"/>
  <c r="C175" i="23"/>
  <c r="D175" i="23"/>
  <c r="F175" i="23"/>
  <c r="G50" i="35"/>
  <c r="C50" i="35"/>
  <c r="D50" i="35"/>
  <c r="F50" i="35"/>
  <c r="F190" i="14"/>
  <c r="G190" i="14"/>
  <c r="H190" i="14"/>
  <c r="G72" i="30"/>
  <c r="C72" i="30"/>
  <c r="D72" i="30"/>
  <c r="F289" i="4"/>
  <c r="G75" i="28"/>
  <c r="C75" i="28"/>
  <c r="D75" i="28"/>
  <c r="F75" i="28"/>
  <c r="G242" i="25"/>
  <c r="G74" i="29"/>
  <c r="G75" i="29"/>
  <c r="C75" i="29"/>
  <c r="D75" i="29"/>
  <c r="F75" i="29"/>
  <c r="G70" i="32"/>
  <c r="C70" i="32"/>
  <c r="D70" i="32"/>
  <c r="F70" i="32"/>
  <c r="F240" i="24"/>
  <c r="G240" i="24"/>
  <c r="F288" i="6"/>
  <c r="D289" i="6"/>
  <c r="G41" i="38"/>
  <c r="C41" i="38"/>
  <c r="D41" i="38"/>
  <c r="F41" i="38"/>
  <c r="G57" i="33"/>
  <c r="C57" i="33"/>
  <c r="D57" i="33"/>
  <c r="F57" i="33"/>
  <c r="F122" i="19"/>
  <c r="G40" i="37"/>
  <c r="C40" i="37"/>
  <c r="D40" i="37"/>
  <c r="D103" i="22"/>
  <c r="F125" i="18"/>
  <c r="G71" i="30"/>
  <c r="C71" i="30"/>
  <c r="D71" i="30"/>
  <c r="F189" i="14"/>
  <c r="G189" i="14"/>
  <c r="H189" i="14"/>
  <c r="G241" i="25"/>
  <c r="F288" i="4"/>
  <c r="G203" i="13"/>
  <c r="G204" i="13"/>
  <c r="F203" i="13"/>
  <c r="F204" i="13"/>
  <c r="G174" i="23"/>
  <c r="H174" i="23"/>
  <c r="C174" i="23"/>
  <c r="D174" i="23"/>
  <c r="F174" i="23"/>
  <c r="G288" i="5"/>
  <c r="G49" i="35"/>
  <c r="C49" i="35"/>
  <c r="D49" i="35"/>
  <c r="F49" i="35"/>
  <c r="C74" i="29"/>
  <c r="D74" i="29"/>
  <c r="F74" i="29"/>
  <c r="G74" i="28"/>
  <c r="C74" i="28"/>
  <c r="D74" i="28"/>
  <c r="F74" i="28"/>
  <c r="F239" i="24"/>
  <c r="G239" i="24"/>
  <c r="F287" i="6"/>
  <c r="G69" i="32"/>
  <c r="C69" i="32"/>
  <c r="D69" i="32"/>
  <c r="F69" i="32"/>
  <c r="G40" i="38"/>
  <c r="C40" i="38"/>
  <c r="D40" i="38"/>
  <c r="F40" i="38"/>
  <c r="G48" i="35"/>
  <c r="C48" i="35"/>
  <c r="D48" i="35"/>
  <c r="F48" i="35"/>
  <c r="G70" i="30"/>
  <c r="C70" i="30"/>
  <c r="D70" i="30"/>
  <c r="G56" i="33"/>
  <c r="C56" i="33"/>
  <c r="D56" i="33"/>
  <c r="F56" i="33"/>
  <c r="F121" i="19"/>
  <c r="F124" i="18"/>
  <c r="G39" i="37"/>
  <c r="C39" i="37"/>
  <c r="D39" i="37"/>
  <c r="G68" i="32"/>
  <c r="C68" i="32"/>
  <c r="D68" i="32"/>
  <c r="F68" i="32"/>
  <c r="G173" i="23"/>
  <c r="H173" i="23"/>
  <c r="C173" i="23"/>
  <c r="D173" i="23"/>
  <c r="F173" i="23"/>
  <c r="F188" i="14"/>
  <c r="G188" i="14"/>
  <c r="H188" i="14"/>
  <c r="G287" i="5"/>
  <c r="D287" i="5"/>
  <c r="G73" i="29"/>
  <c r="C73" i="29"/>
  <c r="D73" i="29"/>
  <c r="F73" i="29"/>
  <c r="F238" i="24"/>
  <c r="G238" i="24"/>
  <c r="F286" i="6"/>
  <c r="G240" i="25"/>
  <c r="G73" i="28"/>
  <c r="C73" i="28"/>
  <c r="D73" i="28"/>
  <c r="F73" i="28"/>
  <c r="F287" i="4"/>
  <c r="F120" i="19"/>
  <c r="G39" i="38"/>
  <c r="C39" i="38"/>
  <c r="D39" i="38"/>
  <c r="F39" i="38"/>
  <c r="G55" i="33"/>
  <c r="C55" i="33"/>
  <c r="D55" i="33"/>
  <c r="F55" i="33"/>
  <c r="F187" i="14"/>
  <c r="G187" i="14"/>
  <c r="H187" i="14"/>
  <c r="G69" i="30"/>
  <c r="C69" i="30"/>
  <c r="D69" i="30"/>
  <c r="G38" i="37"/>
  <c r="C38" i="37"/>
  <c r="D38" i="37"/>
  <c r="G172" i="23"/>
  <c r="H172" i="23"/>
  <c r="C172" i="23"/>
  <c r="D172" i="23"/>
  <c r="F172" i="23"/>
  <c r="G47" i="35"/>
  <c r="C47" i="35"/>
  <c r="D47" i="35"/>
  <c r="F47" i="35"/>
  <c r="D123" i="18"/>
  <c r="F123" i="18"/>
  <c r="G46" i="35"/>
  <c r="C46" i="35"/>
  <c r="D46" i="35"/>
  <c r="F46" i="35"/>
  <c r="G72" i="28"/>
  <c r="C72" i="28"/>
  <c r="D72" i="28"/>
  <c r="F72" i="28"/>
  <c r="G202" i="13"/>
  <c r="F202" i="13"/>
  <c r="G286" i="5"/>
  <c r="G239" i="25"/>
  <c r="D239" i="25"/>
  <c r="F285" i="6"/>
  <c r="G72" i="29"/>
  <c r="C72" i="29"/>
  <c r="D72" i="29"/>
  <c r="F72" i="29"/>
  <c r="F286" i="4"/>
  <c r="F236" i="24"/>
  <c r="G236" i="24"/>
  <c r="F237" i="24"/>
  <c r="G237" i="24"/>
  <c r="G67" i="32"/>
  <c r="C67" i="32"/>
  <c r="D67" i="32"/>
  <c r="F67" i="32"/>
  <c r="G38" i="38"/>
  <c r="C38" i="38"/>
  <c r="D38" i="38"/>
  <c r="F38" i="38"/>
  <c r="G54" i="33"/>
  <c r="C54" i="33"/>
  <c r="D54" i="33"/>
  <c r="F54" i="33"/>
  <c r="F119" i="19"/>
  <c r="G68" i="30"/>
  <c r="C68" i="30"/>
  <c r="D68" i="30"/>
  <c r="G37" i="37"/>
  <c r="C37" i="37"/>
  <c r="D37" i="37"/>
  <c r="F122" i="18"/>
  <c r="G171" i="23"/>
  <c r="H171" i="23"/>
  <c r="C171" i="23"/>
  <c r="D171" i="23"/>
  <c r="F171" i="23"/>
  <c r="G200" i="13"/>
  <c r="G201" i="13"/>
  <c r="D201" i="13"/>
  <c r="F201" i="13"/>
  <c r="F200" i="13"/>
  <c r="G238" i="25"/>
  <c r="F186" i="14"/>
  <c r="H186" i="14"/>
  <c r="G70" i="28"/>
  <c r="G71" i="28"/>
  <c r="C71" i="28"/>
  <c r="D71" i="28"/>
  <c r="F71" i="28"/>
  <c r="G285" i="5"/>
  <c r="F285" i="4"/>
  <c r="G70" i="29"/>
  <c r="G71" i="29"/>
  <c r="C71" i="29"/>
  <c r="D71" i="29"/>
  <c r="F71" i="29"/>
  <c r="C70" i="29"/>
  <c r="D70" i="29"/>
  <c r="F70" i="29"/>
  <c r="G66" i="32"/>
  <c r="C66" i="32"/>
  <c r="D66" i="32"/>
  <c r="F66" i="32"/>
  <c r="F284" i="6"/>
  <c r="D285" i="6"/>
  <c r="G35" i="38"/>
  <c r="G36" i="38"/>
  <c r="G37" i="38"/>
  <c r="C37" i="38"/>
  <c r="D37" i="38"/>
  <c r="F37" i="38"/>
  <c r="D99" i="22"/>
  <c r="G45" i="35"/>
  <c r="C45" i="35"/>
  <c r="D45" i="35"/>
  <c r="F45" i="35"/>
  <c r="D256" i="11"/>
  <c r="F118" i="19"/>
  <c r="G53" i="33"/>
  <c r="C53" i="33"/>
  <c r="D53" i="33"/>
  <c r="F53" i="33"/>
  <c r="F185" i="14"/>
  <c r="H185" i="14"/>
  <c r="F284" i="4"/>
  <c r="G36" i="37"/>
  <c r="C36" i="37"/>
  <c r="D36" i="37"/>
  <c r="F121" i="18"/>
  <c r="G66" i="30"/>
  <c r="G67" i="30"/>
  <c r="C67" i="30"/>
  <c r="D67" i="30"/>
  <c r="C36" i="38"/>
  <c r="D36" i="38"/>
  <c r="F36" i="38"/>
  <c r="C35" i="38"/>
  <c r="D35" i="38"/>
  <c r="F35" i="38"/>
  <c r="G44" i="35"/>
  <c r="C44" i="35"/>
  <c r="D44" i="35"/>
  <c r="F44" i="35"/>
  <c r="G69" i="28"/>
  <c r="C70" i="28"/>
  <c r="D70" i="28"/>
  <c r="F70" i="28"/>
  <c r="F283" i="6"/>
  <c r="G237" i="25"/>
  <c r="G283" i="5"/>
  <c r="G284" i="5"/>
  <c r="D283" i="5"/>
  <c r="G170" i="23"/>
  <c r="H170" i="23"/>
  <c r="C170" i="23"/>
  <c r="D170" i="23"/>
  <c r="F170" i="23"/>
  <c r="G34" i="37"/>
  <c r="G35" i="37"/>
  <c r="F235" i="24"/>
  <c r="G235" i="24"/>
  <c r="F120" i="18"/>
  <c r="G65" i="32"/>
  <c r="C65" i="32"/>
  <c r="D65" i="32"/>
  <c r="F65" i="32"/>
  <c r="F117" i="19"/>
  <c r="G52" i="33"/>
  <c r="C52" i="33"/>
  <c r="D52" i="33"/>
  <c r="F52" i="33"/>
  <c r="F283" i="4"/>
  <c r="C35" i="37"/>
  <c r="D35" i="37"/>
  <c r="C34" i="37"/>
  <c r="D34" i="37"/>
  <c r="F184" i="14"/>
  <c r="H184" i="14"/>
  <c r="C69" i="28"/>
  <c r="D69" i="28"/>
  <c r="F69" i="28"/>
  <c r="G199" i="13"/>
  <c r="F199" i="13"/>
  <c r="F282" i="6"/>
  <c r="G236" i="25"/>
  <c r="C66" i="30"/>
  <c r="D66" i="30"/>
  <c r="G282" i="5"/>
  <c r="G69" i="29"/>
  <c r="C69" i="29"/>
  <c r="D69" i="29"/>
  <c r="F69" i="29"/>
  <c r="F234" i="24"/>
  <c r="G234" i="24"/>
  <c r="G64" i="32"/>
  <c r="C64" i="32"/>
  <c r="D64" i="32"/>
  <c r="F64" i="32"/>
  <c r="C169" i="23"/>
  <c r="D169" i="23"/>
  <c r="F169" i="23"/>
  <c r="G168" i="23"/>
  <c r="H168" i="23"/>
  <c r="G169" i="23"/>
  <c r="H169" i="23"/>
  <c r="C168" i="23"/>
  <c r="D168" i="23"/>
  <c r="F168" i="23"/>
  <c r="F116" i="19"/>
  <c r="G51" i="33"/>
  <c r="C51" i="33"/>
  <c r="D51" i="33"/>
  <c r="F51" i="33"/>
  <c r="F183" i="14"/>
  <c r="H183" i="14"/>
  <c r="G65" i="30"/>
  <c r="C65" i="30"/>
  <c r="D65" i="30"/>
  <c r="G198" i="13"/>
  <c r="F198" i="13"/>
  <c r="G235" i="25"/>
  <c r="D235" i="25"/>
  <c r="G68" i="28"/>
  <c r="C68" i="28"/>
  <c r="D68" i="28"/>
  <c r="F68" i="28"/>
  <c r="G68" i="29"/>
  <c r="C68" i="29"/>
  <c r="D68" i="29"/>
  <c r="F68" i="29"/>
  <c r="F282" i="4"/>
  <c r="F281" i="6"/>
  <c r="F233" i="24"/>
  <c r="G233" i="24"/>
  <c r="G63" i="32"/>
  <c r="C63" i="32"/>
  <c r="D63" i="32"/>
  <c r="F63" i="32"/>
  <c r="G43" i="35"/>
  <c r="C43" i="35"/>
  <c r="D43" i="35"/>
  <c r="F43" i="35"/>
  <c r="G34" i="38"/>
  <c r="C34" i="38"/>
  <c r="D34" i="38"/>
  <c r="F34" i="38"/>
  <c r="F115" i="19"/>
  <c r="G50" i="33"/>
  <c r="C50" i="33"/>
  <c r="D50" i="33"/>
  <c r="F50" i="33"/>
  <c r="F119" i="18"/>
  <c r="F118" i="18"/>
  <c r="G33" i="37"/>
  <c r="C33" i="37"/>
  <c r="D33" i="37"/>
  <c r="G64" i="30"/>
  <c r="C64" i="30"/>
  <c r="D64" i="30"/>
  <c r="F182" i="14"/>
  <c r="H182" i="14"/>
  <c r="G167" i="23"/>
  <c r="H167" i="23"/>
  <c r="C167" i="23"/>
  <c r="D167" i="23"/>
  <c r="F167" i="23"/>
  <c r="F280" i="6"/>
  <c r="G197" i="13"/>
  <c r="F197" i="13"/>
  <c r="G281" i="5"/>
  <c r="G42" i="35"/>
  <c r="C42" i="35"/>
  <c r="D42" i="35"/>
  <c r="F42" i="35"/>
  <c r="G67" i="29"/>
  <c r="C67" i="29"/>
  <c r="D67" i="29"/>
  <c r="F67" i="29"/>
  <c r="G62" i="32"/>
  <c r="C62" i="32"/>
  <c r="D62" i="32"/>
  <c r="F62" i="32"/>
  <c r="G33" i="38"/>
  <c r="C33" i="38"/>
  <c r="D33" i="38"/>
  <c r="F33" i="38"/>
  <c r="G67" i="28"/>
  <c r="C67" i="28"/>
  <c r="D67" i="28"/>
  <c r="F67" i="28"/>
  <c r="F281" i="4"/>
  <c r="G234" i="25"/>
  <c r="F232" i="24"/>
  <c r="G232" i="24"/>
  <c r="G49" i="33"/>
  <c r="C49" i="33"/>
  <c r="D49" i="33"/>
  <c r="F49" i="33"/>
  <c r="F114" i="19"/>
  <c r="F231" i="24"/>
  <c r="G231" i="24"/>
  <c r="F117" i="18"/>
  <c r="D95" i="22"/>
  <c r="G32" i="37"/>
  <c r="C32" i="37"/>
  <c r="D32" i="37"/>
  <c r="G63" i="30"/>
  <c r="C63" i="30"/>
  <c r="D63" i="30"/>
  <c r="F181" i="14"/>
  <c r="H181" i="14"/>
  <c r="G196" i="13"/>
  <c r="F196" i="13"/>
  <c r="G280" i="5"/>
  <c r="G41" i="35"/>
  <c r="C41" i="35"/>
  <c r="D41" i="35"/>
  <c r="F41" i="35"/>
  <c r="F279" i="6"/>
  <c r="G166" i="23"/>
  <c r="H166" i="23"/>
  <c r="C166" i="23"/>
  <c r="D166" i="23"/>
  <c r="F166" i="23"/>
  <c r="G233" i="25"/>
  <c r="G66" i="29"/>
  <c r="C66" i="29"/>
  <c r="D66" i="29"/>
  <c r="F66" i="29"/>
  <c r="F280" i="4"/>
  <c r="G66" i="28"/>
  <c r="C66" i="28"/>
  <c r="D66" i="28"/>
  <c r="F66" i="28"/>
  <c r="G61" i="32"/>
  <c r="C61" i="32"/>
  <c r="D61" i="32"/>
  <c r="F61" i="32"/>
  <c r="G32" i="38"/>
  <c r="C32" i="38"/>
  <c r="D32" i="38"/>
  <c r="F32" i="38"/>
  <c r="G48" i="33"/>
  <c r="C48" i="33"/>
  <c r="D48" i="33"/>
  <c r="F48" i="33"/>
  <c r="F113" i="19"/>
  <c r="G195" i="13"/>
  <c r="F195" i="13"/>
  <c r="G31" i="37"/>
  <c r="C31" i="37"/>
  <c r="D31" i="37"/>
  <c r="F116" i="18"/>
  <c r="G40" i="35"/>
  <c r="C40" i="35"/>
  <c r="D40" i="35"/>
  <c r="F40" i="35"/>
  <c r="F180" i="14"/>
  <c r="H180" i="14"/>
  <c r="G62" i="30"/>
  <c r="C62" i="30"/>
  <c r="D62" i="30"/>
  <c r="G165" i="23"/>
  <c r="H165" i="23"/>
  <c r="C165" i="23"/>
  <c r="D165" i="23"/>
  <c r="F165" i="23"/>
  <c r="G231" i="25"/>
  <c r="G232" i="25"/>
  <c r="G279" i="5"/>
  <c r="D279" i="5"/>
  <c r="G31" i="38"/>
  <c r="C31" i="38"/>
  <c r="D31" i="38"/>
  <c r="F31" i="38"/>
  <c r="F230" i="24"/>
  <c r="G230" i="24"/>
  <c r="G65" i="29"/>
  <c r="C65" i="29"/>
  <c r="D65" i="29"/>
  <c r="F65" i="29"/>
  <c r="G65" i="28"/>
  <c r="C65" i="28"/>
  <c r="D65" i="28"/>
  <c r="F65" i="28"/>
  <c r="F279" i="4"/>
  <c r="G60" i="32"/>
  <c r="C60" i="32"/>
  <c r="D60" i="32"/>
  <c r="F60" i="32"/>
  <c r="G36" i="35"/>
  <c r="G37" i="35"/>
  <c r="G38" i="35"/>
  <c r="G39" i="35"/>
  <c r="C39" i="35"/>
  <c r="D39" i="35"/>
  <c r="F39" i="35"/>
  <c r="C36" i="35"/>
  <c r="D36" i="35"/>
  <c r="C37" i="35"/>
  <c r="D37" i="35"/>
  <c r="C38" i="35"/>
  <c r="D38" i="35"/>
  <c r="F36" i="35"/>
  <c r="F37" i="35"/>
  <c r="F38" i="35"/>
  <c r="G47" i="33"/>
  <c r="C47" i="33"/>
  <c r="D47" i="33"/>
  <c r="F47" i="33"/>
  <c r="F112" i="19"/>
  <c r="G30" i="37"/>
  <c r="C30" i="37"/>
  <c r="D30" i="37"/>
  <c r="G194" i="13"/>
  <c r="F194" i="13"/>
  <c r="G278" i="5"/>
  <c r="F179" i="14"/>
  <c r="H179" i="14"/>
  <c r="G61" i="30"/>
  <c r="C61" i="30"/>
  <c r="D61" i="30"/>
  <c r="G164" i="23"/>
  <c r="H164" i="23"/>
  <c r="C164" i="23"/>
  <c r="D164" i="23"/>
  <c r="F164" i="23"/>
  <c r="D115" i="18"/>
  <c r="F115" i="18"/>
  <c r="F229" i="24"/>
  <c r="G229" i="24"/>
  <c r="F277" i="6"/>
  <c r="F278" i="6"/>
  <c r="G59" i="32"/>
  <c r="C59" i="32"/>
  <c r="D59" i="32"/>
  <c r="F59" i="32"/>
  <c r="G193" i="13"/>
  <c r="F193" i="13"/>
  <c r="G30" i="38"/>
  <c r="C30" i="38"/>
  <c r="D30" i="38"/>
  <c r="F30" i="38"/>
  <c r="G45" i="33"/>
  <c r="G46" i="33"/>
  <c r="C46" i="33"/>
  <c r="D46" i="33"/>
  <c r="F46" i="33"/>
  <c r="F111" i="19"/>
  <c r="F114" i="18"/>
  <c r="G29" i="37"/>
  <c r="C29" i="37"/>
  <c r="D29" i="37"/>
  <c r="F178" i="14"/>
  <c r="H178" i="14"/>
  <c r="G60" i="30"/>
  <c r="C60" i="30"/>
  <c r="D60" i="30"/>
  <c r="G29" i="38"/>
  <c r="C29" i="38"/>
  <c r="D29" i="38"/>
  <c r="F29" i="38"/>
  <c r="G163" i="23"/>
  <c r="H163" i="23"/>
  <c r="C163" i="23"/>
  <c r="D163" i="23"/>
  <c r="F163" i="23"/>
  <c r="F278" i="4"/>
  <c r="G64" i="29"/>
  <c r="C64" i="29"/>
  <c r="D64" i="29"/>
  <c r="F64" i="29"/>
  <c r="G64" i="28"/>
  <c r="C64" i="28"/>
  <c r="D64" i="28"/>
  <c r="F64" i="28"/>
  <c r="G229" i="25"/>
  <c r="G230" i="25"/>
  <c r="G277" i="5"/>
  <c r="F228" i="24"/>
  <c r="G228" i="24"/>
  <c r="G63" i="29"/>
  <c r="C63" i="29"/>
  <c r="D63" i="29"/>
  <c r="F63" i="29"/>
  <c r="F277" i="4"/>
  <c r="F276" i="6"/>
  <c r="D277" i="6"/>
  <c r="G63" i="28"/>
  <c r="C63" i="28"/>
  <c r="D63" i="28"/>
  <c r="F63" i="28"/>
  <c r="G58" i="32"/>
  <c r="C58" i="32"/>
  <c r="D58" i="32"/>
  <c r="F58" i="32"/>
  <c r="F177" i="14"/>
  <c r="H177" i="14"/>
  <c r="C45" i="33"/>
  <c r="D45" i="33"/>
  <c r="F45" i="33"/>
  <c r="F110" i="19"/>
  <c r="F113" i="18"/>
  <c r="D91" i="22"/>
  <c r="G28" i="37"/>
  <c r="C28" i="37"/>
  <c r="D28" i="37"/>
  <c r="G59" i="30"/>
  <c r="C59" i="30"/>
  <c r="D59" i="30"/>
  <c r="F227" i="24"/>
  <c r="G227" i="24"/>
  <c r="G192" i="13"/>
  <c r="F192" i="13"/>
  <c r="G276" i="5"/>
  <c r="G162" i="23"/>
  <c r="H162" i="23"/>
  <c r="C162" i="23"/>
  <c r="D162" i="23"/>
  <c r="F162" i="23"/>
  <c r="F275" i="6"/>
  <c r="G44" i="33"/>
  <c r="C44" i="33"/>
  <c r="D44" i="33"/>
  <c r="F44" i="33"/>
  <c r="F109" i="19"/>
  <c r="F276" i="4"/>
  <c r="G62" i="29"/>
  <c r="C62" i="29"/>
  <c r="D62" i="29"/>
  <c r="F62" i="29"/>
  <c r="G28" i="38"/>
  <c r="C28" i="38"/>
  <c r="D28" i="38"/>
  <c r="F28" i="38"/>
  <c r="G57" i="32"/>
  <c r="C57" i="32"/>
  <c r="D57" i="32"/>
  <c r="F57" i="32"/>
  <c r="G62" i="28"/>
  <c r="C62" i="28"/>
  <c r="D62" i="28"/>
  <c r="F62" i="28"/>
  <c r="D209" i="12"/>
  <c r="F112" i="18"/>
  <c r="G58" i="30"/>
  <c r="C58" i="30"/>
  <c r="D58" i="30"/>
  <c r="F176" i="14"/>
  <c r="H176" i="14"/>
  <c r="G275" i="5"/>
  <c r="D275" i="5"/>
  <c r="G191" i="13"/>
  <c r="F191" i="13"/>
  <c r="G43" i="33"/>
  <c r="C43" i="33"/>
  <c r="D43" i="33"/>
  <c r="F43" i="33"/>
  <c r="F274" i="6"/>
  <c r="G228" i="25"/>
  <c r="G161" i="23"/>
  <c r="H161" i="23"/>
  <c r="C161" i="23"/>
  <c r="D161" i="23"/>
  <c r="F161" i="23"/>
  <c r="G61" i="29"/>
  <c r="C61" i="29"/>
  <c r="D61" i="29"/>
  <c r="F61" i="29"/>
  <c r="G60" i="28"/>
  <c r="G61" i="28"/>
  <c r="C61" i="28"/>
  <c r="D61" i="28"/>
  <c r="F61" i="28"/>
  <c r="F275" i="4"/>
  <c r="F226" i="24"/>
  <c r="G226" i="24"/>
  <c r="G55" i="32"/>
  <c r="G56" i="32"/>
  <c r="C56" i="32"/>
  <c r="D56" i="32"/>
  <c r="F56" i="32"/>
  <c r="C23" i="37"/>
  <c r="D23" i="37"/>
  <c r="C24" i="37"/>
  <c r="D24" i="37"/>
  <c r="C25" i="37"/>
  <c r="D25" i="37"/>
  <c r="C26" i="37"/>
  <c r="D26" i="37"/>
  <c r="C27" i="37"/>
  <c r="D27" i="37"/>
  <c r="G190" i="13"/>
  <c r="G35" i="35"/>
  <c r="C35" i="35"/>
  <c r="D35" i="35"/>
  <c r="F35" i="35"/>
  <c r="G57" i="30"/>
  <c r="C57" i="30"/>
  <c r="D57" i="30"/>
  <c r="F175" i="14"/>
  <c r="H175" i="14"/>
  <c r="G159" i="23"/>
  <c r="H159" i="23"/>
  <c r="G160" i="23"/>
  <c r="H160" i="23"/>
  <c r="C160" i="23"/>
  <c r="D160" i="23"/>
  <c r="F160" i="23"/>
  <c r="C159" i="23"/>
  <c r="D159" i="23"/>
  <c r="F159" i="23"/>
  <c r="F111" i="18"/>
  <c r="D108" i="19"/>
  <c r="F108" i="19"/>
  <c r="G274" i="5"/>
  <c r="G60" i="29"/>
  <c r="C60" i="29"/>
  <c r="D60" i="29"/>
  <c r="F60" i="29"/>
  <c r="G227" i="25"/>
  <c r="F225" i="24"/>
  <c r="G225" i="24"/>
  <c r="F273" i="6"/>
  <c r="C60" i="28"/>
  <c r="D60" i="28"/>
  <c r="F60" i="28"/>
  <c r="G42" i="33"/>
  <c r="C42" i="33"/>
  <c r="D42" i="33"/>
  <c r="F42" i="33"/>
  <c r="C55" i="32"/>
  <c r="D55" i="32"/>
  <c r="F55" i="32"/>
  <c r="G33" i="35"/>
  <c r="G34" i="35"/>
  <c r="C34" i="35"/>
  <c r="D34" i="35"/>
  <c r="F34" i="35"/>
  <c r="F107" i="19"/>
  <c r="F224" i="24"/>
  <c r="G224" i="24"/>
  <c r="F110" i="18"/>
  <c r="F174" i="14"/>
  <c r="H174" i="14"/>
  <c r="G226" i="25"/>
  <c r="F190" i="13"/>
  <c r="G189" i="13"/>
  <c r="G273" i="5"/>
  <c r="F189" i="13"/>
  <c r="G56" i="30"/>
  <c r="C56" i="30"/>
  <c r="D56" i="30"/>
  <c r="G59" i="29"/>
  <c r="C59" i="29"/>
  <c r="D59" i="29"/>
  <c r="F59" i="29"/>
  <c r="F273" i="4"/>
  <c r="F274" i="4"/>
  <c r="D273" i="6"/>
  <c r="G54" i="32"/>
  <c r="C54" i="32"/>
  <c r="D54" i="32"/>
  <c r="F54" i="32"/>
  <c r="G59" i="28"/>
  <c r="C59" i="28"/>
  <c r="D59" i="28"/>
  <c r="F59" i="28"/>
  <c r="D87" i="22"/>
  <c r="G41" i="33"/>
  <c r="C41" i="33"/>
  <c r="D41" i="33"/>
  <c r="F41" i="33"/>
  <c r="F106" i="19"/>
  <c r="F109" i="18"/>
  <c r="C33" i="35"/>
  <c r="D33" i="35"/>
  <c r="F33" i="35"/>
  <c r="G40" i="33"/>
  <c r="C40" i="33"/>
  <c r="D40" i="33"/>
  <c r="F40" i="33"/>
  <c r="G55" i="30"/>
  <c r="C55" i="30"/>
  <c r="D55" i="30"/>
  <c r="G188" i="13"/>
  <c r="F188" i="13"/>
  <c r="F173" i="14"/>
  <c r="H173" i="14"/>
  <c r="G272" i="5"/>
  <c r="G224" i="25"/>
  <c r="G225" i="25"/>
  <c r="F272" i="4"/>
  <c r="G158" i="23"/>
  <c r="H158" i="23"/>
  <c r="C158" i="23"/>
  <c r="D158" i="23"/>
  <c r="F158" i="23"/>
  <c r="F223" i="24"/>
  <c r="G223" i="24"/>
  <c r="G57" i="29"/>
  <c r="G58" i="29"/>
  <c r="C58" i="29"/>
  <c r="D58" i="29"/>
  <c r="F58" i="29"/>
  <c r="F271" i="6"/>
  <c r="F272" i="6"/>
  <c r="G53" i="32"/>
  <c r="C53" i="32"/>
  <c r="D53" i="32"/>
  <c r="F53" i="32"/>
  <c r="G32" i="35"/>
  <c r="C32" i="35"/>
  <c r="D32" i="35"/>
  <c r="F32" i="35"/>
  <c r="G58" i="28"/>
  <c r="C58" i="28"/>
  <c r="D58" i="28"/>
  <c r="F58" i="28"/>
  <c r="F105" i="19"/>
  <c r="G187" i="13"/>
  <c r="F187" i="13"/>
  <c r="F108" i="18"/>
  <c r="F270" i="6"/>
  <c r="F172" i="14"/>
  <c r="H172" i="14"/>
  <c r="G54" i="30"/>
  <c r="C54" i="30"/>
  <c r="D54" i="30"/>
  <c r="G157" i="23"/>
  <c r="H157" i="23"/>
  <c r="C157" i="23"/>
  <c r="D157" i="23"/>
  <c r="F157" i="23"/>
  <c r="G57" i="28"/>
  <c r="C57" i="28"/>
  <c r="D57" i="28"/>
  <c r="F57" i="28"/>
  <c r="G271" i="5"/>
  <c r="D271" i="5"/>
  <c r="D224" i="25"/>
  <c r="F222" i="24"/>
  <c r="G222" i="24"/>
  <c r="C57" i="29"/>
  <c r="D57" i="29"/>
  <c r="F57" i="29"/>
  <c r="F271" i="4"/>
  <c r="G52" i="32"/>
  <c r="C52" i="32"/>
  <c r="D52" i="32"/>
  <c r="F52" i="32"/>
  <c r="G186" i="13"/>
  <c r="F186" i="13"/>
  <c r="F107" i="18"/>
  <c r="F171" i="14"/>
  <c r="H171" i="14"/>
  <c r="F104" i="19"/>
  <c r="G39" i="33"/>
  <c r="C39" i="33"/>
  <c r="D39" i="33"/>
  <c r="F39" i="33"/>
  <c r="G27" i="38"/>
  <c r="F27" i="38"/>
  <c r="C27" i="38"/>
  <c r="D27" i="38"/>
  <c r="G26" i="38"/>
  <c r="F26" i="38"/>
  <c r="C26" i="38"/>
  <c r="D26" i="38"/>
  <c r="G25" i="38"/>
  <c r="F25" i="38"/>
  <c r="C25" i="38"/>
  <c r="D25" i="38"/>
  <c r="G24" i="38"/>
  <c r="F24" i="38"/>
  <c r="C24" i="38"/>
  <c r="D24" i="38"/>
  <c r="G23" i="38"/>
  <c r="F23" i="38"/>
  <c r="C23" i="38"/>
  <c r="D23" i="38"/>
  <c r="G22" i="38"/>
  <c r="F22" i="38"/>
  <c r="C22" i="38"/>
  <c r="D22" i="38"/>
  <c r="F21" i="38"/>
  <c r="C21" i="38"/>
  <c r="B8" i="38"/>
  <c r="G4" i="38"/>
  <c r="G27" i="37"/>
  <c r="G26" i="37"/>
  <c r="G25" i="37"/>
  <c r="G24" i="37"/>
  <c r="G23" i="37"/>
  <c r="G22" i="37"/>
  <c r="C22" i="37"/>
  <c r="D22" i="37"/>
  <c r="C21" i="37"/>
  <c r="B8" i="37"/>
  <c r="G4" i="37"/>
  <c r="F269" i="6"/>
  <c r="G53" i="30"/>
  <c r="C53" i="30"/>
  <c r="D53" i="30"/>
  <c r="G223" i="25"/>
  <c r="G31" i="35"/>
  <c r="C31" i="35"/>
  <c r="D31" i="35"/>
  <c r="F31" i="35"/>
  <c r="G270" i="5"/>
  <c r="F268" i="6"/>
  <c r="D269" i="6"/>
  <c r="G56" i="29"/>
  <c r="C56" i="29"/>
  <c r="D56" i="29"/>
  <c r="F56" i="29"/>
  <c r="G156" i="23"/>
  <c r="H156" i="23"/>
  <c r="C156" i="23"/>
  <c r="D156" i="23"/>
  <c r="F156" i="23"/>
  <c r="G38" i="33"/>
  <c r="C38" i="33"/>
  <c r="D38" i="33"/>
  <c r="F38" i="33"/>
  <c r="G56" i="28"/>
  <c r="C56" i="28"/>
  <c r="D56" i="28"/>
  <c r="F56" i="28"/>
  <c r="G51" i="32"/>
  <c r="C51" i="32"/>
  <c r="D51" i="32"/>
  <c r="F51" i="32"/>
  <c r="F270" i="4"/>
  <c r="F103" i="19"/>
  <c r="F106" i="18"/>
  <c r="G155" i="23"/>
  <c r="H155" i="23"/>
  <c r="C155" i="23"/>
  <c r="D155" i="23"/>
  <c r="F155" i="23"/>
  <c r="G30" i="35"/>
  <c r="C30" i="35"/>
  <c r="D30" i="35"/>
  <c r="F30" i="35"/>
  <c r="G55" i="28"/>
  <c r="C55" i="28"/>
  <c r="D55" i="28"/>
  <c r="F55" i="28"/>
  <c r="G52" i="30"/>
  <c r="C52" i="30"/>
  <c r="D52" i="30"/>
  <c r="F170" i="14"/>
  <c r="H170" i="14"/>
  <c r="G185" i="13"/>
  <c r="D185" i="13"/>
  <c r="F185" i="13"/>
  <c r="G269" i="5"/>
  <c r="G55" i="29"/>
  <c r="C55" i="29"/>
  <c r="D55" i="29"/>
  <c r="F55" i="29"/>
  <c r="G222" i="25"/>
  <c r="G50" i="32"/>
  <c r="C50" i="32"/>
  <c r="D50" i="32"/>
  <c r="F50" i="32"/>
  <c r="D83" i="22"/>
  <c r="F220" i="24"/>
  <c r="G220" i="24"/>
  <c r="F221" i="24"/>
  <c r="G221" i="24"/>
  <c r="F102" i="19"/>
  <c r="G37" i="33"/>
  <c r="C37" i="33"/>
  <c r="D37" i="33"/>
  <c r="F37" i="33"/>
  <c r="F105" i="18"/>
  <c r="G29" i="35"/>
  <c r="C29" i="35"/>
  <c r="D29" i="35"/>
  <c r="F29" i="35"/>
  <c r="D240" i="11"/>
  <c r="G184" i="13"/>
  <c r="F184" i="13"/>
  <c r="F169" i="14"/>
  <c r="H169" i="14"/>
  <c r="G51" i="30"/>
  <c r="C51" i="30"/>
  <c r="D51" i="30"/>
  <c r="G154" i="23"/>
  <c r="H154" i="23"/>
  <c r="C154" i="23"/>
  <c r="D154" i="23"/>
  <c r="F154" i="23"/>
  <c r="G268" i="5"/>
  <c r="G54" i="29"/>
  <c r="C54" i="29"/>
  <c r="D54" i="29"/>
  <c r="F54" i="29"/>
  <c r="F267" i="6"/>
  <c r="G221" i="25"/>
  <c r="G54" i="28"/>
  <c r="C54" i="28"/>
  <c r="D54" i="28"/>
  <c r="F54" i="28"/>
  <c r="F219" i="24"/>
  <c r="G219" i="24"/>
  <c r="F268" i="4"/>
  <c r="F269" i="4"/>
  <c r="G183" i="13"/>
  <c r="F183" i="13"/>
  <c r="G49" i="32"/>
  <c r="C49" i="32"/>
  <c r="D49" i="32"/>
  <c r="F49" i="32"/>
  <c r="F101" i="19"/>
  <c r="G36" i="33"/>
  <c r="C36" i="33"/>
  <c r="D36" i="33"/>
  <c r="F36" i="33"/>
  <c r="F104" i="18"/>
  <c r="G220" i="25"/>
  <c r="F218" i="24"/>
  <c r="G218" i="24"/>
  <c r="F168" i="14"/>
  <c r="H168" i="14"/>
  <c r="G28" i="35"/>
  <c r="C28" i="35"/>
  <c r="D28" i="35"/>
  <c r="F28" i="35"/>
  <c r="G50" i="30"/>
  <c r="C50" i="30"/>
  <c r="D50" i="30"/>
  <c r="F266" i="6"/>
  <c r="G267" i="5"/>
  <c r="D267" i="5"/>
  <c r="G53" i="29"/>
  <c r="C53" i="29"/>
  <c r="D53" i="29"/>
  <c r="F53" i="29"/>
  <c r="G153" i="23"/>
  <c r="H153" i="23"/>
  <c r="C153" i="23"/>
  <c r="D153" i="23"/>
  <c r="F153" i="23"/>
  <c r="G48" i="32"/>
  <c r="C48" i="32"/>
  <c r="D48" i="32"/>
  <c r="F48" i="32"/>
  <c r="F267" i="4"/>
  <c r="G53" i="28"/>
  <c r="C53" i="28"/>
  <c r="D53" i="28"/>
  <c r="F53" i="28"/>
  <c r="F103" i="18"/>
  <c r="G182" i="13"/>
  <c r="F182" i="13"/>
  <c r="G35" i="33"/>
  <c r="C35" i="33"/>
  <c r="D35" i="33"/>
  <c r="F35" i="33"/>
  <c r="F167" i="14"/>
  <c r="H167" i="14"/>
  <c r="G49" i="30"/>
  <c r="C49" i="30"/>
  <c r="D49" i="30"/>
  <c r="F265" i="6"/>
  <c r="D100" i="19"/>
  <c r="F100" i="19"/>
  <c r="G152" i="23"/>
  <c r="H152" i="23"/>
  <c r="C152" i="23"/>
  <c r="D152" i="23"/>
  <c r="F152" i="23"/>
  <c r="G266" i="5"/>
  <c r="F217" i="24"/>
  <c r="G217" i="24"/>
  <c r="G219" i="25"/>
  <c r="G52" i="29"/>
  <c r="C52" i="29"/>
  <c r="D52" i="29"/>
  <c r="F52" i="29"/>
  <c r="F266" i="4"/>
  <c r="G52" i="28"/>
  <c r="C52" i="28"/>
  <c r="D52" i="28"/>
  <c r="F52" i="28"/>
  <c r="F102" i="18"/>
  <c r="G34" i="33"/>
  <c r="C34" i="33"/>
  <c r="D34" i="33"/>
  <c r="F34" i="33"/>
  <c r="G181" i="13"/>
  <c r="F181" i="13"/>
  <c r="F264" i="6"/>
  <c r="G48" i="30"/>
  <c r="C48" i="30"/>
  <c r="D48" i="30"/>
  <c r="F166" i="14"/>
  <c r="H166" i="14"/>
  <c r="G218" i="25"/>
  <c r="F99" i="19"/>
  <c r="G46" i="32"/>
  <c r="G47" i="32"/>
  <c r="C47" i="32"/>
  <c r="D47" i="32"/>
  <c r="F47" i="32"/>
  <c r="F265" i="4"/>
  <c r="D266" i="4"/>
  <c r="G265" i="5"/>
  <c r="G151" i="23"/>
  <c r="H151" i="23"/>
  <c r="C151" i="23"/>
  <c r="D151" i="23"/>
  <c r="F151" i="23"/>
  <c r="C46" i="32"/>
  <c r="D46" i="32"/>
  <c r="F46" i="32"/>
  <c r="G51" i="28"/>
  <c r="C51" i="28"/>
  <c r="D51" i="28"/>
  <c r="F51" i="28"/>
  <c r="G51" i="29"/>
  <c r="C51" i="29"/>
  <c r="D51" i="29"/>
  <c r="F51" i="29"/>
  <c r="F98" i="19"/>
  <c r="G33" i="33"/>
  <c r="C33" i="33"/>
  <c r="D33" i="33"/>
  <c r="F33" i="33"/>
  <c r="D236" i="11"/>
  <c r="D79" i="22"/>
  <c r="F101" i="18"/>
  <c r="G180" i="13"/>
  <c r="F180" i="13"/>
  <c r="G47" i="30"/>
  <c r="C47" i="30"/>
  <c r="D47" i="30"/>
  <c r="F165" i="14"/>
  <c r="H165" i="14"/>
  <c r="G217" i="25"/>
  <c r="G150" i="23"/>
  <c r="H150" i="23"/>
  <c r="C150" i="23"/>
  <c r="D150" i="23"/>
  <c r="F150" i="23"/>
  <c r="F215" i="24"/>
  <c r="G215" i="24"/>
  <c r="F216" i="24"/>
  <c r="G216" i="24"/>
  <c r="G264" i="5"/>
  <c r="G50" i="29"/>
  <c r="C50" i="29"/>
  <c r="D50" i="29"/>
  <c r="F50" i="29"/>
  <c r="F263" i="6"/>
  <c r="F264" i="4"/>
  <c r="G45" i="32"/>
  <c r="C45" i="32"/>
  <c r="D45" i="32"/>
  <c r="F45" i="32"/>
  <c r="G50" i="28"/>
  <c r="C50" i="28"/>
  <c r="D50" i="28"/>
  <c r="F50" i="28"/>
  <c r="G216" i="25"/>
  <c r="C23" i="35"/>
  <c r="D23" i="35"/>
  <c r="C24" i="35"/>
  <c r="D24" i="35"/>
  <c r="C25" i="35"/>
  <c r="D25" i="35"/>
  <c r="C26" i="35"/>
  <c r="D26" i="35"/>
  <c r="C27" i="35"/>
  <c r="D27" i="35"/>
  <c r="F100" i="18"/>
  <c r="G32" i="33"/>
  <c r="C32" i="33"/>
  <c r="D32" i="33"/>
  <c r="F32" i="33"/>
  <c r="F97" i="19"/>
  <c r="G179" i="13"/>
  <c r="F179" i="13"/>
  <c r="D235" i="11"/>
  <c r="F148" i="23"/>
  <c r="G148" i="23"/>
  <c r="H148" i="23"/>
  <c r="F149" i="23"/>
  <c r="G149" i="23"/>
  <c r="H149" i="23"/>
  <c r="C149" i="23"/>
  <c r="D149" i="23"/>
  <c r="F164" i="14"/>
  <c r="H164" i="14"/>
  <c r="G46" i="30"/>
  <c r="C46" i="30"/>
  <c r="D46" i="30"/>
  <c r="G263" i="5"/>
  <c r="D263" i="5"/>
  <c r="G49" i="29"/>
  <c r="C49" i="29"/>
  <c r="D49" i="29"/>
  <c r="F49" i="29"/>
  <c r="F263" i="4"/>
  <c r="F262" i="6"/>
  <c r="G44" i="32"/>
  <c r="C44" i="32"/>
  <c r="D44" i="32"/>
  <c r="F44" i="32"/>
  <c r="G49" i="28"/>
  <c r="C49" i="28"/>
  <c r="D49" i="28"/>
  <c r="F49" i="28"/>
  <c r="G178" i="13"/>
  <c r="F178" i="13"/>
  <c r="F99" i="18"/>
  <c r="G215" i="25"/>
  <c r="F261" i="6"/>
  <c r="G31" i="33"/>
  <c r="C31" i="33"/>
  <c r="D31" i="33"/>
  <c r="F31" i="33"/>
  <c r="D96" i="19"/>
  <c r="F96" i="19"/>
  <c r="C148" i="23"/>
  <c r="D148" i="23"/>
  <c r="G45" i="30"/>
  <c r="C45" i="30"/>
  <c r="D45" i="30"/>
  <c r="F214" i="24"/>
  <c r="G214" i="24"/>
  <c r="F163" i="14"/>
  <c r="H163" i="14"/>
  <c r="G48" i="29"/>
  <c r="C48" i="29"/>
  <c r="D48" i="29"/>
  <c r="F48" i="29"/>
  <c r="G262" i="5"/>
  <c r="F262" i="4"/>
  <c r="G43" i="32"/>
  <c r="C43" i="32"/>
  <c r="D43" i="32"/>
  <c r="F43" i="32"/>
  <c r="G48" i="28"/>
  <c r="C48" i="28"/>
  <c r="D48" i="28"/>
  <c r="F48" i="28"/>
  <c r="F95" i="19"/>
  <c r="G30" i="33"/>
  <c r="C30" i="33"/>
  <c r="D30" i="33"/>
  <c r="F30" i="33"/>
  <c r="G147" i="23"/>
  <c r="H147" i="23"/>
  <c r="C147" i="23"/>
  <c r="D147" i="23"/>
  <c r="F147" i="23"/>
  <c r="F98" i="18"/>
  <c r="G27" i="35"/>
  <c r="F27" i="35"/>
  <c r="G26" i="35"/>
  <c r="F26" i="35"/>
  <c r="G25" i="35"/>
  <c r="F25" i="35"/>
  <c r="G24" i="35"/>
  <c r="F24" i="35"/>
  <c r="G23" i="35"/>
  <c r="F23" i="35"/>
  <c r="F22" i="35"/>
  <c r="C22" i="35"/>
  <c r="D22" i="35"/>
  <c r="F21" i="35"/>
  <c r="C21" i="35"/>
  <c r="B8" i="35"/>
  <c r="G4" i="35"/>
  <c r="G214" i="25"/>
  <c r="F46" i="29"/>
  <c r="G46" i="29"/>
  <c r="F47" i="29"/>
  <c r="G47" i="29"/>
  <c r="C47" i="29"/>
  <c r="D47" i="29"/>
  <c r="G43" i="30"/>
  <c r="G44" i="30"/>
  <c r="C44" i="30"/>
  <c r="D44" i="30"/>
  <c r="F162" i="14"/>
  <c r="H162" i="14"/>
  <c r="G176" i="13"/>
  <c r="G177" i="13"/>
  <c r="F177" i="13"/>
  <c r="G261" i="5"/>
  <c r="G42" i="32"/>
  <c r="C42" i="32"/>
  <c r="D42" i="32"/>
  <c r="F42" i="32"/>
  <c r="F260" i="6"/>
  <c r="D261" i="6"/>
  <c r="G47" i="28"/>
  <c r="C47" i="28"/>
  <c r="D47" i="28"/>
  <c r="F47" i="28"/>
  <c r="F261" i="4"/>
  <c r="F212" i="24"/>
  <c r="G212" i="24"/>
  <c r="F213" i="24"/>
  <c r="G213" i="24"/>
  <c r="F176" i="13"/>
  <c r="F94" i="19"/>
  <c r="G29" i="33"/>
  <c r="C29" i="33"/>
  <c r="D29" i="33"/>
  <c r="F29" i="33"/>
  <c r="D75" i="22"/>
  <c r="F97" i="18"/>
  <c r="G146" i="23"/>
  <c r="H146" i="23"/>
  <c r="C146" i="23"/>
  <c r="D146" i="23"/>
  <c r="F146" i="23"/>
  <c r="C43" i="30"/>
  <c r="D43" i="30"/>
  <c r="F161" i="14"/>
  <c r="H161" i="14"/>
  <c r="F260" i="4"/>
  <c r="F259" i="6"/>
  <c r="G260" i="5"/>
  <c r="G213" i="25"/>
  <c r="D232" i="11"/>
  <c r="C46" i="29"/>
  <c r="D46" i="29"/>
  <c r="F211" i="24"/>
  <c r="G211" i="24"/>
  <c r="F160" i="14"/>
  <c r="H160" i="14"/>
  <c r="G41" i="32"/>
  <c r="C41" i="32"/>
  <c r="D41" i="32"/>
  <c r="F41" i="32"/>
  <c r="G46" i="28"/>
  <c r="C46" i="28"/>
  <c r="D46" i="28"/>
  <c r="F46" i="28"/>
  <c r="F96" i="18"/>
  <c r="F210" i="24"/>
  <c r="G210" i="24"/>
  <c r="G28" i="33"/>
  <c r="C28" i="33"/>
  <c r="D28" i="33"/>
  <c r="F28" i="33"/>
  <c r="F93" i="19"/>
  <c r="G145" i="23"/>
  <c r="H145" i="23"/>
  <c r="C145" i="23"/>
  <c r="D145" i="23"/>
  <c r="F145" i="23"/>
  <c r="G175" i="13"/>
  <c r="F175" i="13"/>
  <c r="F258" i="6"/>
  <c r="G45" i="28"/>
  <c r="C45" i="28"/>
  <c r="D45" i="28"/>
  <c r="F45" i="28"/>
  <c r="G45" i="29"/>
  <c r="C45" i="29"/>
  <c r="D45" i="29"/>
  <c r="F45" i="29"/>
  <c r="G42" i="30"/>
  <c r="C42" i="30"/>
  <c r="D42" i="30"/>
  <c r="F259" i="4"/>
  <c r="G258" i="5"/>
  <c r="G259" i="5"/>
  <c r="D259" i="5"/>
  <c r="G212" i="25"/>
  <c r="F40" i="32"/>
  <c r="G40" i="32"/>
  <c r="C40" i="32"/>
  <c r="D40" i="32"/>
  <c r="G174" i="13"/>
  <c r="F174" i="13"/>
  <c r="F95" i="18"/>
  <c r="G210" i="25"/>
  <c r="G211" i="25"/>
  <c r="D211" i="25"/>
  <c r="F159" i="14"/>
  <c r="H159" i="14"/>
  <c r="G144" i="23"/>
  <c r="H144" i="23"/>
  <c r="C144" i="23"/>
  <c r="D144" i="23"/>
  <c r="F144" i="23"/>
  <c r="G41" i="30"/>
  <c r="C41" i="30"/>
  <c r="D41" i="30"/>
  <c r="F258" i="4"/>
  <c r="F92" i="19"/>
  <c r="G44" i="28"/>
  <c r="C44" i="28"/>
  <c r="D44" i="28"/>
  <c r="F44" i="28"/>
  <c r="G44" i="29"/>
  <c r="C44" i="29"/>
  <c r="D44" i="29"/>
  <c r="F44" i="29"/>
  <c r="G39" i="32"/>
  <c r="C39" i="32"/>
  <c r="D39" i="32"/>
  <c r="F39" i="32"/>
  <c r="F91" i="19"/>
  <c r="F257" i="6"/>
  <c r="F94" i="18"/>
  <c r="G173" i="13"/>
  <c r="F173" i="13"/>
  <c r="F158" i="14"/>
  <c r="H158" i="14"/>
  <c r="G40" i="30"/>
  <c r="C40" i="30"/>
  <c r="D40" i="30"/>
  <c r="F256" i="6"/>
  <c r="D257" i="6"/>
  <c r="F257" i="4"/>
  <c r="G257" i="5"/>
  <c r="G142" i="23"/>
  <c r="H142" i="23"/>
  <c r="G143" i="23"/>
  <c r="H143" i="23"/>
  <c r="C143" i="23"/>
  <c r="D143" i="23"/>
  <c r="F143" i="23"/>
  <c r="G38" i="32"/>
  <c r="F208" i="24"/>
  <c r="G208" i="24"/>
  <c r="F209" i="24"/>
  <c r="G209" i="24"/>
  <c r="G209" i="25"/>
  <c r="G43" i="29"/>
  <c r="C43" i="29"/>
  <c r="D43" i="29"/>
  <c r="F43" i="29"/>
  <c r="C38" i="32"/>
  <c r="D38" i="32"/>
  <c r="F38" i="32"/>
  <c r="D71" i="22"/>
  <c r="F93" i="18"/>
  <c r="G107" i="16"/>
  <c r="D107" i="16"/>
  <c r="F107" i="16"/>
  <c r="G43" i="28"/>
  <c r="C43" i="28"/>
  <c r="D43" i="28"/>
  <c r="F43" i="28"/>
  <c r="F90" i="19"/>
  <c r="G255" i="5"/>
  <c r="G256" i="5"/>
  <c r="F157" i="14"/>
  <c r="H157" i="14"/>
  <c r="G39" i="30"/>
  <c r="C39" i="30"/>
  <c r="D39" i="30"/>
  <c r="G208" i="25"/>
  <c r="F255" i="6"/>
  <c r="G172" i="13"/>
  <c r="F172" i="13"/>
  <c r="F256" i="4"/>
  <c r="G42" i="29"/>
  <c r="C42" i="29"/>
  <c r="D42" i="29"/>
  <c r="F42" i="29"/>
  <c r="C142" i="23"/>
  <c r="D142" i="23"/>
  <c r="F142" i="23"/>
  <c r="G42" i="28"/>
  <c r="C42" i="28"/>
  <c r="D42" i="28"/>
  <c r="F42" i="28"/>
  <c r="F207" i="24"/>
  <c r="G207" i="24"/>
  <c r="D208" i="25"/>
  <c r="F156" i="14"/>
  <c r="H156" i="14"/>
  <c r="G37" i="32"/>
  <c r="C37" i="32"/>
  <c r="D37" i="32"/>
  <c r="F37" i="32"/>
  <c r="F92" i="18"/>
  <c r="G106" i="16"/>
  <c r="F106" i="16"/>
  <c r="F89" i="19"/>
  <c r="F206" i="24"/>
  <c r="G206" i="24"/>
  <c r="G38" i="30"/>
  <c r="C38" i="30"/>
  <c r="D38" i="30"/>
  <c r="G171" i="13"/>
  <c r="F171" i="13"/>
  <c r="G36" i="32"/>
  <c r="C36" i="32"/>
  <c r="D36" i="32"/>
  <c r="F36" i="32"/>
  <c r="G41" i="29"/>
  <c r="C41" i="29"/>
  <c r="D41" i="29"/>
  <c r="F41" i="29"/>
  <c r="D255" i="5"/>
  <c r="F254" i="6"/>
  <c r="G141" i="23"/>
  <c r="H141" i="23"/>
  <c r="C141" i="23"/>
  <c r="D141" i="23"/>
  <c r="F141" i="23"/>
  <c r="F255" i="4"/>
  <c r="G41" i="28"/>
  <c r="C41" i="28"/>
  <c r="D41" i="28"/>
  <c r="F41" i="28"/>
  <c r="G206" i="25"/>
  <c r="G207" i="25"/>
  <c r="F253" i="6"/>
  <c r="D88" i="19"/>
  <c r="F88" i="19"/>
  <c r="G170" i="13"/>
  <c r="F170" i="13"/>
  <c r="F252" i="4"/>
  <c r="F253" i="4"/>
  <c r="F254" i="4"/>
  <c r="F91" i="18"/>
  <c r="G105" i="16"/>
  <c r="F105" i="16"/>
  <c r="G37" i="30"/>
  <c r="C37" i="30"/>
  <c r="D37" i="30"/>
  <c r="G35" i="32"/>
  <c r="C35" i="32"/>
  <c r="D35" i="32"/>
  <c r="F35" i="32"/>
  <c r="F155" i="14"/>
  <c r="H155" i="14"/>
  <c r="G39" i="29"/>
  <c r="G40" i="29"/>
  <c r="C40" i="29"/>
  <c r="D40" i="29"/>
  <c r="F40" i="29"/>
  <c r="G140" i="23"/>
  <c r="H140" i="23"/>
  <c r="C140" i="23"/>
  <c r="D140" i="23"/>
  <c r="F140" i="23"/>
  <c r="G253" i="5"/>
  <c r="G254" i="5"/>
  <c r="G39" i="28"/>
  <c r="G40" i="28"/>
  <c r="C39" i="28"/>
  <c r="D39" i="28"/>
  <c r="C40" i="28"/>
  <c r="D40" i="28"/>
  <c r="F39" i="28"/>
  <c r="F40" i="28"/>
  <c r="F205" i="24"/>
  <c r="G205" i="24"/>
  <c r="G169" i="13"/>
  <c r="G168" i="13"/>
  <c r="F169" i="13"/>
  <c r="F90" i="18"/>
  <c r="F87" i="19"/>
  <c r="F251" i="2"/>
  <c r="G251" i="2"/>
  <c r="F252" i="2"/>
  <c r="G252" i="2"/>
  <c r="D252" i="2"/>
  <c r="G104" i="16"/>
  <c r="D104" i="16"/>
  <c r="F104" i="16"/>
  <c r="F154" i="14"/>
  <c r="H154" i="14"/>
  <c r="G36" i="30"/>
  <c r="C36" i="30"/>
  <c r="D36" i="30"/>
  <c r="C39" i="29"/>
  <c r="D39" i="29"/>
  <c r="F39" i="29"/>
  <c r="G139" i="23"/>
  <c r="H139" i="23"/>
  <c r="C139" i="23"/>
  <c r="D139" i="23"/>
  <c r="F139" i="23"/>
  <c r="G34" i="32"/>
  <c r="C34" i="32"/>
  <c r="D34" i="32"/>
  <c r="F34" i="32"/>
  <c r="G27" i="33"/>
  <c r="F27" i="33"/>
  <c r="C27" i="33"/>
  <c r="D27" i="33"/>
  <c r="G26" i="33"/>
  <c r="F26" i="33"/>
  <c r="C26" i="33"/>
  <c r="D26" i="33"/>
  <c r="G25" i="33"/>
  <c r="F25" i="33"/>
  <c r="C25" i="33"/>
  <c r="D25" i="33"/>
  <c r="G24" i="33"/>
  <c r="F24" i="33"/>
  <c r="C24" i="33"/>
  <c r="D24" i="33"/>
  <c r="G23" i="33"/>
  <c r="F23" i="33"/>
  <c r="C23" i="33"/>
  <c r="D23" i="33"/>
  <c r="G22" i="33"/>
  <c r="F22" i="33"/>
  <c r="C22" i="33"/>
  <c r="D22" i="33"/>
  <c r="F21" i="33"/>
  <c r="C21" i="33"/>
  <c r="B8" i="33"/>
  <c r="G4" i="33"/>
  <c r="F204" i="24"/>
  <c r="G204" i="24"/>
  <c r="F252" i="6"/>
  <c r="D253" i="6"/>
  <c r="F249" i="2"/>
  <c r="G249" i="2"/>
  <c r="F250" i="2"/>
  <c r="G250" i="2"/>
  <c r="F86" i="19"/>
  <c r="D224" i="11"/>
  <c r="G102" i="16"/>
  <c r="G103" i="16"/>
  <c r="D103" i="16"/>
  <c r="F102" i="16"/>
  <c r="F103" i="16"/>
  <c r="G38" i="28"/>
  <c r="C38" i="28"/>
  <c r="D38" i="28"/>
  <c r="F38" i="28"/>
  <c r="F89" i="18"/>
  <c r="D67" i="22"/>
  <c r="G35" i="30"/>
  <c r="C35" i="30"/>
  <c r="D35" i="30"/>
  <c r="F153" i="14"/>
  <c r="H153" i="14"/>
  <c r="G38" i="29"/>
  <c r="F168" i="13"/>
  <c r="F138" i="23"/>
  <c r="G138" i="23"/>
  <c r="H138" i="23"/>
  <c r="C138" i="23"/>
  <c r="D138" i="23"/>
  <c r="F203" i="24"/>
  <c r="G203" i="24"/>
  <c r="G252" i="5"/>
  <c r="G33" i="32"/>
  <c r="C33" i="32"/>
  <c r="D33" i="32"/>
  <c r="F33" i="32"/>
  <c r="C38" i="29"/>
  <c r="D38" i="29"/>
  <c r="F38" i="29"/>
  <c r="F251" i="6"/>
  <c r="G204" i="25"/>
  <c r="G205" i="25"/>
  <c r="F85" i="19"/>
  <c r="F202" i="24"/>
  <c r="G202" i="24"/>
  <c r="F88" i="18"/>
  <c r="F135" i="23"/>
  <c r="G135" i="23"/>
  <c r="H135" i="23"/>
  <c r="F136" i="23"/>
  <c r="G136" i="23"/>
  <c r="H136" i="23"/>
  <c r="F137" i="23"/>
  <c r="G137" i="23"/>
  <c r="H137" i="23"/>
  <c r="C137" i="23"/>
  <c r="D137" i="23"/>
  <c r="G33" i="30"/>
  <c r="G34" i="30"/>
  <c r="C34" i="30"/>
  <c r="D34" i="30"/>
  <c r="F152" i="14"/>
  <c r="H152" i="14"/>
  <c r="G251" i="5"/>
  <c r="D251" i="5"/>
  <c r="G37" i="29"/>
  <c r="C37" i="29"/>
  <c r="D37" i="29"/>
  <c r="F37" i="29"/>
  <c r="F251" i="4"/>
  <c r="G37" i="28"/>
  <c r="C37" i="28"/>
  <c r="D37" i="28"/>
  <c r="F37" i="28"/>
  <c r="G32" i="32"/>
  <c r="C32" i="32"/>
  <c r="D32" i="32"/>
  <c r="F32" i="32"/>
  <c r="F250" i="6"/>
  <c r="F87" i="18"/>
  <c r="C136" i="23"/>
  <c r="D136" i="23"/>
  <c r="G101" i="16"/>
  <c r="F101" i="16"/>
  <c r="F84" i="19"/>
  <c r="C33" i="30"/>
  <c r="D33" i="30"/>
  <c r="F86" i="18"/>
  <c r="G36" i="28"/>
  <c r="C36" i="28"/>
  <c r="D36" i="28"/>
  <c r="F36" i="28"/>
  <c r="G36" i="29"/>
  <c r="C36" i="29"/>
  <c r="D36" i="29"/>
  <c r="F36" i="29"/>
  <c r="G203" i="25"/>
  <c r="G249" i="5"/>
  <c r="G250" i="5"/>
  <c r="G31" i="32"/>
  <c r="C31" i="32"/>
  <c r="D31" i="32"/>
  <c r="F31" i="32"/>
  <c r="F250" i="4"/>
  <c r="F249" i="6"/>
  <c r="F201" i="24"/>
  <c r="G201" i="24"/>
  <c r="D202" i="24"/>
  <c r="F247" i="2"/>
  <c r="G247" i="2"/>
  <c r="F248" i="2"/>
  <c r="G248" i="2"/>
  <c r="D248" i="2"/>
  <c r="F83" i="19"/>
  <c r="G167" i="13"/>
  <c r="F167" i="13"/>
  <c r="G134" i="23"/>
  <c r="H134" i="23"/>
  <c r="C135" i="23"/>
  <c r="D135" i="23"/>
  <c r="F151" i="14"/>
  <c r="H151" i="14"/>
  <c r="G31" i="30"/>
  <c r="G32" i="30"/>
  <c r="C32" i="30"/>
  <c r="D32" i="30"/>
  <c r="G100" i="16"/>
  <c r="D100" i="16"/>
  <c r="F100" i="16"/>
  <c r="G202" i="25"/>
  <c r="F249" i="4"/>
  <c r="G35" i="29"/>
  <c r="C35" i="29"/>
  <c r="D35" i="29"/>
  <c r="F35" i="29"/>
  <c r="G248" i="5"/>
  <c r="F200" i="24"/>
  <c r="G200" i="24"/>
  <c r="F248" i="6"/>
  <c r="D249" i="6"/>
  <c r="G35" i="28"/>
  <c r="C35" i="28"/>
  <c r="D35" i="28"/>
  <c r="F35" i="28"/>
  <c r="G29" i="32"/>
  <c r="G30" i="32"/>
  <c r="C30" i="32"/>
  <c r="D30" i="32"/>
  <c r="F30" i="32"/>
  <c r="F246" i="2"/>
  <c r="G246" i="2"/>
  <c r="D63" i="22"/>
  <c r="F85" i="18"/>
  <c r="G99" i="16"/>
  <c r="D99" i="16"/>
  <c r="F99" i="16"/>
  <c r="C134" i="23"/>
  <c r="D134" i="23"/>
  <c r="F134" i="23"/>
  <c r="F81" i="19"/>
  <c r="F82" i="19"/>
  <c r="G29" i="30"/>
  <c r="G30" i="30"/>
  <c r="C31" i="30"/>
  <c r="D31" i="30"/>
  <c r="F150" i="14"/>
  <c r="H149" i="14"/>
  <c r="H150" i="14"/>
  <c r="G246" i="5"/>
  <c r="G247" i="5"/>
  <c r="F248" i="4"/>
  <c r="G201" i="25"/>
  <c r="G34" i="29"/>
  <c r="C34" i="29"/>
  <c r="D34" i="29"/>
  <c r="F34" i="29"/>
  <c r="C29" i="32"/>
  <c r="D29" i="32"/>
  <c r="F29" i="32"/>
  <c r="F199" i="24"/>
  <c r="G199" i="24"/>
  <c r="F247" i="6"/>
  <c r="D248" i="6"/>
  <c r="G34" i="28"/>
  <c r="C34" i="28"/>
  <c r="D34" i="28"/>
  <c r="F34" i="28"/>
  <c r="D181" i="12"/>
  <c r="G98" i="16"/>
  <c r="F98" i="16"/>
  <c r="G166" i="13"/>
  <c r="F166" i="13"/>
  <c r="F84" i="18"/>
  <c r="F33" i="29"/>
  <c r="G33" i="29"/>
  <c r="C33" i="29"/>
  <c r="D33" i="29"/>
  <c r="G133" i="23"/>
  <c r="H133" i="23"/>
  <c r="C133" i="23"/>
  <c r="D133" i="23"/>
  <c r="F133" i="23"/>
  <c r="D247" i="5"/>
  <c r="G200" i="25"/>
  <c r="F198" i="24"/>
  <c r="G198" i="24"/>
  <c r="C30" i="30"/>
  <c r="D30" i="30"/>
  <c r="F149" i="14"/>
  <c r="F246" i="6"/>
  <c r="F33" i="28"/>
  <c r="G33" i="28"/>
  <c r="C33" i="28"/>
  <c r="D33" i="28"/>
  <c r="G28" i="32"/>
  <c r="C28" i="32"/>
  <c r="D28" i="32"/>
  <c r="F28" i="32"/>
  <c r="F245" i="2"/>
  <c r="G245" i="2"/>
  <c r="G132" i="23"/>
  <c r="H132" i="23"/>
  <c r="C132" i="23"/>
  <c r="D132" i="23"/>
  <c r="F132" i="23"/>
  <c r="F80" i="19"/>
  <c r="G165" i="13"/>
  <c r="F165" i="13"/>
  <c r="F83" i="18"/>
  <c r="G97" i="16"/>
  <c r="F97" i="16"/>
  <c r="F148" i="14"/>
  <c r="H148" i="14"/>
  <c r="C29" i="30"/>
  <c r="D29" i="30"/>
  <c r="G32" i="29"/>
  <c r="C32" i="29"/>
  <c r="D32" i="29"/>
  <c r="F32" i="29"/>
  <c r="G199" i="25"/>
  <c r="D199" i="25"/>
  <c r="F246" i="4"/>
  <c r="F247" i="4"/>
  <c r="G27" i="32"/>
  <c r="C27" i="32"/>
  <c r="D27" i="32"/>
  <c r="F27" i="32"/>
  <c r="F245" i="6"/>
  <c r="G32" i="28"/>
  <c r="C32" i="28"/>
  <c r="D32" i="28"/>
  <c r="F32" i="28"/>
  <c r="F82" i="18"/>
  <c r="F79" i="19"/>
  <c r="F196" i="24"/>
  <c r="G196" i="24"/>
  <c r="F197" i="24"/>
  <c r="G197" i="24"/>
  <c r="F146" i="14"/>
  <c r="H146" i="14"/>
  <c r="F147" i="14"/>
  <c r="H147" i="14"/>
  <c r="G28" i="30"/>
  <c r="C28" i="30"/>
  <c r="D28" i="30"/>
  <c r="G96" i="16"/>
  <c r="D96" i="16"/>
  <c r="F96" i="16"/>
  <c r="F244" i="2"/>
  <c r="G244" i="2"/>
  <c r="D244" i="2"/>
  <c r="G198" i="25"/>
  <c r="G164" i="13"/>
  <c r="F164" i="13"/>
  <c r="G245" i="5"/>
  <c r="G131" i="23"/>
  <c r="H131" i="23"/>
  <c r="C131" i="23"/>
  <c r="D131" i="23"/>
  <c r="F131" i="23"/>
  <c r="G31" i="29"/>
  <c r="C31" i="29"/>
  <c r="D31" i="29"/>
  <c r="F31" i="29"/>
  <c r="G31" i="28"/>
  <c r="C31" i="28"/>
  <c r="D31" i="28"/>
  <c r="F31" i="28"/>
  <c r="G26" i="32"/>
  <c r="C26" i="32"/>
  <c r="D26" i="32"/>
  <c r="F26" i="32"/>
  <c r="F243" i="2"/>
  <c r="G243" i="2"/>
  <c r="F78" i="19"/>
  <c r="G95" i="16"/>
  <c r="D95" i="16"/>
  <c r="F95" i="16"/>
  <c r="F346" i="7"/>
  <c r="F282" i="7"/>
  <c r="F81" i="18"/>
  <c r="D59" i="22"/>
  <c r="F244" i="6"/>
  <c r="G163" i="13"/>
  <c r="F163" i="13"/>
  <c r="G27" i="30"/>
  <c r="C27" i="30"/>
  <c r="D27" i="30"/>
  <c r="G30" i="28"/>
  <c r="C30" i="28"/>
  <c r="D30" i="28"/>
  <c r="F30" i="28"/>
  <c r="G30" i="29"/>
  <c r="C30" i="29"/>
  <c r="D30" i="29"/>
  <c r="F30" i="29"/>
  <c r="G197" i="25"/>
  <c r="F245" i="4"/>
  <c r="G25" i="32"/>
  <c r="G244" i="5"/>
  <c r="G130" i="23"/>
  <c r="H130" i="23"/>
  <c r="C130" i="23"/>
  <c r="D130" i="23"/>
  <c r="F130" i="23"/>
  <c r="G94" i="16"/>
  <c r="F77" i="19"/>
  <c r="G162" i="13"/>
  <c r="G129" i="23"/>
  <c r="H129" i="23"/>
  <c r="F241" i="7"/>
  <c r="G196" i="25"/>
  <c r="F145" i="14"/>
  <c r="H145" i="14"/>
  <c r="F244" i="4"/>
  <c r="G29" i="28"/>
  <c r="G29" i="29"/>
  <c r="G26" i="30"/>
  <c r="G243" i="5"/>
  <c r="D243" i="5"/>
  <c r="F195" i="24"/>
  <c r="G195" i="24"/>
  <c r="F243" i="6"/>
  <c r="F194" i="24"/>
  <c r="G194" i="24"/>
  <c r="G161" i="13"/>
  <c r="G195" i="25"/>
  <c r="G93" i="16"/>
  <c r="F93" i="16"/>
  <c r="F94" i="16"/>
  <c r="F240" i="7"/>
  <c r="F243" i="4"/>
  <c r="G242" i="5"/>
  <c r="G128" i="23"/>
  <c r="H128" i="23"/>
  <c r="C128" i="23"/>
  <c r="D128" i="23"/>
  <c r="C129" i="23"/>
  <c r="D129" i="23"/>
  <c r="F128" i="23"/>
  <c r="F129" i="23"/>
  <c r="G27" i="29"/>
  <c r="G28" i="29"/>
  <c r="C27" i="29"/>
  <c r="D27" i="29"/>
  <c r="C28" i="29"/>
  <c r="D28" i="29"/>
  <c r="C29" i="29"/>
  <c r="D29" i="29"/>
  <c r="F27" i="29"/>
  <c r="F28" i="29"/>
  <c r="F29" i="29"/>
  <c r="F144" i="14"/>
  <c r="H144" i="14"/>
  <c r="G25" i="30"/>
  <c r="C25" i="30"/>
  <c r="D25" i="30"/>
  <c r="C26" i="30"/>
  <c r="D26" i="30"/>
  <c r="G160" i="13"/>
  <c r="F160" i="13"/>
  <c r="F161" i="13"/>
  <c r="F162" i="13"/>
  <c r="F78" i="18"/>
  <c r="F79" i="18"/>
  <c r="F80" i="18"/>
  <c r="G28" i="28"/>
  <c r="F242" i="6"/>
  <c r="C28" i="28"/>
  <c r="D28" i="28"/>
  <c r="C29" i="28"/>
  <c r="D29" i="28"/>
  <c r="F28" i="28"/>
  <c r="F29" i="28"/>
  <c r="C25" i="32"/>
  <c r="D25" i="32"/>
  <c r="F25" i="32"/>
  <c r="D76" i="19"/>
  <c r="F75" i="19"/>
  <c r="F76" i="19"/>
  <c r="F143" i="14"/>
  <c r="H143" i="14"/>
  <c r="D240" i="2"/>
  <c r="G127" i="23"/>
  <c r="H127" i="23"/>
  <c r="C127" i="23"/>
  <c r="D127" i="23"/>
  <c r="F127" i="23"/>
  <c r="G27" i="28"/>
  <c r="C27" i="28"/>
  <c r="D27" i="28"/>
  <c r="F27" i="28"/>
  <c r="G92" i="16"/>
  <c r="D92" i="16"/>
  <c r="F92" i="16"/>
  <c r="F239" i="7"/>
  <c r="G26" i="29"/>
  <c r="C26" i="29"/>
  <c r="D26" i="29"/>
  <c r="F26" i="29"/>
  <c r="G241" i="5"/>
  <c r="G194" i="25"/>
  <c r="F242" i="4"/>
  <c r="F192" i="24"/>
  <c r="G192" i="24"/>
  <c r="F193" i="24"/>
  <c r="G193" i="24"/>
  <c r="G24" i="32"/>
  <c r="F24" i="32"/>
  <c r="C24" i="32"/>
  <c r="D24" i="32"/>
  <c r="G23" i="32"/>
  <c r="F23" i="32"/>
  <c r="C23" i="32"/>
  <c r="D23" i="32"/>
  <c r="G22" i="32"/>
  <c r="F22" i="32"/>
  <c r="C22" i="32"/>
  <c r="D22" i="32"/>
  <c r="F21" i="32"/>
  <c r="C21" i="32"/>
  <c r="D21" i="32"/>
  <c r="B8" i="32"/>
  <c r="G4" i="32"/>
  <c r="F191" i="24"/>
  <c r="G191" i="24"/>
  <c r="F241" i="6"/>
  <c r="D241" i="6"/>
  <c r="D55" i="22"/>
  <c r="F77" i="18"/>
  <c r="F74" i="19"/>
  <c r="G26" i="28"/>
  <c r="C26" i="28"/>
  <c r="D26" i="28"/>
  <c r="F26" i="28"/>
  <c r="F238" i="7"/>
  <c r="G193" i="25"/>
  <c r="G91" i="16"/>
  <c r="D91" i="16"/>
  <c r="F91" i="16"/>
  <c r="G240" i="5"/>
  <c r="G24" i="29"/>
  <c r="G25" i="29"/>
  <c r="C25" i="29"/>
  <c r="D25" i="29"/>
  <c r="F25" i="29"/>
  <c r="F241" i="4"/>
  <c r="G159" i="13"/>
  <c r="F159" i="13"/>
  <c r="F142" i="14"/>
  <c r="H142" i="14"/>
  <c r="D211" i="11"/>
  <c r="F239" i="6"/>
  <c r="F240" i="6"/>
  <c r="G126" i="23"/>
  <c r="H126" i="23"/>
  <c r="C126" i="23"/>
  <c r="D126" i="23"/>
  <c r="F126" i="23"/>
  <c r="G24" i="30"/>
  <c r="C24" i="30"/>
  <c r="D24" i="30"/>
  <c r="G23" i="30"/>
  <c r="C23" i="30"/>
  <c r="D23" i="30"/>
  <c r="G22" i="30"/>
  <c r="C22" i="30"/>
  <c r="D22" i="30"/>
  <c r="C21" i="30"/>
  <c r="B8" i="30"/>
  <c r="G4" i="30"/>
  <c r="G158" i="13"/>
  <c r="F158" i="13"/>
  <c r="F73" i="19"/>
  <c r="F76" i="18"/>
  <c r="F239" i="4"/>
  <c r="F240" i="4"/>
  <c r="G125" i="23"/>
  <c r="H125" i="23"/>
  <c r="C125" i="23"/>
  <c r="D125" i="23"/>
  <c r="F125" i="23"/>
  <c r="F237" i="7"/>
  <c r="F140" i="14"/>
  <c r="H140" i="14"/>
  <c r="F141" i="14"/>
  <c r="H141" i="14"/>
  <c r="G25" i="28"/>
  <c r="C25" i="28"/>
  <c r="D25" i="28"/>
  <c r="F25" i="28"/>
  <c r="G90" i="16"/>
  <c r="F90" i="16"/>
  <c r="F190" i="24"/>
  <c r="G190" i="24"/>
  <c r="G239" i="5"/>
  <c r="D239" i="5"/>
  <c r="G192" i="25"/>
  <c r="F189" i="24"/>
  <c r="G189" i="24"/>
  <c r="F75" i="18"/>
  <c r="F72" i="19"/>
  <c r="F237" i="6"/>
  <c r="F238" i="6"/>
  <c r="G124" i="23"/>
  <c r="H124" i="23"/>
  <c r="C124" i="23"/>
  <c r="D124" i="23"/>
  <c r="F124" i="23"/>
  <c r="F157" i="13"/>
  <c r="G157" i="13"/>
  <c r="F236" i="7"/>
  <c r="F139" i="14"/>
  <c r="H139" i="14"/>
  <c r="G89" i="16"/>
  <c r="F89" i="16"/>
  <c r="G191" i="25"/>
  <c r="G23" i="29"/>
  <c r="F238" i="4"/>
  <c r="G238" i="5"/>
  <c r="F71" i="19"/>
  <c r="G24" i="28"/>
  <c r="G88" i="16"/>
  <c r="D88" i="16"/>
  <c r="F88" i="16"/>
  <c r="D236" i="2"/>
  <c r="F74" i="18"/>
  <c r="G22" i="29"/>
  <c r="G23" i="28"/>
  <c r="G22" i="28"/>
  <c r="F234" i="7"/>
  <c r="F235" i="7"/>
  <c r="F24" i="29"/>
  <c r="C24" i="29"/>
  <c r="D24" i="29"/>
  <c r="F23" i="29"/>
  <c r="C23" i="29"/>
  <c r="D23" i="29"/>
  <c r="F22" i="29"/>
  <c r="C22" i="29"/>
  <c r="D22" i="29"/>
  <c r="F21" i="29"/>
  <c r="C21" i="29"/>
  <c r="B8" i="29"/>
  <c r="G4" i="29"/>
  <c r="F24" i="28"/>
  <c r="C24" i="28"/>
  <c r="D24" i="28"/>
  <c r="F23" i="28"/>
  <c r="C23" i="28"/>
  <c r="D23" i="28"/>
  <c r="F22" i="28"/>
  <c r="C22" i="28"/>
  <c r="D22" i="28"/>
  <c r="F21" i="28"/>
  <c r="C21" i="28"/>
  <c r="B8" i="28"/>
  <c r="G4" i="28"/>
  <c r="G156" i="13"/>
  <c r="F156" i="13"/>
  <c r="G122" i="23"/>
  <c r="H122" i="23"/>
  <c r="G123" i="23"/>
  <c r="H123" i="23"/>
  <c r="C123" i="23"/>
  <c r="D123" i="23"/>
  <c r="F123" i="23"/>
  <c r="C122" i="23"/>
  <c r="D122" i="23"/>
  <c r="F122" i="23"/>
  <c r="G190" i="25"/>
  <c r="G237" i="5"/>
  <c r="F188" i="24"/>
  <c r="G188" i="24"/>
  <c r="F235" i="6"/>
  <c r="F236" i="6"/>
  <c r="F70" i="19"/>
  <c r="D87" i="16"/>
  <c r="F87" i="16"/>
  <c r="D51" i="22"/>
  <c r="F73" i="18"/>
  <c r="F137" i="14"/>
  <c r="H137" i="14"/>
  <c r="F138" i="14"/>
  <c r="H138" i="14"/>
  <c r="G155" i="13"/>
  <c r="F155" i="13"/>
  <c r="G189" i="25"/>
  <c r="F236" i="4"/>
  <c r="F237" i="4"/>
  <c r="G236" i="5"/>
  <c r="F72" i="18"/>
  <c r="G154" i="13"/>
  <c r="F154" i="13"/>
  <c r="G121" i="23"/>
  <c r="H121" i="23"/>
  <c r="C121" i="23"/>
  <c r="D121" i="23"/>
  <c r="F121" i="23"/>
  <c r="G188" i="25"/>
  <c r="F69" i="19"/>
  <c r="F233" i="7"/>
  <c r="F86" i="16"/>
  <c r="G235" i="5"/>
  <c r="D235" i="5"/>
  <c r="F136" i="14"/>
  <c r="H136" i="14"/>
  <c r="F186" i="24"/>
  <c r="G186" i="24"/>
  <c r="F187" i="24"/>
  <c r="G187" i="24"/>
  <c r="F233" i="6"/>
  <c r="F234" i="6"/>
  <c r="D68" i="19"/>
  <c r="F68" i="19"/>
  <c r="G153" i="13"/>
  <c r="F153" i="13"/>
  <c r="F71" i="18"/>
  <c r="G120" i="23"/>
  <c r="H120" i="23"/>
  <c r="C120" i="23"/>
  <c r="D120" i="23"/>
  <c r="F120" i="23"/>
  <c r="G187" i="25"/>
  <c r="F235" i="4"/>
  <c r="F231" i="7"/>
  <c r="F232" i="7"/>
  <c r="F85" i="16"/>
  <c r="G234" i="5"/>
  <c r="G152" i="13"/>
  <c r="F152" i="13"/>
  <c r="F70" i="18"/>
  <c r="F67" i="19"/>
  <c r="D232" i="2"/>
  <c r="D84" i="16"/>
  <c r="F84" i="16"/>
  <c r="F230" i="7"/>
  <c r="F135" i="14"/>
  <c r="H135" i="14"/>
  <c r="F234" i="4"/>
  <c r="G233" i="5"/>
  <c r="G186" i="25"/>
  <c r="G119" i="23"/>
  <c r="H119" i="23"/>
  <c r="C119" i="23"/>
  <c r="D119" i="23"/>
  <c r="F119" i="23"/>
  <c r="F184" i="24"/>
  <c r="G184" i="24"/>
  <c r="F185" i="24"/>
  <c r="G185" i="24"/>
  <c r="G151" i="13"/>
  <c r="D151" i="13"/>
  <c r="F151" i="13"/>
  <c r="G185" i="25"/>
  <c r="G118" i="23"/>
  <c r="H118" i="23"/>
  <c r="C118" i="23"/>
  <c r="D118" i="23"/>
  <c r="F118" i="23"/>
  <c r="D47" i="22"/>
  <c r="D69" i="18"/>
  <c r="F69" i="18"/>
  <c r="D204" i="11"/>
  <c r="F66" i="19"/>
  <c r="F134" i="14"/>
  <c r="H134" i="14"/>
  <c r="F233" i="4"/>
  <c r="G150" i="13"/>
  <c r="F150" i="13"/>
  <c r="F232" i="6"/>
  <c r="G232" i="5"/>
  <c r="F65" i="19"/>
  <c r="F68" i="18"/>
  <c r="D83" i="16"/>
  <c r="F83" i="16"/>
  <c r="F82" i="16"/>
  <c r="F229" i="7"/>
  <c r="G184" i="25"/>
  <c r="F232" i="4"/>
  <c r="F133" i="14"/>
  <c r="H133" i="14"/>
  <c r="G117" i="23"/>
  <c r="H117" i="23"/>
  <c r="C117" i="23"/>
  <c r="D117" i="23"/>
  <c r="F117" i="23"/>
  <c r="G231" i="5"/>
  <c r="D231" i="5"/>
  <c r="F183" i="24"/>
  <c r="G183" i="24"/>
  <c r="F231" i="6"/>
  <c r="F67" i="18"/>
  <c r="F81" i="16"/>
  <c r="F64" i="19"/>
  <c r="F132" i="14"/>
  <c r="H132" i="14"/>
  <c r="G116" i="23"/>
  <c r="H116" i="23"/>
  <c r="C116" i="23"/>
  <c r="D116" i="23"/>
  <c r="F116" i="23"/>
  <c r="G149" i="13"/>
  <c r="F149" i="13"/>
  <c r="F231" i="4"/>
  <c r="F228" i="7"/>
  <c r="G183" i="25"/>
  <c r="F182" i="24"/>
  <c r="G182" i="24"/>
  <c r="G230" i="5"/>
  <c r="F230" i="6"/>
  <c r="F63" i="19"/>
  <c r="F130" i="14"/>
  <c r="H130" i="14"/>
  <c r="F131" i="14"/>
  <c r="H131" i="14"/>
  <c r="G229" i="5"/>
  <c r="G182" i="25"/>
  <c r="G114" i="23"/>
  <c r="H114" i="23"/>
  <c r="G115" i="23"/>
  <c r="H115" i="23"/>
  <c r="G146" i="13"/>
  <c r="G147" i="13"/>
  <c r="G148" i="13"/>
  <c r="F146" i="13"/>
  <c r="F147" i="13"/>
  <c r="F148" i="13"/>
  <c r="F230" i="4"/>
  <c r="F181" i="24"/>
  <c r="G181" i="24"/>
  <c r="F66" i="18"/>
  <c r="G181" i="25"/>
  <c r="F228" i="4"/>
  <c r="F229" i="4"/>
  <c r="G228" i="5"/>
  <c r="F180" i="24"/>
  <c r="G180" i="24"/>
  <c r="D200" i="11"/>
  <c r="F64" i="18"/>
  <c r="F65" i="18"/>
  <c r="F229" i="6"/>
  <c r="F227" i="7"/>
  <c r="D78" i="16"/>
  <c r="D79" i="16"/>
  <c r="D80" i="16"/>
  <c r="F78" i="16"/>
  <c r="F79" i="16"/>
  <c r="F80" i="16"/>
  <c r="F225" i="7"/>
  <c r="F226" i="7"/>
  <c r="D43" i="22"/>
  <c r="D228" i="2"/>
  <c r="F227" i="6"/>
  <c r="F228" i="6"/>
  <c r="F61" i="19"/>
  <c r="F62" i="19"/>
  <c r="G180" i="25"/>
  <c r="D180" i="25"/>
  <c r="G113" i="23"/>
  <c r="H113" i="23"/>
  <c r="C113" i="23"/>
  <c r="D113" i="23"/>
  <c r="C114" i="23"/>
  <c r="D114" i="23"/>
  <c r="C115" i="23"/>
  <c r="D115" i="23"/>
  <c r="F113" i="23"/>
  <c r="F114" i="23"/>
  <c r="F115" i="23"/>
  <c r="F129" i="14"/>
  <c r="H129" i="14"/>
  <c r="G227" i="5"/>
  <c r="D227" i="5"/>
  <c r="F179" i="24"/>
  <c r="G179" i="24"/>
  <c r="F63" i="18"/>
  <c r="G145" i="13"/>
  <c r="F145" i="13"/>
  <c r="G179" i="25"/>
  <c r="G112" i="23"/>
  <c r="H112" i="23"/>
  <c r="C112" i="23"/>
  <c r="D112" i="23"/>
  <c r="F112" i="23"/>
  <c r="F224" i="7"/>
  <c r="F77" i="16"/>
  <c r="D60" i="19"/>
  <c r="F60" i="19"/>
  <c r="G174" i="26"/>
  <c r="C174" i="26"/>
  <c r="D174" i="26"/>
  <c r="F174" i="26"/>
  <c r="F128" i="14"/>
  <c r="H128" i="14"/>
  <c r="F226" i="6"/>
  <c r="G226" i="5"/>
  <c r="F178" i="24"/>
  <c r="G178" i="24"/>
  <c r="F227" i="4"/>
  <c r="F223" i="7"/>
  <c r="F62" i="18"/>
  <c r="G144" i="13"/>
  <c r="F144" i="13"/>
  <c r="F127" i="14"/>
  <c r="H127" i="14"/>
  <c r="G178" i="25"/>
  <c r="G111" i="23"/>
  <c r="H111" i="23"/>
  <c r="C111" i="23"/>
  <c r="D111" i="23"/>
  <c r="F111" i="23"/>
  <c r="F177" i="24"/>
  <c r="G177" i="24"/>
  <c r="F225" i="6"/>
  <c r="G225" i="5"/>
  <c r="G173" i="26"/>
  <c r="C173" i="26"/>
  <c r="D173" i="26"/>
  <c r="F173" i="26"/>
  <c r="F59" i="19"/>
  <c r="F58" i="19"/>
  <c r="D76" i="16"/>
  <c r="F76" i="16"/>
  <c r="D75" i="16"/>
  <c r="F75" i="16"/>
  <c r="D196" i="11"/>
  <c r="D224" i="2"/>
  <c r="F226" i="4"/>
  <c r="D39" i="22"/>
  <c r="F61" i="18"/>
  <c r="F225" i="4"/>
  <c r="G143" i="13"/>
  <c r="F143" i="13"/>
  <c r="F222" i="7"/>
  <c r="G172" i="26"/>
  <c r="C172" i="26"/>
  <c r="D172" i="26"/>
  <c r="F172" i="26"/>
  <c r="F126" i="14"/>
  <c r="F125" i="14"/>
  <c r="H126" i="14"/>
  <c r="G110" i="23"/>
  <c r="H110" i="23"/>
  <c r="C110" i="23"/>
  <c r="D110" i="23"/>
  <c r="F110" i="23"/>
  <c r="F176" i="24"/>
  <c r="G176" i="24"/>
  <c r="G224" i="5"/>
  <c r="F60" i="18"/>
  <c r="H125" i="14"/>
  <c r="G177" i="25"/>
  <c r="G142" i="13"/>
  <c r="F142" i="13"/>
  <c r="F57" i="19"/>
  <c r="F224" i="6"/>
  <c r="F221" i="7"/>
  <c r="G176" i="25"/>
  <c r="G109" i="23"/>
  <c r="H109" i="23"/>
  <c r="C109" i="23"/>
  <c r="D109" i="23"/>
  <c r="F109" i="23"/>
  <c r="F224" i="4"/>
  <c r="F74" i="16"/>
  <c r="G171" i="26"/>
  <c r="C171" i="26"/>
  <c r="D171" i="26"/>
  <c r="F171" i="26"/>
  <c r="F175" i="24"/>
  <c r="G175" i="24"/>
  <c r="G223" i="5"/>
  <c r="D223" i="5"/>
  <c r="F223" i="6"/>
  <c r="F59" i="18"/>
  <c r="G141" i="13"/>
  <c r="D141" i="13"/>
  <c r="F141" i="13"/>
  <c r="G175" i="25"/>
  <c r="G108" i="23"/>
  <c r="H108" i="23"/>
  <c r="C108" i="23"/>
  <c r="D108" i="23"/>
  <c r="F108" i="23"/>
  <c r="G170" i="26"/>
  <c r="C170" i="26"/>
  <c r="D170" i="26"/>
  <c r="F170" i="26"/>
  <c r="F56" i="19"/>
  <c r="F223" i="4"/>
  <c r="F220" i="7"/>
  <c r="F73" i="16"/>
  <c r="H124" i="14"/>
  <c r="F124" i="14"/>
  <c r="F58" i="18"/>
  <c r="F173" i="24"/>
  <c r="G173" i="24"/>
  <c r="F174" i="24"/>
  <c r="G174" i="24"/>
  <c r="G140" i="13"/>
  <c r="F140" i="13"/>
  <c r="F222" i="4"/>
  <c r="D222" i="4"/>
  <c r="F55" i="19"/>
  <c r="G222" i="5"/>
  <c r="F222" i="6"/>
  <c r="D220" i="2"/>
  <c r="F218" i="7"/>
  <c r="F219" i="7"/>
  <c r="G174" i="25"/>
  <c r="H123" i="14"/>
  <c r="F123" i="14"/>
  <c r="G107" i="23"/>
  <c r="H107" i="23"/>
  <c r="C107" i="23"/>
  <c r="D107" i="23"/>
  <c r="F107" i="23"/>
  <c r="G169" i="26"/>
  <c r="C169" i="26"/>
  <c r="D169" i="26"/>
  <c r="F169" i="26"/>
  <c r="D72" i="16"/>
  <c r="F72" i="16"/>
  <c r="G221" i="5"/>
  <c r="F221" i="6"/>
  <c r="D192" i="11"/>
  <c r="F57" i="18"/>
  <c r="D35" i="22"/>
  <c r="G139" i="13"/>
  <c r="F139" i="13"/>
  <c r="D221" i="6"/>
  <c r="F220" i="6"/>
  <c r="F54" i="19"/>
  <c r="G106" i="23"/>
  <c r="H106" i="23"/>
  <c r="C106" i="23"/>
  <c r="D106" i="23"/>
  <c r="F106" i="23"/>
  <c r="G173" i="25"/>
  <c r="G220" i="5"/>
  <c r="F221" i="4"/>
  <c r="G168" i="26"/>
  <c r="C168" i="26"/>
  <c r="D168" i="26"/>
  <c r="F168" i="26"/>
  <c r="H122" i="14"/>
  <c r="F122" i="14"/>
  <c r="D71" i="16"/>
  <c r="F71" i="16"/>
  <c r="F172" i="24"/>
  <c r="G172" i="24"/>
  <c r="F56" i="18"/>
  <c r="F70" i="16"/>
  <c r="F53" i="19"/>
  <c r="G105" i="23"/>
  <c r="H105" i="23"/>
  <c r="C105" i="23"/>
  <c r="D105" i="23"/>
  <c r="F105" i="23"/>
  <c r="G167" i="26"/>
  <c r="C167" i="26"/>
  <c r="D167" i="26"/>
  <c r="F167" i="26"/>
  <c r="G172" i="25"/>
  <c r="F217" i="7"/>
  <c r="F220" i="4"/>
  <c r="H121" i="14"/>
  <c r="F121" i="14"/>
  <c r="G219" i="5"/>
  <c r="D219" i="5"/>
  <c r="G138" i="13"/>
  <c r="F138" i="13"/>
  <c r="F219" i="6"/>
  <c r="F171" i="24"/>
  <c r="G171" i="24"/>
  <c r="F216" i="7"/>
  <c r="G137" i="13"/>
  <c r="F137" i="13"/>
  <c r="F69" i="16"/>
  <c r="G166" i="26"/>
  <c r="C166" i="26"/>
  <c r="D166" i="26"/>
  <c r="F166" i="26"/>
  <c r="G104" i="23"/>
  <c r="H104" i="23"/>
  <c r="C104" i="23"/>
  <c r="D104" i="23"/>
  <c r="F104" i="23"/>
  <c r="F219" i="4"/>
  <c r="G171" i="25"/>
  <c r="D171" i="25"/>
  <c r="G218" i="5"/>
  <c r="F218" i="6"/>
  <c r="H120" i="14"/>
  <c r="F120" i="14"/>
  <c r="D52" i="19"/>
  <c r="F52" i="19"/>
  <c r="F55" i="18"/>
  <c r="F170" i="24"/>
  <c r="G170" i="24"/>
  <c r="F54" i="18"/>
  <c r="G103" i="23"/>
  <c r="H103" i="23"/>
  <c r="C103" i="23"/>
  <c r="D103" i="23"/>
  <c r="F103" i="23"/>
  <c r="G170" i="25"/>
  <c r="F218" i="4"/>
  <c r="F217" i="6"/>
  <c r="F215" i="7"/>
  <c r="G165" i="26"/>
  <c r="F165" i="26"/>
  <c r="C165" i="26"/>
  <c r="D165" i="26"/>
  <c r="G164" i="26"/>
  <c r="F164" i="26"/>
  <c r="C164" i="26"/>
  <c r="D164" i="26"/>
  <c r="G163" i="26"/>
  <c r="F163" i="26"/>
  <c r="C163" i="26"/>
  <c r="D163" i="26"/>
  <c r="G162" i="26"/>
  <c r="F162" i="26"/>
  <c r="C162" i="26"/>
  <c r="D162" i="26"/>
  <c r="G161" i="26"/>
  <c r="F161" i="26"/>
  <c r="C161" i="26"/>
  <c r="D161" i="26"/>
  <c r="G160" i="26"/>
  <c r="F160" i="26"/>
  <c r="C160" i="26"/>
  <c r="D160" i="26"/>
  <c r="G159" i="26"/>
  <c r="F159" i="26"/>
  <c r="C159" i="26"/>
  <c r="D159" i="26"/>
  <c r="G158" i="26"/>
  <c r="F158" i="26"/>
  <c r="C158" i="26"/>
  <c r="D158" i="26"/>
  <c r="G157" i="26"/>
  <c r="F157" i="26"/>
  <c r="C157" i="26"/>
  <c r="D157" i="26"/>
  <c r="G156" i="26"/>
  <c r="F156" i="26"/>
  <c r="C156" i="26"/>
  <c r="D156" i="26"/>
  <c r="G155" i="26"/>
  <c r="F155" i="26"/>
  <c r="C155" i="26"/>
  <c r="D155" i="26"/>
  <c r="G154" i="26"/>
  <c r="F154" i="26"/>
  <c r="C154" i="26"/>
  <c r="D154" i="26"/>
  <c r="G153" i="26"/>
  <c r="F153" i="26"/>
  <c r="C153" i="26"/>
  <c r="D153" i="26"/>
  <c r="G152" i="26"/>
  <c r="F152" i="26"/>
  <c r="C152" i="26"/>
  <c r="D152" i="26"/>
  <c r="G151" i="26"/>
  <c r="F151" i="26"/>
  <c r="C151" i="26"/>
  <c r="D151" i="26"/>
  <c r="G150" i="26"/>
  <c r="F150" i="26"/>
  <c r="C150" i="26"/>
  <c r="D150" i="26"/>
  <c r="G149" i="26"/>
  <c r="F149" i="26"/>
  <c r="C149" i="26"/>
  <c r="D149" i="26"/>
  <c r="G148" i="26"/>
  <c r="F148" i="26"/>
  <c r="C148" i="26"/>
  <c r="D148" i="26"/>
  <c r="G147" i="26"/>
  <c r="F147" i="26"/>
  <c r="C147" i="26"/>
  <c r="D147" i="26"/>
  <c r="G146" i="26"/>
  <c r="F146" i="26"/>
  <c r="C146" i="26"/>
  <c r="D146" i="26"/>
  <c r="G145" i="26"/>
  <c r="F145" i="26"/>
  <c r="C145" i="26"/>
  <c r="D145" i="26"/>
  <c r="G144" i="26"/>
  <c r="F144" i="26"/>
  <c r="C144" i="26"/>
  <c r="D144" i="26"/>
  <c r="G143" i="26"/>
  <c r="F143" i="26"/>
  <c r="C143" i="26"/>
  <c r="D143" i="26"/>
  <c r="G142" i="26"/>
  <c r="F142" i="26"/>
  <c r="C142" i="26"/>
  <c r="D142" i="26"/>
  <c r="G141" i="26"/>
  <c r="F141" i="26"/>
  <c r="C141" i="26"/>
  <c r="D141" i="26"/>
  <c r="G140" i="26"/>
  <c r="F140" i="26"/>
  <c r="C140" i="26"/>
  <c r="D140" i="26"/>
  <c r="G139" i="26"/>
  <c r="F139" i="26"/>
  <c r="C139" i="26"/>
  <c r="D139" i="26"/>
  <c r="G138" i="26"/>
  <c r="F138" i="26"/>
  <c r="C138" i="26"/>
  <c r="D138" i="26"/>
  <c r="G137" i="26"/>
  <c r="F137" i="26"/>
  <c r="C137" i="26"/>
  <c r="D137" i="26"/>
  <c r="G136" i="26"/>
  <c r="F136" i="26"/>
  <c r="C136" i="26"/>
  <c r="D136" i="26"/>
  <c r="G135" i="26"/>
  <c r="F135" i="26"/>
  <c r="C135" i="26"/>
  <c r="D135" i="26"/>
  <c r="G134" i="26"/>
  <c r="F134" i="26"/>
  <c r="C134" i="26"/>
  <c r="D134" i="26"/>
  <c r="G133" i="26"/>
  <c r="F133" i="26"/>
  <c r="C133" i="26"/>
  <c r="D133" i="26"/>
  <c r="G132" i="26"/>
  <c r="F132" i="26"/>
  <c r="C132" i="26"/>
  <c r="D132" i="26"/>
  <c r="G131" i="26"/>
  <c r="F131" i="26"/>
  <c r="C131" i="26"/>
  <c r="D131" i="26"/>
  <c r="G130" i="26"/>
  <c r="F130" i="26"/>
  <c r="C130" i="26"/>
  <c r="D130" i="26"/>
  <c r="G129" i="26"/>
  <c r="F129" i="26"/>
  <c r="C129" i="26"/>
  <c r="D129" i="26"/>
  <c r="G128" i="26"/>
  <c r="F128" i="26"/>
  <c r="C128" i="26"/>
  <c r="D128" i="26"/>
  <c r="G127" i="26"/>
  <c r="F127" i="26"/>
  <c r="C127" i="26"/>
  <c r="D127" i="26"/>
  <c r="G126" i="26"/>
  <c r="F126" i="26"/>
  <c r="C126" i="26"/>
  <c r="D126" i="26"/>
  <c r="G125" i="26"/>
  <c r="F125" i="26"/>
  <c r="C125" i="26"/>
  <c r="D125" i="26"/>
  <c r="G124" i="26"/>
  <c r="F124" i="26"/>
  <c r="C124" i="26"/>
  <c r="D124" i="26"/>
  <c r="G123" i="26"/>
  <c r="F123" i="26"/>
  <c r="C123" i="26"/>
  <c r="D123" i="26"/>
  <c r="G122" i="26"/>
  <c r="F122" i="26"/>
  <c r="C122" i="26"/>
  <c r="D122" i="26"/>
  <c r="G121" i="26"/>
  <c r="F121" i="26"/>
  <c r="C121" i="26"/>
  <c r="D121" i="26"/>
  <c r="G120" i="26"/>
  <c r="F120" i="26"/>
  <c r="C120" i="26"/>
  <c r="D120" i="26"/>
  <c r="G119" i="26"/>
  <c r="F119" i="26"/>
  <c r="C119" i="26"/>
  <c r="D119" i="26"/>
  <c r="G118" i="26"/>
  <c r="F118" i="26"/>
  <c r="C118" i="26"/>
  <c r="D118" i="26"/>
  <c r="G117" i="26"/>
  <c r="F117" i="26"/>
  <c r="C117" i="26"/>
  <c r="D117" i="26"/>
  <c r="G116" i="26"/>
  <c r="F116" i="26"/>
  <c r="C116" i="26"/>
  <c r="D116" i="26"/>
  <c r="G115" i="26"/>
  <c r="F115" i="26"/>
  <c r="C115" i="26"/>
  <c r="D115" i="26"/>
  <c r="G114" i="26"/>
  <c r="F114" i="26"/>
  <c r="C114" i="26"/>
  <c r="D114" i="26"/>
  <c r="G113" i="26"/>
  <c r="F113" i="26"/>
  <c r="C113" i="26"/>
  <c r="D113" i="26"/>
  <c r="G112" i="26"/>
  <c r="F112" i="26"/>
  <c r="C112" i="26"/>
  <c r="D112" i="26"/>
  <c r="G111" i="26"/>
  <c r="F111" i="26"/>
  <c r="C111" i="26"/>
  <c r="D111" i="26"/>
  <c r="G110" i="26"/>
  <c r="F110" i="26"/>
  <c r="C110" i="26"/>
  <c r="D110" i="26"/>
  <c r="G109" i="26"/>
  <c r="F109" i="26"/>
  <c r="C109" i="26"/>
  <c r="D109" i="26"/>
  <c r="G108" i="26"/>
  <c r="F108" i="26"/>
  <c r="C108" i="26"/>
  <c r="D108" i="26"/>
  <c r="G107" i="26"/>
  <c r="F107" i="26"/>
  <c r="C107" i="26"/>
  <c r="D107" i="26"/>
  <c r="G106" i="26"/>
  <c r="F106" i="26"/>
  <c r="C106" i="26"/>
  <c r="D106" i="26"/>
  <c r="G105" i="26"/>
  <c r="F105" i="26"/>
  <c r="C105" i="26"/>
  <c r="D105" i="26"/>
  <c r="G104" i="26"/>
  <c r="F104" i="26"/>
  <c r="C104" i="26"/>
  <c r="D104" i="26"/>
  <c r="G103" i="26"/>
  <c r="F103" i="26"/>
  <c r="C103" i="26"/>
  <c r="D103" i="26"/>
  <c r="G102" i="26"/>
  <c r="F102" i="26"/>
  <c r="C102" i="26"/>
  <c r="D102" i="26"/>
  <c r="G101" i="26"/>
  <c r="F101" i="26"/>
  <c r="C101" i="26"/>
  <c r="D101" i="26"/>
  <c r="G100" i="26"/>
  <c r="F100" i="26"/>
  <c r="C100" i="26"/>
  <c r="D100" i="26"/>
  <c r="G99" i="26"/>
  <c r="F99" i="26"/>
  <c r="C99" i="26"/>
  <c r="D99" i="26"/>
  <c r="G98" i="26"/>
  <c r="F98" i="26"/>
  <c r="C98" i="26"/>
  <c r="D98" i="26"/>
  <c r="G97" i="26"/>
  <c r="F97" i="26"/>
  <c r="C97" i="26"/>
  <c r="D97" i="26"/>
  <c r="G96" i="26"/>
  <c r="F96" i="26"/>
  <c r="C96" i="26"/>
  <c r="D96" i="26"/>
  <c r="G95" i="26"/>
  <c r="F95" i="26"/>
  <c r="C95" i="26"/>
  <c r="D95" i="26"/>
  <c r="G94" i="26"/>
  <c r="F94" i="26"/>
  <c r="C94" i="26"/>
  <c r="D94" i="26"/>
  <c r="G93" i="26"/>
  <c r="F93" i="26"/>
  <c r="C93" i="26"/>
  <c r="D93" i="26"/>
  <c r="G92" i="26"/>
  <c r="F92" i="26"/>
  <c r="C92" i="26"/>
  <c r="D92" i="26"/>
  <c r="G91" i="26"/>
  <c r="F91" i="26"/>
  <c r="C91" i="26"/>
  <c r="D91" i="26"/>
  <c r="G90" i="26"/>
  <c r="F90" i="26"/>
  <c r="C90" i="26"/>
  <c r="D90" i="26"/>
  <c r="G89" i="26"/>
  <c r="F89" i="26"/>
  <c r="C89" i="26"/>
  <c r="D89" i="26"/>
  <c r="G88" i="26"/>
  <c r="F88" i="26"/>
  <c r="C88" i="26"/>
  <c r="D88" i="26"/>
  <c r="G87" i="26"/>
  <c r="F87" i="26"/>
  <c r="C87" i="26"/>
  <c r="D87" i="26"/>
  <c r="G86" i="26"/>
  <c r="F86" i="26"/>
  <c r="C86" i="26"/>
  <c r="D86" i="26"/>
  <c r="G85" i="26"/>
  <c r="F85" i="26"/>
  <c r="C85" i="26"/>
  <c r="D85" i="26"/>
  <c r="G84" i="26"/>
  <c r="F84" i="26"/>
  <c r="C84" i="26"/>
  <c r="D84" i="26"/>
  <c r="G83" i="26"/>
  <c r="F83" i="26"/>
  <c r="C83" i="26"/>
  <c r="D83" i="26"/>
  <c r="G82" i="26"/>
  <c r="F82" i="26"/>
  <c r="C82" i="26"/>
  <c r="D82" i="26"/>
  <c r="G81" i="26"/>
  <c r="F81" i="26"/>
  <c r="C81" i="26"/>
  <c r="D81" i="26"/>
  <c r="G80" i="26"/>
  <c r="F80" i="26"/>
  <c r="C80" i="26"/>
  <c r="D80" i="26"/>
  <c r="G79" i="26"/>
  <c r="F79" i="26"/>
  <c r="C79" i="26"/>
  <c r="D79" i="26"/>
  <c r="G78" i="26"/>
  <c r="F78" i="26"/>
  <c r="C78" i="26"/>
  <c r="D78" i="26"/>
  <c r="G77" i="26"/>
  <c r="F77" i="26"/>
  <c r="C77" i="26"/>
  <c r="D77" i="26"/>
  <c r="G76" i="26"/>
  <c r="F76" i="26"/>
  <c r="C76" i="26"/>
  <c r="D76" i="26"/>
  <c r="G75" i="26"/>
  <c r="F75" i="26"/>
  <c r="C75" i="26"/>
  <c r="D75" i="26"/>
  <c r="G74" i="26"/>
  <c r="F74" i="26"/>
  <c r="C74" i="26"/>
  <c r="D74" i="26"/>
  <c r="G73" i="26"/>
  <c r="F73" i="26"/>
  <c r="C73" i="26"/>
  <c r="D73" i="26"/>
  <c r="G72" i="26"/>
  <c r="F72" i="26"/>
  <c r="C72" i="26"/>
  <c r="D72" i="26"/>
  <c r="G71" i="26"/>
  <c r="F71" i="26"/>
  <c r="C71" i="26"/>
  <c r="D71" i="26"/>
  <c r="G70" i="26"/>
  <c r="F70" i="26"/>
  <c r="C70" i="26"/>
  <c r="D70" i="26"/>
  <c r="G69" i="26"/>
  <c r="F69" i="26"/>
  <c r="C69" i="26"/>
  <c r="D69" i="26"/>
  <c r="G68" i="26"/>
  <c r="F68" i="26"/>
  <c r="C68" i="26"/>
  <c r="D68" i="26"/>
  <c r="G67" i="26"/>
  <c r="F67" i="26"/>
  <c r="C67" i="26"/>
  <c r="D67" i="26"/>
  <c r="G66" i="26"/>
  <c r="F66" i="26"/>
  <c r="C66" i="26"/>
  <c r="D66" i="26"/>
  <c r="G65" i="26"/>
  <c r="F65" i="26"/>
  <c r="C65" i="26"/>
  <c r="D65" i="26"/>
  <c r="G64" i="26"/>
  <c r="F64" i="26"/>
  <c r="C64" i="26"/>
  <c r="D64" i="26"/>
  <c r="G63" i="26"/>
  <c r="F63" i="26"/>
  <c r="C63" i="26"/>
  <c r="D63" i="26"/>
  <c r="G62" i="26"/>
  <c r="F62" i="26"/>
  <c r="C62" i="26"/>
  <c r="D62" i="26"/>
  <c r="G61" i="26"/>
  <c r="F61" i="26"/>
  <c r="C61" i="26"/>
  <c r="D61" i="26"/>
  <c r="G60" i="26"/>
  <c r="F60" i="26"/>
  <c r="C60" i="26"/>
  <c r="D60" i="26"/>
  <c r="G59" i="26"/>
  <c r="F59" i="26"/>
  <c r="C59" i="26"/>
  <c r="D59" i="26"/>
  <c r="G58" i="26"/>
  <c r="F58" i="26"/>
  <c r="C58" i="26"/>
  <c r="D58" i="26"/>
  <c r="G57" i="26"/>
  <c r="F57" i="26"/>
  <c r="C57" i="26"/>
  <c r="D57" i="26"/>
  <c r="G56" i="26"/>
  <c r="F56" i="26"/>
  <c r="C56" i="26"/>
  <c r="D56" i="26"/>
  <c r="G55" i="26"/>
  <c r="F55" i="26"/>
  <c r="C55" i="26"/>
  <c r="D55" i="26"/>
  <c r="G54" i="26"/>
  <c r="F54" i="26"/>
  <c r="C54" i="26"/>
  <c r="D54" i="26"/>
  <c r="G53" i="26"/>
  <c r="F53" i="26"/>
  <c r="C53" i="26"/>
  <c r="D53" i="26"/>
  <c r="G52" i="26"/>
  <c r="F52" i="26"/>
  <c r="C52" i="26"/>
  <c r="D52" i="26"/>
  <c r="G51" i="26"/>
  <c r="F51" i="26"/>
  <c r="C51" i="26"/>
  <c r="D51" i="26"/>
  <c r="G50" i="26"/>
  <c r="F50" i="26"/>
  <c r="C50" i="26"/>
  <c r="D50" i="26"/>
  <c r="G49" i="26"/>
  <c r="F49" i="26"/>
  <c r="C49" i="26"/>
  <c r="D49" i="26"/>
  <c r="G48" i="26"/>
  <c r="F48" i="26"/>
  <c r="C48" i="26"/>
  <c r="D48" i="26"/>
  <c r="G47" i="26"/>
  <c r="F47" i="26"/>
  <c r="C47" i="26"/>
  <c r="D47" i="26"/>
  <c r="G46" i="26"/>
  <c r="F46" i="26"/>
  <c r="C46" i="26"/>
  <c r="D46" i="26"/>
  <c r="G45" i="26"/>
  <c r="F45" i="26"/>
  <c r="C45" i="26"/>
  <c r="D45" i="26"/>
  <c r="G44" i="26"/>
  <c r="F44" i="26"/>
  <c r="C44" i="26"/>
  <c r="D44" i="26"/>
  <c r="G43" i="26"/>
  <c r="F43" i="26"/>
  <c r="C43" i="26"/>
  <c r="D43" i="26"/>
  <c r="G42" i="26"/>
  <c r="F42" i="26"/>
  <c r="C42" i="26"/>
  <c r="D42" i="26"/>
  <c r="G41" i="26"/>
  <c r="F41" i="26"/>
  <c r="C41" i="26"/>
  <c r="D41" i="26"/>
  <c r="G40" i="26"/>
  <c r="F40" i="26"/>
  <c r="C40" i="26"/>
  <c r="D40" i="26"/>
  <c r="G39" i="26"/>
  <c r="F39" i="26"/>
  <c r="C39" i="26"/>
  <c r="D39" i="26"/>
  <c r="G38" i="26"/>
  <c r="F38" i="26"/>
  <c r="C38" i="26"/>
  <c r="D38" i="26"/>
  <c r="G37" i="26"/>
  <c r="F37" i="26"/>
  <c r="C37" i="26"/>
  <c r="D37" i="26"/>
  <c r="G36" i="26"/>
  <c r="F36" i="26"/>
  <c r="C36" i="26"/>
  <c r="D36" i="26"/>
  <c r="G35" i="26"/>
  <c r="F35" i="26"/>
  <c r="C35" i="26"/>
  <c r="D35" i="26"/>
  <c r="G34" i="26"/>
  <c r="F34" i="26"/>
  <c r="C34" i="26"/>
  <c r="D34" i="26"/>
  <c r="G33" i="26"/>
  <c r="F33" i="26"/>
  <c r="C33" i="26"/>
  <c r="D33" i="26"/>
  <c r="G32" i="26"/>
  <c r="F32" i="26"/>
  <c r="C32" i="26"/>
  <c r="D32" i="26"/>
  <c r="G31" i="26"/>
  <c r="F31" i="26"/>
  <c r="C31" i="26"/>
  <c r="D31" i="26"/>
  <c r="G30" i="26"/>
  <c r="F30" i="26"/>
  <c r="C30" i="26"/>
  <c r="D30" i="26"/>
  <c r="G29" i="26"/>
  <c r="F29" i="26"/>
  <c r="C29" i="26"/>
  <c r="D29" i="26"/>
  <c r="G28" i="26"/>
  <c r="F28" i="26"/>
  <c r="C28" i="26"/>
  <c r="D28" i="26"/>
  <c r="G27" i="26"/>
  <c r="F27" i="26"/>
  <c r="C27" i="26"/>
  <c r="D27" i="26"/>
  <c r="G26" i="26"/>
  <c r="F26" i="26"/>
  <c r="C26" i="26"/>
  <c r="D26" i="26"/>
  <c r="G25" i="26"/>
  <c r="F25" i="26"/>
  <c r="C25" i="26"/>
  <c r="D25" i="26"/>
  <c r="G24" i="26"/>
  <c r="F24" i="26"/>
  <c r="C24" i="26"/>
  <c r="D24" i="26"/>
  <c r="G23" i="26"/>
  <c r="F23" i="26"/>
  <c r="C23" i="26"/>
  <c r="D23" i="26"/>
  <c r="G22" i="26"/>
  <c r="F22" i="26"/>
  <c r="C22" i="26"/>
  <c r="D22" i="26"/>
  <c r="F21" i="26"/>
  <c r="C21" i="26"/>
  <c r="B8" i="26"/>
  <c r="G4" i="26"/>
  <c r="G136" i="13"/>
  <c r="F136" i="13"/>
  <c r="H119" i="14"/>
  <c r="F119" i="14"/>
  <c r="D68" i="16"/>
  <c r="F68" i="16"/>
  <c r="F169" i="24"/>
  <c r="G169" i="24"/>
  <c r="G169" i="25"/>
  <c r="G168" i="25"/>
  <c r="G167" i="25"/>
  <c r="G166" i="25"/>
  <c r="G165" i="25"/>
  <c r="G164" i="25"/>
  <c r="D164" i="25"/>
  <c r="G163" i="25"/>
  <c r="D163" i="25"/>
  <c r="G162" i="25"/>
  <c r="G161" i="25"/>
  <c r="G160" i="25"/>
  <c r="G159" i="25"/>
  <c r="G158" i="25"/>
  <c r="G157" i="25"/>
  <c r="G156" i="25"/>
  <c r="G155" i="25"/>
  <c r="G154" i="25"/>
  <c r="G153" i="25"/>
  <c r="G152" i="25"/>
  <c r="G151" i="25"/>
  <c r="G150" i="25"/>
  <c r="G149" i="25"/>
  <c r="G148" i="25"/>
  <c r="G147" i="25"/>
  <c r="D147" i="25"/>
  <c r="G146" i="25"/>
  <c r="G145" i="25"/>
  <c r="G144" i="25"/>
  <c r="D144" i="25"/>
  <c r="G143" i="25"/>
  <c r="G142" i="25"/>
  <c r="G141" i="25"/>
  <c r="G140" i="25"/>
  <c r="G139" i="25"/>
  <c r="G138" i="25"/>
  <c r="G137" i="25"/>
  <c r="G136" i="25"/>
  <c r="G135" i="25"/>
  <c r="D135" i="25"/>
  <c r="G134" i="25"/>
  <c r="G133" i="25"/>
  <c r="G132" i="25"/>
  <c r="D132" i="25"/>
  <c r="G131" i="25"/>
  <c r="G130" i="25"/>
  <c r="D130" i="25"/>
  <c r="G129" i="25"/>
  <c r="G128" i="25"/>
  <c r="D128" i="25"/>
  <c r="G127" i="25"/>
  <c r="G126" i="25"/>
  <c r="G125" i="25"/>
  <c r="G124" i="25"/>
  <c r="G123" i="25"/>
  <c r="G122" i="25"/>
  <c r="G121" i="25"/>
  <c r="G120" i="25"/>
  <c r="G119" i="25"/>
  <c r="G118" i="25"/>
  <c r="G117" i="25"/>
  <c r="G116" i="25"/>
  <c r="D116" i="25"/>
  <c r="G115" i="25"/>
  <c r="G114" i="25"/>
  <c r="G113" i="25"/>
  <c r="G112" i="25"/>
  <c r="G111" i="25"/>
  <c r="G110" i="25"/>
  <c r="G109" i="25"/>
  <c r="G108" i="25"/>
  <c r="G107" i="25"/>
  <c r="G106" i="25"/>
  <c r="G105" i="25"/>
  <c r="G104" i="25"/>
  <c r="G103" i="25"/>
  <c r="D103" i="25"/>
  <c r="G102" i="25"/>
  <c r="G101" i="25"/>
  <c r="G100" i="25"/>
  <c r="G99" i="25"/>
  <c r="G98" i="25"/>
  <c r="G97" i="25"/>
  <c r="G96" i="25"/>
  <c r="D96" i="25"/>
  <c r="G95" i="25"/>
  <c r="G94" i="25"/>
  <c r="G93" i="25"/>
  <c r="G92" i="25"/>
  <c r="G91" i="25"/>
  <c r="D91" i="25"/>
  <c r="G90" i="25"/>
  <c r="G89" i="25"/>
  <c r="G88" i="25"/>
  <c r="G87" i="25"/>
  <c r="G86" i="25"/>
  <c r="G85" i="25"/>
  <c r="G84" i="25"/>
  <c r="D84" i="25"/>
  <c r="G83" i="25"/>
  <c r="G82" i="25"/>
  <c r="G81" i="25"/>
  <c r="G80" i="25"/>
  <c r="G79" i="25"/>
  <c r="D79" i="25"/>
  <c r="G78" i="25"/>
  <c r="G77" i="25"/>
  <c r="G76" i="25"/>
  <c r="G75" i="25"/>
  <c r="G74" i="25"/>
  <c r="G73" i="25"/>
  <c r="G72" i="25"/>
  <c r="G71" i="25"/>
  <c r="G70" i="25"/>
  <c r="G69" i="25"/>
  <c r="G68" i="25"/>
  <c r="G67" i="25"/>
  <c r="G66" i="25"/>
  <c r="G65" i="25"/>
  <c r="G64" i="25"/>
  <c r="D64" i="25"/>
  <c r="G63" i="25"/>
  <c r="G62" i="25"/>
  <c r="G61" i="25"/>
  <c r="G60" i="25"/>
  <c r="G59" i="25"/>
  <c r="G58" i="25"/>
  <c r="G57" i="25"/>
  <c r="G56" i="25"/>
  <c r="G55" i="25"/>
  <c r="G54" i="25"/>
  <c r="G53" i="25"/>
  <c r="G52" i="25"/>
  <c r="D52" i="25"/>
  <c r="G51" i="25"/>
  <c r="G50" i="25"/>
  <c r="G49" i="25"/>
  <c r="G48" i="25"/>
  <c r="G47" i="25"/>
  <c r="G46" i="25"/>
  <c r="G45" i="25"/>
  <c r="G44" i="25"/>
  <c r="G43" i="25"/>
  <c r="G42" i="25"/>
  <c r="G41" i="25"/>
  <c r="G40" i="25"/>
  <c r="G39" i="25"/>
  <c r="D39" i="25"/>
  <c r="G38" i="25"/>
  <c r="G37" i="25"/>
  <c r="G36" i="25"/>
  <c r="G35" i="25"/>
  <c r="G34" i="25"/>
  <c r="G33" i="25"/>
  <c r="G32" i="25"/>
  <c r="D32" i="25"/>
  <c r="G31" i="25"/>
  <c r="G30" i="25"/>
  <c r="G29" i="25"/>
  <c r="G28" i="25"/>
  <c r="G27" i="25"/>
  <c r="D27" i="25"/>
  <c r="G26" i="25"/>
  <c r="G25" i="25"/>
  <c r="G24" i="25"/>
  <c r="G23" i="25"/>
  <c r="G22" i="25"/>
  <c r="B8" i="25"/>
  <c r="G4" i="25"/>
  <c r="G168" i="24"/>
  <c r="F168" i="24"/>
  <c r="H167" i="24"/>
  <c r="G167" i="24"/>
  <c r="F167" i="24"/>
  <c r="H166" i="24"/>
  <c r="G166" i="24"/>
  <c r="F166" i="24"/>
  <c r="H165" i="24"/>
  <c r="G165" i="24"/>
  <c r="F165" i="24"/>
  <c r="H164" i="24"/>
  <c r="G164" i="24"/>
  <c r="F164" i="24"/>
  <c r="H163" i="24"/>
  <c r="G163" i="24"/>
  <c r="F163" i="24"/>
  <c r="H162" i="24"/>
  <c r="G162" i="24"/>
  <c r="F162" i="24"/>
  <c r="H161" i="24"/>
  <c r="G161" i="24"/>
  <c r="F161" i="24"/>
  <c r="H160" i="24"/>
  <c r="G160" i="24"/>
  <c r="F160" i="24"/>
  <c r="H159" i="24"/>
  <c r="G159" i="24"/>
  <c r="F159" i="24"/>
  <c r="H158" i="24"/>
  <c r="G158" i="24"/>
  <c r="F158" i="24"/>
  <c r="H157" i="24"/>
  <c r="G157" i="24"/>
  <c r="F157" i="24"/>
  <c r="G156" i="24"/>
  <c r="F156" i="24"/>
  <c r="G155" i="24"/>
  <c r="F155" i="24"/>
  <c r="G154" i="24"/>
  <c r="F154" i="24"/>
  <c r="D154" i="24"/>
  <c r="G153" i="24"/>
  <c r="F153" i="24"/>
  <c r="G152" i="24"/>
  <c r="F152" i="24"/>
  <c r="G151" i="24"/>
  <c r="F151" i="24"/>
  <c r="G150" i="24"/>
  <c r="F150" i="24"/>
  <c r="G149" i="24"/>
  <c r="F149" i="24"/>
  <c r="G148" i="24"/>
  <c r="F148" i="24"/>
  <c r="G147" i="24"/>
  <c r="F147" i="24"/>
  <c r="G146" i="24"/>
  <c r="F146" i="24"/>
  <c r="G145" i="24"/>
  <c r="F145" i="24"/>
  <c r="G144" i="24"/>
  <c r="F144" i="24"/>
  <c r="G143" i="24"/>
  <c r="F143" i="24"/>
  <c r="G142" i="24"/>
  <c r="F142" i="24"/>
  <c r="G141" i="24"/>
  <c r="F141" i="24"/>
  <c r="G140" i="24"/>
  <c r="F140" i="24"/>
  <c r="G139" i="24"/>
  <c r="F139" i="24"/>
  <c r="G138" i="24"/>
  <c r="F138" i="24"/>
  <c r="G137" i="24"/>
  <c r="F137" i="24"/>
  <c r="G136" i="24"/>
  <c r="F136" i="24"/>
  <c r="G135" i="24"/>
  <c r="F135" i="24"/>
  <c r="G134" i="24"/>
  <c r="F134" i="24"/>
  <c r="G133" i="24"/>
  <c r="F133" i="24"/>
  <c r="G132" i="24"/>
  <c r="F132" i="24"/>
  <c r="G131" i="24"/>
  <c r="F131" i="24"/>
  <c r="G130" i="24"/>
  <c r="F130" i="24"/>
  <c r="G129" i="24"/>
  <c r="F129" i="24"/>
  <c r="G128" i="24"/>
  <c r="F128" i="24"/>
  <c r="G127" i="24"/>
  <c r="F127" i="24"/>
  <c r="G126" i="24"/>
  <c r="F126" i="24"/>
  <c r="G125" i="24"/>
  <c r="F125" i="24"/>
  <c r="G124" i="24"/>
  <c r="F124" i="24"/>
  <c r="G123" i="24"/>
  <c r="F123" i="24"/>
  <c r="G122" i="24"/>
  <c r="F122" i="24"/>
  <c r="G121" i="24"/>
  <c r="F121" i="24"/>
  <c r="G120" i="24"/>
  <c r="F120" i="24"/>
  <c r="G119" i="24"/>
  <c r="F119" i="24"/>
  <c r="G118" i="24"/>
  <c r="F118" i="24"/>
  <c r="G117" i="24"/>
  <c r="F117" i="24"/>
  <c r="G116" i="24"/>
  <c r="F116" i="24"/>
  <c r="G115" i="24"/>
  <c r="F115" i="24"/>
  <c r="G114" i="24"/>
  <c r="F114" i="24"/>
  <c r="G113" i="24"/>
  <c r="F113" i="24"/>
  <c r="G112" i="24"/>
  <c r="F112" i="24"/>
  <c r="G111" i="24"/>
  <c r="F111" i="24"/>
  <c r="G110" i="24"/>
  <c r="F110" i="24"/>
  <c r="G109" i="24"/>
  <c r="F109" i="24"/>
  <c r="G108" i="24"/>
  <c r="F108" i="24"/>
  <c r="G107" i="24"/>
  <c r="F107" i="24"/>
  <c r="G106" i="24"/>
  <c r="F106" i="24"/>
  <c r="G105" i="24"/>
  <c r="F105" i="24"/>
  <c r="G104" i="24"/>
  <c r="F104" i="24"/>
  <c r="G103" i="24"/>
  <c r="F103" i="24"/>
  <c r="G102" i="24"/>
  <c r="F102" i="24"/>
  <c r="G101" i="24"/>
  <c r="F101" i="24"/>
  <c r="G100" i="24"/>
  <c r="F100" i="24"/>
  <c r="G99" i="24"/>
  <c r="F99" i="24"/>
  <c r="G98" i="24"/>
  <c r="F98" i="24"/>
  <c r="G97" i="24"/>
  <c r="F97" i="24"/>
  <c r="G96" i="24"/>
  <c r="F96" i="24"/>
  <c r="G95" i="24"/>
  <c r="F95" i="24"/>
  <c r="G94" i="24"/>
  <c r="F94" i="24"/>
  <c r="G93" i="24"/>
  <c r="F93" i="24"/>
  <c r="G92" i="24"/>
  <c r="F92" i="24"/>
  <c r="G91" i="24"/>
  <c r="F91" i="24"/>
  <c r="G90" i="24"/>
  <c r="F90" i="24"/>
  <c r="G89" i="24"/>
  <c r="F89" i="24"/>
  <c r="G88" i="24"/>
  <c r="F88" i="24"/>
  <c r="G87" i="24"/>
  <c r="F87" i="24"/>
  <c r="G86" i="24"/>
  <c r="F86" i="24"/>
  <c r="G85" i="24"/>
  <c r="F85" i="24"/>
  <c r="G84" i="24"/>
  <c r="F84" i="24"/>
  <c r="G83" i="24"/>
  <c r="F83" i="24"/>
  <c r="G82" i="24"/>
  <c r="F82" i="24"/>
  <c r="G81" i="24"/>
  <c r="F81" i="24"/>
  <c r="G80" i="24"/>
  <c r="F80" i="24"/>
  <c r="G79" i="24"/>
  <c r="F79" i="24"/>
  <c r="G78" i="24"/>
  <c r="F78" i="24"/>
  <c r="G77" i="24"/>
  <c r="F77" i="24"/>
  <c r="G76" i="24"/>
  <c r="F76" i="24"/>
  <c r="G75" i="24"/>
  <c r="F75" i="24"/>
  <c r="G74" i="24"/>
  <c r="F74" i="24"/>
  <c r="G73" i="24"/>
  <c r="F73" i="24"/>
  <c r="G72" i="24"/>
  <c r="F72" i="24"/>
  <c r="G71" i="24"/>
  <c r="F71" i="24"/>
  <c r="G70" i="24"/>
  <c r="F70" i="24"/>
  <c r="G69" i="24"/>
  <c r="F69" i="24"/>
  <c r="G68" i="24"/>
  <c r="F68" i="24"/>
  <c r="G67" i="24"/>
  <c r="F67" i="24"/>
  <c r="G66" i="24"/>
  <c r="F66" i="24"/>
  <c r="G65" i="24"/>
  <c r="F65" i="24"/>
  <c r="G64" i="24"/>
  <c r="F64" i="24"/>
  <c r="G63" i="24"/>
  <c r="F63" i="24"/>
  <c r="G62" i="24"/>
  <c r="F62" i="24"/>
  <c r="G61" i="24"/>
  <c r="F61" i="24"/>
  <c r="G60" i="24"/>
  <c r="F60" i="24"/>
  <c r="G59" i="24"/>
  <c r="F59" i="24"/>
  <c r="G58" i="24"/>
  <c r="F58" i="24"/>
  <c r="G57" i="24"/>
  <c r="F57" i="24"/>
  <c r="G56" i="24"/>
  <c r="F56" i="24"/>
  <c r="G55" i="24"/>
  <c r="F55" i="24"/>
  <c r="G54" i="24"/>
  <c r="F54" i="24"/>
  <c r="D54" i="24"/>
  <c r="G53" i="24"/>
  <c r="F53" i="24"/>
  <c r="G52" i="24"/>
  <c r="F52" i="24"/>
  <c r="G51" i="24"/>
  <c r="F51" i="24"/>
  <c r="G50" i="24"/>
  <c r="F50" i="24"/>
  <c r="G49" i="24"/>
  <c r="F49" i="24"/>
  <c r="G48" i="24"/>
  <c r="F48" i="24"/>
  <c r="G47" i="24"/>
  <c r="F47" i="24"/>
  <c r="G46" i="24"/>
  <c r="F46" i="24"/>
  <c r="G45" i="24"/>
  <c r="F45" i="24"/>
  <c r="D45" i="24"/>
  <c r="G44" i="24"/>
  <c r="F44" i="24"/>
  <c r="G43" i="24"/>
  <c r="F43" i="24"/>
  <c r="G42" i="24"/>
  <c r="F42" i="24"/>
  <c r="G41" i="24"/>
  <c r="F41" i="24"/>
  <c r="G40" i="24"/>
  <c r="F40" i="24"/>
  <c r="G39" i="24"/>
  <c r="F39" i="24"/>
  <c r="G38" i="24"/>
  <c r="F38" i="24"/>
  <c r="G37" i="24"/>
  <c r="F37" i="24"/>
  <c r="G36" i="24"/>
  <c r="F36" i="24"/>
  <c r="G35" i="24"/>
  <c r="F35" i="24"/>
  <c r="G34" i="24"/>
  <c r="F34" i="24"/>
  <c r="G33" i="24"/>
  <c r="F33" i="24"/>
  <c r="G32" i="24"/>
  <c r="F32" i="24"/>
  <c r="G31" i="24"/>
  <c r="F31" i="24"/>
  <c r="G30" i="24"/>
  <c r="F30" i="24"/>
  <c r="G29" i="24"/>
  <c r="F29" i="24"/>
  <c r="G28" i="24"/>
  <c r="F28" i="24"/>
  <c r="G27" i="24"/>
  <c r="F27" i="24"/>
  <c r="G26" i="24"/>
  <c r="F26" i="24"/>
  <c r="G25" i="24"/>
  <c r="F25" i="24"/>
  <c r="G24" i="24"/>
  <c r="F24" i="24"/>
  <c r="G23" i="24"/>
  <c r="F23" i="24"/>
  <c r="G22" i="24"/>
  <c r="F22" i="24"/>
  <c r="B8" i="24"/>
  <c r="G4" i="24"/>
  <c r="H102" i="23"/>
  <c r="G102" i="23"/>
  <c r="F102" i="23"/>
  <c r="C102" i="23"/>
  <c r="D102" i="23"/>
  <c r="H101" i="23"/>
  <c r="G101" i="23"/>
  <c r="F101" i="23"/>
  <c r="C101" i="23"/>
  <c r="D101" i="23"/>
  <c r="H100" i="23"/>
  <c r="G100" i="23"/>
  <c r="F100" i="23"/>
  <c r="C100" i="23"/>
  <c r="D100" i="23"/>
  <c r="H99" i="23"/>
  <c r="G99" i="23"/>
  <c r="F99" i="23"/>
  <c r="C99" i="23"/>
  <c r="D99" i="23"/>
  <c r="H98" i="23"/>
  <c r="G98" i="23"/>
  <c r="F98" i="23"/>
  <c r="C98" i="23"/>
  <c r="D98" i="23"/>
  <c r="H97" i="23"/>
  <c r="G97" i="23"/>
  <c r="F97" i="23"/>
  <c r="C97" i="23"/>
  <c r="D97" i="23"/>
  <c r="H96" i="23"/>
  <c r="G96" i="23"/>
  <c r="F96" i="23"/>
  <c r="C96" i="23"/>
  <c r="D96" i="23"/>
  <c r="H95" i="23"/>
  <c r="G95" i="23"/>
  <c r="F95" i="23"/>
  <c r="C95" i="23"/>
  <c r="D95" i="23"/>
  <c r="H94" i="23"/>
  <c r="G94" i="23"/>
  <c r="F94" i="23"/>
  <c r="C94" i="23"/>
  <c r="D94" i="23"/>
  <c r="H93" i="23"/>
  <c r="G93" i="23"/>
  <c r="F93" i="23"/>
  <c r="C93" i="23"/>
  <c r="D93" i="23"/>
  <c r="H92" i="23"/>
  <c r="G92" i="23"/>
  <c r="F92" i="23"/>
  <c r="C92" i="23"/>
  <c r="D92" i="23"/>
  <c r="H91" i="23"/>
  <c r="G91" i="23"/>
  <c r="F91" i="23"/>
  <c r="C91" i="23"/>
  <c r="D91" i="23"/>
  <c r="H90" i="23"/>
  <c r="G90" i="23"/>
  <c r="F90" i="23"/>
  <c r="C90" i="23"/>
  <c r="D90" i="23"/>
  <c r="H89" i="23"/>
  <c r="G89" i="23"/>
  <c r="F89" i="23"/>
  <c r="C89" i="23"/>
  <c r="D89" i="23"/>
  <c r="H88" i="23"/>
  <c r="G88" i="23"/>
  <c r="F88" i="23"/>
  <c r="C88" i="23"/>
  <c r="D88" i="23"/>
  <c r="H87" i="23"/>
  <c r="G87" i="23"/>
  <c r="F87" i="23"/>
  <c r="C87" i="23"/>
  <c r="D87" i="23"/>
  <c r="H86" i="23"/>
  <c r="G86" i="23"/>
  <c r="F86" i="23"/>
  <c r="C86" i="23"/>
  <c r="D86" i="23"/>
  <c r="H85" i="23"/>
  <c r="G85" i="23"/>
  <c r="F85" i="23"/>
  <c r="C85" i="23"/>
  <c r="D85" i="23"/>
  <c r="H84" i="23"/>
  <c r="G84" i="23"/>
  <c r="F84" i="23"/>
  <c r="C84" i="23"/>
  <c r="D84" i="23"/>
  <c r="H83" i="23"/>
  <c r="G83" i="23"/>
  <c r="F83" i="23"/>
  <c r="C83" i="23"/>
  <c r="D83" i="23"/>
  <c r="H82" i="23"/>
  <c r="G82" i="23"/>
  <c r="F82" i="23"/>
  <c r="C82" i="23"/>
  <c r="D82" i="23"/>
  <c r="H81" i="23"/>
  <c r="G81" i="23"/>
  <c r="F81" i="23"/>
  <c r="C81" i="23"/>
  <c r="D81" i="23"/>
  <c r="H80" i="23"/>
  <c r="G80" i="23"/>
  <c r="F80" i="23"/>
  <c r="C80" i="23"/>
  <c r="D80" i="23"/>
  <c r="H79" i="23"/>
  <c r="G79" i="23"/>
  <c r="F79" i="23"/>
  <c r="C79" i="23"/>
  <c r="D79" i="23"/>
  <c r="H78" i="23"/>
  <c r="G78" i="23"/>
  <c r="F78" i="23"/>
  <c r="C78" i="23"/>
  <c r="D78" i="23"/>
  <c r="H77" i="23"/>
  <c r="G77" i="23"/>
  <c r="F77" i="23"/>
  <c r="C77" i="23"/>
  <c r="D77" i="23"/>
  <c r="H76" i="23"/>
  <c r="G76" i="23"/>
  <c r="F76" i="23"/>
  <c r="C76" i="23"/>
  <c r="D76" i="23"/>
  <c r="H75" i="23"/>
  <c r="G75" i="23"/>
  <c r="F75" i="23"/>
  <c r="C75" i="23"/>
  <c r="D75" i="23"/>
  <c r="H74" i="23"/>
  <c r="G74" i="23"/>
  <c r="F74" i="23"/>
  <c r="C74" i="23"/>
  <c r="D74" i="23"/>
  <c r="H73" i="23"/>
  <c r="G73" i="23"/>
  <c r="F73" i="23"/>
  <c r="C73" i="23"/>
  <c r="D73" i="23"/>
  <c r="H72" i="23"/>
  <c r="G72" i="23"/>
  <c r="F72" i="23"/>
  <c r="C72" i="23"/>
  <c r="D72" i="23"/>
  <c r="H71" i="23"/>
  <c r="G71" i="23"/>
  <c r="F71" i="23"/>
  <c r="C71" i="23"/>
  <c r="D71" i="23"/>
  <c r="H70" i="23"/>
  <c r="G70" i="23"/>
  <c r="F70" i="23"/>
  <c r="C70" i="23"/>
  <c r="D70" i="23"/>
  <c r="H69" i="23"/>
  <c r="G69" i="23"/>
  <c r="F69" i="23"/>
  <c r="C69" i="23"/>
  <c r="D69" i="23"/>
  <c r="H68" i="23"/>
  <c r="G68" i="23"/>
  <c r="F68" i="23"/>
  <c r="C68" i="23"/>
  <c r="D68" i="23"/>
  <c r="H67" i="23"/>
  <c r="G67" i="23"/>
  <c r="F67" i="23"/>
  <c r="C67" i="23"/>
  <c r="D67" i="23"/>
  <c r="H66" i="23"/>
  <c r="G66" i="23"/>
  <c r="F66" i="23"/>
  <c r="C66" i="23"/>
  <c r="D66" i="23"/>
  <c r="H65" i="23"/>
  <c r="G65" i="23"/>
  <c r="F65" i="23"/>
  <c r="C65" i="23"/>
  <c r="D65" i="23"/>
  <c r="H64" i="23"/>
  <c r="G64" i="23"/>
  <c r="F64" i="23"/>
  <c r="C64" i="23"/>
  <c r="D64" i="23"/>
  <c r="H63" i="23"/>
  <c r="G63" i="23"/>
  <c r="F63" i="23"/>
  <c r="C63" i="23"/>
  <c r="D63" i="23"/>
  <c r="H62" i="23"/>
  <c r="G62" i="23"/>
  <c r="F62" i="23"/>
  <c r="C62" i="23"/>
  <c r="D62" i="23"/>
  <c r="H61" i="23"/>
  <c r="G61" i="23"/>
  <c r="F61" i="23"/>
  <c r="C61" i="23"/>
  <c r="D61" i="23"/>
  <c r="H60" i="23"/>
  <c r="G60" i="23"/>
  <c r="F60" i="23"/>
  <c r="C60" i="23"/>
  <c r="D60" i="23"/>
  <c r="H59" i="23"/>
  <c r="G59" i="23"/>
  <c r="F59" i="23"/>
  <c r="C59" i="23"/>
  <c r="D59" i="23"/>
  <c r="H58" i="23"/>
  <c r="G58" i="23"/>
  <c r="F58" i="23"/>
  <c r="C58" i="23"/>
  <c r="D58" i="23"/>
  <c r="H57" i="23"/>
  <c r="G57" i="23"/>
  <c r="F57" i="23"/>
  <c r="C57" i="23"/>
  <c r="D57" i="23"/>
  <c r="H56" i="23"/>
  <c r="G56" i="23"/>
  <c r="F56" i="23"/>
  <c r="C56" i="23"/>
  <c r="D56" i="23"/>
  <c r="H55" i="23"/>
  <c r="G55" i="23"/>
  <c r="F55" i="23"/>
  <c r="C55" i="23"/>
  <c r="D55" i="23"/>
  <c r="H54" i="23"/>
  <c r="G54" i="23"/>
  <c r="F54" i="23"/>
  <c r="C54" i="23"/>
  <c r="D54" i="23"/>
  <c r="H53" i="23"/>
  <c r="G53" i="23"/>
  <c r="F53" i="23"/>
  <c r="C53" i="23"/>
  <c r="D53" i="23"/>
  <c r="H52" i="23"/>
  <c r="G52" i="23"/>
  <c r="F52" i="23"/>
  <c r="C52" i="23"/>
  <c r="D52" i="23"/>
  <c r="H51" i="23"/>
  <c r="G51" i="23"/>
  <c r="F51" i="23"/>
  <c r="C51" i="23"/>
  <c r="D51" i="23"/>
  <c r="H50" i="23"/>
  <c r="G50" i="23"/>
  <c r="F50" i="23"/>
  <c r="C50" i="23"/>
  <c r="D50" i="23"/>
  <c r="H49" i="23"/>
  <c r="G49" i="23"/>
  <c r="F49" i="23"/>
  <c r="C49" i="23"/>
  <c r="D49" i="23"/>
  <c r="H48" i="23"/>
  <c r="G48" i="23"/>
  <c r="F48" i="23"/>
  <c r="C48" i="23"/>
  <c r="D48" i="23"/>
  <c r="H47" i="23"/>
  <c r="G47" i="23"/>
  <c r="F47" i="23"/>
  <c r="C47" i="23"/>
  <c r="D47" i="23"/>
  <c r="H46" i="23"/>
  <c r="G46" i="23"/>
  <c r="F46" i="23"/>
  <c r="C46" i="23"/>
  <c r="D46" i="23"/>
  <c r="H45" i="23"/>
  <c r="G45" i="23"/>
  <c r="F45" i="23"/>
  <c r="C45" i="23"/>
  <c r="D45" i="23"/>
  <c r="H44" i="23"/>
  <c r="G44" i="23"/>
  <c r="F44" i="23"/>
  <c r="C44" i="23"/>
  <c r="D44" i="23"/>
  <c r="H43" i="23"/>
  <c r="G43" i="23"/>
  <c r="F43" i="23"/>
  <c r="C43" i="23"/>
  <c r="D43" i="23"/>
  <c r="H42" i="23"/>
  <c r="G42" i="23"/>
  <c r="F42" i="23"/>
  <c r="C42" i="23"/>
  <c r="D42" i="23"/>
  <c r="H41" i="23"/>
  <c r="G41" i="23"/>
  <c r="F41" i="23"/>
  <c r="C41" i="23"/>
  <c r="D41" i="23"/>
  <c r="H40" i="23"/>
  <c r="G40" i="23"/>
  <c r="F40" i="23"/>
  <c r="C40" i="23"/>
  <c r="D40" i="23"/>
  <c r="H39" i="23"/>
  <c r="G39" i="23"/>
  <c r="F39" i="23"/>
  <c r="C39" i="23"/>
  <c r="D39" i="23"/>
  <c r="H38" i="23"/>
  <c r="G38" i="23"/>
  <c r="F38" i="23"/>
  <c r="C38" i="23"/>
  <c r="D38" i="23"/>
  <c r="H37" i="23"/>
  <c r="G37" i="23"/>
  <c r="F37" i="23"/>
  <c r="C37" i="23"/>
  <c r="D37" i="23"/>
  <c r="H36" i="23"/>
  <c r="G36" i="23"/>
  <c r="F36" i="23"/>
  <c r="C36" i="23"/>
  <c r="D36" i="23"/>
  <c r="G35" i="23"/>
  <c r="F35" i="23"/>
  <c r="C35" i="23"/>
  <c r="D35" i="23"/>
  <c r="G34" i="23"/>
  <c r="F34" i="23"/>
  <c r="C34" i="23"/>
  <c r="D34" i="23"/>
  <c r="G33" i="23"/>
  <c r="F33" i="23"/>
  <c r="C33" i="23"/>
  <c r="D33" i="23"/>
  <c r="G32" i="23"/>
  <c r="F32" i="23"/>
  <c r="C32" i="23"/>
  <c r="D32" i="23"/>
  <c r="G31" i="23"/>
  <c r="F31" i="23"/>
  <c r="C31" i="23"/>
  <c r="D31" i="23"/>
  <c r="G30" i="23"/>
  <c r="F30" i="23"/>
  <c r="C30" i="23"/>
  <c r="D30" i="23"/>
  <c r="G29" i="23"/>
  <c r="F29" i="23"/>
  <c r="C29" i="23"/>
  <c r="D29" i="23"/>
  <c r="G28" i="23"/>
  <c r="F28" i="23"/>
  <c r="C28" i="23"/>
  <c r="D28" i="23"/>
  <c r="G27" i="23"/>
  <c r="F27" i="23"/>
  <c r="C27" i="23"/>
  <c r="D27" i="23"/>
  <c r="G26" i="23"/>
  <c r="F26" i="23"/>
  <c r="C26" i="23"/>
  <c r="D26" i="23"/>
  <c r="G25" i="23"/>
  <c r="F25" i="23"/>
  <c r="C25" i="23"/>
  <c r="D25" i="23"/>
  <c r="G24" i="23"/>
  <c r="F24" i="23"/>
  <c r="C24" i="23"/>
  <c r="D24" i="23"/>
  <c r="G23" i="23"/>
  <c r="F23" i="23"/>
  <c r="C23" i="23"/>
  <c r="D23" i="23"/>
  <c r="G22" i="23"/>
  <c r="F22" i="23"/>
  <c r="C22" i="23"/>
  <c r="D22" i="23"/>
  <c r="F21" i="23"/>
  <c r="C21" i="23"/>
  <c r="B8" i="23"/>
  <c r="G4" i="23"/>
  <c r="G217" i="5"/>
  <c r="F51" i="19"/>
  <c r="D216" i="2"/>
  <c r="D31" i="22"/>
  <c r="F53" i="18"/>
  <c r="G135" i="13"/>
  <c r="F135" i="13"/>
  <c r="F214" i="7"/>
  <c r="H118" i="14"/>
  <c r="F118" i="14"/>
  <c r="F50" i="19"/>
  <c r="F217" i="4"/>
  <c r="D67" i="16"/>
  <c r="F67" i="16"/>
  <c r="G216" i="5"/>
  <c r="F216" i="6"/>
  <c r="F49" i="19"/>
  <c r="F52" i="18"/>
  <c r="G134" i="13"/>
  <c r="F134" i="13"/>
  <c r="F66" i="16"/>
  <c r="F213" i="7"/>
  <c r="G215" i="5"/>
  <c r="D215" i="5"/>
  <c r="F216" i="4"/>
  <c r="H117" i="14"/>
  <c r="F117" i="14"/>
  <c r="F215" i="6"/>
  <c r="F51" i="18"/>
  <c r="F48" i="19"/>
  <c r="F212" i="7"/>
  <c r="G133" i="13"/>
  <c r="D133" i="13"/>
  <c r="F133" i="13"/>
  <c r="F215" i="4"/>
  <c r="G214" i="5"/>
  <c r="H116" i="14"/>
  <c r="F116" i="14"/>
  <c r="F65" i="16"/>
  <c r="F214" i="6"/>
  <c r="F50" i="18"/>
  <c r="G132" i="13"/>
  <c r="F132" i="13"/>
  <c r="F211" i="7"/>
  <c r="F214" i="4"/>
  <c r="G213" i="5"/>
  <c r="F213" i="6"/>
  <c r="F47" i="19"/>
  <c r="D212" i="2"/>
  <c r="D64" i="16"/>
  <c r="F64" i="16"/>
  <c r="H115" i="14"/>
  <c r="F115" i="14"/>
  <c r="F46" i="19"/>
  <c r="D27" i="22"/>
  <c r="F49" i="18"/>
  <c r="F48" i="18"/>
  <c r="G131" i="13"/>
  <c r="F131" i="13"/>
  <c r="F213" i="4"/>
  <c r="F210" i="7"/>
  <c r="G212" i="5"/>
  <c r="H114" i="14"/>
  <c r="F114" i="14"/>
  <c r="F212" i="6"/>
  <c r="G130" i="13"/>
  <c r="F130" i="13"/>
  <c r="F209" i="7"/>
  <c r="F45" i="19"/>
  <c r="D63" i="16"/>
  <c r="F63" i="16"/>
  <c r="F62" i="16"/>
  <c r="F212" i="4"/>
  <c r="H113" i="14"/>
  <c r="F113" i="14"/>
  <c r="G211" i="5"/>
  <c r="D211" i="5"/>
  <c r="F211" i="6"/>
  <c r="F47" i="18"/>
  <c r="D44" i="19"/>
  <c r="F44" i="19"/>
  <c r="H112" i="14"/>
  <c r="F112" i="14"/>
  <c r="G129" i="13"/>
  <c r="F129" i="13"/>
  <c r="F61" i="16"/>
  <c r="F208" i="7"/>
  <c r="F211" i="4"/>
  <c r="D182" i="11"/>
  <c r="G210" i="5"/>
  <c r="F210" i="6"/>
  <c r="D143" i="12"/>
  <c r="H111" i="14"/>
  <c r="F111" i="14"/>
  <c r="F43" i="19"/>
  <c r="D208" i="2"/>
  <c r="F207" i="7"/>
  <c r="F46" i="18"/>
  <c r="G128" i="13"/>
  <c r="F128" i="13"/>
  <c r="D60" i="16"/>
  <c r="F60" i="16"/>
  <c r="F210" i="4"/>
  <c r="F209" i="4"/>
  <c r="F209" i="6"/>
  <c r="D209" i="6"/>
  <c r="G209" i="5"/>
  <c r="F42" i="19"/>
  <c r="H110" i="14"/>
  <c r="F110" i="14"/>
  <c r="F45" i="18"/>
  <c r="F21" i="22"/>
  <c r="D59" i="16"/>
  <c r="F59" i="16"/>
  <c r="F206" i="7"/>
  <c r="G127" i="13"/>
  <c r="F127" i="13"/>
  <c r="F208" i="6"/>
  <c r="G208" i="5"/>
  <c r="F44" i="18"/>
  <c r="G126" i="13"/>
  <c r="F126" i="13"/>
  <c r="F41" i="19"/>
  <c r="F58" i="16"/>
  <c r="H109" i="14"/>
  <c r="F109" i="14"/>
  <c r="F205" i="7"/>
  <c r="F208" i="4"/>
  <c r="F207" i="6"/>
  <c r="G207" i="5"/>
  <c r="D207" i="5"/>
  <c r="F43" i="18"/>
  <c r="G125" i="13"/>
  <c r="D125" i="13"/>
  <c r="F125" i="13"/>
  <c r="D40" i="19"/>
  <c r="F40" i="19"/>
  <c r="H108" i="14"/>
  <c r="F108" i="14"/>
  <c r="F57" i="16"/>
  <c r="F204" i="7"/>
  <c r="G206" i="5"/>
  <c r="F207" i="4"/>
  <c r="D23" i="22"/>
  <c r="B8" i="22"/>
  <c r="G4" i="22"/>
  <c r="F206" i="6"/>
  <c r="F42" i="18"/>
  <c r="D56" i="16"/>
  <c r="F56" i="16"/>
  <c r="H107" i="14"/>
  <c r="F107" i="14"/>
  <c r="F39" i="19"/>
  <c r="D204" i="2"/>
  <c r="F203" i="7"/>
  <c r="G124" i="13"/>
  <c r="F124" i="13"/>
  <c r="F205" i="6"/>
  <c r="D205" i="6"/>
  <c r="F206" i="4"/>
  <c r="G205" i="5"/>
  <c r="G123" i="13"/>
  <c r="F123" i="13"/>
  <c r="F205" i="4"/>
  <c r="F41" i="18"/>
  <c r="G204" i="5"/>
  <c r="D55" i="16"/>
  <c r="F55" i="16"/>
  <c r="F202" i="7"/>
  <c r="H106" i="14"/>
  <c r="F106" i="14"/>
  <c r="D38" i="19"/>
  <c r="F38" i="19"/>
  <c r="F204" i="6"/>
  <c r="D204" i="6"/>
  <c r="D137" i="12"/>
  <c r="G122" i="13"/>
  <c r="F122" i="13"/>
  <c r="F37" i="19"/>
  <c r="H105" i="14"/>
  <c r="F105" i="14"/>
  <c r="F40" i="18"/>
  <c r="F203" i="6"/>
  <c r="F204" i="4"/>
  <c r="G203" i="5"/>
  <c r="D203" i="5"/>
  <c r="F202" i="6"/>
  <c r="F54" i="16"/>
  <c r="F201" i="7"/>
  <c r="F36" i="19"/>
  <c r="H104" i="14"/>
  <c r="F104" i="14"/>
  <c r="F203" i="4"/>
  <c r="F53" i="16"/>
  <c r="F39" i="18"/>
  <c r="F200" i="7"/>
  <c r="G121" i="13"/>
  <c r="F121" i="13"/>
  <c r="G202" i="5"/>
  <c r="G194" i="9"/>
  <c r="D194" i="9"/>
  <c r="F194" i="9"/>
  <c r="D52" i="16"/>
  <c r="F52" i="16"/>
  <c r="F201" i="6"/>
  <c r="D201" i="6"/>
  <c r="D200" i="2"/>
  <c r="G120" i="13"/>
  <c r="F120" i="13"/>
  <c r="F38" i="18"/>
  <c r="F35" i="19"/>
  <c r="H103" i="14"/>
  <c r="F103" i="14"/>
  <c r="F200" i="6"/>
  <c r="D200" i="6"/>
  <c r="F199" i="7"/>
  <c r="F202" i="4"/>
  <c r="G201" i="5"/>
  <c r="F193" i="9"/>
  <c r="G119" i="13"/>
  <c r="F119" i="13"/>
  <c r="F37" i="18"/>
  <c r="D172" i="11"/>
  <c r="D51" i="16"/>
  <c r="F51" i="16"/>
  <c r="H102" i="14"/>
  <c r="F102" i="14"/>
  <c r="F198" i="7"/>
  <c r="F34" i="19"/>
  <c r="F201" i="4"/>
  <c r="G200" i="5"/>
  <c r="F33" i="19"/>
  <c r="F200" i="4"/>
  <c r="F36" i="18"/>
  <c r="F197" i="7"/>
  <c r="H101" i="14"/>
  <c r="F101" i="14"/>
  <c r="F199" i="4"/>
  <c r="G117" i="13"/>
  <c r="G118" i="13"/>
  <c r="F118" i="13"/>
  <c r="D117" i="13"/>
  <c r="F117" i="13"/>
  <c r="F49" i="16"/>
  <c r="F50" i="16"/>
  <c r="F196" i="7"/>
  <c r="F191" i="9"/>
  <c r="F192" i="9"/>
  <c r="F35" i="18"/>
  <c r="F199" i="6"/>
  <c r="F198" i="6"/>
  <c r="H100" i="14"/>
  <c r="F100" i="14"/>
  <c r="G199" i="5"/>
  <c r="D199" i="5"/>
  <c r="D32" i="19"/>
  <c r="F32" i="19"/>
  <c r="G198" i="5"/>
  <c r="D48" i="16"/>
  <c r="F48" i="16"/>
  <c r="D47" i="16"/>
  <c r="F47" i="16"/>
  <c r="D190" i="9"/>
  <c r="F190" i="9"/>
  <c r="D196" i="2"/>
  <c r="G116" i="13"/>
  <c r="F116" i="13"/>
  <c r="F198" i="4"/>
  <c r="F34" i="18"/>
  <c r="F195" i="7"/>
  <c r="G197" i="5"/>
  <c r="H99" i="14"/>
  <c r="F99" i="14"/>
  <c r="F31" i="19"/>
  <c r="F197" i="6"/>
  <c r="F30" i="19"/>
  <c r="F33" i="18"/>
  <c r="H98" i="14"/>
  <c r="F98" i="14"/>
  <c r="F196" i="6"/>
  <c r="F46" i="16"/>
  <c r="G115" i="13"/>
  <c r="F115" i="13"/>
  <c r="F194" i="7"/>
  <c r="D168" i="11"/>
  <c r="F197" i="4"/>
  <c r="G196" i="5"/>
  <c r="D189" i="9"/>
  <c r="F189" i="9"/>
  <c r="F29" i="19"/>
  <c r="B8" i="20"/>
  <c r="G4" i="20"/>
  <c r="G114" i="13"/>
  <c r="F114" i="13"/>
  <c r="F32" i="18"/>
  <c r="F193" i="7"/>
  <c r="H97" i="14"/>
  <c r="F97" i="14"/>
  <c r="F196" i="4"/>
  <c r="G195" i="5"/>
  <c r="D195" i="5"/>
  <c r="F195" i="6"/>
  <c r="D43" i="16"/>
  <c r="D44" i="16"/>
  <c r="F43" i="16"/>
  <c r="F44" i="16"/>
  <c r="F45" i="16"/>
  <c r="F188" i="9"/>
  <c r="F28" i="19"/>
  <c r="F192" i="7"/>
  <c r="G113" i="13"/>
  <c r="F113" i="13"/>
  <c r="F31" i="18"/>
  <c r="H96" i="14"/>
  <c r="F96" i="14"/>
  <c r="F187" i="9"/>
  <c r="F195" i="4"/>
  <c r="G194" i="5"/>
  <c r="F194" i="6"/>
  <c r="F27" i="19"/>
  <c r="D192" i="2"/>
  <c r="F30" i="18"/>
  <c r="H95" i="14"/>
  <c r="F95" i="14"/>
  <c r="F191" i="7"/>
  <c r="G111" i="13"/>
  <c r="G112" i="13"/>
  <c r="F112" i="13"/>
  <c r="F111" i="13"/>
  <c r="F194" i="4"/>
  <c r="D186" i="9"/>
  <c r="F186" i="9"/>
  <c r="F26" i="19"/>
  <c r="F193" i="6"/>
  <c r="D193" i="6"/>
  <c r="G193" i="5"/>
  <c r="F29" i="18"/>
  <c r="G110" i="13"/>
  <c r="F110" i="13"/>
  <c r="F190" i="7"/>
  <c r="H94" i="14"/>
  <c r="F94" i="14"/>
  <c r="F193" i="4"/>
  <c r="G192" i="5"/>
  <c r="F192" i="6"/>
  <c r="F42" i="16"/>
  <c r="F185" i="9"/>
  <c r="F184" i="9"/>
  <c r="F28" i="18"/>
  <c r="H93" i="14"/>
  <c r="F93" i="14"/>
  <c r="F189" i="7"/>
  <c r="F192" i="4"/>
  <c r="G191" i="5"/>
  <c r="D191" i="5"/>
  <c r="F191" i="6"/>
  <c r="F183" i="9"/>
  <c r="H92" i="14"/>
  <c r="F92" i="14"/>
  <c r="G109" i="13"/>
  <c r="F109" i="13"/>
  <c r="F191" i="4"/>
  <c r="D40" i="16"/>
  <c r="F40" i="16"/>
  <c r="F41" i="16"/>
  <c r="F188" i="7"/>
  <c r="G190" i="5"/>
  <c r="F190" i="6"/>
  <c r="D188" i="2"/>
  <c r="H91" i="14"/>
  <c r="F91" i="14"/>
  <c r="G108" i="13"/>
  <c r="F108" i="13"/>
  <c r="F187" i="7"/>
  <c r="F190" i="4"/>
  <c r="G189" i="5"/>
  <c r="F189" i="6"/>
  <c r="D189" i="6"/>
  <c r="D39" i="16"/>
  <c r="F39" i="16"/>
  <c r="G107" i="13"/>
  <c r="F107" i="13"/>
  <c r="D182" i="9"/>
  <c r="F182" i="9"/>
  <c r="H90" i="14"/>
  <c r="F90" i="14"/>
  <c r="F186" i="7"/>
  <c r="G188" i="5"/>
  <c r="G106" i="13"/>
  <c r="F106" i="13"/>
  <c r="F188" i="6"/>
  <c r="D159" i="11"/>
  <c r="F185" i="7"/>
  <c r="D36" i="16"/>
  <c r="F36" i="16"/>
  <c r="F37" i="16"/>
  <c r="F38" i="16"/>
  <c r="D35" i="16"/>
  <c r="F35" i="16"/>
  <c r="F181" i="9"/>
  <c r="F189" i="4"/>
  <c r="F188" i="4"/>
  <c r="H89" i="14"/>
  <c r="F89" i="14"/>
  <c r="F187" i="6"/>
  <c r="G187" i="5"/>
  <c r="D187" i="5"/>
  <c r="D180" i="9"/>
  <c r="F180" i="9"/>
  <c r="G105" i="13"/>
  <c r="D105" i="13"/>
  <c r="F105" i="13"/>
  <c r="H88" i="14"/>
  <c r="F88" i="14"/>
  <c r="F184" i="7"/>
  <c r="F187" i="4"/>
  <c r="G186" i="5"/>
  <c r="F186" i="6"/>
  <c r="F179" i="9"/>
  <c r="F25" i="19"/>
  <c r="F24" i="19"/>
  <c r="D24" i="19"/>
  <c r="F23" i="19"/>
  <c r="F22" i="19"/>
  <c r="F21" i="19"/>
  <c r="B8" i="19"/>
  <c r="G4" i="19"/>
  <c r="G104" i="13"/>
  <c r="F104" i="13"/>
  <c r="D184" i="2"/>
  <c r="H87" i="14"/>
  <c r="F87" i="14"/>
  <c r="F183" i="7"/>
  <c r="F186" i="4"/>
  <c r="G185" i="5"/>
  <c r="F27" i="18"/>
  <c r="F26" i="18"/>
  <c r="F25" i="18"/>
  <c r="F24" i="18"/>
  <c r="F23" i="18"/>
  <c r="F22" i="18"/>
  <c r="F21" i="18"/>
  <c r="B8" i="18"/>
  <c r="G4" i="18"/>
  <c r="D178" i="9"/>
  <c r="F178" i="9"/>
  <c r="F185" i="6"/>
  <c r="D185" i="6"/>
  <c r="G103" i="13"/>
  <c r="F103" i="13"/>
  <c r="F185" i="4"/>
  <c r="H86" i="14"/>
  <c r="F86" i="14"/>
  <c r="F182" i="7"/>
  <c r="F177" i="9"/>
  <c r="G184" i="5"/>
  <c r="F184" i="6"/>
  <c r="D117" i="12"/>
  <c r="G102" i="13"/>
  <c r="F102" i="13"/>
  <c r="F181" i="7"/>
  <c r="D155" i="11"/>
  <c r="F33" i="16"/>
  <c r="F34" i="16"/>
  <c r="H85" i="14"/>
  <c r="F85" i="14"/>
  <c r="F184" i="4"/>
  <c r="J115" i="12"/>
  <c r="F183" i="6"/>
  <c r="G183" i="5"/>
  <c r="D183" i="5"/>
  <c r="F175" i="9"/>
  <c r="F176" i="9"/>
  <c r="G101" i="13"/>
  <c r="F101" i="13"/>
  <c r="H84" i="14"/>
  <c r="F84" i="14"/>
  <c r="F180" i="7"/>
  <c r="F183" i="4"/>
  <c r="G182" i="5"/>
  <c r="F182" i="6"/>
  <c r="D31" i="16"/>
  <c r="D32" i="16"/>
  <c r="F31" i="16"/>
  <c r="F32" i="16"/>
  <c r="G100" i="13"/>
  <c r="F100" i="13"/>
  <c r="D180" i="2"/>
  <c r="H83" i="14"/>
  <c r="F83" i="14"/>
  <c r="F179" i="7"/>
  <c r="G181" i="5"/>
  <c r="D182" i="4"/>
  <c r="F182" i="4"/>
  <c r="D174" i="9"/>
  <c r="F174" i="9"/>
  <c r="F181" i="6"/>
  <c r="G99" i="13"/>
  <c r="F99" i="13"/>
  <c r="F178" i="7"/>
  <c r="H82" i="14"/>
  <c r="F82" i="14"/>
  <c r="F181" i="4"/>
  <c r="G180" i="5"/>
  <c r="D152" i="11"/>
  <c r="F180" i="6"/>
  <c r="G98" i="13"/>
  <c r="F98" i="13"/>
  <c r="F173" i="9"/>
  <c r="H81" i="14"/>
  <c r="F81" i="14"/>
  <c r="F177" i="7"/>
  <c r="F180" i="4"/>
  <c r="G179" i="5"/>
  <c r="D179" i="5"/>
  <c r="F179" i="6"/>
  <c r="F30" i="16"/>
  <c r="G97" i="13"/>
  <c r="F97" i="13"/>
  <c r="F172" i="9"/>
  <c r="F176" i="7"/>
  <c r="D28" i="16"/>
  <c r="F28" i="16"/>
  <c r="F29" i="16"/>
  <c r="F178" i="6"/>
  <c r="H80" i="14"/>
  <c r="F80" i="14"/>
  <c r="F179" i="4"/>
  <c r="G178" i="5"/>
  <c r="F171" i="9"/>
  <c r="G96" i="13"/>
  <c r="F96" i="13"/>
  <c r="H79" i="14"/>
  <c r="F79" i="14"/>
  <c r="D176" i="2"/>
  <c r="D178" i="4"/>
  <c r="F178" i="4"/>
  <c r="G177" i="5"/>
  <c r="F175" i="7"/>
  <c r="F177" i="6"/>
  <c r="D27" i="16"/>
  <c r="F26" i="16"/>
  <c r="F27" i="16"/>
  <c r="D170" i="9"/>
  <c r="F170" i="9"/>
  <c r="G95" i="13"/>
  <c r="F95" i="13"/>
  <c r="D148" i="11"/>
  <c r="F174" i="7"/>
  <c r="H78" i="14"/>
  <c r="F176" i="6"/>
  <c r="F78" i="14"/>
  <c r="F177" i="4"/>
  <c r="G176" i="5"/>
  <c r="F168" i="9"/>
  <c r="F169" i="9"/>
  <c r="G93" i="13"/>
  <c r="G94" i="13"/>
  <c r="F94" i="13"/>
  <c r="D93" i="13"/>
  <c r="F93" i="13"/>
  <c r="G175" i="5"/>
  <c r="D175" i="5"/>
  <c r="H77" i="14"/>
  <c r="F77" i="14"/>
  <c r="F173" i="7"/>
  <c r="F175" i="6"/>
  <c r="D147" i="11"/>
  <c r="F176" i="4"/>
  <c r="F167" i="9"/>
  <c r="F175" i="4"/>
  <c r="F172" i="7"/>
  <c r="H76" i="14"/>
  <c r="F76" i="14"/>
  <c r="G174" i="5"/>
  <c r="F25" i="16"/>
  <c r="F24" i="16"/>
  <c r="D24" i="16"/>
  <c r="F23" i="16"/>
  <c r="D23" i="16"/>
  <c r="F22" i="16"/>
  <c r="F21" i="16"/>
  <c r="B8" i="16"/>
  <c r="G4" i="16"/>
  <c r="F174" i="6"/>
  <c r="G92" i="13"/>
  <c r="F92" i="13"/>
  <c r="H75" i="14"/>
  <c r="F75" i="14"/>
  <c r="D172" i="2"/>
  <c r="F174" i="4"/>
  <c r="F171" i="7"/>
  <c r="D166" i="9"/>
  <c r="F166" i="9"/>
  <c r="G173" i="5"/>
  <c r="F173" i="6"/>
  <c r="D173" i="6"/>
  <c r="G91" i="13"/>
  <c r="F91" i="13"/>
  <c r="D171" i="2"/>
  <c r="H74" i="14"/>
  <c r="F74" i="14"/>
  <c r="F170" i="7"/>
  <c r="G172" i="5"/>
  <c r="F173" i="4"/>
  <c r="F165" i="9"/>
  <c r="F171" i="6"/>
  <c r="F172" i="6"/>
  <c r="G90" i="13"/>
  <c r="F90" i="13"/>
  <c r="H73" i="14"/>
  <c r="F73" i="14"/>
  <c r="F169" i="7"/>
  <c r="F164" i="9"/>
  <c r="F172" i="4"/>
  <c r="G171" i="5"/>
  <c r="D171" i="5"/>
  <c r="H72" i="14"/>
  <c r="F72" i="14"/>
  <c r="G89" i="13"/>
  <c r="D89" i="13"/>
  <c r="F89" i="13"/>
  <c r="F171" i="4"/>
  <c r="F168" i="7"/>
  <c r="F163" i="9"/>
  <c r="G170" i="5"/>
  <c r="F170" i="6"/>
  <c r="D168" i="2"/>
  <c r="H71" i="14"/>
  <c r="F71" i="14"/>
  <c r="G88" i="13"/>
  <c r="F88" i="13"/>
  <c r="F170" i="4"/>
  <c r="D162" i="9"/>
  <c r="F162" i="9"/>
  <c r="G87" i="13"/>
  <c r="F87" i="13"/>
  <c r="F167" i="7"/>
  <c r="F169" i="6"/>
  <c r="H70" i="14"/>
  <c r="F70" i="14"/>
  <c r="G169" i="5"/>
  <c r="F166" i="7"/>
  <c r="F169" i="4"/>
  <c r="G168" i="5"/>
  <c r="G85" i="13"/>
  <c r="G86" i="13"/>
  <c r="F86" i="13"/>
  <c r="D85" i="13"/>
  <c r="F85" i="13"/>
  <c r="F161" i="9"/>
  <c r="H69" i="14"/>
  <c r="F69" i="14"/>
  <c r="F168" i="6"/>
  <c r="D139" i="11"/>
  <c r="F165" i="7"/>
  <c r="F168" i="4"/>
  <c r="G167" i="5"/>
  <c r="D167" i="5"/>
  <c r="F160" i="9"/>
  <c r="F167" i="6"/>
  <c r="F164" i="7"/>
  <c r="H68" i="14"/>
  <c r="F68" i="14"/>
  <c r="G166" i="5"/>
  <c r="F166" i="6"/>
  <c r="F159" i="9"/>
  <c r="D164" i="2"/>
  <c r="F167" i="4"/>
  <c r="G84" i="13"/>
  <c r="F84" i="13"/>
  <c r="H67" i="14"/>
  <c r="F67" i="14"/>
  <c r="F163" i="7"/>
  <c r="G165" i="5"/>
  <c r="F165" i="6"/>
  <c r="D165" i="6"/>
  <c r="F166" i="4"/>
  <c r="G83" i="13"/>
  <c r="F83" i="13"/>
  <c r="D158" i="9"/>
  <c r="F158" i="9"/>
  <c r="H66" i="14"/>
  <c r="F66" i="14"/>
  <c r="F162" i="7"/>
  <c r="G164" i="5"/>
  <c r="F157" i="9"/>
  <c r="F164" i="6"/>
  <c r="F165" i="4"/>
  <c r="G82" i="13"/>
  <c r="F82" i="13"/>
  <c r="D97" i="12"/>
  <c r="D135" i="11"/>
  <c r="H65" i="14"/>
  <c r="F65" i="14"/>
  <c r="F161" i="7"/>
  <c r="F156" i="9"/>
  <c r="G163" i="5"/>
  <c r="D163" i="5"/>
  <c r="F163" i="6"/>
  <c r="F164" i="4"/>
  <c r="G81" i="13"/>
  <c r="D81" i="13"/>
  <c r="F81" i="13"/>
  <c r="H64" i="14"/>
  <c r="F64" i="14"/>
  <c r="F160" i="7"/>
  <c r="F155" i="9"/>
  <c r="G161" i="5"/>
  <c r="G162" i="5"/>
  <c r="F162" i="6"/>
  <c r="F163" i="4"/>
  <c r="D160" i="2"/>
  <c r="G80" i="13"/>
  <c r="F80" i="13"/>
  <c r="F162" i="4"/>
  <c r="D154" i="9"/>
  <c r="F154" i="9"/>
  <c r="H63" i="14"/>
  <c r="F63" i="14"/>
  <c r="F159" i="7"/>
  <c r="F161" i="6"/>
  <c r="F153" i="9"/>
  <c r="G79" i="13"/>
  <c r="F79" i="13"/>
  <c r="D132" i="11"/>
  <c r="H62" i="14"/>
  <c r="F62" i="14"/>
  <c r="F161" i="4"/>
  <c r="F158" i="7"/>
  <c r="G160" i="5"/>
  <c r="F160" i="4"/>
  <c r="F160" i="6"/>
  <c r="G78" i="13"/>
  <c r="F78" i="13"/>
  <c r="F159" i="6"/>
  <c r="F157" i="7"/>
  <c r="H61" i="14"/>
  <c r="F61" i="14"/>
  <c r="G158" i="5"/>
  <c r="G159" i="5"/>
  <c r="D159" i="5"/>
  <c r="F152" i="9"/>
  <c r="F158" i="6"/>
  <c r="F156" i="7"/>
  <c r="G77" i="13"/>
  <c r="F77" i="13"/>
  <c r="H60" i="14"/>
  <c r="F60" i="14"/>
  <c r="D150" i="9"/>
  <c r="F150" i="9"/>
  <c r="F151" i="9"/>
  <c r="F159" i="4"/>
  <c r="D156" i="2"/>
  <c r="G76" i="13"/>
  <c r="F76" i="13"/>
  <c r="H59" i="14"/>
  <c r="F59" i="14"/>
  <c r="F155" i="7"/>
  <c r="G157" i="5"/>
  <c r="F157" i="6"/>
  <c r="D158" i="4"/>
  <c r="F158" i="4"/>
  <c r="G75" i="13"/>
  <c r="F75" i="13"/>
  <c r="H58" i="14"/>
  <c r="F58" i="14"/>
  <c r="F154" i="7"/>
  <c r="F156" i="6"/>
  <c r="G156" i="5"/>
  <c r="F157" i="4"/>
  <c r="F149" i="9"/>
  <c r="G74" i="13"/>
  <c r="F74" i="13"/>
  <c r="F153" i="7"/>
  <c r="F142" i="10"/>
  <c r="D142" i="10"/>
  <c r="F148" i="9"/>
  <c r="H57" i="14"/>
  <c r="F57" i="14"/>
  <c r="G155" i="5"/>
  <c r="D155" i="5"/>
  <c r="F155" i="6"/>
  <c r="D150" i="8"/>
  <c r="F150" i="8"/>
  <c r="H56" i="14"/>
  <c r="F56" i="14"/>
  <c r="F156" i="4"/>
  <c r="G73" i="13"/>
  <c r="F73" i="13"/>
  <c r="F141" i="10"/>
  <c r="F152" i="7"/>
  <c r="F154" i="6"/>
  <c r="G154" i="5"/>
  <c r="F147" i="9"/>
  <c r="F155" i="4"/>
  <c r="D87" i="12"/>
  <c r="F149" i="8"/>
  <c r="D152" i="2"/>
  <c r="G72" i="13"/>
  <c r="F72" i="13"/>
  <c r="H55" i="14"/>
  <c r="F55" i="14"/>
  <c r="F140" i="10"/>
  <c r="F151" i="7"/>
  <c r="G153" i="5"/>
  <c r="F153" i="6"/>
  <c r="F154" i="4"/>
  <c r="D146" i="9"/>
  <c r="F146" i="9"/>
  <c r="F148" i="8"/>
  <c r="G71" i="13"/>
  <c r="F71" i="13"/>
  <c r="H54" i="14"/>
  <c r="F54" i="14"/>
  <c r="F150" i="7"/>
  <c r="F139" i="10"/>
  <c r="F145" i="9"/>
  <c r="G152" i="5"/>
  <c r="F152" i="6"/>
  <c r="F153" i="4"/>
  <c r="F147" i="8"/>
  <c r="G70" i="13"/>
  <c r="F70" i="13"/>
  <c r="F138" i="10"/>
  <c r="D138" i="10"/>
  <c r="G151" i="5"/>
  <c r="D151" i="5"/>
  <c r="H53" i="14"/>
  <c r="F53" i="14"/>
  <c r="F144" i="9"/>
  <c r="F149" i="7"/>
  <c r="F151" i="6"/>
  <c r="F152" i="4"/>
  <c r="F137" i="10"/>
  <c r="G69" i="13"/>
  <c r="D69" i="13"/>
  <c r="F69" i="13"/>
  <c r="D146" i="8"/>
  <c r="F146" i="8"/>
  <c r="F143" i="9"/>
  <c r="F148" i="7"/>
  <c r="H52" i="14"/>
  <c r="D137" i="10"/>
  <c r="F150" i="6"/>
  <c r="F151" i="4"/>
  <c r="D148" i="2"/>
  <c r="G68" i="13"/>
  <c r="F145" i="8"/>
  <c r="F136" i="10"/>
  <c r="F147" i="7"/>
  <c r="F149" i="6"/>
  <c r="D149" i="6"/>
  <c r="F52" i="14"/>
  <c r="F51" i="14"/>
  <c r="D142" i="9"/>
  <c r="F142" i="9"/>
  <c r="F150" i="4"/>
  <c r="G67" i="13"/>
  <c r="F67" i="13"/>
  <c r="F68" i="13"/>
  <c r="F50" i="14"/>
  <c r="F144" i="8"/>
  <c r="F135" i="10"/>
  <c r="F146" i="7"/>
  <c r="D120" i="11"/>
  <c r="D140" i="9"/>
  <c r="F140" i="9"/>
  <c r="F141" i="9"/>
  <c r="F148" i="6"/>
  <c r="F149" i="4"/>
  <c r="F143" i="8"/>
  <c r="F66" i="13"/>
  <c r="F134" i="10"/>
  <c r="D134" i="10"/>
  <c r="F145" i="7"/>
  <c r="F147" i="6"/>
  <c r="F48" i="14"/>
  <c r="F49" i="14"/>
  <c r="D147" i="5"/>
  <c r="F147" i="4"/>
  <c r="F148" i="4"/>
  <c r="F146" i="6"/>
  <c r="D142" i="8"/>
  <c r="F142" i="8"/>
  <c r="F65" i="13"/>
  <c r="H144" i="7"/>
  <c r="I145" i="6"/>
  <c r="F133" i="10"/>
  <c r="F146" i="4"/>
  <c r="D139" i="9"/>
  <c r="F139" i="9"/>
  <c r="F47" i="14"/>
  <c r="F141" i="8"/>
  <c r="F64" i="13"/>
  <c r="D144" i="2"/>
  <c r="F131" i="10"/>
  <c r="F132" i="10"/>
  <c r="F143" i="7"/>
  <c r="D138" i="9"/>
  <c r="F138" i="9"/>
  <c r="F46" i="14"/>
  <c r="F63" i="13"/>
  <c r="F140" i="8"/>
  <c r="F142" i="7"/>
  <c r="F144" i="6"/>
  <c r="F137" i="9"/>
  <c r="F145" i="4"/>
  <c r="F45" i="14"/>
  <c r="F62" i="13"/>
  <c r="F139" i="8"/>
  <c r="F141" i="7"/>
  <c r="F130" i="10"/>
  <c r="D130" i="10"/>
  <c r="D77" i="12"/>
  <c r="D143" i="5"/>
  <c r="F135" i="9"/>
  <c r="F136" i="9"/>
  <c r="F143" i="6"/>
  <c r="D143" i="6"/>
  <c r="F144" i="4"/>
  <c r="D138" i="8"/>
  <c r="F138" i="8"/>
  <c r="F44" i="14"/>
  <c r="F61" i="13"/>
  <c r="F129" i="10"/>
  <c r="F140" i="7"/>
  <c r="F143" i="4"/>
  <c r="F142" i="6"/>
  <c r="D140" i="2"/>
  <c r="F137" i="8"/>
  <c r="F60" i="13"/>
  <c r="F43" i="14"/>
  <c r="F139" i="7"/>
  <c r="D134" i="9"/>
  <c r="F134" i="9"/>
  <c r="F127" i="10"/>
  <c r="F128" i="10"/>
  <c r="F141" i="6"/>
  <c r="F142" i="4"/>
  <c r="F42" i="14"/>
  <c r="D59" i="13"/>
  <c r="F59" i="13"/>
  <c r="F136" i="8"/>
  <c r="F138" i="7"/>
  <c r="F133" i="9"/>
  <c r="F140" i="6"/>
  <c r="F141" i="4"/>
  <c r="F58" i="13"/>
  <c r="F41" i="14"/>
  <c r="F132" i="9"/>
  <c r="F135" i="8"/>
  <c r="F116" i="10"/>
  <c r="F117" i="10"/>
  <c r="F118" i="10"/>
  <c r="F119" i="10"/>
  <c r="F120" i="10"/>
  <c r="F121" i="10"/>
  <c r="F122" i="10"/>
  <c r="F123" i="10"/>
  <c r="F124" i="10"/>
  <c r="F125" i="10"/>
  <c r="F126" i="10"/>
  <c r="D126" i="10"/>
  <c r="F137" i="7"/>
  <c r="F140" i="4"/>
  <c r="F139" i="6"/>
  <c r="D134" i="8"/>
  <c r="F134" i="8"/>
  <c r="D139" i="5"/>
  <c r="F131" i="9"/>
  <c r="F57" i="13"/>
  <c r="D136" i="7"/>
  <c r="F136" i="7"/>
  <c r="F40" i="14"/>
  <c r="F133" i="8"/>
  <c r="F139" i="4"/>
  <c r="F138" i="6"/>
  <c r="D136" i="2"/>
  <c r="F56" i="13"/>
  <c r="F137" i="6"/>
  <c r="F135" i="6"/>
  <c r="F136" i="6"/>
  <c r="F39" i="14"/>
  <c r="D130" i="9"/>
  <c r="F130" i="9"/>
  <c r="F135" i="7"/>
  <c r="D138" i="4"/>
  <c r="F138" i="4"/>
  <c r="D132" i="8"/>
  <c r="F132" i="8"/>
  <c r="F38" i="14"/>
  <c r="F55" i="13"/>
  <c r="F129" i="9"/>
  <c r="D108" i="11"/>
  <c r="F134" i="7"/>
  <c r="F137" i="4"/>
  <c r="F131" i="8"/>
  <c r="D122" i="10"/>
  <c r="F54" i="13"/>
  <c r="D135" i="6"/>
  <c r="F37" i="14"/>
  <c r="F133" i="7"/>
  <c r="F128" i="9"/>
  <c r="F134" i="6"/>
  <c r="F136" i="4"/>
  <c r="D130" i="8"/>
  <c r="F130" i="8"/>
  <c r="D53" i="13"/>
  <c r="F53" i="13"/>
  <c r="F36" i="14"/>
  <c r="F132" i="7"/>
  <c r="F127" i="9"/>
  <c r="F135" i="4"/>
  <c r="F52" i="13"/>
  <c r="D135" i="5"/>
  <c r="F35" i="14"/>
  <c r="D132" i="2"/>
  <c r="F131" i="7"/>
  <c r="D129" i="8"/>
  <c r="F129" i="8"/>
  <c r="D126" i="9"/>
  <c r="F126" i="9"/>
  <c r="F133" i="6"/>
  <c r="D133" i="6"/>
  <c r="F134" i="4"/>
  <c r="D128" i="8"/>
  <c r="F128" i="8"/>
  <c r="F51" i="13"/>
  <c r="F34" i="14"/>
  <c r="F132" i="6"/>
  <c r="F130" i="7"/>
  <c r="D125" i="9"/>
  <c r="F125" i="9"/>
  <c r="F130" i="6"/>
  <c r="F131" i="6"/>
  <c r="F133" i="4"/>
  <c r="F33" i="14"/>
  <c r="F124" i="9"/>
  <c r="F127" i="8"/>
  <c r="F50" i="13"/>
  <c r="D118" i="10"/>
  <c r="F129" i="7"/>
  <c r="D131" i="5"/>
  <c r="D126" i="8"/>
  <c r="F126" i="8"/>
  <c r="F32" i="14"/>
  <c r="F132" i="4"/>
  <c r="F49" i="13"/>
  <c r="D128" i="7"/>
  <c r="F128" i="7"/>
  <c r="F123" i="9"/>
  <c r="F129" i="6"/>
  <c r="F124" i="8"/>
  <c r="F125" i="8"/>
  <c r="F131" i="4"/>
  <c r="F30" i="14"/>
  <c r="F31" i="14"/>
  <c r="D128" i="2"/>
  <c r="F48" i="13"/>
  <c r="F127" i="7"/>
  <c r="D122" i="9"/>
  <c r="F122" i="9"/>
  <c r="F128" i="6"/>
  <c r="F47" i="13"/>
  <c r="F115" i="10"/>
  <c r="F126" i="7"/>
  <c r="F130" i="4"/>
  <c r="F129" i="4"/>
  <c r="F121" i="9"/>
  <c r="F123" i="8"/>
  <c r="D99" i="11"/>
  <c r="F127" i="6"/>
  <c r="D127" i="6"/>
  <c r="D122" i="8"/>
  <c r="F122" i="8"/>
  <c r="F28" i="14"/>
  <c r="F29" i="14"/>
  <c r="F45" i="13"/>
  <c r="F46" i="13"/>
  <c r="F114" i="10"/>
  <c r="D114" i="10"/>
  <c r="F125" i="7"/>
  <c r="D127" i="5"/>
  <c r="F119" i="9"/>
  <c r="F120" i="9"/>
  <c r="F126" i="6"/>
  <c r="F128" i="4"/>
  <c r="F124" i="7"/>
  <c r="F113" i="10"/>
  <c r="F127" i="4"/>
  <c r="F27" i="14"/>
  <c r="F121" i="8"/>
  <c r="F125" i="6"/>
  <c r="D125" i="6"/>
  <c r="F123" i="7"/>
  <c r="F112" i="10"/>
  <c r="D124" i="2"/>
  <c r="F44" i="13"/>
  <c r="D118" i="9"/>
  <c r="F118" i="9"/>
  <c r="F126" i="4"/>
  <c r="F111" i="10"/>
  <c r="F124" i="6"/>
  <c r="F125" i="4"/>
  <c r="D120" i="8"/>
  <c r="F119" i="8"/>
  <c r="F120" i="8"/>
  <c r="F110" i="10"/>
  <c r="D110" i="10"/>
  <c r="F116" i="9"/>
  <c r="F117" i="9"/>
  <c r="F42" i="13"/>
  <c r="F43" i="13"/>
  <c r="F25" i="14"/>
  <c r="F26" i="14"/>
  <c r="F121" i="7"/>
  <c r="F122" i="7"/>
  <c r="F123" i="6"/>
  <c r="D123" i="5"/>
  <c r="F124" i="4"/>
  <c r="D118" i="8"/>
  <c r="F118" i="8"/>
  <c r="F109" i="10"/>
  <c r="D109" i="10"/>
  <c r="F24" i="14"/>
  <c r="D41" i="13"/>
  <c r="F41" i="13"/>
  <c r="F115" i="9"/>
  <c r="F120" i="7"/>
  <c r="F123" i="4"/>
  <c r="F117" i="8"/>
  <c r="D120" i="2"/>
  <c r="F121" i="6"/>
  <c r="F122" i="6"/>
  <c r="F40" i="13"/>
  <c r="F122" i="4"/>
  <c r="F108" i="10"/>
  <c r="F119" i="7"/>
  <c r="D121" i="6"/>
  <c r="D114" i="9"/>
  <c r="F114" i="9"/>
  <c r="F116" i="8"/>
  <c r="F107" i="10"/>
  <c r="F39" i="13"/>
  <c r="F118" i="7"/>
  <c r="F23" i="14"/>
  <c r="F120" i="6"/>
  <c r="F113" i="9"/>
  <c r="F121" i="4"/>
  <c r="F115" i="8"/>
  <c r="F38" i="13"/>
  <c r="F106" i="10"/>
  <c r="D106" i="10"/>
  <c r="F22" i="14"/>
  <c r="F21" i="14"/>
  <c r="B8" i="14"/>
  <c r="G4" i="14"/>
  <c r="F120" i="4"/>
  <c r="F117" i="7"/>
  <c r="D91" i="11"/>
  <c r="D119" i="5"/>
  <c r="D114" i="8"/>
  <c r="F114" i="8"/>
  <c r="D112" i="9"/>
  <c r="F112" i="9"/>
  <c r="D37" i="13"/>
  <c r="F37" i="13"/>
  <c r="F119" i="6"/>
  <c r="F116" i="7"/>
  <c r="F104" i="10"/>
  <c r="F105" i="10"/>
  <c r="D110" i="9"/>
  <c r="F110" i="9"/>
  <c r="F111" i="9"/>
  <c r="F117" i="6"/>
  <c r="F118" i="6"/>
  <c r="F119" i="4"/>
  <c r="F113" i="8"/>
  <c r="F36" i="13"/>
  <c r="F115" i="7"/>
  <c r="D116" i="2"/>
  <c r="F103" i="10"/>
  <c r="F118" i="4"/>
  <c r="F112" i="8"/>
  <c r="F35" i="13"/>
  <c r="F114" i="7"/>
  <c r="D103" i="10"/>
  <c r="F116" i="6"/>
  <c r="F117" i="4"/>
  <c r="F109" i="9"/>
  <c r="F108" i="9"/>
  <c r="F111" i="8"/>
  <c r="F34" i="13"/>
  <c r="F101" i="10"/>
  <c r="F102" i="10"/>
  <c r="D102" i="10"/>
  <c r="F113" i="7"/>
  <c r="F115" i="6"/>
  <c r="F116" i="4"/>
  <c r="D110" i="8"/>
  <c r="F110" i="8"/>
  <c r="F100" i="10"/>
  <c r="D115" i="5"/>
  <c r="F33" i="13"/>
  <c r="F107" i="9"/>
  <c r="F112" i="7"/>
  <c r="F115" i="4"/>
  <c r="F109" i="8"/>
  <c r="F114" i="6"/>
  <c r="F32" i="13"/>
  <c r="D112" i="2"/>
  <c r="D106" i="9"/>
  <c r="F106" i="9"/>
  <c r="F113" i="6"/>
  <c r="D113" i="6"/>
  <c r="F111" i="7"/>
  <c r="F114" i="4"/>
  <c r="F31" i="13"/>
  <c r="D108" i="8"/>
  <c r="F108" i="8"/>
  <c r="F110" i="7"/>
  <c r="F99" i="10"/>
  <c r="F113" i="4"/>
  <c r="F105" i="9"/>
  <c r="F107" i="8"/>
  <c r="F112" i="6"/>
  <c r="F30" i="13"/>
  <c r="F98" i="10"/>
  <c r="D98" i="10"/>
  <c r="F109" i="7"/>
  <c r="F112" i="4"/>
  <c r="D83" i="11"/>
  <c r="F104" i="9"/>
  <c r="F111" i="6"/>
  <c r="D106" i="8"/>
  <c r="F106" i="8"/>
  <c r="F111" i="4"/>
  <c r="F97" i="10"/>
  <c r="D29" i="13"/>
  <c r="F29" i="13"/>
  <c r="F103" i="9"/>
  <c r="F108" i="7"/>
  <c r="F105" i="8"/>
  <c r="D111" i="5"/>
  <c r="F110" i="6"/>
  <c r="F28" i="13"/>
  <c r="F96" i="10"/>
  <c r="F107" i="7"/>
  <c r="D108" i="2"/>
  <c r="F109" i="6"/>
  <c r="D109" i="6"/>
  <c r="F110" i="4"/>
  <c r="D102" i="9"/>
  <c r="F102" i="9"/>
  <c r="F106" i="7"/>
  <c r="F108" i="6"/>
  <c r="F27" i="13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22" i="10"/>
  <c r="F21" i="10"/>
  <c r="F95" i="10"/>
  <c r="F94" i="10"/>
  <c r="J93" i="10"/>
  <c r="F104" i="8"/>
  <c r="F103" i="8"/>
  <c r="F109" i="4"/>
  <c r="F101" i="9"/>
  <c r="F100" i="9"/>
  <c r="F105" i="7"/>
  <c r="D94" i="10"/>
  <c r="F26" i="13"/>
  <c r="F107" i="6"/>
  <c r="F108" i="4"/>
  <c r="D93" i="10"/>
  <c r="F104" i="7"/>
  <c r="F107" i="4"/>
  <c r="D102" i="8"/>
  <c r="F101" i="8"/>
  <c r="F102" i="8"/>
  <c r="F99" i="9"/>
  <c r="F106" i="6"/>
  <c r="D107" i="5"/>
  <c r="F103" i="7"/>
  <c r="F100" i="8"/>
  <c r="F102" i="7"/>
  <c r="F105" i="6"/>
  <c r="D105" i="6"/>
  <c r="D98" i="9"/>
  <c r="F97" i="9"/>
  <c r="F98" i="9"/>
  <c r="D104" i="2"/>
  <c r="D106" i="4"/>
  <c r="F106" i="4"/>
  <c r="F104" i="6"/>
  <c r="D91" i="10"/>
  <c r="F105" i="4"/>
  <c r="F99" i="8"/>
  <c r="F96" i="9"/>
  <c r="F101" i="7"/>
  <c r="F104" i="4"/>
  <c r="D90" i="10"/>
  <c r="D75" i="11"/>
  <c r="F103" i="6"/>
  <c r="F25" i="13"/>
  <c r="F24" i="13"/>
  <c r="F23" i="13"/>
  <c r="F22" i="13"/>
  <c r="F21" i="13"/>
  <c r="D21" i="13"/>
  <c r="B8" i="13"/>
  <c r="G4" i="13"/>
  <c r="D98" i="8"/>
  <c r="F98" i="8"/>
  <c r="D103" i="5"/>
  <c r="F100" i="7"/>
  <c r="F99" i="6"/>
  <c r="F100" i="6"/>
  <c r="F101" i="6"/>
  <c r="F102" i="6"/>
  <c r="F95" i="9"/>
  <c r="F103" i="4"/>
  <c r="D35" i="12"/>
  <c r="D87" i="10"/>
  <c r="F98" i="7"/>
  <c r="F99" i="7"/>
  <c r="D86" i="10"/>
  <c r="D94" i="8"/>
  <c r="F94" i="8"/>
  <c r="F95" i="8"/>
  <c r="F96" i="8"/>
  <c r="F97" i="8"/>
  <c r="D99" i="5"/>
  <c r="D94" i="9"/>
  <c r="F93" i="9"/>
  <c r="F94" i="9"/>
  <c r="F91" i="9"/>
  <c r="F92" i="9"/>
  <c r="F96" i="7"/>
  <c r="F97" i="7"/>
  <c r="F95" i="7"/>
  <c r="F98" i="6"/>
  <c r="D100" i="2"/>
  <c r="F99" i="4"/>
  <c r="F100" i="4"/>
  <c r="F101" i="4"/>
  <c r="F102" i="4"/>
  <c r="F93" i="8"/>
  <c r="D96" i="2"/>
  <c r="F97" i="6"/>
  <c r="D90" i="9"/>
  <c r="F90" i="9"/>
  <c r="F95" i="6"/>
  <c r="F96" i="6"/>
  <c r="F98" i="4"/>
  <c r="F89" i="9"/>
  <c r="F91" i="8"/>
  <c r="F92" i="8"/>
  <c r="F97" i="4"/>
  <c r="F93" i="7"/>
  <c r="F94" i="7"/>
  <c r="D67" i="11"/>
  <c r="D68" i="11"/>
  <c r="D82" i="10"/>
  <c r="D90" i="8"/>
  <c r="F90" i="8"/>
  <c r="D95" i="5"/>
  <c r="F88" i="9"/>
  <c r="D28" i="12"/>
  <c r="F96" i="4"/>
  <c r="F92" i="7"/>
  <c r="F94" i="6"/>
  <c r="F87" i="9"/>
  <c r="F95" i="4"/>
  <c r="F89" i="8"/>
  <c r="D86" i="9"/>
  <c r="F86" i="9"/>
  <c r="F94" i="4"/>
  <c r="F91" i="7"/>
  <c r="F90" i="7"/>
  <c r="F93" i="6"/>
  <c r="D88" i="8"/>
  <c r="F88" i="8"/>
  <c r="D92" i="2"/>
  <c r="D64" i="11"/>
  <c r="F90" i="6"/>
  <c r="F91" i="6"/>
  <c r="F92" i="6"/>
  <c r="F85" i="9"/>
  <c r="F93" i="4"/>
  <c r="F89" i="7"/>
  <c r="D78" i="10"/>
  <c r="F87" i="8"/>
  <c r="F88" i="7"/>
  <c r="F84" i="9"/>
  <c r="F92" i="4"/>
  <c r="D91" i="5"/>
  <c r="D86" i="8"/>
  <c r="F86" i="8"/>
  <c r="F85" i="8"/>
  <c r="F83" i="9"/>
  <c r="F91" i="4"/>
  <c r="F87" i="7"/>
  <c r="F89" i="6"/>
  <c r="D88" i="2"/>
  <c r="F90" i="4"/>
  <c r="F84" i="8"/>
  <c r="D82" i="9"/>
  <c r="F81" i="9"/>
  <c r="F82" i="9"/>
  <c r="B8" i="12"/>
  <c r="G4" i="12"/>
  <c r="F86" i="7"/>
  <c r="F88" i="6"/>
  <c r="F89" i="4"/>
  <c r="F80" i="9"/>
  <c r="F83" i="8"/>
  <c r="F87" i="6"/>
  <c r="F85" i="7"/>
  <c r="D74" i="10"/>
  <c r="F88" i="4"/>
  <c r="F86" i="6"/>
  <c r="F87" i="4"/>
  <c r="F83" i="7"/>
  <c r="F84" i="7"/>
  <c r="D82" i="8"/>
  <c r="F81" i="8"/>
  <c r="F82" i="8"/>
  <c r="D78" i="9"/>
  <c r="F78" i="9"/>
  <c r="F79" i="9"/>
  <c r="D87" i="5"/>
  <c r="D84" i="2"/>
  <c r="F85" i="6"/>
  <c r="D85" i="6"/>
  <c r="F86" i="4"/>
  <c r="F80" i="8"/>
  <c r="F82" i="7"/>
  <c r="F77" i="9"/>
  <c r="F85" i="4"/>
  <c r="F81" i="7"/>
  <c r="F83" i="6"/>
  <c r="F84" i="6"/>
  <c r="F79" i="8"/>
  <c r="D70" i="10"/>
  <c r="F84" i="4"/>
  <c r="D83" i="5"/>
  <c r="D78" i="8"/>
  <c r="F78" i="8"/>
  <c r="F76" i="9"/>
  <c r="F75" i="9"/>
  <c r="F80" i="7"/>
  <c r="F83" i="4"/>
  <c r="F82" i="6"/>
  <c r="F81" i="6"/>
  <c r="D69" i="10"/>
  <c r="D80" i="2"/>
  <c r="F82" i="4"/>
  <c r="D74" i="9"/>
  <c r="F73" i="9"/>
  <c r="F74" i="9"/>
  <c r="F76" i="8"/>
  <c r="F77" i="8"/>
  <c r="D81" i="6"/>
  <c r="F81" i="4"/>
  <c r="F77" i="7"/>
  <c r="F78" i="7"/>
  <c r="F79" i="7"/>
  <c r="F75" i="8"/>
  <c r="D66" i="10"/>
  <c r="F72" i="9"/>
  <c r="F80" i="4"/>
  <c r="D79" i="6"/>
  <c r="F76" i="7"/>
  <c r="D74" i="8"/>
  <c r="F74" i="8"/>
  <c r="D79" i="5"/>
  <c r="F71" i="9"/>
  <c r="D70" i="9"/>
  <c r="F70" i="9"/>
  <c r="F73" i="8"/>
  <c r="F75" i="7"/>
  <c r="D77" i="6"/>
  <c r="D76" i="2"/>
  <c r="F78" i="4"/>
  <c r="F79" i="4"/>
  <c r="F74" i="7"/>
  <c r="F72" i="8"/>
  <c r="F77" i="4"/>
  <c r="F69" i="9"/>
  <c r="F73" i="7"/>
  <c r="F71" i="8"/>
  <c r="D75" i="6"/>
  <c r="D62" i="10"/>
  <c r="D47" i="11"/>
  <c r="F76" i="4"/>
  <c r="D75" i="5"/>
  <c r="D70" i="8"/>
  <c r="F70" i="8"/>
  <c r="D68" i="9"/>
  <c r="F68" i="9"/>
  <c r="F72" i="7"/>
  <c r="F69" i="8"/>
  <c r="F75" i="4"/>
  <c r="F67" i="9"/>
  <c r="F71" i="7"/>
  <c r="D73" i="6"/>
  <c r="D72" i="2"/>
  <c r="F74" i="4"/>
  <c r="D66" i="9"/>
  <c r="F66" i="9"/>
  <c r="D68" i="8"/>
  <c r="F68" i="8"/>
  <c r="F70" i="7"/>
  <c r="F73" i="4"/>
  <c r="F65" i="9"/>
  <c r="F69" i="7"/>
  <c r="F72" i="4"/>
  <c r="F68" i="7"/>
  <c r="D66" i="8"/>
  <c r="F66" i="8"/>
  <c r="F67" i="8"/>
  <c r="D71" i="5"/>
  <c r="F64" i="9"/>
  <c r="D58" i="10"/>
  <c r="F71" i="4"/>
  <c r="F65" i="8"/>
  <c r="D62" i="9"/>
  <c r="F62" i="9"/>
  <c r="F63" i="9"/>
  <c r="F67" i="7"/>
  <c r="D69" i="6"/>
  <c r="D68" i="2"/>
  <c r="D64" i="8"/>
  <c r="F64" i="8"/>
  <c r="F70" i="4"/>
  <c r="F66" i="7"/>
  <c r="F69" i="4"/>
  <c r="D54" i="10"/>
  <c r="F63" i="8"/>
  <c r="F61" i="9"/>
  <c r="F65" i="7"/>
  <c r="F68" i="4"/>
  <c r="F60" i="9"/>
  <c r="D62" i="8"/>
  <c r="F62" i="8"/>
  <c r="F64" i="7"/>
  <c r="F67" i="4"/>
  <c r="F59" i="9"/>
  <c r="D67" i="5"/>
  <c r="F63" i="7"/>
  <c r="D64" i="2"/>
  <c r="F61" i="8"/>
  <c r="D58" i="9"/>
  <c r="F58" i="9"/>
  <c r="F66" i="4"/>
  <c r="F62" i="7"/>
  <c r="D60" i="8"/>
  <c r="F60" i="8"/>
  <c r="D51" i="10"/>
  <c r="F65" i="4"/>
  <c r="D36" i="11"/>
  <c r="F57" i="9"/>
  <c r="F59" i="8"/>
  <c r="D56" i="9"/>
  <c r="F56" i="9"/>
  <c r="F61" i="7"/>
  <c r="D50" i="10"/>
  <c r="F64" i="4"/>
  <c r="D49" i="10"/>
  <c r="D63" i="5"/>
  <c r="F63" i="4"/>
  <c r="F60" i="7"/>
  <c r="D58" i="8"/>
  <c r="F58" i="8"/>
  <c r="F55" i="9"/>
  <c r="F59" i="7"/>
  <c r="D60" i="2"/>
  <c r="F57" i="8"/>
  <c r="D54" i="9"/>
  <c r="F54" i="9"/>
  <c r="F62" i="4"/>
  <c r="F56" i="8"/>
  <c r="F58" i="7"/>
  <c r="F61" i="4"/>
  <c r="F53" i="9"/>
  <c r="F55" i="8"/>
  <c r="F57" i="7"/>
  <c r="F60" i="4"/>
  <c r="D59" i="5"/>
  <c r="D46" i="10"/>
  <c r="F52" i="9"/>
  <c r="D54" i="8"/>
  <c r="F54" i="8"/>
  <c r="D56" i="7"/>
  <c r="F56" i="7"/>
  <c r="F59" i="4"/>
  <c r="F51" i="9"/>
  <c r="F53" i="8"/>
  <c r="F55" i="7"/>
  <c r="D56" i="2"/>
  <c r="F58" i="4"/>
  <c r="D50" i="9"/>
  <c r="F50" i="9"/>
  <c r="F52" i="8"/>
  <c r="F54" i="7"/>
  <c r="D42" i="10"/>
  <c r="F51" i="8"/>
  <c r="F57" i="4"/>
  <c r="F49" i="9"/>
  <c r="F53" i="7"/>
  <c r="D56" i="4"/>
  <c r="F56" i="4"/>
  <c r="D27" i="11"/>
  <c r="F48" i="9"/>
  <c r="F52" i="7"/>
  <c r="F47" i="9"/>
  <c r="D50" i="8"/>
  <c r="F50" i="8"/>
  <c r="D49" i="8"/>
  <c r="F49" i="8"/>
  <c r="F55" i="4"/>
  <c r="D55" i="5"/>
  <c r="F51" i="7"/>
  <c r="D52" i="2"/>
  <c r="F54" i="4"/>
  <c r="D46" i="9"/>
  <c r="F46" i="9"/>
  <c r="F48" i="8"/>
  <c r="F50" i="7"/>
  <c r="F53" i="4"/>
  <c r="F45" i="9"/>
  <c r="D51" i="6"/>
  <c r="F44" i="9"/>
  <c r="F52" i="4"/>
  <c r="F48" i="7"/>
  <c r="F49" i="7"/>
  <c r="D38" i="10"/>
  <c r="D46" i="8"/>
  <c r="F46" i="8"/>
  <c r="F47" i="8"/>
  <c r="D51" i="5"/>
  <c r="F51" i="4"/>
  <c r="F43" i="9"/>
  <c r="F45" i="8"/>
  <c r="F47" i="7"/>
  <c r="D48" i="2"/>
  <c r="F50" i="4"/>
  <c r="F44" i="8"/>
  <c r="D42" i="9"/>
  <c r="F42" i="9"/>
  <c r="D41" i="9"/>
  <c r="F41" i="9"/>
  <c r="F46" i="7"/>
  <c r="F49" i="4"/>
  <c r="F40" i="9"/>
  <c r="F43" i="8"/>
  <c r="F45" i="7"/>
  <c r="D47" i="6"/>
  <c r="F48" i="4"/>
  <c r="D34" i="10"/>
  <c r="F44" i="7"/>
  <c r="F39" i="9"/>
  <c r="D42" i="8"/>
  <c r="F42" i="8"/>
  <c r="D47" i="5"/>
  <c r="F47" i="4"/>
  <c r="F41" i="8"/>
  <c r="D44" i="2"/>
  <c r="F43" i="7"/>
  <c r="G4" i="11"/>
  <c r="F46" i="4"/>
  <c r="F40" i="8"/>
  <c r="D38" i="9"/>
  <c r="F38" i="9"/>
  <c r="F42" i="7"/>
  <c r="F37" i="9"/>
  <c r="F45" i="4"/>
  <c r="D30" i="10"/>
  <c r="F39" i="8"/>
  <c r="F41" i="7"/>
  <c r="D43" i="5"/>
  <c r="D38" i="8"/>
  <c r="F38" i="8"/>
  <c r="D36" i="9"/>
  <c r="F36" i="9"/>
  <c r="F35" i="9"/>
  <c r="F40" i="7"/>
  <c r="F44" i="4"/>
  <c r="F43" i="4"/>
  <c r="F35" i="8"/>
  <c r="F36" i="8"/>
  <c r="F37" i="8"/>
  <c r="F37" i="7"/>
  <c r="F38" i="7"/>
  <c r="F39" i="7"/>
  <c r="D34" i="9"/>
  <c r="F32" i="9"/>
  <c r="F33" i="9"/>
  <c r="F34" i="9"/>
  <c r="F40" i="4"/>
  <c r="F41" i="4"/>
  <c r="F42" i="4"/>
  <c r="D40" i="2"/>
  <c r="D39" i="5"/>
  <c r="D34" i="8"/>
  <c r="F34" i="8"/>
  <c r="F31" i="9"/>
  <c r="F36" i="7"/>
  <c r="F39" i="4"/>
  <c r="F33" i="8"/>
  <c r="F35" i="7"/>
  <c r="D36" i="2"/>
  <c r="D37" i="6"/>
  <c r="D30" i="9"/>
  <c r="F30" i="9"/>
  <c r="F38" i="4"/>
  <c r="F32" i="8"/>
  <c r="F34" i="7"/>
  <c r="F29" i="9"/>
  <c r="F37" i="4"/>
  <c r="F31" i="8"/>
  <c r="F33" i="7"/>
  <c r="F36" i="4"/>
  <c r="D35" i="5"/>
  <c r="D30" i="8"/>
  <c r="F30" i="8"/>
  <c r="F32" i="7"/>
  <c r="F28" i="9"/>
  <c r="F35" i="4"/>
  <c r="F27" i="9"/>
  <c r="D29" i="8"/>
  <c r="F29" i="8"/>
  <c r="D33" i="6"/>
  <c r="D32" i="2"/>
  <c r="D26" i="10"/>
  <c r="D22" i="10"/>
  <c r="B8" i="10"/>
  <c r="G4" i="10"/>
  <c r="F31" i="7"/>
  <c r="D21" i="10"/>
  <c r="D34" i="4"/>
  <c r="F34" i="4"/>
  <c r="D26" i="9"/>
  <c r="F26" i="9"/>
  <c r="F30" i="7"/>
  <c r="F28" i="8"/>
  <c r="F33" i="4"/>
  <c r="F27" i="8"/>
  <c r="F29" i="7"/>
  <c r="D31" i="6"/>
  <c r="F32" i="4"/>
  <c r="D31" i="5"/>
  <c r="D26" i="8"/>
  <c r="F26" i="8"/>
  <c r="F28" i="7"/>
  <c r="F31" i="4"/>
  <c r="F25" i="8"/>
  <c r="F27" i="7"/>
  <c r="F30" i="4"/>
  <c r="B8" i="5"/>
  <c r="B8" i="9"/>
  <c r="B8" i="4"/>
  <c r="B8" i="8"/>
  <c r="B8" i="7"/>
  <c r="B8" i="6"/>
  <c r="F24" i="8"/>
  <c r="F26" i="7"/>
  <c r="F29" i="4"/>
  <c r="D24" i="9"/>
  <c r="F24" i="9"/>
  <c r="F25" i="9"/>
  <c r="F23" i="9"/>
  <c r="F22" i="9"/>
  <c r="D22" i="9"/>
  <c r="F21" i="9"/>
  <c r="G4" i="9"/>
  <c r="F23" i="8"/>
  <c r="F22" i="8"/>
  <c r="D22" i="8"/>
  <c r="F21" i="8"/>
  <c r="G4" i="8"/>
  <c r="F21" i="7"/>
  <c r="F25" i="7"/>
  <c r="F24" i="7"/>
  <c r="F23" i="7"/>
  <c r="F22" i="7"/>
  <c r="G4" i="7"/>
  <c r="G4" i="6"/>
  <c r="D27" i="5"/>
  <c r="D23" i="5"/>
  <c r="G4" i="5"/>
  <c r="F28" i="4"/>
  <c r="F27" i="4"/>
  <c r="F26" i="4"/>
  <c r="D26" i="4"/>
  <c r="F25" i="4"/>
  <c r="F24" i="4"/>
  <c r="F23" i="4"/>
  <c r="F22" i="4"/>
  <c r="F21" i="4"/>
  <c r="G4" i="4"/>
  <c r="G4" i="2"/>
  <c r="E21" i="9"/>
  <c r="E21" i="2"/>
  <c r="E21" i="22"/>
  <c r="E21" i="16"/>
  <c r="E21" i="43"/>
  <c r="E21" i="11"/>
  <c r="E22" i="48"/>
  <c r="E21" i="8"/>
  <c r="E21" i="42"/>
  <c r="E21" i="13"/>
  <c r="E21" i="10"/>
  <c r="E21" i="7"/>
  <c r="E21" i="38"/>
  <c r="E21" i="6"/>
  <c r="E22" i="26"/>
  <c r="F432" i="7"/>
  <c r="F433" i="7"/>
  <c r="H387" i="25"/>
  <c r="H388" i="25"/>
  <c r="F430" i="7"/>
  <c r="F431" i="7"/>
  <c r="H385" i="25"/>
  <c r="H386" i="25"/>
  <c r="H382" i="25"/>
  <c r="H384" i="25"/>
  <c r="H383" i="25"/>
  <c r="F428" i="7"/>
  <c r="F427" i="7"/>
  <c r="F429" i="7"/>
  <c r="F425" i="7"/>
  <c r="F426" i="7"/>
  <c r="H379" i="25"/>
  <c r="H381" i="25"/>
  <c r="H380" i="25"/>
  <c r="F423" i="7"/>
  <c r="F424" i="7"/>
  <c r="H377" i="25"/>
  <c r="H378" i="25"/>
  <c r="F421" i="7"/>
  <c r="F422" i="7"/>
  <c r="H375" i="25"/>
  <c r="H376" i="25"/>
  <c r="F420" i="7"/>
  <c r="F419" i="7"/>
  <c r="H373" i="25"/>
  <c r="H374" i="25"/>
  <c r="F417" i="7"/>
  <c r="F418" i="7"/>
  <c r="H371" i="25"/>
  <c r="H372" i="25"/>
  <c r="B3" i="9"/>
  <c r="F415" i="7"/>
  <c r="F416" i="7"/>
  <c r="H369" i="25"/>
  <c r="H370" i="25"/>
  <c r="F414" i="7"/>
  <c r="B10" i="6"/>
  <c r="E10" i="6"/>
  <c r="E11" i="6"/>
  <c r="C15" i="6"/>
  <c r="D22" i="6"/>
  <c r="E9" i="6"/>
  <c r="H367" i="25"/>
  <c r="H368" i="25"/>
  <c r="F412" i="7"/>
  <c r="F413" i="7"/>
  <c r="H364" i="25"/>
  <c r="H366" i="25"/>
  <c r="H365" i="25"/>
  <c r="F411" i="7"/>
  <c r="F410" i="7"/>
  <c r="F409" i="7"/>
  <c r="F376" i="7"/>
  <c r="F408" i="7"/>
  <c r="E10" i="9"/>
  <c r="E11" i="9"/>
  <c r="C15" i="9"/>
  <c r="H299" i="25"/>
  <c r="H363" i="25"/>
  <c r="B10" i="8"/>
  <c r="D22" i="16"/>
  <c r="B10" i="16"/>
  <c r="E10" i="8"/>
  <c r="E11" i="8"/>
  <c r="C15" i="8"/>
  <c r="B4" i="9"/>
  <c r="B12" i="9"/>
  <c r="D24" i="8"/>
  <c r="E9" i="8"/>
  <c r="F298" i="7"/>
  <c r="F363" i="7"/>
  <c r="B3" i="6"/>
  <c r="B10" i="9"/>
  <c r="E3" i="9"/>
  <c r="E15" i="9"/>
  <c r="F250" i="7"/>
  <c r="F314" i="7"/>
  <c r="D21" i="24"/>
  <c r="B3" i="24"/>
  <c r="F391" i="7"/>
  <c r="F383" i="7"/>
  <c r="F392" i="7"/>
  <c r="F384" i="7"/>
  <c r="F390" i="7"/>
  <c r="F387" i="7"/>
  <c r="F386" i="7"/>
  <c r="F381" i="7"/>
  <c r="F385" i="7"/>
  <c r="F378" i="7"/>
  <c r="F373" i="7"/>
  <c r="F368" i="7"/>
  <c r="F365" i="7"/>
  <c r="F361" i="7"/>
  <c r="F357" i="7"/>
  <c r="F353" i="7"/>
  <c r="F349" i="7"/>
  <c r="F345" i="7"/>
  <c r="F341" i="7"/>
  <c r="F336" i="7"/>
  <c r="F333" i="7"/>
  <c r="F328" i="7"/>
  <c r="F325" i="7"/>
  <c r="F321" i="7"/>
  <c r="F317" i="7"/>
  <c r="F313" i="7"/>
  <c r="F309" i="7"/>
  <c r="F304" i="7"/>
  <c r="F301" i="7"/>
  <c r="F297" i="7"/>
  <c r="F293" i="7"/>
  <c r="F289" i="7"/>
  <c r="F285" i="7"/>
  <c r="F280" i="7"/>
  <c r="F277" i="7"/>
  <c r="F273" i="7"/>
  <c r="F269" i="7"/>
  <c r="F265" i="7"/>
  <c r="F261" i="7"/>
  <c r="F257" i="7"/>
  <c r="F253" i="7"/>
  <c r="F249" i="7"/>
  <c r="F245" i="7"/>
  <c r="F379" i="7"/>
  <c r="F377" i="7"/>
  <c r="F372" i="7"/>
  <c r="F369" i="7"/>
  <c r="F364" i="7"/>
  <c r="F360" i="7"/>
  <c r="F356" i="7"/>
  <c r="F352" i="7"/>
  <c r="F348" i="7"/>
  <c r="F344" i="7"/>
  <c r="F339" i="7"/>
  <c r="F337" i="7"/>
  <c r="F332" i="7"/>
  <c r="F330" i="7"/>
  <c r="F324" i="7"/>
  <c r="F320" i="7"/>
  <c r="F316" i="7"/>
  <c r="F312" i="7"/>
  <c r="F308" i="7"/>
  <c r="F305" i="7"/>
  <c r="F300" i="7"/>
  <c r="F296" i="7"/>
  <c r="F292" i="7"/>
  <c r="F288" i="7"/>
  <c r="F284" i="7"/>
  <c r="F281" i="7"/>
  <c r="F275" i="7"/>
  <c r="F272" i="7"/>
  <c r="F268" i="7"/>
  <c r="F264" i="7"/>
  <c r="F260" i="7"/>
  <c r="F256" i="7"/>
  <c r="F252" i="7"/>
  <c r="F248" i="7"/>
  <c r="F244" i="7"/>
  <c r="F380" i="7"/>
  <c r="F374" i="7"/>
  <c r="F370" i="7"/>
  <c r="F366" i="7"/>
  <c r="F362" i="7"/>
  <c r="F359" i="7"/>
  <c r="F355" i="7"/>
  <c r="F351" i="7"/>
  <c r="F347" i="7"/>
  <c r="F343" i="7"/>
  <c r="F340" i="7"/>
  <c r="F335" i="7"/>
  <c r="F331" i="7"/>
  <c r="F327" i="7"/>
  <c r="F323" i="7"/>
  <c r="F319" i="7"/>
  <c r="F315" i="7"/>
  <c r="F311" i="7"/>
  <c r="F306" i="7"/>
  <c r="F303" i="7"/>
  <c r="F299" i="7"/>
  <c r="F295" i="7"/>
  <c r="F291" i="7"/>
  <c r="F287" i="7"/>
  <c r="F283" i="7"/>
  <c r="F279" i="7"/>
  <c r="F276" i="7"/>
  <c r="F271" i="7"/>
  <c r="F267" i="7"/>
  <c r="F263" i="7"/>
  <c r="F259" i="7"/>
  <c r="F255" i="7"/>
  <c r="F251" i="7"/>
  <c r="F247" i="7"/>
  <c r="F243" i="7"/>
  <c r="F388" i="7"/>
  <c r="F375" i="7"/>
  <c r="F358" i="7"/>
  <c r="F342" i="7"/>
  <c r="F326" i="7"/>
  <c r="F310" i="7"/>
  <c r="F294" i="7"/>
  <c r="F278" i="7"/>
  <c r="F262" i="7"/>
  <c r="F246" i="7"/>
  <c r="F371" i="7"/>
  <c r="F354" i="7"/>
  <c r="F338" i="7"/>
  <c r="F322" i="7"/>
  <c r="F307" i="7"/>
  <c r="F290" i="7"/>
  <c r="F274" i="7"/>
  <c r="F258" i="7"/>
  <c r="F382" i="7"/>
  <c r="F367" i="7"/>
  <c r="F350" i="7"/>
  <c r="F334" i="7"/>
  <c r="F318" i="7"/>
  <c r="F302" i="7"/>
  <c r="F286" i="7"/>
  <c r="F270" i="7"/>
  <c r="F254" i="7"/>
  <c r="B4" i="6"/>
  <c r="F266" i="7"/>
  <c r="F329" i="7"/>
  <c r="H229" i="25"/>
  <c r="H259" i="25"/>
  <c r="H261" i="25"/>
  <c r="H290" i="25"/>
  <c r="H235" i="25"/>
  <c r="H202" i="25"/>
  <c r="H279" i="25"/>
  <c r="H250" i="25"/>
  <c r="H207" i="25"/>
  <c r="H282" i="25"/>
  <c r="H199" i="25"/>
  <c r="H311" i="25"/>
  <c r="H244" i="25"/>
  <c r="H308" i="25"/>
  <c r="H306" i="25"/>
  <c r="H209" i="25"/>
  <c r="H332" i="25"/>
  <c r="H264" i="25"/>
  <c r="H233" i="25"/>
  <c r="H281" i="25"/>
  <c r="H251" i="25"/>
  <c r="H260" i="25"/>
  <c r="H252" i="25"/>
  <c r="H245" i="25"/>
  <c r="H247" i="25"/>
  <c r="H234" i="25"/>
  <c r="H292" i="25"/>
  <c r="H319" i="25"/>
  <c r="H326" i="25"/>
  <c r="H320" i="25"/>
  <c r="H300" i="25"/>
  <c r="H257" i="25"/>
  <c r="H208" i="25"/>
  <c r="H272" i="25"/>
  <c r="H226" i="25"/>
  <c r="H327" i="25"/>
  <c r="H318" i="25"/>
  <c r="H216" i="25"/>
  <c r="H220" i="25"/>
  <c r="H271" i="25"/>
  <c r="B4" i="19"/>
  <c r="H361" i="25"/>
  <c r="H362" i="25"/>
  <c r="F404" i="7"/>
  <c r="F406" i="7"/>
  <c r="F405" i="7"/>
  <c r="F407" i="7"/>
  <c r="B4" i="41"/>
  <c r="B4" i="43"/>
  <c r="H359" i="25"/>
  <c r="H360" i="25"/>
  <c r="H350" i="25"/>
  <c r="H240" i="25"/>
  <c r="H274" i="25"/>
  <c r="H201" i="25"/>
  <c r="H204" i="25"/>
  <c r="H297" i="25"/>
  <c r="H262" i="25"/>
  <c r="H241" i="25"/>
  <c r="H287" i="25"/>
  <c r="H268" i="25"/>
  <c r="H273" i="25"/>
  <c r="H198" i="25"/>
  <c r="H328" i="25"/>
  <c r="H295" i="25"/>
  <c r="H276" i="25"/>
  <c r="H232" i="25"/>
  <c r="H301" i="25"/>
  <c r="H210" i="25"/>
  <c r="H230" i="25"/>
  <c r="H255" i="25"/>
  <c r="H304" i="25"/>
  <c r="H258" i="25"/>
  <c r="H329" i="25"/>
  <c r="H312" i="25"/>
  <c r="H266" i="25"/>
  <c r="H284" i="25"/>
  <c r="H337" i="25"/>
  <c r="H344" i="25"/>
  <c r="H296" i="25"/>
  <c r="H277" i="25"/>
  <c r="H267" i="25"/>
  <c r="H222" i="25"/>
  <c r="H293" i="25"/>
  <c r="H224" i="25"/>
  <c r="H225" i="25"/>
  <c r="H243" i="25"/>
  <c r="H238" i="25"/>
  <c r="H314" i="25"/>
  <c r="H203" i="25"/>
  <c r="H265" i="25"/>
  <c r="H248" i="25"/>
  <c r="H239" i="25"/>
  <c r="H324" i="25"/>
  <c r="H263" i="25"/>
  <c r="H253" i="25"/>
  <c r="H309" i="25"/>
  <c r="H316" i="25"/>
  <c r="H303" i="25"/>
  <c r="H246" i="25"/>
  <c r="H322" i="25"/>
  <c r="H333" i="25"/>
  <c r="B3" i="13"/>
  <c r="B4" i="50"/>
  <c r="I173" i="2"/>
  <c r="F65" i="45"/>
  <c r="H305" i="25"/>
  <c r="H356" i="25"/>
  <c r="H355" i="25"/>
  <c r="H358" i="25"/>
  <c r="H357" i="25"/>
  <c r="F401" i="7"/>
  <c r="F403" i="7"/>
  <c r="F400" i="7"/>
  <c r="F402" i="7"/>
  <c r="H330" i="25"/>
  <c r="H254" i="25"/>
  <c r="H283" i="25"/>
  <c r="H317" i="25"/>
  <c r="H310" i="25"/>
  <c r="H212" i="25"/>
  <c r="H291" i="25"/>
  <c r="H213" i="25"/>
  <c r="H331" i="25"/>
  <c r="H242" i="25"/>
  <c r="H285" i="25"/>
  <c r="H270" i="25"/>
  <c r="H206" i="25"/>
  <c r="H342" i="25"/>
  <c r="H341" i="25"/>
  <c r="H340" i="25"/>
  <c r="H339" i="25"/>
  <c r="H338" i="25"/>
  <c r="H354" i="25"/>
  <c r="B10" i="43"/>
  <c r="B3" i="19"/>
  <c r="E10" i="43"/>
  <c r="E11" i="43"/>
  <c r="C15" i="43"/>
  <c r="B3" i="43"/>
  <c r="D21" i="19"/>
  <c r="E9" i="19"/>
  <c r="E10" i="19"/>
  <c r="E11" i="19"/>
  <c r="C15" i="19"/>
  <c r="B10" i="19"/>
  <c r="B10" i="12"/>
  <c r="E10" i="24"/>
  <c r="E11" i="24"/>
  <c r="C15" i="24"/>
  <c r="B4" i="24"/>
  <c r="B10" i="24"/>
  <c r="F398" i="7"/>
  <c r="F399" i="7"/>
  <c r="B8" i="2"/>
  <c r="C27" i="2"/>
  <c r="D27" i="2"/>
  <c r="B4" i="16"/>
  <c r="H352" i="25"/>
  <c r="H353" i="25"/>
  <c r="B4" i="8"/>
  <c r="B3" i="8"/>
  <c r="B4" i="26"/>
  <c r="E10" i="16"/>
  <c r="E11" i="16"/>
  <c r="C15" i="16"/>
  <c r="B3" i="16"/>
  <c r="D21" i="16"/>
  <c r="I241" i="6"/>
  <c r="B4" i="5"/>
  <c r="F396" i="7"/>
  <c r="F397" i="7"/>
  <c r="B4" i="11"/>
  <c r="B2" i="49"/>
  <c r="A15" i="49"/>
  <c r="K55" i="32"/>
  <c r="B10" i="25"/>
  <c r="B3" i="11"/>
  <c r="B10" i="11"/>
  <c r="E10" i="11"/>
  <c r="E11" i="11"/>
  <c r="C15" i="11"/>
  <c r="D21" i="11"/>
  <c r="E9" i="11"/>
  <c r="B10" i="20"/>
  <c r="C23" i="2"/>
  <c r="D23" i="2"/>
  <c r="B4" i="12"/>
  <c r="E10" i="12"/>
  <c r="E11" i="12"/>
  <c r="C15" i="12"/>
  <c r="B2" i="12"/>
  <c r="A15" i="12"/>
  <c r="B3" i="12"/>
  <c r="D22" i="12"/>
  <c r="E9" i="12"/>
  <c r="H347" i="25"/>
  <c r="H351" i="25"/>
  <c r="E10" i="28"/>
  <c r="E11" i="28"/>
  <c r="C15" i="28"/>
  <c r="E10" i="13"/>
  <c r="E11" i="13"/>
  <c r="C15" i="13"/>
  <c r="B4" i="47"/>
  <c r="H289" i="25"/>
  <c r="H278" i="25"/>
  <c r="H315" i="25"/>
  <c r="H313" i="25"/>
  <c r="H236" i="25"/>
  <c r="H214" i="25"/>
  <c r="H218" i="25"/>
  <c r="H298" i="25"/>
  <c r="H221" i="25"/>
  <c r="H269" i="25"/>
  <c r="H294" i="25"/>
  <c r="H231" i="25"/>
  <c r="H280" i="25"/>
  <c r="H200" i="25"/>
  <c r="H205" i="25"/>
  <c r="H237" i="25"/>
  <c r="H223" i="25"/>
  <c r="H197" i="25"/>
  <c r="H321" i="25"/>
  <c r="H286" i="25"/>
  <c r="H219" i="25"/>
  <c r="H256" i="25"/>
  <c r="H227" i="25"/>
  <c r="H325" i="25"/>
  <c r="H323" i="25"/>
  <c r="H211" i="25"/>
  <c r="H302" i="25"/>
  <c r="H275" i="25"/>
  <c r="H217" i="25"/>
  <c r="H249" i="25"/>
  <c r="H215" i="25"/>
  <c r="H336" i="25"/>
  <c r="E10" i="25"/>
  <c r="B10" i="22"/>
  <c r="B3" i="18"/>
  <c r="B2" i="24"/>
  <c r="A15" i="24"/>
  <c r="F394" i="7"/>
  <c r="F395" i="7"/>
  <c r="D22" i="22"/>
  <c r="B4" i="35"/>
  <c r="D328" i="24"/>
  <c r="B4" i="13"/>
  <c r="B10" i="13"/>
  <c r="D24" i="13"/>
  <c r="E9" i="13"/>
  <c r="B4" i="14"/>
  <c r="B4" i="25"/>
  <c r="B3" i="25"/>
  <c r="D350" i="25"/>
  <c r="E9" i="25"/>
  <c r="B2" i="9"/>
  <c r="A15" i="9"/>
  <c r="B2" i="26"/>
  <c r="A15" i="26"/>
  <c r="B10" i="41"/>
  <c r="E9" i="9"/>
  <c r="D21" i="26"/>
  <c r="E9" i="26"/>
  <c r="E10" i="26"/>
  <c r="E11" i="26"/>
  <c r="C15" i="26"/>
  <c r="C29" i="2"/>
  <c r="D29" i="2"/>
  <c r="C25" i="2"/>
  <c r="D25" i="2"/>
  <c r="B10" i="42"/>
  <c r="B3" i="50"/>
  <c r="E10" i="50"/>
  <c r="E11" i="50"/>
  <c r="C15" i="50"/>
  <c r="B10" i="50"/>
  <c r="E10" i="41"/>
  <c r="E11" i="41"/>
  <c r="C15" i="41"/>
  <c r="D21" i="41"/>
  <c r="E9" i="41"/>
  <c r="B3" i="41"/>
  <c r="E9" i="43"/>
  <c r="E10" i="23"/>
  <c r="E11" i="23"/>
  <c r="C15" i="23"/>
  <c r="H348" i="25"/>
  <c r="B10" i="7"/>
  <c r="B3" i="7"/>
  <c r="E10" i="7"/>
  <c r="E11" i="7"/>
  <c r="C15" i="7"/>
  <c r="B4" i="7"/>
  <c r="B2" i="5"/>
  <c r="B9" i="5"/>
  <c r="B15" i="5"/>
  <c r="E10" i="5"/>
  <c r="E11" i="5"/>
  <c r="C15" i="5"/>
  <c r="D21" i="5"/>
  <c r="E9" i="5"/>
  <c r="B10" i="5"/>
  <c r="B3" i="5"/>
  <c r="J58" i="29"/>
  <c r="B10" i="26"/>
  <c r="B10" i="29"/>
  <c r="E10" i="40"/>
  <c r="E11" i="40"/>
  <c r="C15" i="40"/>
  <c r="E10" i="46"/>
  <c r="E11" i="46"/>
  <c r="C15" i="46"/>
  <c r="C67" i="45"/>
  <c r="D67" i="45"/>
  <c r="B4" i="18"/>
  <c r="E10" i="10"/>
  <c r="E11" i="10"/>
  <c r="C15" i="10"/>
  <c r="B2" i="33"/>
  <c r="A15" i="33"/>
  <c r="K54" i="32"/>
  <c r="J59" i="29"/>
  <c r="D21" i="42"/>
  <c r="E9" i="42"/>
  <c r="D21" i="47"/>
  <c r="E9" i="47"/>
  <c r="E10" i="4"/>
  <c r="E11" i="4"/>
  <c r="C15" i="4"/>
  <c r="C66" i="45"/>
  <c r="D66" i="45"/>
  <c r="B2" i="19"/>
  <c r="B2" i="11"/>
  <c r="A15" i="11"/>
  <c r="B2" i="8"/>
  <c r="B10" i="10"/>
  <c r="D23" i="10"/>
  <c r="E9" i="10"/>
  <c r="B4" i="10"/>
  <c r="B2" i="10"/>
  <c r="A15" i="10"/>
  <c r="B3" i="10"/>
  <c r="B3" i="26"/>
  <c r="B2" i="16"/>
  <c r="C28" i="2"/>
  <c r="D28" i="2"/>
  <c r="C24" i="2"/>
  <c r="D24" i="2"/>
  <c r="C30" i="2"/>
  <c r="D30" i="2"/>
  <c r="C26" i="2"/>
  <c r="D26" i="2"/>
  <c r="C22" i="2"/>
  <c r="D22" i="2"/>
  <c r="B2" i="6"/>
  <c r="B3" i="42"/>
  <c r="B4" i="42"/>
  <c r="B2" i="42"/>
  <c r="E10" i="42"/>
  <c r="E11" i="42"/>
  <c r="C15" i="42"/>
  <c r="B2" i="13"/>
  <c r="B8" i="11"/>
  <c r="B2" i="35"/>
  <c r="B9" i="35"/>
  <c r="B15" i="35"/>
  <c r="E10" i="35"/>
  <c r="E11" i="35"/>
  <c r="C15" i="35"/>
  <c r="B2" i="50"/>
  <c r="A15" i="50"/>
  <c r="E9" i="50"/>
  <c r="E10" i="48"/>
  <c r="E11" i="48"/>
  <c r="C15" i="48"/>
  <c r="B2" i="40"/>
  <c r="A15" i="40"/>
  <c r="G146" i="45"/>
  <c r="C69" i="45"/>
  <c r="D69" i="45"/>
  <c r="G148" i="45"/>
  <c r="C68" i="45"/>
  <c r="D68" i="45"/>
  <c r="B2" i="41"/>
  <c r="A15" i="41"/>
  <c r="B2" i="38"/>
  <c r="A15" i="38"/>
  <c r="E10" i="38"/>
  <c r="E11" i="38"/>
  <c r="C15" i="38"/>
  <c r="D21" i="33"/>
  <c r="E9" i="33"/>
  <c r="B2" i="43"/>
  <c r="B9" i="43"/>
  <c r="B15" i="43"/>
  <c r="B2" i="47"/>
  <c r="A15" i="47"/>
  <c r="E9" i="46"/>
  <c r="E10" i="37"/>
  <c r="E11" i="37"/>
  <c r="C15" i="37"/>
  <c r="B10" i="37"/>
  <c r="B2" i="32"/>
  <c r="B9" i="32"/>
  <c r="B15" i="32"/>
  <c r="B2" i="30"/>
  <c r="A15" i="30"/>
  <c r="B3" i="30"/>
  <c r="D21" i="29"/>
  <c r="E9" i="29"/>
  <c r="B3" i="29"/>
  <c r="B10" i="28"/>
  <c r="B3" i="28"/>
  <c r="B4" i="23"/>
  <c r="E10" i="20"/>
  <c r="E11" i="20"/>
  <c r="C15" i="20"/>
  <c r="B2" i="25"/>
  <c r="H346" i="25"/>
  <c r="H349" i="25"/>
  <c r="B2" i="22"/>
  <c r="A15" i="22"/>
  <c r="B10" i="18"/>
  <c r="D22" i="18"/>
  <c r="E9" i="18"/>
  <c r="B2" i="18"/>
  <c r="B9" i="18"/>
  <c r="B15" i="18"/>
  <c r="E10" i="18"/>
  <c r="E11" i="18"/>
  <c r="C15" i="18"/>
  <c r="E9" i="7"/>
  <c r="B2" i="7"/>
  <c r="B2" i="4"/>
  <c r="D21" i="4"/>
  <c r="E9" i="4"/>
  <c r="B3" i="4"/>
  <c r="B10" i="4"/>
  <c r="B4" i="4"/>
  <c r="B3" i="22"/>
  <c r="B11" i="22"/>
  <c r="B4" i="22"/>
  <c r="E10" i="22"/>
  <c r="E11" i="22"/>
  <c r="C15" i="22"/>
  <c r="D21" i="22"/>
  <c r="B4" i="20"/>
  <c r="D23" i="20"/>
  <c r="E9" i="20"/>
  <c r="B3" i="20"/>
  <c r="B2" i="20"/>
  <c r="B9" i="20"/>
  <c r="B15" i="20"/>
  <c r="D21" i="2"/>
  <c r="G76" i="11"/>
  <c r="G77" i="11"/>
  <c r="D21" i="35"/>
  <c r="E9" i="35"/>
  <c r="B3" i="35"/>
  <c r="B10" i="35"/>
  <c r="B4" i="49"/>
  <c r="E10" i="49"/>
  <c r="E11" i="49"/>
  <c r="C15" i="49"/>
  <c r="B3" i="49"/>
  <c r="B10" i="49"/>
  <c r="D21" i="49"/>
  <c r="E9" i="49"/>
  <c r="B3" i="48"/>
  <c r="B10" i="48"/>
  <c r="D21" i="48"/>
  <c r="E9" i="48"/>
  <c r="B2" i="48"/>
  <c r="B4" i="48"/>
  <c r="B10" i="40"/>
  <c r="B3" i="40"/>
  <c r="D21" i="40"/>
  <c r="E9" i="40"/>
  <c r="B4" i="40"/>
  <c r="D65" i="45"/>
  <c r="C70" i="45"/>
  <c r="D70" i="45"/>
  <c r="B4" i="38"/>
  <c r="D21" i="38"/>
  <c r="E9" i="38"/>
  <c r="B10" i="38"/>
  <c r="B3" i="38"/>
  <c r="B4" i="33"/>
  <c r="B10" i="33"/>
  <c r="E10" i="33"/>
  <c r="E11" i="33"/>
  <c r="C15" i="33"/>
  <c r="B3" i="33"/>
  <c r="E10" i="47"/>
  <c r="E11" i="47"/>
  <c r="C15" i="47"/>
  <c r="B3" i="47"/>
  <c r="B10" i="47"/>
  <c r="B3" i="46"/>
  <c r="B2" i="46"/>
  <c r="B4" i="46"/>
  <c r="B10" i="46"/>
  <c r="B4" i="37"/>
  <c r="B3" i="37"/>
  <c r="D21" i="37"/>
  <c r="E9" i="37"/>
  <c r="B2" i="37"/>
  <c r="E9" i="32"/>
  <c r="B4" i="32"/>
  <c r="E10" i="32"/>
  <c r="E11" i="32"/>
  <c r="C15" i="32"/>
  <c r="B3" i="32"/>
  <c r="B10" i="32"/>
  <c r="B4" i="30"/>
  <c r="E10" i="30"/>
  <c r="E11" i="30"/>
  <c r="C15" i="30"/>
  <c r="D21" i="30"/>
  <c r="E9" i="30"/>
  <c r="B10" i="30"/>
  <c r="B2" i="29"/>
  <c r="B4" i="29"/>
  <c r="E10" i="29"/>
  <c r="E11" i="29"/>
  <c r="C15" i="29"/>
  <c r="D21" i="28"/>
  <c r="E9" i="28"/>
  <c r="B4" i="28"/>
  <c r="B2" i="28"/>
  <c r="E9" i="14"/>
  <c r="B2" i="14"/>
  <c r="B10" i="14"/>
  <c r="B3" i="14"/>
  <c r="E10" i="14"/>
  <c r="E11" i="14"/>
  <c r="C15" i="14"/>
  <c r="D21" i="23"/>
  <c r="E9" i="23"/>
  <c r="B10" i="23"/>
  <c r="B3" i="23"/>
  <c r="B2" i="23"/>
  <c r="H343" i="25"/>
  <c r="H345" i="25"/>
  <c r="F393" i="7"/>
  <c r="E22" i="13"/>
  <c r="E22" i="22"/>
  <c r="E22" i="8"/>
  <c r="E23" i="48"/>
  <c r="E22" i="38"/>
  <c r="E22" i="9"/>
  <c r="E22" i="16"/>
  <c r="E22" i="6"/>
  <c r="E22" i="10"/>
  <c r="E22" i="42"/>
  <c r="E22" i="43"/>
  <c r="E22" i="2"/>
  <c r="E22" i="11"/>
  <c r="E23" i="26"/>
  <c r="B12" i="16"/>
  <c r="E5" i="6"/>
  <c r="E5" i="9"/>
  <c r="E3" i="6"/>
  <c r="E15" i="6"/>
  <c r="B12" i="11"/>
  <c r="E9" i="16"/>
  <c r="E5" i="16"/>
  <c r="E3" i="8"/>
  <c r="E15" i="8"/>
  <c r="E5" i="8"/>
  <c r="E5" i="12"/>
  <c r="B12" i="19"/>
  <c r="B12" i="24"/>
  <c r="B12" i="6"/>
  <c r="E9" i="24"/>
  <c r="E5" i="24"/>
  <c r="B11" i="6"/>
  <c r="B12" i="13"/>
  <c r="B12" i="41"/>
  <c r="B12" i="43"/>
  <c r="E5" i="43"/>
  <c r="B12" i="50"/>
  <c r="E5" i="50"/>
  <c r="E5" i="19"/>
  <c r="E3" i="19"/>
  <c r="E15" i="19"/>
  <c r="B5" i="19"/>
  <c r="E3" i="24"/>
  <c r="E15" i="24"/>
  <c r="B9" i="49"/>
  <c r="B15" i="49"/>
  <c r="B5" i="8"/>
  <c r="E3" i="43"/>
  <c r="E15" i="43"/>
  <c r="B12" i="8"/>
  <c r="E5" i="11"/>
  <c r="E5" i="5"/>
  <c r="B12" i="30"/>
  <c r="B5" i="12"/>
  <c r="B11" i="9"/>
  <c r="B11" i="26"/>
  <c r="B5" i="16"/>
  <c r="E3" i="16"/>
  <c r="E15" i="16"/>
  <c r="B5" i="5"/>
  <c r="E5" i="20"/>
  <c r="E5" i="25"/>
  <c r="E3" i="25"/>
  <c r="E15" i="25"/>
  <c r="E9" i="22"/>
  <c r="E5" i="22"/>
  <c r="E5" i="37"/>
  <c r="E3" i="28"/>
  <c r="E15" i="28"/>
  <c r="E5" i="7"/>
  <c r="B11" i="7"/>
  <c r="E3" i="26"/>
  <c r="E15" i="26"/>
  <c r="B9" i="26"/>
  <c r="B15" i="26"/>
  <c r="B12" i="12"/>
  <c r="B12" i="7"/>
  <c r="E3" i="11"/>
  <c r="E15" i="11"/>
  <c r="A15" i="20"/>
  <c r="E3" i="10"/>
  <c r="E15" i="10"/>
  <c r="E5" i="13"/>
  <c r="B9" i="9"/>
  <c r="B15" i="9"/>
  <c r="E5" i="42"/>
  <c r="B9" i="33"/>
  <c r="B15" i="33"/>
  <c r="E3" i="12"/>
  <c r="E15" i="12"/>
  <c r="B9" i="22"/>
  <c r="B15" i="22"/>
  <c r="B12" i="18"/>
  <c r="B11" i="12"/>
  <c r="B9" i="12"/>
  <c r="B15" i="12"/>
  <c r="E3" i="7"/>
  <c r="E15" i="7"/>
  <c r="E5" i="26"/>
  <c r="E3" i="13"/>
  <c r="E15" i="13"/>
  <c r="E3" i="5"/>
  <c r="E15" i="5"/>
  <c r="A15" i="5"/>
  <c r="E3" i="41"/>
  <c r="E15" i="41"/>
  <c r="E5" i="41"/>
  <c r="B12" i="25"/>
  <c r="B9" i="38"/>
  <c r="B15" i="38"/>
  <c r="B11" i="8"/>
  <c r="B5" i="9"/>
  <c r="E10" i="2"/>
  <c r="E11" i="2"/>
  <c r="C15" i="2"/>
  <c r="B5" i="13"/>
  <c r="B11" i="43"/>
  <c r="B12" i="29"/>
  <c r="E5" i="29"/>
  <c r="B11" i="19"/>
  <c r="B5" i="25"/>
  <c r="E11" i="25"/>
  <c r="C15" i="25"/>
  <c r="A15" i="19"/>
  <c r="B5" i="24"/>
  <c r="B9" i="24"/>
  <c r="B15" i="24"/>
  <c r="B11" i="24"/>
  <c r="E5" i="28"/>
  <c r="B12" i="28"/>
  <c r="B5" i="7"/>
  <c r="A15" i="7"/>
  <c r="B9" i="7"/>
  <c r="B15" i="7"/>
  <c r="A15" i="35"/>
  <c r="B11" i="13"/>
  <c r="E3" i="4"/>
  <c r="E15" i="4"/>
  <c r="B11" i="11"/>
  <c r="B9" i="19"/>
  <c r="B15" i="19"/>
  <c r="B4" i="45"/>
  <c r="A15" i="16"/>
  <c r="B9" i="16"/>
  <c r="B15" i="16"/>
  <c r="B9" i="6"/>
  <c r="B15" i="6"/>
  <c r="B9" i="13"/>
  <c r="B15" i="13"/>
  <c r="B11" i="5"/>
  <c r="B12" i="5"/>
  <c r="B9" i="11"/>
  <c r="B15" i="11"/>
  <c r="B11" i="50"/>
  <c r="E3" i="50"/>
  <c r="E15" i="50"/>
  <c r="B5" i="41"/>
  <c r="B11" i="41"/>
  <c r="B9" i="41"/>
  <c r="B15" i="41"/>
  <c r="B5" i="43"/>
  <c r="E3" i="37"/>
  <c r="E15" i="37"/>
  <c r="A15" i="32"/>
  <c r="B11" i="16"/>
  <c r="B11" i="10"/>
  <c r="E5" i="18"/>
  <c r="B3" i="45"/>
  <c r="B12" i="20"/>
  <c r="B11" i="4"/>
  <c r="B5" i="11"/>
  <c r="E5" i="4"/>
  <c r="E5" i="10"/>
  <c r="B11" i="18"/>
  <c r="B5" i="18"/>
  <c r="B9" i="30"/>
  <c r="B15" i="30"/>
  <c r="B11" i="30"/>
  <c r="B9" i="8"/>
  <c r="B15" i="8"/>
  <c r="A15" i="8"/>
  <c r="B5" i="10"/>
  <c r="B9" i="10"/>
  <c r="B15" i="10"/>
  <c r="B12" i="10"/>
  <c r="B12" i="26"/>
  <c r="B5" i="26"/>
  <c r="B10" i="2"/>
  <c r="B2" i="2"/>
  <c r="A15" i="2"/>
  <c r="E9" i="2"/>
  <c r="B4" i="2"/>
  <c r="B3" i="2"/>
  <c r="B5" i="6"/>
  <c r="A15" i="6"/>
  <c r="B12" i="42"/>
  <c r="B11" i="42"/>
  <c r="B9" i="42"/>
  <c r="B15" i="42"/>
  <c r="A15" i="42"/>
  <c r="B5" i="42"/>
  <c r="E3" i="42"/>
  <c r="E15" i="42"/>
  <c r="A15" i="13"/>
  <c r="B9" i="50"/>
  <c r="B15" i="50"/>
  <c r="B5" i="50"/>
  <c r="B9" i="40"/>
  <c r="B15" i="40"/>
  <c r="E9" i="45"/>
  <c r="B2" i="45"/>
  <c r="B9" i="45"/>
  <c r="B15" i="45"/>
  <c r="A15" i="43"/>
  <c r="B9" i="47"/>
  <c r="B15" i="47"/>
  <c r="E3" i="20"/>
  <c r="E15" i="20"/>
  <c r="B11" i="25"/>
  <c r="B9" i="25"/>
  <c r="B15" i="25"/>
  <c r="A15" i="25"/>
  <c r="B12" i="22"/>
  <c r="B5" i="22"/>
  <c r="A15" i="18"/>
  <c r="E3" i="18"/>
  <c r="E15" i="18"/>
  <c r="A15" i="4"/>
  <c r="B9" i="4"/>
  <c r="B15" i="4"/>
  <c r="B12" i="4"/>
  <c r="B5" i="4"/>
  <c r="E3" i="22"/>
  <c r="E15" i="22"/>
  <c r="B11" i="20"/>
  <c r="B5" i="20"/>
  <c r="B11" i="35"/>
  <c r="B12" i="35"/>
  <c r="E5" i="35"/>
  <c r="E3" i="35"/>
  <c r="E15" i="35"/>
  <c r="B5" i="35"/>
  <c r="E3" i="49"/>
  <c r="E15" i="49"/>
  <c r="E5" i="49"/>
  <c r="B12" i="49"/>
  <c r="B11" i="49"/>
  <c r="B5" i="49"/>
  <c r="B5" i="48"/>
  <c r="B9" i="48"/>
  <c r="B15" i="48"/>
  <c r="A15" i="48"/>
  <c r="E5" i="48"/>
  <c r="E3" i="48"/>
  <c r="E15" i="48"/>
  <c r="B12" i="48"/>
  <c r="B11" i="48"/>
  <c r="B11" i="40"/>
  <c r="B12" i="40"/>
  <c r="E3" i="40"/>
  <c r="E15" i="40"/>
  <c r="E5" i="40"/>
  <c r="B5" i="40"/>
  <c r="E10" i="45"/>
  <c r="E11" i="45"/>
  <c r="C15" i="45"/>
  <c r="B10" i="45"/>
  <c r="B12" i="38"/>
  <c r="B11" i="38"/>
  <c r="E5" i="38"/>
  <c r="E3" i="38"/>
  <c r="E15" i="38"/>
  <c r="B5" i="38"/>
  <c r="B12" i="33"/>
  <c r="B11" i="33"/>
  <c r="E5" i="33"/>
  <c r="E3" i="33"/>
  <c r="E15" i="33"/>
  <c r="B5" i="33"/>
  <c r="E5" i="47"/>
  <c r="E3" i="47"/>
  <c r="E15" i="47"/>
  <c r="B12" i="47"/>
  <c r="B11" i="47"/>
  <c r="B5" i="47"/>
  <c r="E3" i="46"/>
  <c r="E15" i="46"/>
  <c r="E5" i="46"/>
  <c r="B5" i="46"/>
  <c r="B9" i="46"/>
  <c r="B15" i="46"/>
  <c r="A15" i="46"/>
  <c r="B11" i="46"/>
  <c r="B12" i="46"/>
  <c r="A15" i="37"/>
  <c r="B5" i="37"/>
  <c r="B9" i="37"/>
  <c r="B15" i="37"/>
  <c r="B12" i="37"/>
  <c r="B11" i="37"/>
  <c r="E5" i="32"/>
  <c r="E3" i="32"/>
  <c r="E15" i="32"/>
  <c r="B12" i="32"/>
  <c r="B11" i="32"/>
  <c r="B5" i="32"/>
  <c r="E3" i="30"/>
  <c r="E15" i="30"/>
  <c r="E5" i="30"/>
  <c r="B5" i="30"/>
  <c r="E3" i="29"/>
  <c r="E15" i="29"/>
  <c r="B5" i="29"/>
  <c r="A15" i="29"/>
  <c r="B9" i="29"/>
  <c r="B15" i="29"/>
  <c r="B11" i="29"/>
  <c r="B5" i="28"/>
  <c r="A15" i="28"/>
  <c r="B11" i="28"/>
  <c r="B9" i="28"/>
  <c r="B15" i="28"/>
  <c r="E3" i="14"/>
  <c r="E15" i="14"/>
  <c r="E5" i="14"/>
  <c r="B5" i="14"/>
  <c r="A15" i="14"/>
  <c r="B12" i="14"/>
  <c r="B11" i="14"/>
  <c r="B9" i="14"/>
  <c r="B15" i="14"/>
  <c r="B11" i="23"/>
  <c r="B12" i="23"/>
  <c r="E5" i="23"/>
  <c r="E3" i="23"/>
  <c r="E15" i="23"/>
  <c r="B5" i="23"/>
  <c r="A15" i="23"/>
  <c r="B9" i="23"/>
  <c r="B15" i="23"/>
  <c r="E23" i="8"/>
  <c r="E23" i="10"/>
  <c r="E23" i="16"/>
  <c r="E23" i="9"/>
  <c r="E23" i="2"/>
  <c r="E23" i="11"/>
  <c r="E23" i="13"/>
  <c r="E24" i="48"/>
  <c r="E23" i="38"/>
  <c r="E23" i="42"/>
  <c r="E24" i="26"/>
  <c r="E23" i="43"/>
  <c r="E23" i="22"/>
  <c r="E23" i="6"/>
  <c r="B9" i="2"/>
  <c r="B15" i="2"/>
  <c r="E5" i="2"/>
  <c r="E3" i="2"/>
  <c r="E15" i="2"/>
  <c r="B12" i="45"/>
  <c r="B12" i="2"/>
  <c r="B11" i="45"/>
  <c r="B11" i="2"/>
  <c r="B5" i="2"/>
  <c r="B5" i="45"/>
  <c r="A15" i="45"/>
  <c r="E3" i="45"/>
  <c r="E15" i="45"/>
  <c r="E5" i="45"/>
  <c r="E24" i="13"/>
  <c r="E24" i="6"/>
  <c r="E24" i="9"/>
  <c r="E24" i="22"/>
  <c r="E24" i="2"/>
  <c r="E24" i="42"/>
  <c r="E24" i="43"/>
  <c r="E24" i="38"/>
  <c r="E25" i="48"/>
  <c r="E24" i="16"/>
  <c r="E25" i="26"/>
  <c r="E24" i="8"/>
  <c r="E24" i="10"/>
  <c r="E24" i="11"/>
  <c r="E25" i="11"/>
  <c r="E25" i="8"/>
  <c r="E26" i="48"/>
  <c r="E25" i="6"/>
  <c r="E25" i="42"/>
  <c r="E25" i="38"/>
  <c r="E25" i="43"/>
  <c r="E25" i="2"/>
  <c r="E25" i="13"/>
  <c r="E26" i="26"/>
  <c r="E25" i="22"/>
  <c r="E25" i="9"/>
  <c r="E25" i="10"/>
  <c r="E25" i="16"/>
  <c r="E26" i="16"/>
  <c r="E26" i="22"/>
  <c r="E27" i="26"/>
  <c r="E26" i="13"/>
  <c r="E26" i="38"/>
  <c r="E26" i="42"/>
  <c r="E27" i="48"/>
  <c r="E26" i="11"/>
  <c r="E26" i="10"/>
  <c r="E26" i="9"/>
  <c r="E26" i="2"/>
  <c r="E26" i="43"/>
  <c r="E26" i="6"/>
  <c r="E26" i="8"/>
  <c r="E27" i="8"/>
  <c r="E27" i="2"/>
  <c r="E28" i="48"/>
  <c r="E27" i="42"/>
  <c r="E27" i="38"/>
  <c r="E28" i="26"/>
  <c r="E27" i="22"/>
  <c r="E27" i="6"/>
  <c r="E27" i="43"/>
  <c r="E27" i="9"/>
  <c r="E27" i="10"/>
  <c r="E27" i="11"/>
  <c r="E27" i="13"/>
  <c r="E27" i="16"/>
  <c r="E28" i="16"/>
  <c r="E28" i="13"/>
  <c r="E28" i="10"/>
  <c r="E29" i="26"/>
  <c r="E28" i="42"/>
  <c r="E29" i="48"/>
  <c r="E28" i="2"/>
  <c r="E28" i="8"/>
  <c r="E28" i="11"/>
  <c r="E28" i="9"/>
  <c r="E28" i="43"/>
  <c r="E28" i="6"/>
  <c r="E28" i="22"/>
  <c r="E28" i="38"/>
  <c r="E29" i="38"/>
  <c r="E29" i="22"/>
  <c r="E29" i="6"/>
  <c r="E29" i="11"/>
  <c r="E30" i="48"/>
  <c r="E29" i="13"/>
  <c r="E29" i="16"/>
  <c r="E29" i="43"/>
  <c r="E29" i="9"/>
  <c r="E29" i="8"/>
  <c r="E29" i="2"/>
  <c r="E29" i="42"/>
  <c r="E30" i="26"/>
  <c r="E29" i="10"/>
  <c r="E30" i="10"/>
  <c r="E30" i="42"/>
  <c r="E30" i="2"/>
  <c r="E30" i="9"/>
  <c r="E30" i="13"/>
  <c r="E31" i="48"/>
  <c r="E30" i="22"/>
  <c r="E31" i="26"/>
  <c r="E30" i="8"/>
  <c r="E30" i="43"/>
  <c r="E30" i="16"/>
  <c r="E30" i="11"/>
  <c r="E30" i="6"/>
  <c r="E30" i="38"/>
  <c r="E31" i="6"/>
  <c r="E31" i="8"/>
  <c r="E31" i="2"/>
  <c r="E31" i="11"/>
  <c r="E31" i="42"/>
  <c r="E31" i="43"/>
  <c r="E32" i="26"/>
  <c r="E31" i="13"/>
  <c r="E31" i="9"/>
  <c r="E31" i="38"/>
  <c r="E31" i="16"/>
  <c r="E31" i="22"/>
  <c r="E32" i="48"/>
  <c r="E31" i="10"/>
  <c r="E32" i="2"/>
  <c r="E32" i="6"/>
  <c r="E33" i="48"/>
  <c r="E32" i="16"/>
  <c r="E32" i="9"/>
  <c r="E33" i="26"/>
  <c r="E32" i="8"/>
  <c r="E32" i="10"/>
  <c r="E32" i="22"/>
  <c r="E32" i="13"/>
  <c r="E32" i="43"/>
  <c r="E32" i="42"/>
  <c r="E32" i="11"/>
  <c r="E32" i="38"/>
  <c r="E33" i="42"/>
  <c r="E33" i="22"/>
  <c r="E33" i="9"/>
  <c r="E33" i="38"/>
  <c r="E33" i="43"/>
  <c r="E33" i="10"/>
  <c r="E33" i="16"/>
  <c r="E33" i="2"/>
  <c r="E33" i="11"/>
  <c r="E33" i="13"/>
  <c r="E33" i="8"/>
  <c r="E34" i="48"/>
  <c r="E34" i="26"/>
  <c r="E33" i="6"/>
  <c r="E34" i="6"/>
  <c r="E34" i="8"/>
  <c r="E34" i="16"/>
  <c r="E34" i="22"/>
  <c r="E35" i="26"/>
  <c r="E34" i="13"/>
  <c r="E34" i="38"/>
  <c r="E34" i="42"/>
  <c r="E35" i="48"/>
  <c r="E34" i="11"/>
  <c r="E34" i="10"/>
  <c r="E34" i="9"/>
  <c r="E34" i="2"/>
  <c r="E34" i="43"/>
  <c r="E35" i="38"/>
  <c r="E35" i="22"/>
  <c r="E35" i="6"/>
  <c r="E35" i="43"/>
  <c r="E35" i="9"/>
  <c r="E35" i="11"/>
  <c r="E35" i="8"/>
  <c r="E35" i="2"/>
  <c r="E36" i="48"/>
  <c r="E35" i="42"/>
  <c r="E36" i="26"/>
  <c r="E35" i="10"/>
  <c r="E35" i="13"/>
  <c r="E35" i="16"/>
  <c r="E36" i="10"/>
  <c r="E36" i="42"/>
  <c r="E36" i="2"/>
  <c r="E36" i="9"/>
  <c r="E36" i="13"/>
  <c r="E37" i="48"/>
  <c r="E36" i="22"/>
  <c r="E37" i="26"/>
  <c r="E36" i="8"/>
  <c r="E36" i="43"/>
  <c r="E36" i="16"/>
  <c r="E36" i="11"/>
  <c r="E36" i="6"/>
  <c r="E36" i="38"/>
  <c r="E37" i="6"/>
  <c r="E37" i="8"/>
  <c r="E37" i="2"/>
  <c r="E37" i="11"/>
  <c r="E37" i="42"/>
  <c r="E37" i="43"/>
  <c r="E38" i="26"/>
  <c r="E37" i="13"/>
  <c r="E37" i="9"/>
  <c r="E37" i="38"/>
  <c r="E37" i="16"/>
  <c r="E37" i="22"/>
  <c r="E38" i="48"/>
  <c r="E37" i="10"/>
  <c r="E38" i="2"/>
  <c r="E38" i="6"/>
  <c r="E39" i="48"/>
  <c r="E38" i="16"/>
  <c r="E38" i="9"/>
  <c r="E39" i="26"/>
  <c r="E38" i="8"/>
  <c r="E38" i="10"/>
  <c r="E38" i="22"/>
  <c r="E38" i="13"/>
  <c r="E38" i="43"/>
  <c r="E38" i="42"/>
  <c r="E38" i="11"/>
  <c r="E38" i="38"/>
  <c r="E39" i="42"/>
  <c r="E39" i="22"/>
  <c r="E39" i="9"/>
  <c r="E39" i="38"/>
  <c r="E39" i="43"/>
  <c r="E39" i="10"/>
  <c r="E39" i="16"/>
  <c r="E39" i="2"/>
  <c r="E39" i="11"/>
  <c r="E39" i="13"/>
  <c r="E39" i="8"/>
  <c r="E40" i="48"/>
  <c r="E40" i="26"/>
  <c r="E39" i="6"/>
  <c r="E40" i="6"/>
  <c r="E40" i="8"/>
  <c r="E40" i="16"/>
  <c r="E40" i="22"/>
  <c r="E41" i="26"/>
  <c r="E40" i="13"/>
  <c r="E40" i="38"/>
  <c r="E40" i="42"/>
  <c r="E41" i="48"/>
  <c r="E40" i="11"/>
  <c r="E40" i="10"/>
  <c r="E40" i="9"/>
  <c r="E40" i="2"/>
  <c r="E40" i="43"/>
  <c r="E41" i="38"/>
  <c r="E41" i="22"/>
  <c r="E41" i="6"/>
  <c r="E41" i="43"/>
  <c r="E41" i="9"/>
  <c r="E41" i="11"/>
  <c r="E41" i="8"/>
  <c r="E41" i="2"/>
  <c r="E42" i="48"/>
  <c r="E41" i="42"/>
  <c r="E42" i="26"/>
  <c r="E41" i="10"/>
  <c r="E41" i="13"/>
  <c r="E41" i="16"/>
  <c r="E42" i="10"/>
  <c r="E42" i="42"/>
  <c r="E42" i="2"/>
  <c r="E42" i="9"/>
  <c r="E42" i="13"/>
  <c r="E43" i="48"/>
  <c r="E42" i="22"/>
  <c r="E43" i="26"/>
  <c r="E42" i="8"/>
  <c r="E42" i="43"/>
  <c r="E42" i="16"/>
  <c r="E42" i="11"/>
  <c r="E42" i="6"/>
  <c r="E42" i="38"/>
  <c r="E43" i="6"/>
  <c r="E43" i="8"/>
  <c r="E43" i="2"/>
  <c r="E43" i="11"/>
  <c r="E43" i="42"/>
  <c r="E43" i="43"/>
  <c r="E44" i="26"/>
  <c r="E43" i="13"/>
  <c r="E43" i="9"/>
  <c r="E43" i="38"/>
  <c r="E43" i="16"/>
  <c r="E43" i="22"/>
  <c r="E44" i="48"/>
  <c r="E43" i="10"/>
  <c r="E44" i="38"/>
  <c r="E44" i="10"/>
  <c r="E44" i="13"/>
  <c r="E44" i="2"/>
  <c r="E44" i="6"/>
  <c r="E45" i="48"/>
  <c r="E44" i="16"/>
  <c r="E44" i="9"/>
  <c r="E45" i="26"/>
  <c r="E44" i="8"/>
  <c r="E44" i="22"/>
  <c r="E44" i="43"/>
  <c r="E44" i="42"/>
  <c r="E44" i="11"/>
  <c r="E45" i="9"/>
  <c r="E45" i="10"/>
  <c r="E45" i="38"/>
  <c r="E45" i="6"/>
  <c r="E45" i="11"/>
  <c r="E45" i="22"/>
  <c r="E45" i="16"/>
  <c r="E45" i="2"/>
  <c r="E45" i="42"/>
  <c r="E45" i="8"/>
  <c r="E46" i="48"/>
  <c r="E45" i="43"/>
  <c r="E46" i="26"/>
  <c r="E45" i="13"/>
  <c r="E46" i="43"/>
  <c r="E46" i="6"/>
  <c r="E47" i="48"/>
  <c r="E46" i="13"/>
  <c r="E46" i="8"/>
  <c r="E46" i="22"/>
  <c r="E46" i="38"/>
  <c r="E46" i="16"/>
  <c r="E46" i="9"/>
  <c r="E46" i="42"/>
  <c r="E46" i="2"/>
  <c r="E46" i="11"/>
  <c r="E47" i="26"/>
  <c r="E46" i="10"/>
  <c r="E47" i="10"/>
  <c r="E47" i="2"/>
  <c r="E47" i="13"/>
  <c r="E47" i="43"/>
  <c r="E47" i="42"/>
  <c r="E47" i="9"/>
  <c r="E47" i="38"/>
  <c r="E47" i="8"/>
  <c r="E48" i="26"/>
  <c r="E47" i="11"/>
  <c r="E47" i="16"/>
  <c r="E47" i="22"/>
  <c r="E48" i="48"/>
  <c r="E47" i="6"/>
  <c r="E48" i="22"/>
  <c r="E49" i="26"/>
  <c r="E48" i="42"/>
  <c r="E48" i="2"/>
  <c r="E48" i="6"/>
  <c r="E48" i="16"/>
  <c r="E48" i="8"/>
  <c r="E49" i="48"/>
  <c r="E48" i="38"/>
  <c r="E48" i="13"/>
  <c r="E48" i="10"/>
  <c r="E48" i="11"/>
  <c r="E48" i="9"/>
  <c r="E48" i="43"/>
  <c r="E49" i="11"/>
  <c r="E49" i="38"/>
  <c r="E49" i="6"/>
  <c r="E50" i="26"/>
  <c r="E49" i="43"/>
  <c r="E49" i="8"/>
  <c r="E49" i="2"/>
  <c r="E49" i="9"/>
  <c r="E49" i="10"/>
  <c r="E49" i="13"/>
  <c r="E49" i="42"/>
  <c r="E50" i="48"/>
  <c r="E49" i="16"/>
  <c r="E49" i="22"/>
  <c r="E50" i="22"/>
  <c r="E50" i="13"/>
  <c r="E50" i="11"/>
  <c r="E51" i="48"/>
  <c r="E50" i="10"/>
  <c r="E50" i="2"/>
  <c r="E51" i="26"/>
  <c r="E50" i="9"/>
  <c r="E50" i="8"/>
  <c r="E50" i="38"/>
  <c r="E50" i="16"/>
  <c r="E50" i="42"/>
  <c r="E50" i="43"/>
  <c r="E50" i="6"/>
  <c r="E51" i="10"/>
  <c r="E51" i="16"/>
  <c r="E52" i="26"/>
  <c r="E51" i="11"/>
  <c r="E51" i="6"/>
  <c r="E51" i="8"/>
  <c r="E51" i="13"/>
  <c r="E51" i="22"/>
  <c r="E51" i="43"/>
  <c r="E51" i="42"/>
  <c r="E51" i="38"/>
  <c r="E51" i="9"/>
  <c r="E51" i="2"/>
  <c r="E52" i="48"/>
  <c r="E52" i="2"/>
  <c r="E52" i="42"/>
  <c r="E52" i="8"/>
  <c r="E52" i="10"/>
  <c r="E52" i="43"/>
  <c r="E52" i="11"/>
  <c r="E52" i="9"/>
  <c r="E52" i="22"/>
  <c r="E52" i="16"/>
  <c r="E53" i="48"/>
  <c r="E52" i="38"/>
  <c r="E52" i="13"/>
  <c r="E52" i="6"/>
  <c r="E53" i="26"/>
  <c r="E53" i="13"/>
  <c r="E53" i="42"/>
  <c r="E54" i="26"/>
  <c r="E53" i="38"/>
  <c r="E53" i="6"/>
  <c r="E54" i="48"/>
  <c r="E53" i="16"/>
  <c r="E53" i="22"/>
  <c r="E53" i="43"/>
  <c r="E53" i="10"/>
  <c r="E53" i="8"/>
  <c r="E53" i="9"/>
  <c r="E53" i="11"/>
  <c r="E53" i="2"/>
  <c r="E54" i="2"/>
  <c r="E54" i="11"/>
  <c r="E54" i="10"/>
  <c r="E54" i="16"/>
  <c r="E54" i="13"/>
  <c r="E54" i="9"/>
  <c r="E54" i="43"/>
  <c r="E55" i="48"/>
  <c r="E54" i="42"/>
  <c r="E54" i="6"/>
  <c r="E54" i="38"/>
  <c r="E54" i="8"/>
  <c r="E54" i="22"/>
  <c r="E55" i="26"/>
  <c r="E56" i="48"/>
  <c r="E55" i="13"/>
  <c r="E55" i="11"/>
  <c r="E55" i="9"/>
  <c r="E55" i="38"/>
  <c r="E55" i="42"/>
  <c r="E55" i="43"/>
  <c r="E55" i="10"/>
  <c r="E55" i="22"/>
  <c r="E55" i="16"/>
  <c r="E55" i="2"/>
  <c r="E56" i="26"/>
  <c r="E55" i="8"/>
  <c r="E55" i="6"/>
  <c r="E8" i="50"/>
  <c r="E8" i="42"/>
  <c r="E57" i="26"/>
  <c r="E56" i="13"/>
  <c r="E57" i="48"/>
  <c r="E56" i="11"/>
  <c r="E56" i="2"/>
  <c r="E56" i="22"/>
  <c r="E56" i="38"/>
  <c r="E56" i="9"/>
  <c r="E56" i="6"/>
  <c r="E56" i="16"/>
  <c r="E56" i="43"/>
  <c r="E56" i="8"/>
  <c r="E56" i="10"/>
  <c r="E4" i="42"/>
  <c r="F15" i="42"/>
  <c r="D15" i="42"/>
  <c r="D15" i="50"/>
  <c r="E4" i="50"/>
  <c r="F15" i="50"/>
  <c r="E57" i="8"/>
  <c r="E57" i="38"/>
  <c r="E57" i="2"/>
  <c r="E58" i="26"/>
  <c r="E57" i="11"/>
  <c r="E57" i="16"/>
  <c r="E58" i="48"/>
  <c r="E57" i="10"/>
  <c r="E57" i="43"/>
  <c r="E57" i="6"/>
  <c r="E57" i="22"/>
  <c r="E57" i="13"/>
  <c r="E57" i="9"/>
  <c r="E58" i="13"/>
  <c r="E58" i="6"/>
  <c r="E58" i="8"/>
  <c r="E58" i="9"/>
  <c r="E58" i="43"/>
  <c r="E59" i="48"/>
  <c r="E58" i="16"/>
  <c r="E58" i="11"/>
  <c r="E58" i="10"/>
  <c r="E58" i="38"/>
  <c r="E58" i="22"/>
  <c r="E58" i="2"/>
  <c r="E59" i="26"/>
  <c r="E60" i="26"/>
  <c r="E59" i="2"/>
  <c r="E59" i="38"/>
  <c r="E59" i="8"/>
  <c r="E59" i="6"/>
  <c r="E59" i="11"/>
  <c r="E59" i="43"/>
  <c r="E59" i="9"/>
  <c r="E59" i="13"/>
  <c r="E59" i="22"/>
  <c r="E59" i="10"/>
  <c r="E59" i="16"/>
  <c r="E60" i="48"/>
  <c r="E60" i="10"/>
  <c r="E60" i="13"/>
  <c r="E61" i="26"/>
  <c r="E61" i="48"/>
  <c r="E60" i="22"/>
  <c r="E60" i="9"/>
  <c r="E60" i="43"/>
  <c r="E60" i="6"/>
  <c r="E60" i="38"/>
  <c r="E60" i="2"/>
  <c r="E60" i="11"/>
  <c r="E60" i="8"/>
  <c r="E60" i="16"/>
  <c r="E61" i="11"/>
  <c r="E61" i="38"/>
  <c r="E61" i="43"/>
  <c r="E62" i="48"/>
  <c r="E61" i="8"/>
  <c r="E61" i="2"/>
  <c r="E61" i="9"/>
  <c r="E61" i="13"/>
  <c r="E61" i="16"/>
  <c r="E61" i="6"/>
  <c r="E61" i="22"/>
  <c r="E61" i="10"/>
  <c r="E62" i="26"/>
  <c r="E63" i="26"/>
  <c r="E62" i="38"/>
  <c r="E62" i="13"/>
  <c r="E62" i="9"/>
  <c r="E62" i="8"/>
  <c r="E62" i="6"/>
  <c r="E62" i="22"/>
  <c r="E63" i="48"/>
  <c r="E62" i="11"/>
  <c r="E62" i="10"/>
  <c r="E62" i="16"/>
  <c r="E62" i="2"/>
  <c r="E62" i="43"/>
  <c r="E63" i="43"/>
  <c r="E63" i="11"/>
  <c r="E63" i="9"/>
  <c r="E63" i="38"/>
  <c r="E64" i="26"/>
  <c r="E63" i="10"/>
  <c r="E63" i="6"/>
  <c r="E63" i="2"/>
  <c r="E64" i="48"/>
  <c r="E63" i="22"/>
  <c r="E63" i="16"/>
  <c r="E63" i="13"/>
  <c r="E63" i="8"/>
  <c r="E64" i="6"/>
  <c r="E64" i="43"/>
  <c r="E65" i="26"/>
  <c r="E64" i="8"/>
  <c r="E64" i="13"/>
  <c r="E65" i="48"/>
  <c r="E64" i="10"/>
  <c r="E64" i="38"/>
  <c r="E64" i="16"/>
  <c r="E64" i="9"/>
  <c r="E64" i="22"/>
  <c r="E64" i="2"/>
  <c r="E64" i="11"/>
  <c r="E65" i="11"/>
  <c r="E65" i="22"/>
  <c r="E65" i="9"/>
  <c r="E65" i="38"/>
  <c r="E66" i="26"/>
  <c r="E65" i="43"/>
  <c r="E65" i="10"/>
  <c r="E65" i="8"/>
  <c r="E65" i="2"/>
  <c r="E65" i="16"/>
  <c r="E66" i="48"/>
  <c r="E65" i="13"/>
  <c r="E65" i="6"/>
  <c r="E66" i="6"/>
  <c r="E66" i="16"/>
  <c r="E66" i="38"/>
  <c r="E66" i="11"/>
  <c r="E66" i="43"/>
  <c r="E66" i="8"/>
  <c r="E66" i="9"/>
  <c r="E67" i="48"/>
  <c r="E66" i="13"/>
  <c r="E66" i="2"/>
  <c r="E66" i="10"/>
  <c r="E67" i="26"/>
  <c r="E66" i="22"/>
  <c r="E68" i="26"/>
  <c r="E67" i="8"/>
  <c r="E67" i="38"/>
  <c r="E67" i="22"/>
  <c r="E67" i="9"/>
  <c r="E67" i="11"/>
  <c r="E67" i="2"/>
  <c r="E67" i="43"/>
  <c r="E67" i="13"/>
  <c r="E68" i="48"/>
  <c r="E67" i="16"/>
  <c r="E67" i="10"/>
  <c r="E67" i="6"/>
  <c r="E68" i="6"/>
  <c r="E69" i="48"/>
  <c r="E68" i="43"/>
  <c r="E68" i="2"/>
  <c r="E68" i="9"/>
  <c r="E68" i="11"/>
  <c r="E69" i="26"/>
  <c r="E68" i="13"/>
  <c r="E68" i="22"/>
  <c r="E68" i="38"/>
  <c r="E68" i="10"/>
  <c r="E68" i="16"/>
  <c r="E68" i="8"/>
  <c r="E69" i="8"/>
  <c r="E69" i="38"/>
  <c r="E70" i="26"/>
  <c r="E69" i="43"/>
  <c r="E69" i="6"/>
  <c r="E69" i="22"/>
  <c r="E69" i="13"/>
  <c r="E69" i="11"/>
  <c r="E69" i="10"/>
  <c r="E69" i="16"/>
  <c r="E69" i="9"/>
  <c r="E70" i="48"/>
  <c r="E69" i="2"/>
  <c r="E70" i="2"/>
  <c r="E70" i="9"/>
  <c r="E70" i="11"/>
  <c r="E70" i="43"/>
  <c r="E70" i="38"/>
  <c r="E70" i="8"/>
  <c r="E70" i="16"/>
  <c r="E70" i="13"/>
  <c r="E71" i="48"/>
  <c r="E70" i="6"/>
  <c r="E70" i="10"/>
  <c r="E70" i="22"/>
  <c r="E71" i="26"/>
  <c r="E72" i="26"/>
  <c r="E71" i="10"/>
  <c r="E71" i="6"/>
  <c r="E71" i="38"/>
  <c r="E71" i="11"/>
  <c r="E71" i="2"/>
  <c r="E71" i="43"/>
  <c r="E71" i="13"/>
  <c r="E71" i="8"/>
  <c r="E72" i="48"/>
  <c r="E71" i="16"/>
  <c r="E71" i="22"/>
  <c r="E71" i="9"/>
  <c r="E72" i="9"/>
  <c r="E73" i="48"/>
  <c r="E72" i="8"/>
  <c r="E72" i="13"/>
  <c r="E72" i="11"/>
  <c r="E73" i="26"/>
  <c r="E72" i="16"/>
  <c r="E72" i="38"/>
  <c r="E72" i="6"/>
  <c r="E72" i="22"/>
  <c r="E72" i="43"/>
  <c r="E72" i="10"/>
  <c r="E72" i="2"/>
  <c r="E73" i="2"/>
  <c r="E73" i="38"/>
  <c r="E74" i="26"/>
  <c r="E73" i="9"/>
  <c r="E73" i="11"/>
  <c r="E73" i="10"/>
  <c r="E73" i="6"/>
  <c r="E73" i="43"/>
  <c r="E73" i="8"/>
  <c r="E73" i="22"/>
  <c r="E73" i="16"/>
  <c r="E73" i="13"/>
  <c r="E74" i="48"/>
  <c r="E74" i="43"/>
  <c r="E74" i="6"/>
  <c r="E74" i="38"/>
  <c r="E74" i="2"/>
  <c r="E74" i="16"/>
  <c r="E74" i="22"/>
  <c r="E74" i="10"/>
  <c r="E74" i="9"/>
  <c r="E75" i="48"/>
  <c r="E74" i="8"/>
  <c r="E74" i="11"/>
  <c r="E75" i="26"/>
  <c r="E74" i="13"/>
  <c r="E76" i="26"/>
  <c r="E75" i="8"/>
  <c r="E75" i="9"/>
  <c r="E75" i="22"/>
  <c r="E75" i="38"/>
  <c r="E75" i="6"/>
  <c r="E75" i="43"/>
  <c r="E75" i="11"/>
  <c r="E75" i="10"/>
  <c r="E75" i="13"/>
  <c r="E75" i="16"/>
  <c r="E76" i="48"/>
  <c r="E75" i="2"/>
  <c r="E8" i="49"/>
  <c r="E4" i="49"/>
  <c r="F15" i="49"/>
  <c r="E76" i="2"/>
  <c r="E76" i="16"/>
  <c r="E76" i="13"/>
  <c r="E76" i="43"/>
  <c r="E76" i="38"/>
  <c r="E76" i="9"/>
  <c r="E76" i="6"/>
  <c r="E77" i="48"/>
  <c r="E76" i="8"/>
  <c r="E76" i="10"/>
  <c r="E76" i="11"/>
  <c r="E76" i="22"/>
  <c r="E77" i="26"/>
  <c r="E78" i="26"/>
  <c r="E77" i="11"/>
  <c r="E77" i="38"/>
  <c r="E77" i="6"/>
  <c r="E77" i="13"/>
  <c r="E77" i="8"/>
  <c r="E77" i="9"/>
  <c r="E77" i="2"/>
  <c r="E77" i="22"/>
  <c r="E77" i="10"/>
  <c r="E77" i="43"/>
  <c r="E77" i="16"/>
  <c r="E78" i="48"/>
  <c r="E79" i="48"/>
  <c r="E78" i="38"/>
  <c r="E78" i="11"/>
  <c r="E78" i="10"/>
  <c r="E78" i="22"/>
  <c r="E78" i="2"/>
  <c r="E78" i="13"/>
  <c r="E78" i="8"/>
  <c r="E78" i="16"/>
  <c r="E78" i="9"/>
  <c r="E78" i="6"/>
  <c r="E79" i="26"/>
  <c r="E78" i="43"/>
  <c r="E80" i="26"/>
  <c r="E79" i="16"/>
  <c r="E79" i="13"/>
  <c r="E79" i="22"/>
  <c r="E79" i="38"/>
  <c r="E80" i="48"/>
  <c r="E79" i="8"/>
  <c r="E79" i="2"/>
  <c r="E79" i="10"/>
  <c r="E79" i="11"/>
  <c r="E79" i="43"/>
  <c r="E79" i="6"/>
  <c r="E79" i="9"/>
  <c r="E81" i="48"/>
  <c r="E80" i="38"/>
  <c r="E80" i="16"/>
  <c r="E80" i="22"/>
  <c r="E80" i="11"/>
  <c r="E80" i="2"/>
  <c r="E80" i="9"/>
  <c r="E80" i="6"/>
  <c r="E80" i="43"/>
  <c r="E80" i="8"/>
  <c r="E81" i="26"/>
  <c r="E80" i="10"/>
  <c r="E80" i="13"/>
  <c r="D15" i="49"/>
  <c r="E8" i="48"/>
  <c r="E4" i="48"/>
  <c r="F15" i="48"/>
  <c r="E81" i="13"/>
  <c r="E81" i="8"/>
  <c r="E81" i="9"/>
  <c r="E81" i="11"/>
  <c r="E81" i="2"/>
  <c r="E82" i="26"/>
  <c r="E81" i="22"/>
  <c r="E81" i="43"/>
  <c r="E81" i="16"/>
  <c r="E81" i="10"/>
  <c r="E81" i="6"/>
  <c r="E81" i="38"/>
  <c r="E82" i="11"/>
  <c r="E82" i="8"/>
  <c r="E82" i="10"/>
  <c r="E82" i="38"/>
  <c r="E82" i="6"/>
  <c r="E82" i="22"/>
  <c r="E82" i="2"/>
  <c r="E82" i="9"/>
  <c r="E82" i="16"/>
  <c r="E83" i="26"/>
  <c r="E82" i="13"/>
  <c r="E82" i="43"/>
  <c r="E83" i="13"/>
  <c r="E83" i="2"/>
  <c r="E83" i="6"/>
  <c r="E83" i="10"/>
  <c r="E83" i="16"/>
  <c r="E83" i="9"/>
  <c r="E83" i="38"/>
  <c r="E83" i="43"/>
  <c r="E83" i="22"/>
  <c r="E84" i="26"/>
  <c r="E83" i="11"/>
  <c r="E83" i="8"/>
  <c r="D15" i="48"/>
  <c r="E8" i="43"/>
  <c r="E84" i="8"/>
  <c r="E84" i="9"/>
  <c r="E84" i="10"/>
  <c r="E84" i="6"/>
  <c r="E84" i="11"/>
  <c r="E84" i="16"/>
  <c r="E84" i="13"/>
  <c r="E84" i="38"/>
  <c r="E84" i="2"/>
  <c r="E85" i="26"/>
  <c r="E84" i="22"/>
  <c r="D15" i="43"/>
  <c r="E4" i="43"/>
  <c r="F15" i="43"/>
  <c r="E85" i="13"/>
  <c r="E85" i="6"/>
  <c r="E85" i="9"/>
  <c r="E85" i="2"/>
  <c r="E85" i="8"/>
  <c r="E85" i="38"/>
  <c r="E85" i="10"/>
  <c r="E86" i="26"/>
  <c r="E85" i="11"/>
  <c r="E85" i="22"/>
  <c r="E85" i="16"/>
  <c r="E86" i="38"/>
  <c r="E86" i="22"/>
  <c r="E86" i="13"/>
  <c r="E86" i="16"/>
  <c r="E86" i="11"/>
  <c r="E87" i="26"/>
  <c r="E86" i="8"/>
  <c r="E86" i="10"/>
  <c r="E86" i="2"/>
  <c r="E86" i="6"/>
  <c r="E86" i="9"/>
  <c r="E87" i="9"/>
  <c r="E87" i="11"/>
  <c r="E87" i="22"/>
  <c r="E87" i="13"/>
  <c r="E87" i="6"/>
  <c r="E87" i="10"/>
  <c r="E87" i="16"/>
  <c r="E87" i="2"/>
  <c r="E88" i="26"/>
  <c r="E87" i="8"/>
  <c r="E87" i="38"/>
  <c r="E88" i="38"/>
  <c r="E88" i="10"/>
  <c r="E88" i="11"/>
  <c r="E88" i="9"/>
  <c r="E88" i="8"/>
  <c r="E88" i="16"/>
  <c r="E88" i="6"/>
  <c r="E88" i="2"/>
  <c r="E89" i="26"/>
  <c r="E88" i="13"/>
  <c r="E88" i="22"/>
  <c r="E89" i="22"/>
  <c r="E89" i="6"/>
  <c r="E89" i="9"/>
  <c r="E89" i="10"/>
  <c r="E89" i="13"/>
  <c r="E90" i="26"/>
  <c r="E89" i="2"/>
  <c r="E89" i="16"/>
  <c r="E89" i="8"/>
  <c r="E89" i="38"/>
  <c r="E89" i="11"/>
  <c r="E90" i="11"/>
  <c r="E90" i="8"/>
  <c r="E90" i="13"/>
  <c r="E90" i="22"/>
  <c r="E90" i="2"/>
  <c r="E90" i="16"/>
  <c r="E90" i="10"/>
  <c r="E90" i="38"/>
  <c r="E91" i="26"/>
  <c r="E90" i="9"/>
  <c r="E90" i="6"/>
  <c r="E91" i="10"/>
  <c r="E91" i="13"/>
  <c r="E91" i="8"/>
  <c r="E91" i="9"/>
  <c r="E91" i="16"/>
  <c r="E91" i="22"/>
  <c r="E91" i="6"/>
  <c r="E92" i="26"/>
  <c r="E91" i="38"/>
  <c r="E91" i="2"/>
  <c r="E91" i="11"/>
  <c r="E92" i="9"/>
  <c r="E92" i="8"/>
  <c r="E92" i="2"/>
  <c r="E92" i="10"/>
  <c r="E92" i="38"/>
  <c r="E92" i="16"/>
  <c r="E93" i="26"/>
  <c r="E92" i="11"/>
  <c r="E92" i="6"/>
  <c r="E92" i="22"/>
  <c r="E92" i="13"/>
  <c r="E93" i="13"/>
  <c r="E93" i="6"/>
  <c r="E94" i="26"/>
  <c r="E93" i="16"/>
  <c r="E93" i="9"/>
  <c r="E93" i="38"/>
  <c r="E93" i="10"/>
  <c r="E93" i="11"/>
  <c r="E93" i="22"/>
  <c r="E93" i="2"/>
  <c r="E93" i="8"/>
  <c r="E8" i="46"/>
  <c r="E94" i="8"/>
  <c r="E94" i="10"/>
  <c r="E94" i="38"/>
  <c r="E94" i="2"/>
  <c r="E94" i="22"/>
  <c r="E94" i="11"/>
  <c r="E94" i="16"/>
  <c r="E94" i="13"/>
  <c r="E95" i="26"/>
  <c r="E94" i="6"/>
  <c r="E94" i="9"/>
  <c r="D15" i="46"/>
  <c r="E4" i="46"/>
  <c r="F15" i="46"/>
  <c r="E95" i="9"/>
  <c r="E95" i="2"/>
  <c r="E95" i="10"/>
  <c r="E95" i="6"/>
  <c r="E95" i="16"/>
  <c r="E95" i="13"/>
  <c r="E96" i="26"/>
  <c r="E95" i="38"/>
  <c r="E95" i="22"/>
  <c r="E95" i="8"/>
  <c r="E95" i="11"/>
  <c r="E96" i="11"/>
  <c r="E96" i="22"/>
  <c r="E96" i="13"/>
  <c r="E96" i="9"/>
  <c r="E96" i="2"/>
  <c r="E96" i="10"/>
  <c r="E96" i="16"/>
  <c r="E97" i="26"/>
  <c r="E96" i="6"/>
  <c r="E96" i="8"/>
  <c r="E96" i="38"/>
  <c r="E97" i="16"/>
  <c r="E97" i="9"/>
  <c r="E97" i="13"/>
  <c r="E97" i="11"/>
  <c r="E97" i="38"/>
  <c r="E98" i="26"/>
  <c r="E97" i="2"/>
  <c r="E97" i="8"/>
  <c r="E97" i="10"/>
  <c r="E97" i="22"/>
  <c r="E97" i="6"/>
  <c r="E98" i="11"/>
  <c r="E98" i="13"/>
  <c r="E98" i="16"/>
  <c r="E98" i="6"/>
  <c r="E98" i="8"/>
  <c r="E98" i="22"/>
  <c r="E98" i="10"/>
  <c r="E98" i="2"/>
  <c r="E98" i="38"/>
  <c r="E99" i="26"/>
  <c r="E98" i="9"/>
  <c r="E99" i="9"/>
  <c r="E99" i="38"/>
  <c r="E99" i="10"/>
  <c r="E100" i="26"/>
  <c r="E99" i="22"/>
  <c r="E99" i="6"/>
  <c r="E99" i="11"/>
  <c r="E99" i="16"/>
  <c r="E99" i="2"/>
  <c r="E99" i="8"/>
  <c r="E99" i="13"/>
  <c r="E100" i="13"/>
  <c r="E100" i="9"/>
  <c r="E100" i="10"/>
  <c r="E100" i="8"/>
  <c r="E101" i="26"/>
  <c r="E100" i="2"/>
  <c r="E100" i="16"/>
  <c r="E100" i="11"/>
  <c r="E100" i="6"/>
  <c r="E100" i="22"/>
  <c r="E100" i="38"/>
  <c r="E101" i="38"/>
  <c r="E101" i="2"/>
  <c r="E102" i="26"/>
  <c r="E101" i="8"/>
  <c r="E101" i="9"/>
  <c r="E101" i="6"/>
  <c r="E101" i="11"/>
  <c r="E101" i="10"/>
  <c r="E101" i="22"/>
  <c r="E101" i="16"/>
  <c r="E101" i="13"/>
  <c r="E102" i="22"/>
  <c r="E102" i="11"/>
  <c r="E103" i="26"/>
  <c r="E102" i="38"/>
  <c r="E102" i="2"/>
  <c r="E102" i="9"/>
  <c r="E102" i="13"/>
  <c r="E102" i="10"/>
  <c r="E102" i="16"/>
  <c r="E102" i="6"/>
  <c r="E102" i="8"/>
  <c r="E103" i="38"/>
  <c r="E104" i="26"/>
  <c r="E103" i="8"/>
  <c r="E103" i="16"/>
  <c r="E103" i="13"/>
  <c r="E103" i="11"/>
  <c r="E103" i="9"/>
  <c r="E103" i="22"/>
  <c r="E103" i="6"/>
  <c r="E103" i="10"/>
  <c r="E103" i="2"/>
  <c r="E104" i="22"/>
  <c r="E104" i="13"/>
  <c r="E104" i="38"/>
  <c r="E104" i="9"/>
  <c r="E104" i="8"/>
  <c r="E104" i="2"/>
  <c r="E104" i="16"/>
  <c r="E104" i="10"/>
  <c r="E104" i="6"/>
  <c r="E104" i="11"/>
  <c r="E105" i="26"/>
  <c r="E105" i="11"/>
  <c r="E105" i="9"/>
  <c r="E105" i="13"/>
  <c r="E105" i="22"/>
  <c r="E105" i="8"/>
  <c r="E106" i="26"/>
  <c r="E105" i="6"/>
  <c r="E105" i="16"/>
  <c r="E105" i="2"/>
  <c r="E105" i="10"/>
  <c r="E105" i="38"/>
  <c r="E106" i="6"/>
  <c r="E107" i="26"/>
  <c r="E106" i="8"/>
  <c r="E106" i="13"/>
  <c r="E106" i="38"/>
  <c r="E106" i="10"/>
  <c r="E106" i="2"/>
  <c r="E106" i="22"/>
  <c r="E106" i="16"/>
  <c r="E106" i="9"/>
  <c r="E106" i="11"/>
  <c r="E107" i="11"/>
  <c r="E107" i="2"/>
  <c r="E107" i="13"/>
  <c r="E107" i="6"/>
  <c r="E107" i="9"/>
  <c r="E107" i="16"/>
  <c r="E107" i="22"/>
  <c r="E107" i="10"/>
  <c r="E107" i="38"/>
  <c r="E107" i="8"/>
  <c r="E108" i="26"/>
  <c r="E8" i="16"/>
  <c r="E108" i="13"/>
  <c r="E108" i="8"/>
  <c r="E108" i="9"/>
  <c r="E108" i="2"/>
  <c r="E108" i="38"/>
  <c r="E108" i="10"/>
  <c r="E109" i="26"/>
  <c r="E108" i="22"/>
  <c r="E108" i="6"/>
  <c r="E108" i="11"/>
  <c r="D15" i="16"/>
  <c r="E4" i="16"/>
  <c r="F15" i="16"/>
  <c r="E109" i="11"/>
  <c r="E109" i="22"/>
  <c r="E110" i="26"/>
  <c r="E109" i="38"/>
  <c r="E109" i="2"/>
  <c r="E109" i="13"/>
  <c r="E109" i="8"/>
  <c r="E109" i="6"/>
  <c r="E109" i="10"/>
  <c r="E109" i="9"/>
  <c r="E110" i="8"/>
  <c r="E110" i="13"/>
  <c r="E111" i="26"/>
  <c r="E110" i="22"/>
  <c r="E110" i="10"/>
  <c r="E110" i="2"/>
  <c r="E110" i="9"/>
  <c r="E110" i="6"/>
  <c r="E110" i="38"/>
  <c r="E110" i="11"/>
  <c r="E111" i="11"/>
  <c r="E111" i="10"/>
  <c r="E111" i="8"/>
  <c r="E111" i="2"/>
  <c r="E111" i="6"/>
  <c r="E111" i="22"/>
  <c r="E111" i="38"/>
  <c r="E111" i="9"/>
  <c r="E112" i="26"/>
  <c r="E111" i="13"/>
  <c r="E112" i="22"/>
  <c r="E112" i="6"/>
  <c r="E112" i="10"/>
  <c r="E112" i="13"/>
  <c r="E112" i="11"/>
  <c r="E113" i="26"/>
  <c r="E112" i="9"/>
  <c r="E112" i="38"/>
  <c r="E112" i="2"/>
  <c r="E112" i="8"/>
  <c r="E113" i="9"/>
  <c r="E113" i="6"/>
  <c r="E113" i="22"/>
  <c r="E113" i="8"/>
  <c r="E113" i="38"/>
  <c r="E114" i="26"/>
  <c r="E113" i="13"/>
  <c r="E113" i="2"/>
  <c r="E113" i="11"/>
  <c r="E113" i="10"/>
  <c r="E114" i="10"/>
  <c r="E114" i="13"/>
  <c r="E114" i="38"/>
  <c r="E114" i="6"/>
  <c r="E114" i="9"/>
  <c r="E114" i="2"/>
  <c r="E114" i="8"/>
  <c r="E114" i="11"/>
  <c r="E115" i="26"/>
  <c r="E114" i="22"/>
  <c r="E115" i="8"/>
  <c r="E115" i="9"/>
  <c r="E115" i="6"/>
  <c r="E116" i="26"/>
  <c r="E115" i="10"/>
  <c r="E115" i="22"/>
  <c r="E115" i="2"/>
  <c r="E115" i="38"/>
  <c r="E115" i="11"/>
  <c r="E115" i="13"/>
  <c r="E116" i="38"/>
  <c r="E116" i="9"/>
  <c r="E116" i="13"/>
  <c r="E116" i="11"/>
  <c r="E116" i="2"/>
  <c r="E116" i="22"/>
  <c r="E116" i="10"/>
  <c r="E117" i="26"/>
  <c r="E116" i="6"/>
  <c r="E116" i="8"/>
  <c r="E117" i="11"/>
  <c r="E117" i="8"/>
  <c r="E118" i="26"/>
  <c r="E117" i="13"/>
  <c r="E117" i="38"/>
  <c r="E117" i="6"/>
  <c r="E117" i="10"/>
  <c r="E117" i="22"/>
  <c r="E117" i="2"/>
  <c r="E117" i="9"/>
  <c r="E118" i="10"/>
  <c r="E118" i="13"/>
  <c r="E118" i="11"/>
  <c r="E118" i="8"/>
  <c r="E118" i="9"/>
  <c r="E118" i="22"/>
  <c r="E118" i="6"/>
  <c r="E118" i="2"/>
  <c r="E118" i="38"/>
  <c r="E119" i="26"/>
  <c r="E119" i="38"/>
  <c r="E119" i="8"/>
  <c r="E119" i="10"/>
  <c r="E119" i="9"/>
  <c r="E119" i="6"/>
  <c r="E119" i="11"/>
  <c r="E120" i="26"/>
  <c r="E119" i="2"/>
  <c r="E119" i="22"/>
  <c r="E119" i="13"/>
  <c r="E120" i="11"/>
  <c r="E120" i="10"/>
  <c r="E120" i="13"/>
  <c r="E120" i="22"/>
  <c r="E120" i="2"/>
  <c r="E120" i="9"/>
  <c r="E120" i="38"/>
  <c r="E121" i="26"/>
  <c r="E120" i="6"/>
  <c r="E120" i="8"/>
  <c r="E121" i="38"/>
  <c r="E121" i="22"/>
  <c r="E121" i="11"/>
  <c r="E121" i="8"/>
  <c r="E121" i="6"/>
  <c r="E121" i="2"/>
  <c r="E121" i="13"/>
  <c r="E121" i="10"/>
  <c r="E122" i="26"/>
  <c r="E121" i="9"/>
  <c r="E123" i="26"/>
  <c r="E122" i="13"/>
  <c r="E122" i="6"/>
  <c r="E122" i="8"/>
  <c r="E122" i="38"/>
  <c r="E122" i="2"/>
  <c r="E122" i="22"/>
  <c r="E122" i="9"/>
  <c r="E122" i="10"/>
  <c r="E122" i="11"/>
  <c r="E123" i="10"/>
  <c r="E123" i="22"/>
  <c r="E123" i="8"/>
  <c r="E124" i="26"/>
  <c r="E123" i="6"/>
  <c r="E123" i="9"/>
  <c r="E123" i="2"/>
  <c r="E123" i="11"/>
  <c r="E123" i="38"/>
  <c r="E123" i="13"/>
  <c r="E124" i="38"/>
  <c r="E124" i="9"/>
  <c r="E125" i="26"/>
  <c r="E124" i="13"/>
  <c r="E124" i="11"/>
  <c r="E124" i="22"/>
  <c r="E124" i="10"/>
  <c r="E124" i="6"/>
  <c r="E124" i="2"/>
  <c r="E124" i="8"/>
  <c r="E125" i="6"/>
  <c r="E126" i="26"/>
  <c r="E125" i="9"/>
  <c r="E125" i="38"/>
  <c r="E125" i="8"/>
  <c r="E125" i="13"/>
  <c r="E125" i="10"/>
  <c r="E125" i="11"/>
  <c r="E125" i="2"/>
  <c r="E125" i="22"/>
  <c r="E8" i="47"/>
  <c r="E4" i="47"/>
  <c r="F15" i="47"/>
  <c r="D15" i="47"/>
  <c r="E126" i="38"/>
  <c r="E126" i="6"/>
  <c r="E126" i="11"/>
  <c r="E126" i="8"/>
  <c r="E126" i="22"/>
  <c r="E126" i="13"/>
  <c r="E126" i="9"/>
  <c r="E127" i="26"/>
  <c r="E126" i="2"/>
  <c r="E126" i="10"/>
  <c r="E127" i="10"/>
  <c r="E127" i="8"/>
  <c r="E127" i="2"/>
  <c r="E127" i="9"/>
  <c r="E127" i="11"/>
  <c r="E127" i="38"/>
  <c r="E128" i="26"/>
  <c r="E127" i="13"/>
  <c r="E127" i="6"/>
  <c r="E127" i="22"/>
  <c r="E128" i="6"/>
  <c r="E129" i="26"/>
  <c r="E128" i="9"/>
  <c r="E128" i="10"/>
  <c r="E128" i="8"/>
  <c r="E128" i="13"/>
  <c r="E128" i="22"/>
  <c r="E128" i="38"/>
  <c r="E128" i="2"/>
  <c r="E128" i="11"/>
  <c r="E129" i="6"/>
  <c r="E129" i="8"/>
  <c r="E129" i="11"/>
  <c r="E129" i="13"/>
  <c r="E129" i="22"/>
  <c r="E129" i="9"/>
  <c r="E129" i="38"/>
  <c r="E129" i="10"/>
  <c r="E130" i="26"/>
  <c r="E129" i="2"/>
  <c r="E130" i="10"/>
  <c r="E130" i="8"/>
  <c r="E130" i="2"/>
  <c r="E130" i="6"/>
  <c r="E130" i="38"/>
  <c r="E130" i="9"/>
  <c r="E131" i="26"/>
  <c r="E130" i="22"/>
  <c r="E130" i="11"/>
  <c r="E130" i="13"/>
  <c r="E131" i="11"/>
  <c r="E132" i="26"/>
  <c r="E131" i="2"/>
  <c r="E131" i="8"/>
  <c r="E131" i="13"/>
  <c r="E131" i="6"/>
  <c r="E131" i="10"/>
  <c r="E131" i="22"/>
  <c r="E131" i="9"/>
  <c r="E131" i="38"/>
  <c r="E132" i="22"/>
  <c r="E132" i="13"/>
  <c r="E133" i="26"/>
  <c r="E132" i="11"/>
  <c r="E132" i="8"/>
  <c r="E132" i="38"/>
  <c r="E132" i="6"/>
  <c r="E132" i="2"/>
  <c r="E132" i="10"/>
  <c r="E132" i="9"/>
  <c r="E133" i="6"/>
  <c r="E133" i="8"/>
  <c r="E133" i="13"/>
  <c r="E133" i="9"/>
  <c r="E133" i="10"/>
  <c r="E133" i="2"/>
  <c r="E133" i="11"/>
  <c r="E133" i="38"/>
  <c r="E134" i="26"/>
  <c r="E133" i="22"/>
  <c r="E134" i="22"/>
  <c r="E134" i="6"/>
  <c r="E135" i="26"/>
  <c r="E134" i="2"/>
  <c r="E134" i="38"/>
  <c r="E134" i="10"/>
  <c r="E134" i="13"/>
  <c r="E134" i="8"/>
  <c r="E134" i="11"/>
  <c r="E134" i="9"/>
  <c r="E135" i="9"/>
  <c r="E135" i="38"/>
  <c r="E136" i="26"/>
  <c r="E135" i="11"/>
  <c r="E135" i="13"/>
  <c r="E135" i="6"/>
  <c r="E135" i="10"/>
  <c r="E135" i="2"/>
  <c r="E135" i="8"/>
  <c r="E135" i="22"/>
  <c r="E136" i="22"/>
  <c r="E137" i="26"/>
  <c r="E136" i="2"/>
  <c r="E136" i="9"/>
  <c r="E136" i="8"/>
  <c r="E136" i="13"/>
  <c r="E136" i="10"/>
  <c r="E136" i="6"/>
  <c r="E136" i="11"/>
  <c r="E136" i="38"/>
  <c r="E137" i="38"/>
  <c r="E137" i="10"/>
  <c r="E137" i="13"/>
  <c r="E137" i="9"/>
  <c r="E137" i="2"/>
  <c r="E137" i="22"/>
  <c r="E137" i="11"/>
  <c r="E138" i="26"/>
  <c r="E137" i="6"/>
  <c r="E137" i="8"/>
  <c r="E138" i="8"/>
  <c r="E138" i="11"/>
  <c r="E138" i="2"/>
  <c r="E138" i="13"/>
  <c r="E138" i="22"/>
  <c r="E138" i="9"/>
  <c r="E138" i="10"/>
  <c r="E138" i="38"/>
  <c r="E138" i="6"/>
  <c r="E139" i="26"/>
  <c r="E139" i="9"/>
  <c r="E140" i="26"/>
  <c r="E139" i="38"/>
  <c r="E139" i="22"/>
  <c r="E139" i="8"/>
  <c r="E139" i="10"/>
  <c r="E139" i="2"/>
  <c r="E139" i="6"/>
  <c r="E139" i="13"/>
  <c r="E139" i="11"/>
  <c r="E8" i="41"/>
  <c r="D15" i="41"/>
  <c r="E8" i="40"/>
  <c r="E140" i="11"/>
  <c r="E140" i="6"/>
  <c r="E140" i="22"/>
  <c r="E140" i="13"/>
  <c r="E140" i="10"/>
  <c r="E140" i="38"/>
  <c r="E140" i="9"/>
  <c r="E140" i="8"/>
  <c r="E140" i="2"/>
  <c r="E141" i="26"/>
  <c r="E4" i="41"/>
  <c r="F15" i="41"/>
  <c r="D15" i="40"/>
  <c r="E4" i="40"/>
  <c r="F15" i="40"/>
  <c r="E141" i="9"/>
  <c r="E141" i="10"/>
  <c r="E141" i="22"/>
  <c r="E141" i="11"/>
  <c r="E141" i="2"/>
  <c r="E141" i="8"/>
  <c r="E142" i="26"/>
  <c r="E141" i="38"/>
  <c r="E141" i="13"/>
  <c r="E141" i="6"/>
  <c r="E142" i="6"/>
  <c r="E142" i="38"/>
  <c r="E143" i="26"/>
  <c r="E142" i="9"/>
  <c r="E142" i="11"/>
  <c r="E142" i="8"/>
  <c r="E142" i="22"/>
  <c r="E142" i="13"/>
  <c r="E142" i="2"/>
  <c r="E142" i="10"/>
  <c r="E8" i="10"/>
  <c r="E143" i="8"/>
  <c r="E143" i="6"/>
  <c r="E143" i="13"/>
  <c r="E143" i="2"/>
  <c r="E143" i="9"/>
  <c r="E143" i="38"/>
  <c r="E143" i="22"/>
  <c r="E143" i="11"/>
  <c r="E144" i="26"/>
  <c r="D15" i="10"/>
  <c r="E4" i="10"/>
  <c r="F15" i="10"/>
  <c r="E145" i="26"/>
  <c r="E144" i="6"/>
  <c r="E144" i="11"/>
  <c r="E144" i="38"/>
  <c r="E144" i="8"/>
  <c r="E144" i="9"/>
  <c r="E144" i="13"/>
  <c r="E144" i="22"/>
  <c r="E144" i="2"/>
  <c r="E145" i="2"/>
  <c r="E145" i="11"/>
  <c r="E145" i="13"/>
  <c r="E145" i="6"/>
  <c r="E145" i="22"/>
  <c r="E145" i="8"/>
  <c r="E145" i="38"/>
  <c r="E145" i="9"/>
  <c r="E146" i="26"/>
  <c r="E147" i="26"/>
  <c r="E146" i="9"/>
  <c r="E146" i="8"/>
  <c r="E146" i="6"/>
  <c r="E146" i="13"/>
  <c r="E146" i="22"/>
  <c r="E146" i="2"/>
  <c r="E146" i="38"/>
  <c r="E146" i="11"/>
  <c r="E147" i="11"/>
  <c r="E147" i="2"/>
  <c r="E147" i="6"/>
  <c r="E147" i="8"/>
  <c r="E147" i="9"/>
  <c r="E147" i="38"/>
  <c r="E147" i="22"/>
  <c r="E147" i="13"/>
  <c r="E148" i="26"/>
  <c r="E149" i="26"/>
  <c r="E148" i="22"/>
  <c r="E148" i="9"/>
  <c r="E148" i="6"/>
  <c r="E148" i="13"/>
  <c r="E148" i="2"/>
  <c r="E148" i="38"/>
  <c r="E148" i="8"/>
  <c r="E148" i="11"/>
  <c r="E149" i="11"/>
  <c r="E149" i="2"/>
  <c r="E149" i="6"/>
  <c r="E149" i="9"/>
  <c r="E149" i="38"/>
  <c r="E149" i="13"/>
  <c r="E149" i="22"/>
  <c r="E149" i="8"/>
  <c r="E150" i="26"/>
  <c r="E151" i="26"/>
  <c r="E150" i="22"/>
  <c r="E150" i="38"/>
  <c r="E150" i="2"/>
  <c r="E150" i="6"/>
  <c r="E150" i="8"/>
  <c r="E150" i="11"/>
  <c r="E150" i="9"/>
  <c r="E150" i="13"/>
  <c r="E8" i="8"/>
  <c r="E151" i="13"/>
  <c r="E151" i="22"/>
  <c r="E151" i="2"/>
  <c r="E151" i="9"/>
  <c r="E151" i="6"/>
  <c r="E152" i="26"/>
  <c r="E151" i="11"/>
  <c r="E151" i="38"/>
  <c r="E4" i="8"/>
  <c r="F15" i="8"/>
  <c r="D15" i="8"/>
  <c r="E152" i="38"/>
  <c r="E152" i="11"/>
  <c r="E152" i="22"/>
  <c r="E152" i="13"/>
  <c r="E153" i="26"/>
  <c r="E152" i="6"/>
  <c r="E152" i="9"/>
  <c r="E152" i="2"/>
  <c r="E153" i="9"/>
  <c r="E153" i="13"/>
  <c r="E153" i="22"/>
  <c r="E153" i="11"/>
  <c r="E153" i="2"/>
  <c r="E153" i="6"/>
  <c r="E154" i="26"/>
  <c r="E153" i="38"/>
  <c r="E154" i="38"/>
  <c r="E154" i="2"/>
  <c r="E154" i="9"/>
  <c r="E155" i="26"/>
  <c r="E154" i="13"/>
  <c r="E154" i="6"/>
  <c r="E154" i="11"/>
  <c r="E154" i="22"/>
  <c r="E155" i="11"/>
  <c r="E155" i="6"/>
  <c r="E156" i="26"/>
  <c r="E155" i="9"/>
  <c r="E155" i="2"/>
  <c r="E155" i="38"/>
  <c r="E155" i="22"/>
  <c r="E155" i="13"/>
  <c r="E156" i="13"/>
  <c r="E156" i="2"/>
  <c r="E156" i="6"/>
  <c r="E156" i="9"/>
  <c r="E156" i="11"/>
  <c r="E156" i="22"/>
  <c r="E157" i="26"/>
  <c r="E156" i="38"/>
  <c r="E157" i="22"/>
  <c r="E157" i="11"/>
  <c r="E157" i="6"/>
  <c r="E157" i="13"/>
  <c r="E157" i="2"/>
  <c r="E158" i="26"/>
  <c r="E157" i="38"/>
  <c r="E157" i="9"/>
  <c r="E158" i="2"/>
  <c r="E158" i="13"/>
  <c r="E158" i="22"/>
  <c r="E158" i="6"/>
  <c r="E158" i="11"/>
  <c r="E158" i="9"/>
  <c r="E158" i="38"/>
  <c r="E159" i="26"/>
  <c r="E160" i="26"/>
  <c r="E159" i="22"/>
  <c r="E159" i="13"/>
  <c r="E159" i="6"/>
  <c r="E159" i="38"/>
  <c r="E159" i="11"/>
  <c r="E159" i="9"/>
  <c r="E159" i="2"/>
  <c r="E160" i="2"/>
  <c r="E160" i="38"/>
  <c r="E160" i="6"/>
  <c r="E160" i="22"/>
  <c r="E160" i="9"/>
  <c r="E160" i="11"/>
  <c r="E161" i="26"/>
  <c r="E160" i="13"/>
  <c r="E161" i="13"/>
  <c r="E161" i="2"/>
  <c r="E161" i="38"/>
  <c r="E162" i="26"/>
  <c r="E161" i="11"/>
  <c r="E161" i="9"/>
  <c r="E161" i="22"/>
  <c r="E161" i="6"/>
  <c r="E162" i="9"/>
  <c r="E163" i="26"/>
  <c r="E162" i="6"/>
  <c r="E162" i="13"/>
  <c r="E162" i="11"/>
  <c r="E162" i="2"/>
  <c r="E162" i="22"/>
  <c r="E162" i="38"/>
  <c r="E163" i="13"/>
  <c r="E163" i="38"/>
  <c r="E163" i="22"/>
  <c r="E163" i="2"/>
  <c r="E163" i="11"/>
  <c r="E163" i="6"/>
  <c r="E164" i="26"/>
  <c r="E163" i="9"/>
  <c r="E164" i="2"/>
  <c r="E164" i="9"/>
  <c r="E164" i="6"/>
  <c r="E164" i="22"/>
  <c r="E164" i="38"/>
  <c r="E165" i="26"/>
  <c r="E164" i="11"/>
  <c r="E164" i="13"/>
  <c r="E165" i="11"/>
  <c r="E165" i="9"/>
  <c r="E165" i="13"/>
  <c r="E165" i="6"/>
  <c r="E166" i="26"/>
  <c r="E165" i="38"/>
  <c r="E165" i="22"/>
  <c r="E165" i="2"/>
  <c r="E166" i="2"/>
  <c r="E166" i="38"/>
  <c r="E166" i="6"/>
  <c r="E166" i="13"/>
  <c r="E166" i="11"/>
  <c r="E167" i="26"/>
  <c r="E166" i="9"/>
  <c r="E166" i="22"/>
  <c r="E167" i="11"/>
  <c r="E167" i="22"/>
  <c r="E168" i="26"/>
  <c r="E167" i="38"/>
  <c r="E167" i="13"/>
  <c r="E167" i="2"/>
  <c r="E167" i="9"/>
  <c r="E167" i="6"/>
  <c r="E168" i="2"/>
  <c r="E168" i="13"/>
  <c r="E169" i="26"/>
  <c r="E168" i="9"/>
  <c r="E168" i="22"/>
  <c r="E168" i="6"/>
  <c r="E168" i="38"/>
  <c r="E168" i="11"/>
  <c r="E169" i="22"/>
  <c r="E169" i="2"/>
  <c r="E169" i="11"/>
  <c r="E169" i="6"/>
  <c r="E170" i="26"/>
  <c r="E169" i="38"/>
  <c r="E169" i="9"/>
  <c r="E169" i="13"/>
  <c r="E170" i="11"/>
  <c r="E170" i="2"/>
  <c r="E170" i="22"/>
  <c r="E170" i="13"/>
  <c r="E170" i="38"/>
  <c r="E170" i="6"/>
  <c r="E170" i="9"/>
  <c r="E171" i="26"/>
  <c r="E171" i="38"/>
  <c r="E171" i="22"/>
  <c r="E171" i="2"/>
  <c r="E171" i="13"/>
  <c r="E172" i="26"/>
  <c r="E171" i="11"/>
  <c r="E171" i="9"/>
  <c r="E171" i="6"/>
  <c r="E173" i="26"/>
  <c r="E172" i="22"/>
  <c r="E172" i="38"/>
  <c r="E172" i="13"/>
  <c r="E172" i="6"/>
  <c r="E172" i="11"/>
  <c r="E172" i="9"/>
  <c r="E172" i="2"/>
  <c r="E174" i="26"/>
  <c r="E173" i="2"/>
  <c r="E173" i="9"/>
  <c r="E173" i="11"/>
  <c r="E173" i="13"/>
  <c r="E173" i="38"/>
  <c r="E173" i="6"/>
  <c r="E173" i="22"/>
  <c r="E8" i="26"/>
  <c r="E174" i="11"/>
  <c r="E174" i="22"/>
  <c r="E174" i="9"/>
  <c r="E174" i="38"/>
  <c r="E174" i="2"/>
  <c r="E174" i="6"/>
  <c r="E174" i="13"/>
  <c r="E4" i="26"/>
  <c r="F15" i="26"/>
  <c r="D15" i="26"/>
  <c r="E175" i="22"/>
  <c r="E175" i="13"/>
  <c r="E175" i="6"/>
  <c r="E175" i="2"/>
  <c r="E175" i="9"/>
  <c r="E175" i="38"/>
  <c r="E175" i="11"/>
  <c r="E176" i="11"/>
  <c r="E176" i="2"/>
  <c r="E176" i="13"/>
  <c r="E176" i="22"/>
  <c r="E176" i="6"/>
  <c r="E176" i="9"/>
  <c r="E176" i="38"/>
  <c r="E177" i="22"/>
  <c r="E177" i="13"/>
  <c r="E177" i="38"/>
  <c r="E177" i="9"/>
  <c r="E177" i="11"/>
  <c r="E177" i="6"/>
  <c r="E177" i="2"/>
  <c r="E178" i="2"/>
  <c r="E178" i="22"/>
  <c r="E178" i="9"/>
  <c r="E178" i="13"/>
  <c r="E178" i="6"/>
  <c r="E178" i="11"/>
  <c r="E178" i="38"/>
  <c r="E179" i="6"/>
  <c r="E179" i="22"/>
  <c r="E179" i="2"/>
  <c r="E179" i="38"/>
  <c r="E179" i="13"/>
  <c r="E179" i="11"/>
  <c r="E179" i="9"/>
  <c r="E180" i="9"/>
  <c r="E180" i="22"/>
  <c r="E180" i="6"/>
  <c r="E180" i="11"/>
  <c r="E180" i="13"/>
  <c r="E180" i="38"/>
  <c r="E180" i="2"/>
  <c r="E181" i="38"/>
  <c r="E181" i="22"/>
  <c r="E181" i="9"/>
  <c r="E181" i="13"/>
  <c r="E181" i="2"/>
  <c r="E181" i="11"/>
  <c r="E181" i="6"/>
  <c r="E182" i="22"/>
  <c r="E182" i="6"/>
  <c r="E182" i="2"/>
  <c r="E182" i="11"/>
  <c r="E182" i="13"/>
  <c r="E182" i="9"/>
  <c r="E182" i="38"/>
  <c r="E183" i="38"/>
  <c r="E183" i="13"/>
  <c r="E183" i="6"/>
  <c r="E183" i="22"/>
  <c r="E183" i="9"/>
  <c r="E183" i="11"/>
  <c r="E183" i="2"/>
  <c r="E184" i="11"/>
  <c r="E184" i="9"/>
  <c r="E184" i="22"/>
  <c r="E184" i="13"/>
  <c r="E184" i="38"/>
  <c r="E184" i="6"/>
  <c r="E184" i="2"/>
  <c r="E185" i="22"/>
  <c r="E185" i="9"/>
  <c r="E185" i="2"/>
  <c r="E185" i="38"/>
  <c r="E185" i="6"/>
  <c r="E185" i="13"/>
  <c r="E185" i="11"/>
  <c r="E186" i="11"/>
  <c r="E186" i="2"/>
  <c r="E186" i="22"/>
  <c r="E186" i="9"/>
  <c r="E186" i="13"/>
  <c r="E186" i="38"/>
  <c r="E186" i="6"/>
  <c r="E187" i="13"/>
  <c r="E187" i="22"/>
  <c r="E187" i="6"/>
  <c r="E187" i="38"/>
  <c r="E187" i="9"/>
  <c r="E187" i="11"/>
  <c r="E187" i="2"/>
  <c r="E188" i="2"/>
  <c r="E188" i="9"/>
  <c r="E188" i="22"/>
  <c r="E188" i="13"/>
  <c r="E188" i="38"/>
  <c r="E188" i="11"/>
  <c r="E188" i="6"/>
  <c r="E8" i="37"/>
  <c r="E189" i="38"/>
  <c r="E189" i="22"/>
  <c r="E189" i="2"/>
  <c r="E189" i="9"/>
  <c r="E189" i="6"/>
  <c r="E189" i="13"/>
  <c r="E189" i="11"/>
  <c r="E8" i="38"/>
  <c r="D15" i="38"/>
  <c r="D15" i="37"/>
  <c r="E4" i="37"/>
  <c r="F15" i="37"/>
  <c r="E190" i="11"/>
  <c r="E190" i="13"/>
  <c r="E190" i="6"/>
  <c r="E190" i="9"/>
  <c r="E190" i="22"/>
  <c r="E190" i="2"/>
  <c r="E191" i="2"/>
  <c r="E191" i="9"/>
  <c r="E191" i="22"/>
  <c r="E191" i="6"/>
  <c r="E191" i="13"/>
  <c r="E191" i="11"/>
  <c r="E192" i="22"/>
  <c r="E192" i="2"/>
  <c r="E192" i="13"/>
  <c r="E192" i="9"/>
  <c r="E192" i="11"/>
  <c r="E192" i="6"/>
  <c r="E193" i="9"/>
  <c r="E193" i="13"/>
  <c r="E193" i="6"/>
  <c r="E193" i="2"/>
  <c r="E193" i="11"/>
  <c r="E193" i="22"/>
  <c r="E194" i="13"/>
  <c r="E194" i="11"/>
  <c r="E194" i="9"/>
  <c r="E194" i="22"/>
  <c r="E194" i="6"/>
  <c r="E194" i="2"/>
  <c r="E4" i="38"/>
  <c r="F15" i="38"/>
  <c r="E8" i="9"/>
  <c r="E195" i="2"/>
  <c r="E195" i="22"/>
  <c r="E195" i="11"/>
  <c r="E195" i="13"/>
  <c r="E195" i="6"/>
  <c r="D15" i="9"/>
  <c r="E4" i="9"/>
  <c r="F15" i="9"/>
  <c r="E196" i="13"/>
  <c r="E196" i="2"/>
  <c r="E196" i="6"/>
  <c r="E196" i="11"/>
  <c r="E196" i="22"/>
  <c r="E197" i="6"/>
  <c r="E197" i="13"/>
  <c r="E197" i="2"/>
  <c r="E197" i="22"/>
  <c r="E197" i="11"/>
  <c r="E8" i="35"/>
  <c r="E198" i="11"/>
  <c r="E198" i="6"/>
  <c r="E198" i="22"/>
  <c r="E198" i="13"/>
  <c r="E198" i="2"/>
  <c r="E4" i="35"/>
  <c r="F15" i="35"/>
  <c r="D15" i="35"/>
  <c r="E199" i="2"/>
  <c r="E199" i="6"/>
  <c r="E199" i="11"/>
  <c r="E199" i="13"/>
  <c r="E199" i="22"/>
  <c r="E8" i="45"/>
  <c r="E4" i="45"/>
  <c r="F15" i="45"/>
  <c r="E200" i="6"/>
  <c r="E200" i="13"/>
  <c r="E200" i="22"/>
  <c r="E200" i="11"/>
  <c r="E200" i="2"/>
  <c r="E201" i="2"/>
  <c r="E201" i="22"/>
  <c r="E201" i="6"/>
  <c r="E201" i="11"/>
  <c r="E201" i="13"/>
  <c r="E202" i="11"/>
  <c r="E202" i="6"/>
  <c r="E202" i="2"/>
  <c r="E202" i="22"/>
  <c r="E202" i="13"/>
  <c r="E203" i="6"/>
  <c r="E203" i="11"/>
  <c r="E203" i="22"/>
  <c r="E203" i="13"/>
  <c r="E203" i="2"/>
  <c r="E204" i="6"/>
  <c r="E204" i="2"/>
  <c r="E204" i="22"/>
  <c r="E204" i="13"/>
  <c r="E204" i="11"/>
  <c r="E205" i="13"/>
  <c r="E205" i="6"/>
  <c r="E205" i="11"/>
  <c r="E205" i="2"/>
  <c r="E205" i="22"/>
  <c r="D15" i="45"/>
  <c r="E8" i="33"/>
  <c r="E206" i="11"/>
  <c r="E206" i="6"/>
  <c r="E206" i="22"/>
  <c r="E206" i="2"/>
  <c r="E206" i="13"/>
  <c r="D15" i="33"/>
  <c r="E4" i="33"/>
  <c r="F15" i="33"/>
  <c r="E207" i="22"/>
  <c r="E207" i="11"/>
  <c r="E207" i="13"/>
  <c r="E207" i="2"/>
  <c r="E207" i="6"/>
  <c r="E208" i="22"/>
  <c r="E208" i="6"/>
  <c r="E208" i="13"/>
  <c r="E208" i="2"/>
  <c r="E208" i="11"/>
  <c r="E209" i="6"/>
  <c r="E209" i="13"/>
  <c r="E209" i="11"/>
  <c r="E209" i="22"/>
  <c r="E209" i="2"/>
  <c r="E210" i="11"/>
  <c r="E210" i="6"/>
  <c r="E210" i="13"/>
  <c r="E210" i="2"/>
  <c r="E210" i="22"/>
  <c r="E211" i="11"/>
  <c r="E211" i="13"/>
  <c r="E211" i="22"/>
  <c r="E211" i="2"/>
  <c r="E211" i="6"/>
  <c r="E212" i="6"/>
  <c r="E212" i="2"/>
  <c r="E212" i="13"/>
  <c r="E212" i="22"/>
  <c r="E212" i="11"/>
  <c r="E213" i="13"/>
  <c r="E213" i="11"/>
  <c r="E213" i="22"/>
  <c r="E213" i="2"/>
  <c r="E213" i="6"/>
  <c r="E8" i="22"/>
  <c r="E214" i="6"/>
  <c r="E214" i="13"/>
  <c r="E214" i="11"/>
  <c r="E214" i="2"/>
  <c r="E4" i="22"/>
  <c r="F15" i="22"/>
  <c r="D15" i="22"/>
  <c r="E215" i="2"/>
  <c r="E215" i="13"/>
  <c r="E215" i="11"/>
  <c r="E215" i="6"/>
  <c r="E216" i="6"/>
  <c r="E216" i="11"/>
  <c r="E216" i="2"/>
  <c r="E216" i="13"/>
  <c r="E217" i="2"/>
  <c r="E217" i="11"/>
  <c r="E217" i="13"/>
  <c r="E217" i="6"/>
  <c r="E218" i="6"/>
  <c r="E218" i="2"/>
  <c r="E218" i="13"/>
  <c r="E218" i="11"/>
  <c r="E219" i="11"/>
  <c r="E219" i="6"/>
  <c r="E219" i="13"/>
  <c r="E219" i="2"/>
  <c r="E8" i="32"/>
  <c r="D15" i="32"/>
  <c r="E220" i="2"/>
  <c r="E220" i="6"/>
  <c r="E220" i="11"/>
  <c r="E220" i="13"/>
  <c r="E4" i="32"/>
  <c r="F15" i="32"/>
  <c r="E8" i="30"/>
  <c r="D15" i="30"/>
  <c r="E221" i="11"/>
  <c r="E221" i="13"/>
  <c r="E221" i="6"/>
  <c r="E221" i="2"/>
  <c r="E222" i="13"/>
  <c r="E222" i="6"/>
  <c r="E222" i="2"/>
  <c r="E222" i="11"/>
  <c r="E4" i="30"/>
  <c r="F15" i="30"/>
  <c r="E8" i="29"/>
  <c r="E223" i="11"/>
  <c r="E223" i="6"/>
  <c r="E223" i="2"/>
  <c r="E223" i="13"/>
  <c r="E8" i="28"/>
  <c r="D15" i="28"/>
  <c r="E4" i="29"/>
  <c r="F15" i="29"/>
  <c r="D15" i="29"/>
  <c r="E224" i="13"/>
  <c r="E224" i="2"/>
  <c r="E224" i="6"/>
  <c r="E224" i="11"/>
  <c r="E225" i="2"/>
  <c r="E225" i="11"/>
  <c r="E225" i="6"/>
  <c r="E225" i="13"/>
  <c r="E226" i="13"/>
  <c r="E226" i="11"/>
  <c r="E226" i="2"/>
  <c r="E226" i="6"/>
  <c r="E227" i="6"/>
  <c r="E227" i="2"/>
  <c r="E227" i="11"/>
  <c r="E227" i="13"/>
  <c r="E228" i="6"/>
  <c r="E228" i="2"/>
  <c r="E228" i="13"/>
  <c r="E228" i="11"/>
  <c r="E229" i="13"/>
  <c r="E229" i="2"/>
  <c r="E229" i="11"/>
  <c r="E229" i="6"/>
  <c r="E230" i="6"/>
  <c r="E230" i="13"/>
  <c r="E230" i="2"/>
  <c r="E230" i="11"/>
  <c r="E231" i="6"/>
  <c r="E231" i="11"/>
  <c r="E231" i="13"/>
  <c r="E231" i="2"/>
  <c r="E232" i="13"/>
  <c r="E232" i="6"/>
  <c r="E232" i="11"/>
  <c r="E232" i="2"/>
  <c r="E233" i="2"/>
  <c r="E233" i="6"/>
  <c r="E233" i="11"/>
  <c r="E233" i="13"/>
  <c r="E234" i="2"/>
  <c r="E234" i="6"/>
  <c r="E234" i="13"/>
  <c r="E234" i="11"/>
  <c r="E235" i="11"/>
  <c r="E235" i="6"/>
  <c r="E235" i="13"/>
  <c r="E235" i="2"/>
  <c r="E236" i="2"/>
  <c r="E236" i="11"/>
  <c r="E236" i="13"/>
  <c r="E236" i="6"/>
  <c r="E237" i="6"/>
  <c r="E237" i="2"/>
  <c r="E237" i="13"/>
  <c r="E237" i="11"/>
  <c r="E238" i="11"/>
  <c r="E238" i="13"/>
  <c r="E238" i="2"/>
  <c r="E238" i="6"/>
  <c r="E239" i="11"/>
  <c r="E239" i="6"/>
  <c r="E239" i="2"/>
  <c r="E239" i="13"/>
  <c r="E240" i="6"/>
  <c r="E240" i="11"/>
  <c r="E240" i="13"/>
  <c r="E240" i="2"/>
  <c r="E241" i="2"/>
  <c r="E241" i="13"/>
  <c r="E241" i="6"/>
  <c r="E241" i="11"/>
  <c r="E242" i="11"/>
  <c r="E242" i="13"/>
  <c r="E242" i="2"/>
  <c r="E242" i="6"/>
  <c r="E243" i="6"/>
  <c r="E243" i="11"/>
  <c r="E243" i="2"/>
  <c r="E243" i="13"/>
  <c r="E244" i="13"/>
  <c r="E244" i="6"/>
  <c r="E244" i="11"/>
  <c r="E244" i="2"/>
  <c r="E245" i="6"/>
  <c r="E245" i="13"/>
  <c r="E245" i="2"/>
  <c r="E245" i="11"/>
  <c r="E246" i="2"/>
  <c r="E246" i="11"/>
  <c r="E246" i="13"/>
  <c r="E246" i="6"/>
  <c r="E247" i="11"/>
  <c r="E247" i="2"/>
  <c r="E247" i="6"/>
  <c r="E247" i="13"/>
  <c r="E248" i="11"/>
  <c r="E248" i="2"/>
  <c r="E248" i="13"/>
  <c r="E248" i="6"/>
  <c r="E249" i="6"/>
  <c r="E249" i="13"/>
  <c r="E249" i="2"/>
  <c r="E249" i="11"/>
  <c r="E250" i="11"/>
  <c r="E250" i="13"/>
  <c r="E250" i="6"/>
  <c r="E250" i="2"/>
  <c r="E251" i="2"/>
  <c r="E251" i="11"/>
  <c r="E251" i="6"/>
  <c r="E251" i="13"/>
  <c r="E252" i="13"/>
  <c r="E252" i="2"/>
  <c r="E252" i="11"/>
  <c r="E252" i="6"/>
  <c r="E4" i="28"/>
  <c r="F15" i="28"/>
  <c r="E8" i="2"/>
  <c r="E253" i="13"/>
  <c r="E253" i="6"/>
  <c r="E253" i="11"/>
  <c r="D15" i="2"/>
  <c r="E4" i="2"/>
  <c r="F15" i="2"/>
  <c r="E254" i="13"/>
  <c r="E254" i="11"/>
  <c r="E254" i="6"/>
  <c r="E255" i="13"/>
  <c r="E255" i="6"/>
  <c r="E255" i="11"/>
  <c r="E256" i="6"/>
  <c r="E256" i="11"/>
  <c r="E256" i="13"/>
  <c r="E257" i="6"/>
  <c r="E257" i="11"/>
  <c r="E257" i="13"/>
  <c r="E258" i="6"/>
  <c r="E258" i="11"/>
  <c r="E258" i="13"/>
  <c r="E259" i="13"/>
  <c r="E259" i="6"/>
  <c r="E259" i="11"/>
  <c r="E260" i="13"/>
  <c r="E260" i="11"/>
  <c r="E260" i="6"/>
  <c r="E261" i="6"/>
  <c r="E261" i="11"/>
  <c r="E261" i="13"/>
  <c r="E262" i="11"/>
  <c r="E262" i="6"/>
  <c r="E262" i="13"/>
  <c r="E8" i="20"/>
  <c r="E263" i="11"/>
  <c r="E263" i="6"/>
  <c r="E263" i="13"/>
  <c r="E4" i="20"/>
  <c r="F15" i="20"/>
  <c r="D15" i="20"/>
  <c r="E264" i="6"/>
  <c r="E264" i="11"/>
  <c r="E264" i="13"/>
  <c r="E265" i="11"/>
  <c r="E265" i="13"/>
  <c r="E265" i="6"/>
  <c r="E266" i="13"/>
  <c r="E266" i="11"/>
  <c r="E266" i="6"/>
  <c r="E267" i="6"/>
  <c r="E267" i="13"/>
  <c r="E267" i="11"/>
  <c r="E268" i="6"/>
  <c r="E268" i="11"/>
  <c r="E268" i="13"/>
  <c r="E269" i="11"/>
  <c r="E269" i="6"/>
  <c r="E269" i="13"/>
  <c r="E270" i="13"/>
  <c r="E270" i="6"/>
  <c r="E270" i="11"/>
  <c r="E8" i="19"/>
  <c r="D15" i="19"/>
  <c r="E271" i="11"/>
  <c r="E271" i="6"/>
  <c r="E271" i="13"/>
  <c r="E272" i="6"/>
  <c r="E272" i="13"/>
  <c r="E272" i="11"/>
  <c r="E273" i="11"/>
  <c r="E273" i="6"/>
  <c r="E273" i="13"/>
  <c r="E4" i="19"/>
  <c r="F15" i="19"/>
  <c r="E8" i="18"/>
  <c r="E274" i="13"/>
  <c r="E274" i="6"/>
  <c r="E274" i="11"/>
  <c r="E4" i="18"/>
  <c r="F15" i="18"/>
  <c r="D15" i="18"/>
  <c r="E275" i="6"/>
  <c r="E275" i="11"/>
  <c r="E275" i="13"/>
  <c r="E276" i="6"/>
  <c r="E276" i="13"/>
  <c r="E276" i="11"/>
  <c r="E277" i="11"/>
  <c r="E277" i="6"/>
  <c r="E277" i="13"/>
  <c r="E278" i="6"/>
  <c r="E278" i="11"/>
  <c r="E278" i="13"/>
  <c r="E279" i="6"/>
  <c r="E279" i="11"/>
  <c r="E279" i="13"/>
  <c r="E280" i="11"/>
  <c r="E280" i="6"/>
  <c r="E280" i="13"/>
  <c r="E281" i="6"/>
  <c r="E281" i="11"/>
  <c r="E281" i="13"/>
  <c r="E282" i="13"/>
  <c r="E282" i="6"/>
  <c r="E282" i="11"/>
  <c r="E283" i="11"/>
  <c r="E283" i="6"/>
  <c r="E283" i="13"/>
  <c r="E284" i="6"/>
  <c r="E284" i="11"/>
  <c r="E284" i="13"/>
  <c r="E285" i="13"/>
  <c r="E285" i="6"/>
  <c r="E285" i="11"/>
  <c r="E286" i="6"/>
  <c r="E286" i="11"/>
  <c r="E286" i="13"/>
  <c r="E287" i="6"/>
  <c r="E287" i="11"/>
  <c r="E287" i="13"/>
  <c r="E288" i="11"/>
  <c r="E288" i="6"/>
  <c r="E288" i="13"/>
  <c r="E289" i="6"/>
  <c r="E289" i="11"/>
  <c r="E289" i="13"/>
  <c r="E290" i="13"/>
  <c r="E290" i="6"/>
  <c r="E290" i="11"/>
  <c r="E291" i="11"/>
  <c r="E291" i="6"/>
  <c r="E291" i="13"/>
  <c r="E292" i="13"/>
  <c r="E292" i="6"/>
  <c r="E292" i="11"/>
  <c r="E293" i="6"/>
  <c r="E293" i="13"/>
  <c r="E293" i="11"/>
  <c r="E294" i="6"/>
  <c r="E294" i="11"/>
  <c r="E294" i="13"/>
  <c r="E295" i="13"/>
  <c r="E295" i="6"/>
  <c r="E295" i="11"/>
  <c r="E296" i="11"/>
  <c r="E296" i="6"/>
  <c r="E296" i="13"/>
  <c r="E297" i="6"/>
  <c r="E297" i="11"/>
  <c r="E297" i="13"/>
  <c r="E298" i="6"/>
  <c r="E298" i="13"/>
  <c r="E298" i="11"/>
  <c r="E8" i="6"/>
  <c r="E299" i="11"/>
  <c r="E299" i="13"/>
  <c r="E4" i="6"/>
  <c r="F15" i="6"/>
  <c r="D15" i="6"/>
  <c r="E300" i="13"/>
  <c r="E300" i="11"/>
  <c r="E301" i="13"/>
  <c r="E301" i="11"/>
  <c r="E302" i="11"/>
  <c r="E302" i="13"/>
  <c r="E303" i="11"/>
  <c r="E303" i="13"/>
  <c r="E304" i="13"/>
  <c r="E304" i="11"/>
  <c r="E305" i="13"/>
  <c r="E305" i="11"/>
  <c r="E306" i="11"/>
  <c r="E306" i="13"/>
  <c r="E307" i="13"/>
  <c r="E307" i="11"/>
  <c r="E308" i="13"/>
  <c r="E308" i="11"/>
  <c r="E309" i="13"/>
  <c r="E309" i="11"/>
  <c r="E310" i="13"/>
  <c r="E310" i="11"/>
  <c r="E311" i="11"/>
  <c r="E311" i="13"/>
  <c r="E312" i="11"/>
  <c r="E312" i="13"/>
  <c r="E313" i="13"/>
  <c r="E313" i="11"/>
  <c r="E314" i="13"/>
  <c r="E314" i="11"/>
  <c r="E315" i="11"/>
  <c r="E315" i="13"/>
  <c r="E316" i="13"/>
  <c r="E316" i="11"/>
  <c r="E317" i="11"/>
  <c r="E317" i="13"/>
  <c r="E318" i="13"/>
  <c r="E318" i="11"/>
  <c r="E319" i="11"/>
  <c r="E319" i="13"/>
  <c r="E320" i="13"/>
  <c r="E320" i="11"/>
  <c r="E321" i="11"/>
  <c r="E321" i="13"/>
  <c r="E322" i="13"/>
  <c r="E322" i="11"/>
  <c r="E323" i="11"/>
  <c r="E323" i="13"/>
  <c r="E8" i="23"/>
  <c r="E4" i="23"/>
  <c r="F15" i="23"/>
  <c r="E324" i="11"/>
  <c r="E324" i="13"/>
  <c r="E325" i="11"/>
  <c r="E325" i="13"/>
  <c r="D15" i="23"/>
  <c r="E8" i="13"/>
  <c r="E326" i="11"/>
  <c r="E4" i="13"/>
  <c r="F15" i="13"/>
  <c r="D15" i="13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8" i="14"/>
  <c r="D15" i="14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4" i="14"/>
  <c r="F15" i="14"/>
  <c r="E8" i="12"/>
  <c r="E371" i="11"/>
  <c r="D15" i="12"/>
  <c r="E4" i="12"/>
  <c r="F15" i="12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8" i="24"/>
  <c r="D15" i="24"/>
  <c r="E390" i="11"/>
  <c r="E4" i="24"/>
  <c r="F15" i="24"/>
  <c r="E8" i="25"/>
  <c r="E4" i="25"/>
  <c r="F15" i="25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D15" i="25"/>
  <c r="E8" i="11"/>
  <c r="E4" i="11"/>
  <c r="F15" i="11"/>
  <c r="D15" i="11"/>
  <c r="E8" i="7"/>
  <c r="E4" i="7"/>
  <c r="F15" i="7"/>
  <c r="D15" i="7"/>
  <c r="E8" i="5"/>
  <c r="E8" i="4"/>
  <c r="E4" i="5"/>
  <c r="F15" i="5"/>
  <c r="D15" i="5"/>
  <c r="D15" i="4"/>
  <c r="E4" i="4"/>
  <c r="F15" i="4"/>
</calcChain>
</file>

<file path=xl/comments1.xml><?xml version="1.0" encoding="utf-8"?>
<comments xmlns="http://schemas.openxmlformats.org/spreadsheetml/2006/main">
  <authors>
    <author>作者</author>
  </authors>
  <commentList>
    <comment ref="A17" authorId="0" shapeId="0">
      <text>
        <r>
          <rPr>
            <b/>
            <sz val="9"/>
            <rFont val="宋体"/>
            <family val="3"/>
            <charset val="134"/>
          </rPr>
          <t>Sharon:</t>
        </r>
        <r>
          <rPr>
            <sz val="9"/>
            <rFont val="宋体"/>
            <family val="3"/>
            <charset val="134"/>
          </rPr>
          <t xml:space="preserve">
冻结拆分窗格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A17" authorId="0" shapeId="0">
      <text>
        <r>
          <rPr>
            <b/>
            <sz val="9"/>
            <color indexed="81"/>
            <rFont val="宋体"/>
            <family val="3"/>
            <charset val="134"/>
          </rPr>
          <t>Sharon:</t>
        </r>
        <r>
          <rPr>
            <sz val="9"/>
            <color indexed="81"/>
            <rFont val="宋体"/>
            <family val="3"/>
            <charset val="134"/>
          </rPr>
          <t xml:space="preserve">
冻结拆分窗格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G115" authorId="0" shapeId="0">
      <text>
        <r>
          <rPr>
            <b/>
            <sz val="9"/>
            <color indexed="81"/>
            <rFont val="宋体"/>
            <family val="3"/>
            <charset val="134"/>
          </rPr>
          <t>user:</t>
        </r>
        <r>
          <rPr>
            <sz val="9"/>
            <color indexed="81"/>
            <rFont val="宋体"/>
            <family val="3"/>
            <charset val="134"/>
          </rPr>
          <t xml:space="preserve">
赎回380万份</t>
        </r>
      </text>
    </comment>
  </commentList>
</comments>
</file>

<file path=xl/sharedStrings.xml><?xml version="1.0" encoding="utf-8"?>
<sst xmlns="http://schemas.openxmlformats.org/spreadsheetml/2006/main" count="1649" uniqueCount="113">
  <si>
    <t>交易日</t>
    <phoneticPr fontId="25" type="noConversion"/>
  </si>
  <si>
    <t>综合指标</t>
    <phoneticPr fontId="25" type="noConversion"/>
  </si>
  <si>
    <t>注：</t>
    <phoneticPr fontId="27" type="noConversion"/>
  </si>
  <si>
    <t>累计收益率中的最后一个净值为</t>
    <phoneticPr fontId="27" type="noConversion"/>
  </si>
  <si>
    <t>正收益日</t>
    <phoneticPr fontId="25" type="noConversion"/>
  </si>
  <si>
    <t>Sharpe Ratio</t>
    <phoneticPr fontId="25" type="noConversion"/>
  </si>
  <si>
    <t>负收益日</t>
    <phoneticPr fontId="25" type="noConversion"/>
  </si>
  <si>
    <t>Calmar Ratio</t>
    <phoneticPr fontId="25" type="noConversion"/>
  </si>
  <si>
    <t>零收益日</t>
    <phoneticPr fontId="25" type="noConversion"/>
  </si>
  <si>
    <t>Sortino Ratio</t>
    <phoneticPr fontId="25" type="noConversion"/>
  </si>
  <si>
    <t>收益指标</t>
    <phoneticPr fontId="25" type="noConversion"/>
  </si>
  <si>
    <t>风险指标</t>
    <phoneticPr fontId="25" type="noConversion"/>
  </si>
  <si>
    <t>累计收益率</t>
    <phoneticPr fontId="25" type="noConversion"/>
  </si>
  <si>
    <t>最大回撤</t>
    <phoneticPr fontId="25" type="noConversion"/>
  </si>
  <si>
    <t>年化收益率</t>
    <phoneticPr fontId="25" type="noConversion"/>
  </si>
  <si>
    <t>下侧波动率</t>
    <phoneticPr fontId="25" type="noConversion"/>
  </si>
  <si>
    <t>日均收益率</t>
    <phoneticPr fontId="25" type="noConversion"/>
  </si>
  <si>
    <t>标准差</t>
    <phoneticPr fontId="25" type="noConversion"/>
  </si>
  <si>
    <t>胜率</t>
    <phoneticPr fontId="25" type="noConversion"/>
  </si>
  <si>
    <t>年化波动率</t>
    <phoneticPr fontId="25" type="noConversion"/>
  </si>
  <si>
    <t>盈亏比</t>
    <phoneticPr fontId="25" type="noConversion"/>
  </si>
  <si>
    <t>交易日</t>
    <phoneticPr fontId="27" type="noConversion"/>
  </si>
  <si>
    <t>源数据</t>
    <phoneticPr fontId="27" type="noConversion"/>
  </si>
  <si>
    <t>日期</t>
    <phoneticPr fontId="24" type="noConversion"/>
  </si>
  <si>
    <t>累计净值</t>
    <phoneticPr fontId="24" type="noConversion"/>
  </si>
  <si>
    <t>每日盈亏</t>
    <phoneticPr fontId="24" type="noConversion"/>
  </si>
  <si>
    <t>下跌幅度</t>
    <phoneticPr fontId="29" type="noConversion"/>
  </si>
  <si>
    <t>最大回撤</t>
    <phoneticPr fontId="29" type="noConversion"/>
  </si>
  <si>
    <t>单位净值</t>
    <phoneticPr fontId="24" type="noConversion"/>
  </si>
  <si>
    <t>持有涨跌幅</t>
    <phoneticPr fontId="24" type="noConversion"/>
  </si>
  <si>
    <t>申购日</t>
    <phoneticPr fontId="24" type="noConversion"/>
  </si>
  <si>
    <t>、</t>
    <phoneticPr fontId="24" type="noConversion"/>
  </si>
  <si>
    <t xml:space="preserve">  </t>
    <phoneticPr fontId="24" type="noConversion"/>
  </si>
  <si>
    <t xml:space="preserve">   </t>
    <phoneticPr fontId="24" type="noConversion"/>
  </si>
  <si>
    <t>申购日</t>
    <phoneticPr fontId="24" type="noConversion"/>
  </si>
  <si>
    <t>持有涨跌幅2</t>
    <phoneticPr fontId="24" type="noConversion"/>
  </si>
  <si>
    <t>持有涨跌幅2</t>
    <phoneticPr fontId="24" type="noConversion"/>
  </si>
  <si>
    <t>申购日</t>
    <phoneticPr fontId="24" type="noConversion"/>
  </si>
  <si>
    <t xml:space="preserve">       </t>
    <phoneticPr fontId="24" type="noConversion"/>
  </si>
  <si>
    <t>列1</t>
    <phoneticPr fontId="24" type="noConversion"/>
  </si>
  <si>
    <t xml:space="preserve">  </t>
    <phoneticPr fontId="24" type="noConversion"/>
  </si>
  <si>
    <t xml:space="preserve">  </t>
    <phoneticPr fontId="24" type="noConversion"/>
  </si>
  <si>
    <t xml:space="preserve">         </t>
    <phoneticPr fontId="24" type="noConversion"/>
  </si>
  <si>
    <t xml:space="preserve">  </t>
    <phoneticPr fontId="24" type="noConversion"/>
  </si>
  <si>
    <t xml:space="preserve"> </t>
    <phoneticPr fontId="24" type="noConversion"/>
  </si>
  <si>
    <t xml:space="preserve">  </t>
    <phoneticPr fontId="24" type="noConversion"/>
  </si>
  <si>
    <t xml:space="preserve"> </t>
    <phoneticPr fontId="24" type="noConversion"/>
  </si>
  <si>
    <r>
      <t xml:space="preserve"> </t>
    </r>
    <r>
      <rPr>
        <sz val="11"/>
        <color theme="1"/>
        <rFont val="等线"/>
        <family val="2"/>
        <charset val="134"/>
        <scheme val="minor"/>
      </rPr>
      <t xml:space="preserve"> </t>
    </r>
    <phoneticPr fontId="24" type="noConversion"/>
  </si>
  <si>
    <r>
      <t xml:space="preserve"> </t>
    </r>
    <r>
      <rPr>
        <sz val="11"/>
        <color theme="1"/>
        <rFont val="等线"/>
        <family val="2"/>
        <charset val="134"/>
        <scheme val="minor"/>
      </rPr>
      <t xml:space="preserve"> </t>
    </r>
    <phoneticPr fontId="24" type="noConversion"/>
  </si>
  <si>
    <t>申购日</t>
    <phoneticPr fontId="24" type="noConversion"/>
  </si>
  <si>
    <r>
      <t xml:space="preserve"> </t>
    </r>
    <r>
      <rPr>
        <sz val="11"/>
        <color theme="1"/>
        <rFont val="等线"/>
        <family val="2"/>
        <charset val="134"/>
        <scheme val="minor"/>
      </rPr>
      <t xml:space="preserve"> </t>
    </r>
    <phoneticPr fontId="24" type="noConversion"/>
  </si>
  <si>
    <t xml:space="preserve"> </t>
    <phoneticPr fontId="24" type="noConversion"/>
  </si>
  <si>
    <t>负收益日</t>
    <phoneticPr fontId="25" type="noConversion"/>
  </si>
  <si>
    <t>零收益日</t>
    <phoneticPr fontId="25" type="noConversion"/>
  </si>
  <si>
    <t>Sortino Ratio</t>
    <phoneticPr fontId="25" type="noConversion"/>
  </si>
  <si>
    <t>累计收益率</t>
    <phoneticPr fontId="25" type="noConversion"/>
  </si>
  <si>
    <t>年化收益率</t>
    <phoneticPr fontId="25" type="noConversion"/>
  </si>
  <si>
    <t>下侧波动率</t>
    <phoneticPr fontId="25" type="noConversion"/>
  </si>
  <si>
    <t>日均收益率</t>
    <phoneticPr fontId="25" type="noConversion"/>
  </si>
  <si>
    <t>标准差</t>
    <phoneticPr fontId="25" type="noConversion"/>
  </si>
  <si>
    <t>胜率</t>
    <phoneticPr fontId="25" type="noConversion"/>
  </si>
  <si>
    <t>年化波动率</t>
    <phoneticPr fontId="25" type="noConversion"/>
  </si>
  <si>
    <t>最大回撤</t>
    <phoneticPr fontId="25" type="noConversion"/>
  </si>
  <si>
    <t>源数据</t>
    <phoneticPr fontId="27" type="noConversion"/>
  </si>
  <si>
    <t>日期</t>
    <phoneticPr fontId="24" type="noConversion"/>
  </si>
  <si>
    <t>单位净值</t>
    <phoneticPr fontId="24" type="noConversion"/>
  </si>
  <si>
    <t>持有涨跌幅</t>
    <phoneticPr fontId="24" type="noConversion"/>
  </si>
  <si>
    <r>
      <t xml:space="preserve"> </t>
    </r>
    <r>
      <rPr>
        <sz val="11"/>
        <color theme="1"/>
        <rFont val="等线"/>
        <family val="2"/>
        <charset val="134"/>
        <scheme val="minor"/>
      </rPr>
      <t xml:space="preserve">  </t>
    </r>
    <phoneticPr fontId="24" type="noConversion"/>
  </si>
  <si>
    <t>交易周</t>
  </si>
  <si>
    <t>综合指标</t>
  </si>
  <si>
    <t>注：</t>
  </si>
  <si>
    <t>累计收益率公式中的最后一个净值</t>
  </si>
  <si>
    <t>正收益周</t>
  </si>
  <si>
    <t>Sharpe Ratio</t>
  </si>
  <si>
    <t>负收益周</t>
  </si>
  <si>
    <t>Calmar Ratio</t>
  </si>
  <si>
    <t>零收益日</t>
  </si>
  <si>
    <t>Sortino Ratio</t>
  </si>
  <si>
    <t>收益指标</t>
  </si>
  <si>
    <t>风险指标</t>
  </si>
  <si>
    <t>累计收益率</t>
  </si>
  <si>
    <t>最大回撤</t>
  </si>
  <si>
    <t>年化收益率</t>
  </si>
  <si>
    <t>下侧波动率</t>
  </si>
  <si>
    <t>周均收益率</t>
  </si>
  <si>
    <t>标准差</t>
  </si>
  <si>
    <t>胜率</t>
  </si>
  <si>
    <t>年化波动率</t>
  </si>
  <si>
    <t>盈亏比</t>
  </si>
  <si>
    <t>累积收益率</t>
  </si>
  <si>
    <t>本周收益</t>
  </si>
  <si>
    <t>近一个月年化收益</t>
  </si>
  <si>
    <t>源数据</t>
  </si>
  <si>
    <t>日期</t>
  </si>
  <si>
    <t>累计净值</t>
  </si>
  <si>
    <t>每周盈亏</t>
  </si>
  <si>
    <t>下跌幅度</t>
  </si>
  <si>
    <t>交易周</t>
    <phoneticPr fontId="25" type="noConversion"/>
  </si>
  <si>
    <t>累计收益率公式中的最后一个净值</t>
    <phoneticPr fontId="27" type="noConversion"/>
  </si>
  <si>
    <t>正收益周</t>
    <phoneticPr fontId="25" type="noConversion"/>
  </si>
  <si>
    <t>负收益周</t>
    <phoneticPr fontId="25" type="noConversion"/>
  </si>
  <si>
    <t>周均收益率</t>
    <phoneticPr fontId="25" type="noConversion"/>
  </si>
  <si>
    <t>胜率</t>
    <phoneticPr fontId="25" type="noConversion"/>
  </si>
  <si>
    <t>交易周</t>
    <phoneticPr fontId="27" type="noConversion"/>
  </si>
  <si>
    <t>累积收益率</t>
    <phoneticPr fontId="25" type="noConversion"/>
  </si>
  <si>
    <t>源数据</t>
    <phoneticPr fontId="27" type="noConversion"/>
  </si>
  <si>
    <t>日期</t>
    <phoneticPr fontId="27" type="noConversion"/>
  </si>
  <si>
    <t>累计净值</t>
    <phoneticPr fontId="27" type="noConversion"/>
  </si>
  <si>
    <t>每周盈亏</t>
    <phoneticPr fontId="24" type="noConversion"/>
  </si>
  <si>
    <t>下跌幅度</t>
    <phoneticPr fontId="29" type="noConversion"/>
  </si>
  <si>
    <t>单位净值</t>
    <phoneticPr fontId="24" type="noConversion"/>
  </si>
  <si>
    <t>持有收益</t>
    <phoneticPr fontId="24" type="noConversion"/>
  </si>
  <si>
    <r>
      <t xml:space="preserve"> </t>
    </r>
    <r>
      <rPr>
        <sz val="11"/>
        <color theme="1"/>
        <rFont val="等线"/>
        <family val="2"/>
        <charset val="134"/>
        <scheme val="minor"/>
      </rPr>
      <t xml:space="preserve"> </t>
    </r>
    <phoneticPr fontId="2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</si>
</sst>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76" formatCode="0_ "/>
    <numFmt numFmtId="177" formatCode="0.00_ "/>
    <numFmt numFmtId="178" formatCode="0.0000%"/>
    <numFmt numFmtId="179" formatCode="0_);[Red]\(0\)"/>
    <numFmt numFmtId="180" formatCode="0.0000_ "/>
    <numFmt numFmtId="181" formatCode="yyyy\-mm\-dd"/>
    <numFmt numFmtId="182" formatCode="#,##0.0000_ ;\-#,##0.0000\ "/>
    <numFmt numFmtId="183" formatCode="0.00_);[Red]\(0.00\)"/>
    <numFmt numFmtId="184" formatCode="0.0%"/>
    <numFmt numFmtId="185" formatCode="0.0000_);[Red]\(0.0000\)"/>
  </numFmts>
  <fonts count="48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9"/>
      <name val="宋体"/>
      <family val="3"/>
      <charset val="134"/>
    </font>
    <font>
      <b/>
      <sz val="12"/>
      <color indexed="10"/>
      <name val="宋体"/>
      <family val="3"/>
      <charset val="134"/>
    </font>
    <font>
      <sz val="9"/>
      <name val="等线"/>
      <family val="2"/>
      <charset val="134"/>
      <scheme val="minor"/>
    </font>
    <font>
      <sz val="12"/>
      <name val="宋体"/>
      <family val="3"/>
      <charset val="134"/>
    </font>
    <font>
      <sz val="9"/>
      <name val="宋体"/>
      <family val="2"/>
      <charset val="134"/>
    </font>
    <font>
      <sz val="12"/>
      <name val="等线"/>
      <family val="3"/>
      <charset val="134"/>
      <scheme val="minor"/>
    </font>
    <font>
      <sz val="12"/>
      <color theme="1"/>
      <name val="宋体"/>
      <family val="3"/>
      <charset val="134"/>
    </font>
    <font>
      <b/>
      <sz val="12"/>
      <color theme="1"/>
      <name val="宋体"/>
      <family val="3"/>
      <charset val="134"/>
    </font>
    <font>
      <b/>
      <sz val="12"/>
      <color rgb="FFFF0000"/>
      <name val="宋体"/>
      <family val="3"/>
      <charset val="134"/>
    </font>
    <font>
      <sz val="11"/>
      <color theme="1"/>
      <name val="等线"/>
      <family val="3"/>
      <charset val="134"/>
      <scheme val="minor"/>
    </font>
    <font>
      <sz val="11"/>
      <color rgb="FF000000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rgb="FF000000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0"/>
      <name val="Arial"/>
      <family val="2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1"/>
      <color rgb="FF000000"/>
      <name val="等线"/>
      <family val="2"/>
      <scheme val="minor"/>
    </font>
    <font>
      <b/>
      <sz val="12"/>
      <color theme="1"/>
      <name val="等线"/>
      <family val="3"/>
      <charset val="134"/>
      <scheme val="minor"/>
    </font>
    <font>
      <b/>
      <sz val="12"/>
      <color rgb="FFFF0000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9"/>
      <name val="宋体"/>
      <family val="3"/>
      <charset val="134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0E0E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6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3">
    <xf numFmtId="0" fontId="0" fillId="0" borderId="0"/>
    <xf numFmtId="9" fontId="22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9" fontId="23" fillId="0" borderId="0" applyFont="0" applyFill="0" applyBorder="0" applyAlignment="0" applyProtection="0">
      <alignment vertical="center"/>
    </xf>
    <xf numFmtId="0" fontId="40" fillId="0" borderId="0" applyNumberFormat="0" applyFont="0" applyFill="0" applyBorder="0" applyAlignment="0" applyProtection="0"/>
    <xf numFmtId="0" fontId="40" fillId="0" borderId="0"/>
    <xf numFmtId="0" fontId="19" fillId="0" borderId="0">
      <alignment vertical="center"/>
    </xf>
    <xf numFmtId="9" fontId="19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34" fillId="0" borderId="0">
      <alignment vertical="center"/>
    </xf>
    <xf numFmtId="9" fontId="3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9" fontId="4" fillId="0" borderId="0" applyFont="0" applyFill="0" applyBorder="0" applyAlignment="0" applyProtection="0">
      <alignment vertical="center"/>
    </xf>
  </cellStyleXfs>
  <cellXfs count="397">
    <xf numFmtId="0" fontId="0" fillId="0" borderId="0" xfId="0"/>
    <xf numFmtId="0" fontId="23" fillId="0" borderId="0" xfId="2">
      <alignment vertical="center"/>
    </xf>
    <xf numFmtId="0" fontId="23" fillId="0" borderId="0" xfId="2" applyAlignment="1">
      <alignment horizontal="center" vertical="center"/>
    </xf>
    <xf numFmtId="10" fontId="26" fillId="0" borderId="4" xfId="2" applyNumberFormat="1" applyFont="1" applyBorder="1">
      <alignment vertical="center"/>
    </xf>
    <xf numFmtId="177" fontId="28" fillId="0" borderId="9" xfId="2" applyNumberFormat="1" applyFont="1" applyBorder="1" applyAlignment="1">
      <alignment horizontal="right" vertical="center"/>
    </xf>
    <xf numFmtId="14" fontId="26" fillId="0" borderId="4" xfId="2" applyNumberFormat="1" applyFont="1" applyBorder="1">
      <alignment vertical="center"/>
    </xf>
    <xf numFmtId="10" fontId="28" fillId="0" borderId="9" xfId="2" applyNumberFormat="1" applyFont="1" applyBorder="1" applyAlignment="1">
      <alignment horizontal="right" vertical="center"/>
    </xf>
    <xf numFmtId="14" fontId="28" fillId="0" borderId="6" xfId="2" applyNumberFormat="1" applyFont="1" applyBorder="1">
      <alignment vertical="center"/>
    </xf>
    <xf numFmtId="0" fontId="23" fillId="3" borderId="0" xfId="2" applyFill="1">
      <alignment vertical="center"/>
    </xf>
    <xf numFmtId="14" fontId="0" fillId="2" borderId="7" xfId="0" applyNumberFormat="1" applyFill="1" applyBorder="1" applyAlignment="1">
      <alignment horizontal="left" vertical="center"/>
    </xf>
    <xf numFmtId="180" fontId="23" fillId="2" borderId="7" xfId="2" applyNumberFormat="1" applyFill="1" applyBorder="1" applyAlignment="1">
      <alignment horizontal="center" vertical="center"/>
    </xf>
    <xf numFmtId="10" fontId="0" fillId="2" borderId="7" xfId="3" applyNumberFormat="1" applyFont="1" applyFill="1" applyBorder="1" applyAlignment="1">
      <alignment horizontal="center" vertical="center"/>
    </xf>
    <xf numFmtId="10" fontId="23" fillId="2" borderId="7" xfId="2" applyNumberFormat="1" applyFill="1" applyBorder="1" applyAlignment="1">
      <alignment horizontal="center" vertical="center"/>
    </xf>
    <xf numFmtId="180" fontId="0" fillId="2" borderId="7" xfId="0" applyNumberFormat="1" applyFill="1" applyBorder="1" applyAlignment="1">
      <alignment horizontal="center" vertical="center"/>
    </xf>
    <xf numFmtId="0" fontId="23" fillId="2" borderId="7" xfId="2" applyFill="1" applyBorder="1" applyAlignment="1">
      <alignment horizontal="center" vertical="center"/>
    </xf>
    <xf numFmtId="14" fontId="0" fillId="0" borderId="7" xfId="0" applyNumberFormat="1" applyBorder="1" applyAlignment="1">
      <alignment horizontal="left" vertical="center"/>
    </xf>
    <xf numFmtId="180" fontId="23" fillId="0" borderId="7" xfId="2" applyNumberFormat="1" applyBorder="1" applyAlignment="1">
      <alignment horizontal="center" vertical="center"/>
    </xf>
    <xf numFmtId="10" fontId="0" fillId="0" borderId="7" xfId="3" applyNumberFormat="1" applyFont="1" applyBorder="1" applyAlignment="1">
      <alignment horizontal="center" vertical="center"/>
    </xf>
    <xf numFmtId="10" fontId="23" fillId="0" borderId="7" xfId="2" applyNumberFormat="1" applyBorder="1" applyAlignment="1">
      <alignment horizontal="center" vertical="center"/>
    </xf>
    <xf numFmtId="180" fontId="0" fillId="0" borderId="7" xfId="0" applyNumberFormat="1" applyBorder="1" applyAlignment="1">
      <alignment horizontal="center" vertical="center"/>
    </xf>
    <xf numFmtId="10" fontId="23" fillId="0" borderId="7" xfId="1" applyNumberFormat="1" applyFont="1" applyBorder="1" applyAlignment="1">
      <alignment horizontal="center" vertical="center"/>
    </xf>
    <xf numFmtId="180" fontId="0" fillId="0" borderId="7" xfId="0" applyNumberFormat="1" applyFill="1" applyBorder="1" applyAlignment="1">
      <alignment horizontal="center" vertical="center"/>
    </xf>
    <xf numFmtId="0" fontId="30" fillId="4" borderId="0" xfId="2" applyFont="1" applyFill="1" applyAlignment="1">
      <alignment horizontal="center" vertical="center"/>
    </xf>
    <xf numFmtId="14" fontId="31" fillId="0" borderId="1" xfId="2" applyNumberFormat="1" applyFont="1" applyBorder="1">
      <alignment vertical="center"/>
    </xf>
    <xf numFmtId="176" fontId="31" fillId="0" borderId="2" xfId="2" applyNumberFormat="1" applyFont="1" applyBorder="1">
      <alignment vertical="center"/>
    </xf>
    <xf numFmtId="14" fontId="31" fillId="0" borderId="6" xfId="2" applyNumberFormat="1" applyFont="1" applyBorder="1">
      <alignment vertical="center"/>
    </xf>
    <xf numFmtId="176" fontId="31" fillId="0" borderId="7" xfId="2" applyNumberFormat="1" applyFont="1" applyBorder="1">
      <alignment vertical="center"/>
    </xf>
    <xf numFmtId="176" fontId="31" fillId="0" borderId="3" xfId="2" applyNumberFormat="1" applyFont="1" applyBorder="1">
      <alignment vertical="center"/>
    </xf>
    <xf numFmtId="10" fontId="31" fillId="0" borderId="5" xfId="2" applyNumberFormat="1" applyFont="1" applyBorder="1">
      <alignment vertical="center"/>
    </xf>
    <xf numFmtId="176" fontId="31" fillId="0" borderId="0" xfId="2" applyNumberFormat="1" applyFont="1">
      <alignment vertical="center"/>
    </xf>
    <xf numFmtId="10" fontId="31" fillId="0" borderId="8" xfId="2" applyNumberFormat="1" applyFont="1" applyBorder="1">
      <alignment vertical="center"/>
    </xf>
    <xf numFmtId="177" fontId="31" fillId="0" borderId="9" xfId="2" applyNumberFormat="1" applyFont="1" applyBorder="1">
      <alignment vertical="center"/>
    </xf>
    <xf numFmtId="10" fontId="31" fillId="0" borderId="7" xfId="2" applyNumberFormat="1" applyFont="1" applyBorder="1">
      <alignment vertical="center"/>
    </xf>
    <xf numFmtId="0" fontId="31" fillId="0" borderId="7" xfId="2" applyFont="1" applyBorder="1">
      <alignment vertical="center"/>
    </xf>
    <xf numFmtId="0" fontId="31" fillId="0" borderId="10" xfId="2" applyFont="1" applyBorder="1">
      <alignment vertical="center"/>
    </xf>
    <xf numFmtId="0" fontId="31" fillId="0" borderId="0" xfId="2" applyFont="1">
      <alignment vertical="center"/>
    </xf>
    <xf numFmtId="0" fontId="31" fillId="0" borderId="11" xfId="2" applyFont="1" applyBorder="1">
      <alignment vertical="center"/>
    </xf>
    <xf numFmtId="11" fontId="31" fillId="0" borderId="11" xfId="2" applyNumberFormat="1" applyFont="1" applyBorder="1">
      <alignment vertical="center"/>
    </xf>
    <xf numFmtId="14" fontId="31" fillId="2" borderId="12" xfId="2" applyNumberFormat="1" applyFont="1" applyFill="1" applyBorder="1">
      <alignment vertical="center"/>
    </xf>
    <xf numFmtId="10" fontId="31" fillId="2" borderId="7" xfId="2" applyNumberFormat="1" applyFont="1" applyFill="1" applyBorder="1">
      <alignment vertical="center"/>
    </xf>
    <xf numFmtId="10" fontId="31" fillId="0" borderId="0" xfId="2" applyNumberFormat="1" applyFont="1">
      <alignment vertical="center"/>
    </xf>
    <xf numFmtId="10" fontId="31" fillId="0" borderId="9" xfId="2" applyNumberFormat="1" applyFont="1" applyBorder="1">
      <alignment vertical="center"/>
    </xf>
    <xf numFmtId="10" fontId="31" fillId="0" borderId="6" xfId="2" applyNumberFormat="1" applyFont="1" applyBorder="1">
      <alignment vertical="center"/>
    </xf>
    <xf numFmtId="178" fontId="31" fillId="0" borderId="7" xfId="2" applyNumberFormat="1" applyFont="1" applyBorder="1">
      <alignment vertical="center"/>
    </xf>
    <xf numFmtId="178" fontId="31" fillId="0" borderId="0" xfId="2" applyNumberFormat="1" applyFont="1">
      <alignment vertical="center"/>
    </xf>
    <xf numFmtId="14" fontId="31" fillId="0" borderId="13" xfId="2" applyNumberFormat="1" applyFont="1" applyBorder="1">
      <alignment vertical="center"/>
    </xf>
    <xf numFmtId="10" fontId="31" fillId="0" borderId="14" xfId="2" applyNumberFormat="1" applyFont="1" applyBorder="1">
      <alignment vertical="center"/>
    </xf>
    <xf numFmtId="10" fontId="31" fillId="0" borderId="15" xfId="2" applyNumberFormat="1" applyFont="1" applyBorder="1">
      <alignment vertical="center"/>
    </xf>
    <xf numFmtId="0" fontId="31" fillId="0" borderId="14" xfId="2" applyFont="1" applyBorder="1">
      <alignment vertical="center"/>
    </xf>
    <xf numFmtId="0" fontId="31" fillId="0" borderId="16" xfId="2" applyFont="1" applyBorder="1">
      <alignment vertical="center"/>
    </xf>
    <xf numFmtId="14" fontId="32" fillId="4" borderId="7" xfId="2" applyNumberFormat="1" applyFont="1" applyFill="1" applyBorder="1" applyAlignment="1">
      <alignment horizontal="center" vertical="center" wrapText="1"/>
    </xf>
    <xf numFmtId="10" fontId="32" fillId="4" borderId="7" xfId="2" applyNumberFormat="1" applyFont="1" applyFill="1" applyBorder="1" applyAlignment="1">
      <alignment horizontal="center" vertical="center" wrapText="1"/>
    </xf>
    <xf numFmtId="179" fontId="32" fillId="0" borderId="7" xfId="2" applyNumberFormat="1" applyFont="1" applyFill="1" applyBorder="1" applyAlignment="1">
      <alignment horizontal="center" vertical="center" wrapText="1"/>
    </xf>
    <xf numFmtId="10" fontId="33" fillId="0" borderId="7" xfId="2" applyNumberFormat="1" applyFont="1" applyBorder="1" applyAlignment="1">
      <alignment horizontal="center" vertical="center" wrapText="1"/>
    </xf>
    <xf numFmtId="177" fontId="33" fillId="0" borderId="7" xfId="2" applyNumberFormat="1" applyFont="1" applyBorder="1" applyAlignment="1">
      <alignment horizontal="center" vertical="center" wrapText="1"/>
    </xf>
    <xf numFmtId="14" fontId="0" fillId="0" borderId="7" xfId="0" applyNumberFormat="1" applyFill="1" applyBorder="1" applyAlignment="1">
      <alignment horizontal="left" vertical="center"/>
    </xf>
    <xf numFmtId="180" fontId="23" fillId="0" borderId="7" xfId="2" applyNumberFormat="1" applyFill="1" applyBorder="1" applyAlignment="1">
      <alignment horizontal="center" vertical="center"/>
    </xf>
    <xf numFmtId="10" fontId="0" fillId="0" borderId="7" xfId="3" applyNumberFormat="1" applyFont="1" applyFill="1" applyBorder="1" applyAlignment="1">
      <alignment horizontal="center" vertical="center"/>
    </xf>
    <xf numFmtId="10" fontId="23" fillId="0" borderId="7" xfId="2" applyNumberFormat="1" applyFill="1" applyBorder="1" applyAlignment="1">
      <alignment horizontal="center" vertical="center"/>
    </xf>
    <xf numFmtId="0" fontId="23" fillId="0" borderId="7" xfId="2" applyFill="1" applyBorder="1" applyAlignment="1">
      <alignment horizontal="center" vertical="center"/>
    </xf>
    <xf numFmtId="180" fontId="23" fillId="0" borderId="0" xfId="2" applyNumberFormat="1">
      <alignment vertical="center"/>
    </xf>
    <xf numFmtId="10" fontId="34" fillId="0" borderId="7" xfId="3" applyNumberFormat="1" applyFont="1" applyBorder="1" applyAlignment="1">
      <alignment horizontal="center" vertical="center"/>
    </xf>
    <xf numFmtId="180" fontId="35" fillId="5" borderId="7" xfId="2" applyNumberFormat="1" applyFont="1" applyFill="1" applyBorder="1" applyAlignment="1">
      <alignment horizontal="center" vertical="center"/>
    </xf>
    <xf numFmtId="180" fontId="23" fillId="0" borderId="17" xfId="2" applyNumberFormat="1" applyBorder="1" applyAlignment="1">
      <alignment horizontal="center" vertical="center"/>
    </xf>
    <xf numFmtId="10" fontId="34" fillId="0" borderId="17" xfId="2" applyNumberFormat="1" applyFont="1" applyBorder="1" applyAlignment="1">
      <alignment horizontal="center" vertical="center"/>
    </xf>
    <xf numFmtId="10" fontId="23" fillId="0" borderId="17" xfId="2" applyNumberFormat="1" applyBorder="1" applyAlignment="1">
      <alignment horizontal="center" vertical="center"/>
    </xf>
    <xf numFmtId="180" fontId="35" fillId="5" borderId="17" xfId="2" applyNumberFormat="1" applyFont="1" applyFill="1" applyBorder="1" applyAlignment="1">
      <alignment horizontal="center" vertical="center"/>
    </xf>
    <xf numFmtId="0" fontId="23" fillId="0" borderId="0" xfId="2" applyNumberFormat="1" applyAlignment="1">
      <alignment horizontal="right" vertical="center"/>
    </xf>
    <xf numFmtId="0" fontId="36" fillId="0" borderId="0" xfId="2" applyNumberFormat="1" applyFont="1" applyAlignment="1">
      <alignment horizontal="right" vertical="center"/>
    </xf>
    <xf numFmtId="181" fontId="23" fillId="0" borderId="0" xfId="2" applyNumberFormat="1" applyAlignment="1">
      <alignment horizontal="right" vertical="center"/>
    </xf>
    <xf numFmtId="182" fontId="23" fillId="0" borderId="0" xfId="2" applyNumberFormat="1" applyAlignment="1">
      <alignment horizontal="right" vertical="center"/>
    </xf>
    <xf numFmtId="10" fontId="37" fillId="0" borderId="17" xfId="2" applyNumberFormat="1" applyFont="1" applyBorder="1" applyAlignment="1">
      <alignment horizontal="center" vertical="center"/>
    </xf>
    <xf numFmtId="180" fontId="38" fillId="5" borderId="17" xfId="2" applyNumberFormat="1" applyFont="1" applyFill="1" applyBorder="1" applyAlignment="1">
      <alignment horizontal="center" vertical="center"/>
    </xf>
    <xf numFmtId="10" fontId="34" fillId="0" borderId="7" xfId="2" applyNumberFormat="1" applyFont="1" applyBorder="1" applyAlignment="1">
      <alignment horizontal="center" vertical="center"/>
    </xf>
    <xf numFmtId="180" fontId="35" fillId="0" borderId="7" xfId="2" applyNumberFormat="1" applyFont="1" applyFill="1" applyBorder="1" applyAlignment="1">
      <alignment horizontal="center" vertical="center"/>
    </xf>
    <xf numFmtId="180" fontId="35" fillId="0" borderId="17" xfId="2" applyNumberFormat="1" applyFont="1" applyFill="1" applyBorder="1" applyAlignment="1">
      <alignment horizontal="center" vertical="center"/>
    </xf>
    <xf numFmtId="180" fontId="39" fillId="6" borderId="7" xfId="2" applyNumberFormat="1" applyFont="1" applyFill="1" applyBorder="1" applyAlignment="1">
      <alignment horizontal="center" vertical="center"/>
    </xf>
    <xf numFmtId="14" fontId="39" fillId="6" borderId="7" xfId="0" applyNumberFormat="1" applyFont="1" applyFill="1" applyBorder="1" applyAlignment="1">
      <alignment horizontal="left" vertical="center"/>
    </xf>
    <xf numFmtId="179" fontId="32" fillId="0" borderId="7" xfId="2" applyNumberFormat="1" applyFont="1" applyBorder="1" applyAlignment="1">
      <alignment horizontal="center" vertical="center" wrapText="1"/>
    </xf>
    <xf numFmtId="180" fontId="39" fillId="7" borderId="7" xfId="2" applyNumberFormat="1" applyFont="1" applyFill="1" applyBorder="1" applyAlignment="1">
      <alignment horizontal="center" vertical="center"/>
    </xf>
    <xf numFmtId="10" fontId="34" fillId="2" borderId="7" xfId="2" applyNumberFormat="1" applyFont="1" applyFill="1" applyBorder="1" applyAlignment="1">
      <alignment horizontal="center" vertical="center"/>
    </xf>
    <xf numFmtId="180" fontId="35" fillId="2" borderId="7" xfId="2" applyNumberFormat="1" applyFont="1" applyFill="1" applyBorder="1" applyAlignment="1">
      <alignment horizontal="center" vertical="center"/>
    </xf>
    <xf numFmtId="10" fontId="23" fillId="2" borderId="7" xfId="1" applyNumberFormat="1" applyFont="1" applyFill="1" applyBorder="1" applyAlignment="1">
      <alignment horizontal="center" vertical="center"/>
    </xf>
    <xf numFmtId="14" fontId="0" fillId="8" borderId="7" xfId="0" applyNumberFormat="1" applyFill="1" applyBorder="1" applyAlignment="1">
      <alignment horizontal="left" vertical="center"/>
    </xf>
    <xf numFmtId="180" fontId="23" fillId="8" borderId="7" xfId="2" applyNumberFormat="1" applyFill="1" applyBorder="1" applyAlignment="1">
      <alignment horizontal="center" vertical="center"/>
    </xf>
    <xf numFmtId="10" fontId="34" fillId="8" borderId="7" xfId="2" applyNumberFormat="1" applyFont="1" applyFill="1" applyBorder="1" applyAlignment="1">
      <alignment horizontal="center" vertical="center"/>
    </xf>
    <xf numFmtId="10" fontId="23" fillId="8" borderId="7" xfId="2" applyNumberFormat="1" applyFill="1" applyBorder="1" applyAlignment="1">
      <alignment horizontal="center" vertical="center"/>
    </xf>
    <xf numFmtId="180" fontId="35" fillId="8" borderId="7" xfId="2" applyNumberFormat="1" applyFont="1" applyFill="1" applyBorder="1" applyAlignment="1">
      <alignment horizontal="center" vertical="center"/>
    </xf>
    <xf numFmtId="10" fontId="23" fillId="8" borderId="7" xfId="1" applyNumberFormat="1" applyFont="1" applyFill="1" applyBorder="1" applyAlignment="1">
      <alignment horizontal="center" vertical="center"/>
    </xf>
    <xf numFmtId="180" fontId="21" fillId="0" borderId="7" xfId="2" applyNumberFormat="1" applyFont="1" applyBorder="1" applyAlignment="1">
      <alignment horizontal="center" vertical="center"/>
    </xf>
    <xf numFmtId="180" fontId="20" fillId="0" borderId="7" xfId="2" applyNumberFormat="1" applyFont="1" applyBorder="1" applyAlignment="1">
      <alignment horizontal="center" vertical="center"/>
    </xf>
    <xf numFmtId="180" fontId="19" fillId="0" borderId="7" xfId="2" applyNumberFormat="1" applyFont="1" applyBorder="1" applyAlignment="1">
      <alignment horizontal="center" vertical="center"/>
    </xf>
    <xf numFmtId="0" fontId="19" fillId="2" borderId="0" xfId="2" applyFont="1" applyFill="1">
      <alignment vertical="center"/>
    </xf>
    <xf numFmtId="180" fontId="20" fillId="2" borderId="7" xfId="2" applyNumberFormat="1" applyFont="1" applyFill="1" applyBorder="1" applyAlignment="1">
      <alignment horizontal="center" vertical="center"/>
    </xf>
    <xf numFmtId="10" fontId="34" fillId="0" borderId="18" xfId="2" applyNumberFormat="1" applyFont="1" applyBorder="1" applyAlignment="1">
      <alignment horizontal="center" vertical="center"/>
    </xf>
    <xf numFmtId="10" fontId="23" fillId="0" borderId="18" xfId="2" applyNumberFormat="1" applyBorder="1" applyAlignment="1">
      <alignment horizontal="center" vertical="center"/>
    </xf>
    <xf numFmtId="180" fontId="23" fillId="0" borderId="18" xfId="2" applyNumberFormat="1" applyBorder="1" applyAlignment="1">
      <alignment horizontal="center" vertical="center"/>
    </xf>
    <xf numFmtId="180" fontId="35" fillId="5" borderId="18" xfId="2" applyNumberFormat="1" applyFont="1" applyFill="1" applyBorder="1" applyAlignment="1">
      <alignment horizontal="center" vertical="center"/>
    </xf>
    <xf numFmtId="180" fontId="21" fillId="0" borderId="18" xfId="2" applyNumberFormat="1" applyFont="1" applyBorder="1" applyAlignment="1">
      <alignment horizontal="center" vertical="center"/>
    </xf>
    <xf numFmtId="180" fontId="19" fillId="0" borderId="18" xfId="2" applyNumberFormat="1" applyFont="1" applyBorder="1" applyAlignment="1">
      <alignment horizontal="center" vertical="center"/>
    </xf>
    <xf numFmtId="180" fontId="19" fillId="0" borderId="19" xfId="2" applyNumberFormat="1" applyFont="1" applyBorder="1" applyAlignment="1">
      <alignment horizontal="center" vertical="center"/>
    </xf>
    <xf numFmtId="10" fontId="34" fillId="0" borderId="19" xfId="2" applyNumberFormat="1" applyFont="1" applyBorder="1" applyAlignment="1">
      <alignment horizontal="center" vertical="center"/>
    </xf>
    <xf numFmtId="10" fontId="23" fillId="0" borderId="19" xfId="2" applyNumberFormat="1" applyBorder="1" applyAlignment="1">
      <alignment horizontal="center" vertical="center"/>
    </xf>
    <xf numFmtId="180" fontId="35" fillId="5" borderId="19" xfId="2" applyNumberFormat="1" applyFont="1" applyFill="1" applyBorder="1" applyAlignment="1">
      <alignment horizontal="center" vertical="center"/>
    </xf>
    <xf numFmtId="180" fontId="23" fillId="0" borderId="19" xfId="2" applyNumberFormat="1" applyBorder="1" applyAlignment="1">
      <alignment horizontal="center" vertical="center"/>
    </xf>
    <xf numFmtId="14" fontId="31" fillId="0" borderId="12" xfId="2" applyNumberFormat="1" applyFont="1" applyFill="1" applyBorder="1">
      <alignment vertical="center"/>
    </xf>
    <xf numFmtId="10" fontId="31" fillId="0" borderId="7" xfId="2" applyNumberFormat="1" applyFont="1" applyFill="1" applyBorder="1">
      <alignment vertical="center"/>
    </xf>
    <xf numFmtId="180" fontId="39" fillId="6" borderId="18" xfId="2" applyNumberFormat="1" applyFont="1" applyFill="1" applyBorder="1" applyAlignment="1">
      <alignment horizontal="center" vertical="center"/>
    </xf>
    <xf numFmtId="10" fontId="34" fillId="0" borderId="20" xfId="2" applyNumberFormat="1" applyFont="1" applyBorder="1" applyAlignment="1">
      <alignment horizontal="center" vertical="center"/>
    </xf>
    <xf numFmtId="10" fontId="23" fillId="0" borderId="20" xfId="2" applyNumberFormat="1" applyBorder="1" applyAlignment="1">
      <alignment horizontal="center" vertical="center"/>
    </xf>
    <xf numFmtId="180" fontId="35" fillId="5" borderId="20" xfId="2" applyNumberFormat="1" applyFont="1" applyFill="1" applyBorder="1" applyAlignment="1">
      <alignment horizontal="center" vertical="center"/>
    </xf>
    <xf numFmtId="180" fontId="39" fillId="6" borderId="19" xfId="2" applyNumberFormat="1" applyFont="1" applyFill="1" applyBorder="1" applyAlignment="1">
      <alignment horizontal="center" vertical="center"/>
    </xf>
    <xf numFmtId="180" fontId="23" fillId="0" borderId="20" xfId="2" applyNumberFormat="1" applyBorder="1" applyAlignment="1">
      <alignment horizontal="center" vertical="center"/>
    </xf>
    <xf numFmtId="180" fontId="19" fillId="0" borderId="20" xfId="2" applyNumberFormat="1" applyFont="1" applyBorder="1" applyAlignment="1">
      <alignment horizontal="center" vertical="center"/>
    </xf>
    <xf numFmtId="180" fontId="23" fillId="2" borderId="18" xfId="2" applyNumberFormat="1" applyFill="1" applyBorder="1" applyAlignment="1">
      <alignment horizontal="center" vertical="center"/>
    </xf>
    <xf numFmtId="10" fontId="34" fillId="2" borderId="18" xfId="2" applyNumberFormat="1" applyFont="1" applyFill="1" applyBorder="1" applyAlignment="1">
      <alignment horizontal="center" vertical="center"/>
    </xf>
    <xf numFmtId="10" fontId="23" fillId="2" borderId="18" xfId="2" applyNumberFormat="1" applyFill="1" applyBorder="1" applyAlignment="1">
      <alignment horizontal="center" vertical="center"/>
    </xf>
    <xf numFmtId="180" fontId="39" fillId="6" borderId="20" xfId="2" applyNumberFormat="1" applyFont="1" applyFill="1" applyBorder="1" applyAlignment="1">
      <alignment horizontal="center" vertical="center"/>
    </xf>
    <xf numFmtId="0" fontId="23" fillId="0" borderId="20" xfId="2" applyFill="1" applyBorder="1" applyAlignment="1">
      <alignment horizontal="center" vertical="center"/>
    </xf>
    <xf numFmtId="0" fontId="23" fillId="0" borderId="8" xfId="2" applyFill="1" applyBorder="1" applyAlignment="1">
      <alignment horizontal="center" vertical="center"/>
    </xf>
    <xf numFmtId="0" fontId="19" fillId="0" borderId="0" xfId="6">
      <alignment vertical="center"/>
    </xf>
    <xf numFmtId="0" fontId="19" fillId="0" borderId="0" xfId="6" applyAlignment="1">
      <alignment horizontal="center" vertical="center"/>
    </xf>
    <xf numFmtId="14" fontId="31" fillId="0" borderId="1" xfId="6" applyNumberFormat="1" applyFont="1" applyBorder="1">
      <alignment vertical="center"/>
    </xf>
    <xf numFmtId="176" fontId="31" fillId="0" borderId="2" xfId="6" applyNumberFormat="1" applyFont="1" applyBorder="1">
      <alignment vertical="center"/>
    </xf>
    <xf numFmtId="176" fontId="31" fillId="0" borderId="3" xfId="6" applyNumberFormat="1" applyFont="1" applyBorder="1">
      <alignment vertical="center"/>
    </xf>
    <xf numFmtId="10" fontId="26" fillId="0" borderId="4" xfId="6" applyNumberFormat="1" applyFont="1" applyBorder="1">
      <alignment vertical="center"/>
    </xf>
    <xf numFmtId="10" fontId="31" fillId="0" borderId="5" xfId="6" applyNumberFormat="1" applyFont="1" applyBorder="1">
      <alignment vertical="center"/>
    </xf>
    <xf numFmtId="14" fontId="31" fillId="0" borderId="6" xfId="6" applyNumberFormat="1" applyFont="1" applyBorder="1">
      <alignment vertical="center"/>
    </xf>
    <xf numFmtId="176" fontId="31" fillId="0" borderId="20" xfId="6" applyNumberFormat="1" applyFont="1" applyBorder="1">
      <alignment vertical="center"/>
    </xf>
    <xf numFmtId="176" fontId="31" fillId="0" borderId="0" xfId="6" applyNumberFormat="1" applyFont="1">
      <alignment vertical="center"/>
    </xf>
    <xf numFmtId="10" fontId="31" fillId="0" borderId="8" xfId="6" applyNumberFormat="1" applyFont="1" applyBorder="1">
      <alignment vertical="center"/>
    </xf>
    <xf numFmtId="177" fontId="31" fillId="0" borderId="9" xfId="6" applyNumberFormat="1" applyFont="1" applyBorder="1">
      <alignment vertical="center"/>
    </xf>
    <xf numFmtId="10" fontId="31" fillId="0" borderId="20" xfId="6" applyNumberFormat="1" applyFont="1" applyBorder="1">
      <alignment vertical="center"/>
    </xf>
    <xf numFmtId="0" fontId="31" fillId="0" borderId="20" xfId="6" applyFont="1" applyBorder="1">
      <alignment vertical="center"/>
    </xf>
    <xf numFmtId="177" fontId="28" fillId="0" borderId="9" xfId="6" applyNumberFormat="1" applyFont="1" applyBorder="1" applyAlignment="1">
      <alignment horizontal="right" vertical="center"/>
    </xf>
    <xf numFmtId="0" fontId="31" fillId="0" borderId="10" xfId="6" applyFont="1" applyBorder="1">
      <alignment vertical="center"/>
    </xf>
    <xf numFmtId="0" fontId="31" fillId="0" borderId="0" xfId="6" applyFont="1">
      <alignment vertical="center"/>
    </xf>
    <xf numFmtId="0" fontId="31" fillId="0" borderId="11" xfId="6" applyFont="1" applyBorder="1">
      <alignment vertical="center"/>
    </xf>
    <xf numFmtId="14" fontId="26" fillId="0" borderId="4" xfId="6" applyNumberFormat="1" applyFont="1" applyBorder="1">
      <alignment vertical="center"/>
    </xf>
    <xf numFmtId="11" fontId="31" fillId="0" borderId="11" xfId="6" applyNumberFormat="1" applyFont="1" applyBorder="1">
      <alignment vertical="center"/>
    </xf>
    <xf numFmtId="14" fontId="31" fillId="2" borderId="12" xfId="6" applyNumberFormat="1" applyFont="1" applyFill="1" applyBorder="1">
      <alignment vertical="center"/>
    </xf>
    <xf numFmtId="10" fontId="31" fillId="2" borderId="20" xfId="6" applyNumberFormat="1" applyFont="1" applyFill="1" applyBorder="1">
      <alignment vertical="center"/>
    </xf>
    <xf numFmtId="10" fontId="31" fillId="0" borderId="0" xfId="6" applyNumberFormat="1" applyFont="1">
      <alignment vertical="center"/>
    </xf>
    <xf numFmtId="10" fontId="31" fillId="0" borderId="9" xfId="6" applyNumberFormat="1" applyFont="1" applyBorder="1">
      <alignment vertical="center"/>
    </xf>
    <xf numFmtId="10" fontId="28" fillId="0" borderId="9" xfId="6" applyNumberFormat="1" applyFont="1" applyBorder="1" applyAlignment="1">
      <alignment horizontal="right" vertical="center"/>
    </xf>
    <xf numFmtId="10" fontId="31" fillId="0" borderId="6" xfId="6" applyNumberFormat="1" applyFont="1" applyBorder="1">
      <alignment vertical="center"/>
    </xf>
    <xf numFmtId="178" fontId="31" fillId="0" borderId="20" xfId="6" applyNumberFormat="1" applyFont="1" applyBorder="1">
      <alignment vertical="center"/>
    </xf>
    <xf numFmtId="178" fontId="31" fillId="0" borderId="0" xfId="6" applyNumberFormat="1" applyFont="1">
      <alignment vertical="center"/>
    </xf>
    <xf numFmtId="14" fontId="28" fillId="0" borderId="6" xfId="6" applyNumberFormat="1" applyFont="1" applyBorder="1">
      <alignment vertical="center"/>
    </xf>
    <xf numFmtId="14" fontId="31" fillId="0" borderId="13" xfId="6" applyNumberFormat="1" applyFont="1" applyBorder="1">
      <alignment vertical="center"/>
    </xf>
    <xf numFmtId="10" fontId="31" fillId="0" borderId="14" xfId="6" applyNumberFormat="1" applyFont="1" applyBorder="1">
      <alignment vertical="center"/>
    </xf>
    <xf numFmtId="10" fontId="31" fillId="0" borderId="15" xfId="6" applyNumberFormat="1" applyFont="1" applyBorder="1">
      <alignment vertical="center"/>
    </xf>
    <xf numFmtId="0" fontId="31" fillId="0" borderId="14" xfId="6" applyFont="1" applyBorder="1">
      <alignment vertical="center"/>
    </xf>
    <xf numFmtId="0" fontId="31" fillId="0" borderId="16" xfId="6" applyFont="1" applyBorder="1">
      <alignment vertical="center"/>
    </xf>
    <xf numFmtId="14" fontId="32" fillId="4" borderId="20" xfId="6" applyNumberFormat="1" applyFont="1" applyFill="1" applyBorder="1" applyAlignment="1">
      <alignment horizontal="center" vertical="center" wrapText="1"/>
    </xf>
    <xf numFmtId="10" fontId="32" fillId="4" borderId="20" xfId="6" applyNumberFormat="1" applyFont="1" applyFill="1" applyBorder="1" applyAlignment="1">
      <alignment horizontal="center" vertical="center" wrapText="1"/>
    </xf>
    <xf numFmtId="179" fontId="32" fillId="0" borderId="20" xfId="6" applyNumberFormat="1" applyFont="1" applyBorder="1" applyAlignment="1">
      <alignment horizontal="center" vertical="center" wrapText="1"/>
    </xf>
    <xf numFmtId="10" fontId="33" fillId="0" borderId="20" xfId="6" applyNumberFormat="1" applyFont="1" applyBorder="1" applyAlignment="1">
      <alignment horizontal="center" vertical="center" wrapText="1"/>
    </xf>
    <xf numFmtId="177" fontId="33" fillId="0" borderId="20" xfId="6" applyNumberFormat="1" applyFont="1" applyBorder="1" applyAlignment="1">
      <alignment horizontal="center" vertical="center" wrapText="1"/>
    </xf>
    <xf numFmtId="0" fontId="19" fillId="3" borderId="0" xfId="6" applyFill="1">
      <alignment vertical="center"/>
    </xf>
    <xf numFmtId="0" fontId="30" fillId="4" borderId="0" xfId="6" applyFont="1" applyFill="1" applyAlignment="1">
      <alignment horizontal="center" vertical="center"/>
    </xf>
    <xf numFmtId="14" fontId="0" fillId="0" borderId="20" xfId="0" applyNumberFormat="1" applyBorder="1" applyAlignment="1">
      <alignment horizontal="left" vertical="center"/>
    </xf>
    <xf numFmtId="180" fontId="19" fillId="0" borderId="20" xfId="6" applyNumberFormat="1" applyBorder="1" applyAlignment="1">
      <alignment horizontal="center" vertical="center"/>
    </xf>
    <xf numFmtId="10" fontId="0" fillId="2" borderId="20" xfId="7" applyNumberFormat="1" applyFont="1" applyFill="1" applyBorder="1" applyAlignment="1">
      <alignment horizontal="center" vertical="center"/>
    </xf>
    <xf numFmtId="10" fontId="19" fillId="2" borderId="20" xfId="6" applyNumberFormat="1" applyFill="1" applyBorder="1" applyAlignment="1">
      <alignment horizontal="center" vertical="center"/>
    </xf>
    <xf numFmtId="180" fontId="0" fillId="2" borderId="20" xfId="0" applyNumberFormat="1" applyFill="1" applyBorder="1" applyAlignment="1">
      <alignment horizontal="center" vertical="center"/>
    </xf>
    <xf numFmtId="0" fontId="19" fillId="2" borderId="20" xfId="6" applyFill="1" applyBorder="1" applyAlignment="1">
      <alignment horizontal="center" vertical="center"/>
    </xf>
    <xf numFmtId="10" fontId="0" fillId="0" borderId="20" xfId="7" applyNumberFormat="1" applyFont="1" applyBorder="1" applyAlignment="1">
      <alignment horizontal="center" vertical="center"/>
    </xf>
    <xf numFmtId="10" fontId="19" fillId="0" borderId="20" xfId="6" applyNumberFormat="1" applyBorder="1" applyAlignment="1">
      <alignment horizontal="center" vertical="center"/>
    </xf>
    <xf numFmtId="180" fontId="0" fillId="0" borderId="20" xfId="0" applyNumberFormat="1" applyBorder="1" applyAlignment="1">
      <alignment horizontal="center" vertical="center"/>
    </xf>
    <xf numFmtId="10" fontId="19" fillId="0" borderId="20" xfId="1" applyNumberFormat="1" applyFont="1" applyBorder="1" applyAlignment="1">
      <alignment horizontal="center" vertical="center"/>
    </xf>
    <xf numFmtId="10" fontId="34" fillId="0" borderId="20" xfId="6" applyNumberFormat="1" applyFont="1" applyBorder="1" applyAlignment="1">
      <alignment horizontal="center" vertical="center"/>
    </xf>
    <xf numFmtId="180" fontId="35" fillId="5" borderId="20" xfId="6" applyNumberFormat="1" applyFont="1" applyFill="1" applyBorder="1" applyAlignment="1">
      <alignment horizontal="center" vertical="center"/>
    </xf>
    <xf numFmtId="14" fontId="0" fillId="2" borderId="20" xfId="0" applyNumberFormat="1" applyFill="1" applyBorder="1" applyAlignment="1">
      <alignment horizontal="left" vertical="center"/>
    </xf>
    <xf numFmtId="180" fontId="19" fillId="2" borderId="20" xfId="6" applyNumberFormat="1" applyFill="1" applyBorder="1" applyAlignment="1">
      <alignment horizontal="center" vertical="center"/>
    </xf>
    <xf numFmtId="10" fontId="34" fillId="2" borderId="20" xfId="6" applyNumberFormat="1" applyFont="1" applyFill="1" applyBorder="1" applyAlignment="1">
      <alignment horizontal="center" vertical="center"/>
    </xf>
    <xf numFmtId="180" fontId="35" fillId="2" borderId="20" xfId="6" applyNumberFormat="1" applyFont="1" applyFill="1" applyBorder="1" applyAlignment="1">
      <alignment horizontal="center" vertical="center"/>
    </xf>
    <xf numFmtId="0" fontId="19" fillId="2" borderId="0" xfId="6" applyFill="1" applyAlignment="1">
      <alignment horizontal="center" vertical="center"/>
    </xf>
    <xf numFmtId="180" fontId="39" fillId="6" borderId="20" xfId="6" applyNumberFormat="1" applyFont="1" applyFill="1" applyBorder="1" applyAlignment="1">
      <alignment horizontal="center" vertical="center"/>
    </xf>
    <xf numFmtId="10" fontId="0" fillId="0" borderId="20" xfId="7" applyNumberFormat="1" applyFont="1" applyFill="1" applyBorder="1" applyAlignment="1">
      <alignment horizontal="center" vertical="center"/>
    </xf>
    <xf numFmtId="10" fontId="19" fillId="0" borderId="20" xfId="1" applyNumberFormat="1" applyFont="1" applyFill="1" applyBorder="1" applyAlignment="1">
      <alignment horizontal="center" vertical="center"/>
    </xf>
    <xf numFmtId="180" fontId="19" fillId="0" borderId="17" xfId="6" applyNumberFormat="1" applyBorder="1" applyAlignment="1">
      <alignment horizontal="center" vertical="center"/>
    </xf>
    <xf numFmtId="10" fontId="34" fillId="0" borderId="17" xfId="6" applyNumberFormat="1" applyFont="1" applyBorder="1" applyAlignment="1">
      <alignment horizontal="center" vertical="center"/>
    </xf>
    <xf numFmtId="10" fontId="19" fillId="0" borderId="17" xfId="6" applyNumberFormat="1" applyBorder="1" applyAlignment="1">
      <alignment horizontal="center" vertical="center"/>
    </xf>
    <xf numFmtId="10" fontId="19" fillId="2" borderId="20" xfId="1" applyNumberFormat="1" applyFont="1" applyFill="1" applyBorder="1" applyAlignment="1">
      <alignment horizontal="center" vertical="center"/>
    </xf>
    <xf numFmtId="0" fontId="19" fillId="2" borderId="0" xfId="6" applyFill="1">
      <alignment vertical="center"/>
    </xf>
    <xf numFmtId="10" fontId="34" fillId="0" borderId="20" xfId="7" applyNumberFormat="1" applyFont="1" applyBorder="1" applyAlignment="1">
      <alignment horizontal="center" vertical="center"/>
    </xf>
    <xf numFmtId="181" fontId="19" fillId="0" borderId="0" xfId="6" applyNumberFormat="1" applyAlignment="1">
      <alignment horizontal="right" vertical="center"/>
    </xf>
    <xf numFmtId="182" fontId="19" fillId="0" borderId="0" xfId="6" applyNumberFormat="1" applyAlignment="1">
      <alignment horizontal="right" vertical="center"/>
    </xf>
    <xf numFmtId="180" fontId="19" fillId="0" borderId="20" xfId="6" applyNumberFormat="1" applyBorder="1" applyAlignment="1">
      <alignment horizontal="center" vertical="center" wrapText="1"/>
    </xf>
    <xf numFmtId="180" fontId="23" fillId="2" borderId="20" xfId="2" applyNumberFormat="1" applyFill="1" applyBorder="1" applyAlignment="1">
      <alignment horizontal="center" vertical="center"/>
    </xf>
    <xf numFmtId="10" fontId="34" fillId="2" borderId="20" xfId="2" applyNumberFormat="1" applyFont="1" applyFill="1" applyBorder="1" applyAlignment="1">
      <alignment horizontal="center" vertical="center"/>
    </xf>
    <xf numFmtId="10" fontId="23" fillId="2" borderId="20" xfId="2" applyNumberFormat="1" applyFill="1" applyBorder="1" applyAlignment="1">
      <alignment horizontal="center" vertical="center"/>
    </xf>
    <xf numFmtId="180" fontId="35" fillId="2" borderId="20" xfId="2" applyNumberFormat="1" applyFont="1" applyFill="1" applyBorder="1" applyAlignment="1">
      <alignment horizontal="center" vertical="center"/>
    </xf>
    <xf numFmtId="0" fontId="19" fillId="2" borderId="7" xfId="2" applyFont="1" applyFill="1" applyBorder="1" applyAlignment="1">
      <alignment horizontal="center" vertical="center"/>
    </xf>
    <xf numFmtId="10" fontId="19" fillId="0" borderId="0" xfId="1" applyNumberFormat="1" applyFont="1">
      <alignment vertical="center"/>
    </xf>
    <xf numFmtId="0" fontId="19" fillId="0" borderId="0" xfId="2" applyFont="1">
      <alignment vertical="center"/>
    </xf>
    <xf numFmtId="0" fontId="23" fillId="0" borderId="0" xfId="2" applyFill="1">
      <alignment vertical="center"/>
    </xf>
    <xf numFmtId="10" fontId="23" fillId="0" borderId="0" xfId="2" applyNumberFormat="1">
      <alignment vertical="center"/>
    </xf>
    <xf numFmtId="0" fontId="23" fillId="2" borderId="0" xfId="2" applyFill="1">
      <alignment vertical="center"/>
    </xf>
    <xf numFmtId="14" fontId="32" fillId="9" borderId="20" xfId="6" applyNumberFormat="1" applyFont="1" applyFill="1" applyBorder="1" applyAlignment="1">
      <alignment horizontal="center" vertical="center" wrapText="1"/>
    </xf>
    <xf numFmtId="10" fontId="32" fillId="9" borderId="20" xfId="6" applyNumberFormat="1" applyFont="1" applyFill="1" applyBorder="1" applyAlignment="1">
      <alignment horizontal="center" vertical="center" wrapText="1"/>
    </xf>
    <xf numFmtId="14" fontId="32" fillId="9" borderId="7" xfId="2" applyNumberFormat="1" applyFont="1" applyFill="1" applyBorder="1" applyAlignment="1">
      <alignment horizontal="center" vertical="center" wrapText="1"/>
    </xf>
    <xf numFmtId="10" fontId="32" fillId="9" borderId="7" xfId="2" applyNumberFormat="1" applyFont="1" applyFill="1" applyBorder="1" applyAlignment="1">
      <alignment horizontal="center" vertical="center" wrapText="1"/>
    </xf>
    <xf numFmtId="180" fontId="23" fillId="0" borderId="20" xfId="2" applyNumberFormat="1" applyFill="1" applyBorder="1" applyAlignment="1">
      <alignment horizontal="center" vertical="center"/>
    </xf>
    <xf numFmtId="0" fontId="19" fillId="0" borderId="7" xfId="2" applyFont="1" applyFill="1" applyBorder="1" applyAlignment="1">
      <alignment horizontal="center" vertical="center"/>
    </xf>
    <xf numFmtId="180" fontId="39" fillId="7" borderId="20" xfId="2" applyNumberFormat="1" applyFont="1" applyFill="1" applyBorder="1" applyAlignment="1">
      <alignment horizontal="center" vertical="center"/>
    </xf>
    <xf numFmtId="183" fontId="19" fillId="0" borderId="0" xfId="6" applyNumberFormat="1">
      <alignment vertical="center"/>
    </xf>
    <xf numFmtId="180" fontId="18" fillId="0" borderId="20" xfId="2" applyNumberFormat="1" applyFont="1" applyBorder="1" applyAlignment="1">
      <alignment horizontal="center" vertical="center"/>
    </xf>
    <xf numFmtId="0" fontId="17" fillId="0" borderId="0" xfId="2" applyFont="1">
      <alignment vertical="center"/>
    </xf>
    <xf numFmtId="0" fontId="16" fillId="0" borderId="0" xfId="2" applyFont="1">
      <alignment vertical="center"/>
    </xf>
    <xf numFmtId="0" fontId="15" fillId="0" borderId="0" xfId="2" applyFont="1">
      <alignment vertical="center"/>
    </xf>
    <xf numFmtId="181" fontId="34" fillId="0" borderId="20" xfId="0" applyNumberFormat="1" applyFont="1" applyFill="1" applyBorder="1" applyAlignment="1">
      <alignment horizontal="right" vertical="center"/>
    </xf>
    <xf numFmtId="181" fontId="0" fillId="0" borderId="20" xfId="0" applyNumberFormat="1" applyFill="1" applyBorder="1" applyAlignment="1">
      <alignment horizontal="right" vertical="center"/>
    </xf>
    <xf numFmtId="181" fontId="0" fillId="0" borderId="20" xfId="0" applyNumberFormat="1" applyBorder="1" applyAlignment="1">
      <alignment horizontal="right" vertical="center"/>
    </xf>
    <xf numFmtId="180" fontId="39" fillId="6" borderId="20" xfId="0" applyNumberFormat="1" applyFont="1" applyFill="1" applyBorder="1" applyAlignment="1">
      <alignment horizontal="center" vertical="center"/>
    </xf>
    <xf numFmtId="180" fontId="13" fillId="0" borderId="20" xfId="6" applyNumberFormat="1" applyFont="1" applyBorder="1" applyAlignment="1">
      <alignment horizontal="center" vertical="center"/>
    </xf>
    <xf numFmtId="10" fontId="14" fillId="2" borderId="7" xfId="1" applyNumberFormat="1" applyFont="1" applyFill="1" applyBorder="1" applyAlignment="1">
      <alignment horizontal="center" vertical="center"/>
    </xf>
    <xf numFmtId="0" fontId="12" fillId="0" borderId="0" xfId="2" applyFont="1">
      <alignment vertical="center"/>
    </xf>
    <xf numFmtId="0" fontId="11" fillId="0" borderId="0" xfId="2" applyFont="1">
      <alignment vertical="center"/>
    </xf>
    <xf numFmtId="183" fontId="23" fillId="0" borderId="0" xfId="2" applyNumberFormat="1">
      <alignment vertical="center"/>
    </xf>
    <xf numFmtId="184" fontId="23" fillId="0" borderId="0" xfId="1" applyNumberFormat="1" applyFont="1">
      <alignment vertical="center"/>
    </xf>
    <xf numFmtId="181" fontId="0" fillId="2" borderId="20" xfId="0" applyNumberFormat="1" applyFill="1" applyBorder="1" applyAlignment="1">
      <alignment horizontal="right" vertical="center"/>
    </xf>
    <xf numFmtId="0" fontId="10" fillId="0" borderId="0" xfId="2" applyFont="1">
      <alignment vertical="center"/>
    </xf>
    <xf numFmtId="181" fontId="43" fillId="0" borderId="20" xfId="0" applyNumberFormat="1" applyFont="1" applyFill="1" applyBorder="1" applyAlignment="1">
      <alignment horizontal="right" vertical="center"/>
    </xf>
    <xf numFmtId="181" fontId="43" fillId="0" borderId="17" xfId="0" applyNumberFormat="1" applyFont="1" applyFill="1" applyBorder="1" applyAlignment="1">
      <alignment horizontal="right" vertical="center"/>
    </xf>
    <xf numFmtId="180" fontId="9" fillId="0" borderId="20" xfId="2" applyNumberFormat="1" applyFont="1" applyBorder="1" applyAlignment="1">
      <alignment horizontal="center" vertical="center" wrapText="1"/>
    </xf>
    <xf numFmtId="180" fontId="8" fillId="0" borderId="20" xfId="2" applyNumberFormat="1" applyFont="1" applyBorder="1" applyAlignment="1">
      <alignment horizontal="center" vertical="center" wrapText="1"/>
    </xf>
    <xf numFmtId="180" fontId="7" fillId="0" borderId="20" xfId="2" applyNumberFormat="1" applyFont="1" applyBorder="1" applyAlignment="1">
      <alignment horizontal="center" vertical="center"/>
    </xf>
    <xf numFmtId="0" fontId="23" fillId="0" borderId="17" xfId="2" applyFill="1" applyBorder="1" applyAlignment="1">
      <alignment horizontal="center" vertical="center"/>
    </xf>
    <xf numFmtId="0" fontId="7" fillId="0" borderId="0" xfId="8">
      <alignment vertical="center"/>
    </xf>
    <xf numFmtId="0" fontId="7" fillId="0" borderId="0" xfId="8" applyAlignment="1">
      <alignment horizontal="center" vertical="center"/>
    </xf>
    <xf numFmtId="14" fontId="31" fillId="0" borderId="1" xfId="8" applyNumberFormat="1" applyFont="1" applyBorder="1">
      <alignment vertical="center"/>
    </xf>
    <xf numFmtId="176" fontId="31" fillId="0" borderId="2" xfId="8" applyNumberFormat="1" applyFont="1" applyBorder="1">
      <alignment vertical="center"/>
    </xf>
    <xf numFmtId="176" fontId="31" fillId="0" borderId="3" xfId="8" applyNumberFormat="1" applyFont="1" applyBorder="1">
      <alignment vertical="center"/>
    </xf>
    <xf numFmtId="10" fontId="26" fillId="0" borderId="4" xfId="8" applyNumberFormat="1" applyFont="1" applyBorder="1">
      <alignment vertical="center"/>
    </xf>
    <xf numFmtId="10" fontId="31" fillId="0" borderId="5" xfId="8" applyNumberFormat="1" applyFont="1" applyBorder="1">
      <alignment vertical="center"/>
    </xf>
    <xf numFmtId="14" fontId="31" fillId="0" borderId="6" xfId="8" applyNumberFormat="1" applyFont="1" applyBorder="1">
      <alignment vertical="center"/>
    </xf>
    <xf numFmtId="176" fontId="31" fillId="0" borderId="20" xfId="8" applyNumberFormat="1" applyFont="1" applyBorder="1">
      <alignment vertical="center"/>
    </xf>
    <xf numFmtId="176" fontId="31" fillId="0" borderId="0" xfId="8" applyNumberFormat="1" applyFont="1">
      <alignment vertical="center"/>
    </xf>
    <xf numFmtId="10" fontId="31" fillId="0" borderId="8" xfId="8" applyNumberFormat="1" applyFont="1" applyBorder="1">
      <alignment vertical="center"/>
    </xf>
    <xf numFmtId="177" fontId="31" fillId="0" borderId="9" xfId="8" applyNumberFormat="1" applyFont="1" applyBorder="1">
      <alignment vertical="center"/>
    </xf>
    <xf numFmtId="10" fontId="31" fillId="0" borderId="20" xfId="8" applyNumberFormat="1" applyFont="1" applyBorder="1">
      <alignment vertical="center"/>
    </xf>
    <xf numFmtId="0" fontId="31" fillId="0" borderId="20" xfId="8" applyFont="1" applyBorder="1">
      <alignment vertical="center"/>
    </xf>
    <xf numFmtId="177" fontId="28" fillId="0" borderId="9" xfId="8" applyNumberFormat="1" applyFont="1" applyBorder="1" applyAlignment="1">
      <alignment horizontal="right" vertical="center"/>
    </xf>
    <xf numFmtId="0" fontId="31" fillId="0" borderId="10" xfId="8" applyFont="1" applyBorder="1">
      <alignment vertical="center"/>
    </xf>
    <xf numFmtId="0" fontId="31" fillId="0" borderId="0" xfId="8" applyFont="1">
      <alignment vertical="center"/>
    </xf>
    <xf numFmtId="0" fontId="31" fillId="0" borderId="11" xfId="8" applyFont="1" applyBorder="1">
      <alignment vertical="center"/>
    </xf>
    <xf numFmtId="14" fontId="26" fillId="0" borderId="4" xfId="8" applyNumberFormat="1" applyFont="1" applyBorder="1">
      <alignment vertical="center"/>
    </xf>
    <xf numFmtId="11" fontId="31" fillId="0" borderId="11" xfId="8" applyNumberFormat="1" applyFont="1" applyBorder="1">
      <alignment vertical="center"/>
    </xf>
    <xf numFmtId="14" fontId="31" fillId="2" borderId="12" xfId="8" applyNumberFormat="1" applyFont="1" applyFill="1" applyBorder="1">
      <alignment vertical="center"/>
    </xf>
    <xf numFmtId="10" fontId="31" fillId="2" borderId="20" xfId="8" applyNumberFormat="1" applyFont="1" applyFill="1" applyBorder="1">
      <alignment vertical="center"/>
    </xf>
    <xf numFmtId="10" fontId="31" fillId="0" borderId="0" xfId="8" applyNumberFormat="1" applyFont="1">
      <alignment vertical="center"/>
    </xf>
    <xf numFmtId="10" fontId="31" fillId="0" borderId="9" xfId="8" applyNumberFormat="1" applyFont="1" applyBorder="1">
      <alignment vertical="center"/>
    </xf>
    <xf numFmtId="10" fontId="28" fillId="0" borderId="9" xfId="8" applyNumberFormat="1" applyFont="1" applyBorder="1" applyAlignment="1">
      <alignment horizontal="right" vertical="center"/>
    </xf>
    <xf numFmtId="10" fontId="31" fillId="0" borderId="6" xfId="8" applyNumberFormat="1" applyFont="1" applyBorder="1">
      <alignment vertical="center"/>
    </xf>
    <xf numFmtId="178" fontId="31" fillId="0" borderId="20" xfId="8" applyNumberFormat="1" applyFont="1" applyBorder="1">
      <alignment vertical="center"/>
    </xf>
    <xf numFmtId="178" fontId="31" fillId="0" borderId="0" xfId="8" applyNumberFormat="1" applyFont="1">
      <alignment vertical="center"/>
    </xf>
    <xf numFmtId="14" fontId="28" fillId="0" borderId="6" xfId="8" applyNumberFormat="1" applyFont="1" applyBorder="1">
      <alignment vertical="center"/>
    </xf>
    <xf numFmtId="14" fontId="31" fillId="0" borderId="13" xfId="8" applyNumberFormat="1" applyFont="1" applyBorder="1">
      <alignment vertical="center"/>
    </xf>
    <xf numFmtId="10" fontId="31" fillId="0" borderId="14" xfId="8" applyNumberFormat="1" applyFont="1" applyBorder="1">
      <alignment vertical="center"/>
    </xf>
    <xf numFmtId="10" fontId="31" fillId="0" borderId="15" xfId="8" applyNumberFormat="1" applyFont="1" applyBorder="1">
      <alignment vertical="center"/>
    </xf>
    <xf numFmtId="0" fontId="31" fillId="0" borderId="14" xfId="8" applyFont="1" applyBorder="1">
      <alignment vertical="center"/>
    </xf>
    <xf numFmtId="0" fontId="31" fillId="0" borderId="16" xfId="8" applyFont="1" applyBorder="1">
      <alignment vertical="center"/>
    </xf>
    <xf numFmtId="14" fontId="32" fillId="4" borderId="20" xfId="8" applyNumberFormat="1" applyFont="1" applyFill="1" applyBorder="1" applyAlignment="1">
      <alignment horizontal="center" vertical="center" wrapText="1"/>
    </xf>
    <xf numFmtId="10" fontId="32" fillId="4" borderId="20" xfId="8" applyNumberFormat="1" applyFont="1" applyFill="1" applyBorder="1" applyAlignment="1">
      <alignment horizontal="center" vertical="center" wrapText="1"/>
    </xf>
    <xf numFmtId="179" fontId="32" fillId="0" borderId="20" xfId="8" applyNumberFormat="1" applyFont="1" applyBorder="1" applyAlignment="1">
      <alignment horizontal="center" vertical="center" wrapText="1"/>
    </xf>
    <xf numFmtId="10" fontId="33" fillId="0" borderId="20" xfId="8" applyNumberFormat="1" applyFont="1" applyBorder="1" applyAlignment="1">
      <alignment horizontal="center" vertical="center" wrapText="1"/>
    </xf>
    <xf numFmtId="177" fontId="33" fillId="0" borderId="20" xfId="8" applyNumberFormat="1" applyFont="1" applyBorder="1" applyAlignment="1">
      <alignment horizontal="center" vertical="center" wrapText="1"/>
    </xf>
    <xf numFmtId="0" fontId="7" fillId="3" borderId="0" xfId="8" applyFill="1">
      <alignment vertical="center"/>
    </xf>
    <xf numFmtId="0" fontId="30" fillId="4" borderId="0" xfId="8" applyFont="1" applyFill="1" applyAlignment="1">
      <alignment horizontal="center" vertical="center"/>
    </xf>
    <xf numFmtId="14" fontId="0" fillId="0" borderId="20" xfId="0" applyNumberFormat="1" applyFill="1" applyBorder="1" applyAlignment="1">
      <alignment horizontal="left" vertical="center"/>
    </xf>
    <xf numFmtId="180" fontId="7" fillId="0" borderId="20" xfId="8" applyNumberFormat="1" applyBorder="1" applyAlignment="1">
      <alignment horizontal="center" vertical="center"/>
    </xf>
    <xf numFmtId="10" fontId="34" fillId="0" borderId="20" xfId="8" applyNumberFormat="1" applyFont="1" applyBorder="1" applyAlignment="1">
      <alignment horizontal="center" vertical="center"/>
    </xf>
    <xf numFmtId="10" fontId="7" fillId="0" borderId="20" xfId="8" applyNumberFormat="1" applyBorder="1" applyAlignment="1">
      <alignment horizontal="center" vertical="center"/>
    </xf>
    <xf numFmtId="180" fontId="35" fillId="5" borderId="20" xfId="8" applyNumberFormat="1" applyFont="1" applyFill="1" applyBorder="1" applyAlignment="1">
      <alignment horizontal="center" vertical="center"/>
    </xf>
    <xf numFmtId="0" fontId="7" fillId="2" borderId="20" xfId="8" applyFill="1" applyBorder="1" applyAlignment="1">
      <alignment horizontal="center" vertical="center"/>
    </xf>
    <xf numFmtId="0" fontId="7" fillId="0" borderId="0" xfId="2" applyFont="1">
      <alignment vertical="center"/>
    </xf>
    <xf numFmtId="180" fontId="6" fillId="0" borderId="20" xfId="2" applyNumberFormat="1" applyFont="1" applyBorder="1" applyAlignment="1">
      <alignment horizontal="center" vertical="center"/>
    </xf>
    <xf numFmtId="179" fontId="33" fillId="0" borderId="7" xfId="2" applyNumberFormat="1" applyFont="1" applyFill="1" applyBorder="1" applyAlignment="1">
      <alignment horizontal="center" vertical="center" wrapText="1"/>
    </xf>
    <xf numFmtId="14" fontId="43" fillId="10" borderId="20" xfId="0" applyNumberFormat="1" applyFont="1" applyFill="1" applyBorder="1" applyAlignment="1">
      <alignment horizontal="center" vertical="center"/>
    </xf>
    <xf numFmtId="10" fontId="23" fillId="0" borderId="20" xfId="2" applyNumberFormat="1" applyFill="1" applyBorder="1" applyAlignment="1">
      <alignment horizontal="center" vertical="center"/>
    </xf>
    <xf numFmtId="180" fontId="35" fillId="0" borderId="20" xfId="2" applyNumberFormat="1" applyFont="1" applyFill="1" applyBorder="1" applyAlignment="1">
      <alignment horizontal="center" vertical="center"/>
    </xf>
    <xf numFmtId="0" fontId="5" fillId="0" borderId="0" xfId="8" applyFont="1">
      <alignment vertical="center"/>
    </xf>
    <xf numFmtId="14" fontId="34" fillId="0" borderId="1" xfId="9" applyNumberFormat="1" applyFill="1" applyBorder="1">
      <alignment vertical="center"/>
    </xf>
    <xf numFmtId="176" fontId="34" fillId="0" borderId="2" xfId="9" applyNumberFormat="1" applyFill="1" applyBorder="1">
      <alignment vertical="center"/>
    </xf>
    <xf numFmtId="176" fontId="34" fillId="0" borderId="3" xfId="9" applyNumberFormat="1" applyFill="1" applyBorder="1">
      <alignment vertical="center"/>
    </xf>
    <xf numFmtId="10" fontId="26" fillId="0" borderId="4" xfId="9" applyNumberFormat="1" applyFont="1" applyFill="1" applyBorder="1">
      <alignment vertical="center"/>
    </xf>
    <xf numFmtId="10" fontId="34" fillId="0" borderId="5" xfId="9" applyNumberFormat="1" applyFill="1" applyBorder="1">
      <alignment vertical="center"/>
    </xf>
    <xf numFmtId="0" fontId="34" fillId="0" borderId="0" xfId="9">
      <alignment vertical="center"/>
    </xf>
    <xf numFmtId="14" fontId="34" fillId="0" borderId="6" xfId="9" applyNumberFormat="1" applyFill="1" applyBorder="1">
      <alignment vertical="center"/>
    </xf>
    <xf numFmtId="176" fontId="34" fillId="0" borderId="20" xfId="9" applyNumberFormat="1" applyFill="1" applyBorder="1">
      <alignment vertical="center"/>
    </xf>
    <xf numFmtId="176" fontId="34" fillId="0" borderId="0" xfId="9" applyNumberFormat="1" applyFill="1" applyBorder="1">
      <alignment vertical="center"/>
    </xf>
    <xf numFmtId="10" fontId="34" fillId="0" borderId="8" xfId="9" applyNumberFormat="1" applyFill="1" applyBorder="1">
      <alignment vertical="center"/>
    </xf>
    <xf numFmtId="177" fontId="34" fillId="0" borderId="9" xfId="9" applyNumberFormat="1" applyFill="1" applyBorder="1">
      <alignment vertical="center"/>
    </xf>
    <xf numFmtId="180" fontId="34" fillId="0" borderId="0" xfId="9" applyNumberFormat="1">
      <alignment vertical="center"/>
    </xf>
    <xf numFmtId="10" fontId="34" fillId="0" borderId="20" xfId="9" applyNumberFormat="1" applyFill="1" applyBorder="1">
      <alignment vertical="center"/>
    </xf>
    <xf numFmtId="0" fontId="34" fillId="0" borderId="20" xfId="9" applyFill="1" applyBorder="1">
      <alignment vertical="center"/>
    </xf>
    <xf numFmtId="177" fontId="28" fillId="0" borderId="9" xfId="9" applyNumberFormat="1" applyFont="1" applyFill="1" applyBorder="1" applyAlignment="1">
      <alignment horizontal="right" vertical="center"/>
    </xf>
    <xf numFmtId="0" fontId="34" fillId="0" borderId="10" xfId="9" applyBorder="1">
      <alignment vertical="center"/>
    </xf>
    <xf numFmtId="0" fontId="34" fillId="0" borderId="0" xfId="9" applyBorder="1">
      <alignment vertical="center"/>
    </xf>
    <xf numFmtId="0" fontId="34" fillId="0" borderId="11" xfId="9" applyBorder="1">
      <alignment vertical="center"/>
    </xf>
    <xf numFmtId="14" fontId="26" fillId="0" borderId="4" xfId="9" applyNumberFormat="1" applyFont="1" applyFill="1" applyBorder="1">
      <alignment vertical="center"/>
    </xf>
    <xf numFmtId="0" fontId="34" fillId="0" borderId="0" xfId="9" applyFill="1" applyBorder="1" applyAlignment="1">
      <alignment vertical="center"/>
    </xf>
    <xf numFmtId="11" fontId="34" fillId="0" borderId="11" xfId="9" applyNumberFormat="1" applyFill="1" applyBorder="1" applyAlignment="1">
      <alignment vertical="center"/>
    </xf>
    <xf numFmtId="14" fontId="34" fillId="2" borderId="12" xfId="9" applyNumberFormat="1" applyFill="1" applyBorder="1">
      <alignment vertical="center"/>
    </xf>
    <xf numFmtId="10" fontId="34" fillId="2" borderId="20" xfId="9" applyNumberFormat="1" applyFill="1" applyBorder="1">
      <alignment vertical="center"/>
    </xf>
    <xf numFmtId="10" fontId="34" fillId="0" borderId="0" xfId="9" applyNumberFormat="1" applyFill="1" applyBorder="1">
      <alignment vertical="center"/>
    </xf>
    <xf numFmtId="10" fontId="34" fillId="0" borderId="9" xfId="9" applyNumberFormat="1" applyFill="1" applyBorder="1">
      <alignment vertical="center"/>
    </xf>
    <xf numFmtId="10" fontId="34" fillId="0" borderId="9" xfId="9" applyNumberFormat="1" applyFont="1" applyFill="1" applyBorder="1" applyAlignment="1">
      <alignment horizontal="right" vertical="center"/>
    </xf>
    <xf numFmtId="10" fontId="34" fillId="0" borderId="6" xfId="9" applyNumberFormat="1" applyFill="1" applyBorder="1">
      <alignment vertical="center"/>
    </xf>
    <xf numFmtId="178" fontId="34" fillId="0" borderId="20" xfId="9" applyNumberFormat="1" applyFill="1" applyBorder="1">
      <alignment vertical="center"/>
    </xf>
    <xf numFmtId="178" fontId="34" fillId="0" borderId="0" xfId="9" applyNumberFormat="1" applyFill="1" applyBorder="1">
      <alignment vertical="center"/>
    </xf>
    <xf numFmtId="14" fontId="28" fillId="0" borderId="6" xfId="9" applyNumberFormat="1" applyFont="1" applyFill="1" applyBorder="1">
      <alignment vertical="center"/>
    </xf>
    <xf numFmtId="14" fontId="34" fillId="0" borderId="13" xfId="9" applyNumberFormat="1" applyFill="1" applyBorder="1">
      <alignment vertical="center"/>
    </xf>
    <xf numFmtId="10" fontId="34" fillId="0" borderId="14" xfId="9" applyNumberFormat="1" applyFill="1" applyBorder="1">
      <alignment vertical="center"/>
    </xf>
    <xf numFmtId="10" fontId="34" fillId="0" borderId="15" xfId="9" applyNumberFormat="1" applyFill="1" applyBorder="1">
      <alignment vertical="center"/>
    </xf>
    <xf numFmtId="0" fontId="34" fillId="0" borderId="14" xfId="9" applyBorder="1">
      <alignment vertical="center"/>
    </xf>
    <xf numFmtId="0" fontId="34" fillId="0" borderId="16" xfId="9" applyBorder="1">
      <alignment vertical="center"/>
    </xf>
    <xf numFmtId="14" fontId="44" fillId="11" borderId="20" xfId="9" applyNumberFormat="1" applyFont="1" applyFill="1" applyBorder="1" applyAlignment="1">
      <alignment horizontal="center" vertical="center" wrapText="1"/>
    </xf>
    <xf numFmtId="14" fontId="44" fillId="0" borderId="20" xfId="9" applyNumberFormat="1" applyFont="1" applyFill="1" applyBorder="1" applyAlignment="1">
      <alignment horizontal="center" vertical="center" wrapText="1"/>
    </xf>
    <xf numFmtId="10" fontId="44" fillId="0" borderId="20" xfId="9" applyNumberFormat="1" applyFont="1" applyFill="1" applyBorder="1" applyAlignment="1">
      <alignment horizontal="center" vertical="center" wrapText="1"/>
    </xf>
    <xf numFmtId="10" fontId="44" fillId="0" borderId="21" xfId="9" applyNumberFormat="1" applyFont="1" applyFill="1" applyBorder="1" applyAlignment="1">
      <alignment horizontal="center" vertical="center" wrapText="1"/>
    </xf>
    <xf numFmtId="179" fontId="44" fillId="11" borderId="20" xfId="9" applyNumberFormat="1" applyFont="1" applyFill="1" applyBorder="1" applyAlignment="1">
      <alignment horizontal="center" vertical="center" wrapText="1"/>
    </xf>
    <xf numFmtId="10" fontId="45" fillId="0" borderId="20" xfId="9" applyNumberFormat="1" applyFont="1" applyFill="1" applyBorder="1" applyAlignment="1">
      <alignment horizontal="center" vertical="center" wrapText="1"/>
    </xf>
    <xf numFmtId="177" fontId="45" fillId="0" borderId="20" xfId="9" applyNumberFormat="1" applyFont="1" applyFill="1" applyBorder="1" applyAlignment="1">
      <alignment horizontal="center" vertical="center" wrapText="1"/>
    </xf>
    <xf numFmtId="10" fontId="34" fillId="2" borderId="0" xfId="9" applyNumberFormat="1" applyFill="1">
      <alignment vertical="center"/>
    </xf>
    <xf numFmtId="0" fontId="34" fillId="3" borderId="0" xfId="9" applyFill="1">
      <alignment vertical="center"/>
    </xf>
    <xf numFmtId="185" fontId="34" fillId="0" borderId="20" xfId="9" applyNumberFormat="1" applyBorder="1" applyAlignment="1">
      <alignment horizontal="center" vertical="center"/>
    </xf>
    <xf numFmtId="10" fontId="0" fillId="0" borderId="20" xfId="10" applyNumberFormat="1" applyFont="1" applyBorder="1" applyAlignment="1">
      <alignment horizontal="center" vertical="center"/>
    </xf>
    <xf numFmtId="10" fontId="34" fillId="0" borderId="20" xfId="9" applyNumberFormat="1" applyBorder="1" applyAlignment="1">
      <alignment horizontal="center" vertical="center"/>
    </xf>
    <xf numFmtId="181" fontId="34" fillId="0" borderId="20" xfId="9" applyNumberFormat="1" applyFill="1" applyBorder="1" applyAlignment="1">
      <alignment horizontal="center" vertical="center"/>
    </xf>
    <xf numFmtId="180" fontId="34" fillId="0" borderId="20" xfId="9" applyNumberFormat="1" applyBorder="1" applyAlignment="1">
      <alignment horizontal="center" vertical="center"/>
    </xf>
    <xf numFmtId="0" fontId="34" fillId="0" borderId="20" xfId="9" applyBorder="1" applyAlignment="1">
      <alignment horizontal="center" vertical="center"/>
    </xf>
    <xf numFmtId="0" fontId="46" fillId="0" borderId="20" xfId="9" applyFont="1" applyBorder="1" applyAlignment="1">
      <alignment horizontal="center" vertical="center"/>
    </xf>
    <xf numFmtId="14" fontId="4" fillId="0" borderId="1" xfId="11" applyNumberFormat="1" applyFill="1" applyBorder="1">
      <alignment vertical="center"/>
    </xf>
    <xf numFmtId="176" fontId="4" fillId="0" borderId="2" xfId="11" applyNumberFormat="1" applyFill="1" applyBorder="1">
      <alignment vertical="center"/>
    </xf>
    <xf numFmtId="176" fontId="4" fillId="0" borderId="3" xfId="11" applyNumberFormat="1" applyFill="1" applyBorder="1">
      <alignment vertical="center"/>
    </xf>
    <xf numFmtId="10" fontId="26" fillId="0" borderId="4" xfId="11" applyNumberFormat="1" applyFont="1" applyFill="1" applyBorder="1">
      <alignment vertical="center"/>
    </xf>
    <xf numFmtId="10" fontId="4" fillId="0" borderId="5" xfId="11" applyNumberFormat="1" applyFill="1" applyBorder="1">
      <alignment vertical="center"/>
    </xf>
    <xf numFmtId="0" fontId="4" fillId="0" borderId="0" xfId="11">
      <alignment vertical="center"/>
    </xf>
    <xf numFmtId="14" fontId="4" fillId="0" borderId="6" xfId="11" applyNumberFormat="1" applyFill="1" applyBorder="1">
      <alignment vertical="center"/>
    </xf>
    <xf numFmtId="176" fontId="4" fillId="0" borderId="20" xfId="11" applyNumberFormat="1" applyFill="1" applyBorder="1">
      <alignment vertical="center"/>
    </xf>
    <xf numFmtId="176" fontId="4" fillId="0" borderId="0" xfId="11" applyNumberFormat="1" applyFill="1" applyBorder="1">
      <alignment vertical="center"/>
    </xf>
    <xf numFmtId="10" fontId="4" fillId="0" borderId="8" xfId="11" applyNumberFormat="1" applyFill="1" applyBorder="1">
      <alignment vertical="center"/>
    </xf>
    <xf numFmtId="177" fontId="4" fillId="0" borderId="9" xfId="11" applyNumberFormat="1" applyFill="1" applyBorder="1">
      <alignment vertical="center"/>
    </xf>
    <xf numFmtId="180" fontId="4" fillId="0" borderId="0" xfId="11" applyNumberFormat="1">
      <alignment vertical="center"/>
    </xf>
    <xf numFmtId="10" fontId="4" fillId="0" borderId="20" xfId="11" applyNumberFormat="1" applyFill="1" applyBorder="1">
      <alignment vertical="center"/>
    </xf>
    <xf numFmtId="0" fontId="4" fillId="0" borderId="20" xfId="11" applyFill="1" applyBorder="1">
      <alignment vertical="center"/>
    </xf>
    <xf numFmtId="177" fontId="28" fillId="0" borderId="9" xfId="11" applyNumberFormat="1" applyFont="1" applyFill="1" applyBorder="1" applyAlignment="1">
      <alignment horizontal="right" vertical="center"/>
    </xf>
    <xf numFmtId="0" fontId="4" fillId="0" borderId="10" xfId="11" applyBorder="1">
      <alignment vertical="center"/>
    </xf>
    <xf numFmtId="0" fontId="4" fillId="0" borderId="0" xfId="11" applyBorder="1">
      <alignment vertical="center"/>
    </xf>
    <xf numFmtId="0" fontId="4" fillId="0" borderId="11" xfId="11" applyBorder="1">
      <alignment vertical="center"/>
    </xf>
    <xf numFmtId="14" fontId="26" fillId="0" borderId="4" xfId="11" applyNumberFormat="1" applyFont="1" applyFill="1" applyBorder="1">
      <alignment vertical="center"/>
    </xf>
    <xf numFmtId="0" fontId="4" fillId="0" borderId="0" xfId="11" applyFill="1" applyBorder="1" applyAlignment="1">
      <alignment vertical="center"/>
    </xf>
    <xf numFmtId="11" fontId="4" fillId="0" borderId="11" xfId="11" applyNumberFormat="1" applyFill="1" applyBorder="1" applyAlignment="1">
      <alignment vertical="center"/>
    </xf>
    <xf numFmtId="14" fontId="4" fillId="2" borderId="12" xfId="11" applyNumberFormat="1" applyFill="1" applyBorder="1">
      <alignment vertical="center"/>
    </xf>
    <xf numFmtId="10" fontId="4" fillId="2" borderId="20" xfId="11" applyNumberFormat="1" applyFill="1" applyBorder="1">
      <alignment vertical="center"/>
    </xf>
    <xf numFmtId="10" fontId="4" fillId="0" borderId="0" xfId="11" applyNumberFormat="1" applyFill="1" applyBorder="1">
      <alignment vertical="center"/>
    </xf>
    <xf numFmtId="10" fontId="4" fillId="0" borderId="9" xfId="11" applyNumberFormat="1" applyFill="1" applyBorder="1">
      <alignment vertical="center"/>
    </xf>
    <xf numFmtId="10" fontId="4" fillId="0" borderId="9" xfId="11" applyNumberFormat="1" applyFont="1" applyFill="1" applyBorder="1" applyAlignment="1">
      <alignment horizontal="right" vertical="center"/>
    </xf>
    <xf numFmtId="10" fontId="4" fillId="0" borderId="6" xfId="11" applyNumberFormat="1" applyFill="1" applyBorder="1">
      <alignment vertical="center"/>
    </xf>
    <xf numFmtId="178" fontId="4" fillId="0" borderId="20" xfId="11" applyNumberFormat="1" applyFill="1" applyBorder="1">
      <alignment vertical="center"/>
    </xf>
    <xf numFmtId="178" fontId="4" fillId="0" borderId="0" xfId="11" applyNumberFormat="1" applyFill="1" applyBorder="1">
      <alignment vertical="center"/>
    </xf>
    <xf numFmtId="14" fontId="28" fillId="0" borderId="6" xfId="11" applyNumberFormat="1" applyFont="1" applyFill="1" applyBorder="1">
      <alignment vertical="center"/>
    </xf>
    <xf numFmtId="14" fontId="4" fillId="0" borderId="13" xfId="11" applyNumberFormat="1" applyFill="1" applyBorder="1">
      <alignment vertical="center"/>
    </xf>
    <xf numFmtId="10" fontId="4" fillId="0" borderId="14" xfId="11" applyNumberFormat="1" applyFill="1" applyBorder="1">
      <alignment vertical="center"/>
    </xf>
    <xf numFmtId="10" fontId="4" fillId="0" borderId="15" xfId="11" applyNumberFormat="1" applyFill="1" applyBorder="1">
      <alignment vertical="center"/>
    </xf>
    <xf numFmtId="0" fontId="4" fillId="0" borderId="14" xfId="11" applyBorder="1">
      <alignment vertical="center"/>
    </xf>
    <xf numFmtId="0" fontId="4" fillId="0" borderId="16" xfId="11" applyBorder="1">
      <alignment vertical="center"/>
    </xf>
    <xf numFmtId="14" fontId="44" fillId="11" borderId="20" xfId="11" applyNumberFormat="1" applyFont="1" applyFill="1" applyBorder="1" applyAlignment="1">
      <alignment horizontal="center" vertical="center" wrapText="1"/>
    </xf>
    <xf numFmtId="14" fontId="44" fillId="0" borderId="20" xfId="11" applyNumberFormat="1" applyFont="1" applyFill="1" applyBorder="1" applyAlignment="1">
      <alignment horizontal="center" vertical="center" wrapText="1"/>
    </xf>
    <xf numFmtId="10" fontId="44" fillId="0" borderId="20" xfId="11" applyNumberFormat="1" applyFont="1" applyFill="1" applyBorder="1" applyAlignment="1">
      <alignment horizontal="center" vertical="center" wrapText="1"/>
    </xf>
    <xf numFmtId="179" fontId="44" fillId="11" borderId="20" xfId="11" applyNumberFormat="1" applyFont="1" applyFill="1" applyBorder="1" applyAlignment="1">
      <alignment horizontal="center" vertical="center" wrapText="1"/>
    </xf>
    <xf numFmtId="10" fontId="45" fillId="0" borderId="20" xfId="11" applyNumberFormat="1" applyFont="1" applyFill="1" applyBorder="1" applyAlignment="1">
      <alignment horizontal="center" vertical="center" wrapText="1"/>
    </xf>
    <xf numFmtId="177" fontId="45" fillId="0" borderId="20" xfId="11" applyNumberFormat="1" applyFont="1" applyFill="1" applyBorder="1" applyAlignment="1">
      <alignment horizontal="center" vertical="center" wrapText="1"/>
    </xf>
    <xf numFmtId="0" fontId="4" fillId="3" borderId="0" xfId="11" applyFill="1">
      <alignment vertical="center"/>
    </xf>
    <xf numFmtId="0" fontId="4" fillId="6" borderId="0" xfId="11" applyFill="1">
      <alignment vertical="center"/>
    </xf>
    <xf numFmtId="0" fontId="46" fillId="6" borderId="0" xfId="11" applyFont="1" applyFill="1" applyAlignment="1">
      <alignment horizontal="center" vertical="center"/>
    </xf>
    <xf numFmtId="181" fontId="4" fillId="2" borderId="20" xfId="11" applyNumberFormat="1" applyFill="1" applyBorder="1" applyAlignment="1">
      <alignment horizontal="right" vertical="center"/>
    </xf>
    <xf numFmtId="180" fontId="4" fillId="2" borderId="0" xfId="11" applyNumberFormat="1" applyFill="1">
      <alignment vertical="center"/>
    </xf>
    <xf numFmtId="10" fontId="0" fillId="2" borderId="0" xfId="12" applyNumberFormat="1" applyFont="1" applyFill="1" applyAlignment="1">
      <alignment horizontal="center" vertical="center"/>
    </xf>
    <xf numFmtId="10" fontId="4" fillId="2" borderId="0" xfId="11" applyNumberFormat="1" applyFill="1" applyAlignment="1">
      <alignment horizontal="center" vertical="center"/>
    </xf>
    <xf numFmtId="0" fontId="4" fillId="2" borderId="0" xfId="11" applyFill="1">
      <alignment vertical="center"/>
    </xf>
    <xf numFmtId="10" fontId="4" fillId="2" borderId="0" xfId="1" applyNumberFormat="1" applyFont="1" applyFill="1">
      <alignment vertical="center"/>
    </xf>
    <xf numFmtId="181" fontId="4" fillId="0" borderId="20" xfId="11" applyNumberFormat="1" applyBorder="1" applyAlignment="1">
      <alignment horizontal="right" vertical="center"/>
    </xf>
    <xf numFmtId="10" fontId="0" fillId="0" borderId="0" xfId="12" applyNumberFormat="1" applyFont="1" applyAlignment="1">
      <alignment horizontal="center" vertical="center"/>
    </xf>
    <xf numFmtId="10" fontId="4" fillId="0" borderId="0" xfId="11" applyNumberFormat="1" applyAlignment="1">
      <alignment horizontal="center" vertical="center"/>
    </xf>
    <xf numFmtId="10" fontId="4" fillId="0" borderId="0" xfId="1" applyNumberFormat="1" applyFont="1">
      <alignment vertical="center"/>
    </xf>
    <xf numFmtId="10" fontId="34" fillId="0" borderId="0" xfId="12" applyNumberFormat="1" applyFont="1" applyAlignment="1">
      <alignment horizontal="center" vertical="center"/>
    </xf>
    <xf numFmtId="0" fontId="4" fillId="0" borderId="0" xfId="11" applyNumberFormat="1" applyFill="1">
      <alignment vertical="center"/>
    </xf>
    <xf numFmtId="180" fontId="4" fillId="0" borderId="20" xfId="2" applyNumberFormat="1" applyFont="1" applyBorder="1" applyAlignment="1">
      <alignment horizontal="center" vertical="center"/>
    </xf>
    <xf numFmtId="180" fontId="3" fillId="0" borderId="20" xfId="2" applyNumberFormat="1" applyFont="1" applyBorder="1" applyAlignment="1">
      <alignment horizontal="center" vertical="center"/>
    </xf>
    <xf numFmtId="0" fontId="2" fillId="0" borderId="0" xfId="8" applyFont="1">
      <alignment vertical="center"/>
    </xf>
    <xf numFmtId="0" fontId="23" fillId="0" borderId="0" xfId="2" applyAlignment="1">
      <alignment horizontal="center" vertical="center" wrapText="1"/>
    </xf>
    <xf numFmtId="0" fontId="19" fillId="0" borderId="0" xfId="6" applyAlignment="1">
      <alignment horizontal="center" vertical="center" wrapText="1"/>
    </xf>
    <xf numFmtId="0" fontId="7" fillId="0" borderId="0" xfId="8" applyAlignment="1">
      <alignment horizontal="center" vertical="center" wrapText="1"/>
    </xf>
  </cellXfs>
  <cellStyles count="13">
    <cellStyle name="百分比" xfId="1" builtinId="5"/>
    <cellStyle name="百分比 2" xfId="3"/>
    <cellStyle name="百分比 2 2" xfId="7"/>
    <cellStyle name="百分比 2 3" xfId="12"/>
    <cellStyle name="百分比 3" xfId="10"/>
    <cellStyle name="常规" xfId="0" builtinId="0"/>
    <cellStyle name="常规 2" xfId="2"/>
    <cellStyle name="常规 2 2" xfId="6"/>
    <cellStyle name="常规 2 3" xfId="8"/>
    <cellStyle name="常规 2 4" xfId="11"/>
    <cellStyle name="常规 3" xfId="4"/>
    <cellStyle name="常规 4" xfId="9"/>
    <cellStyle name="常规 5" xfId="5"/>
  </cellStyles>
  <dxfs count="360"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等线"/>
        <scheme val="minor"/>
      </font>
      <numFmt numFmtId="180" formatCode="0.0000_ "/>
      <fill>
        <patternFill patternType="solid">
          <fgColor indexed="64"/>
          <bgColor rgb="FFE0E0E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80" formatCode="0.0000_ 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0000"/>
      </font>
      <numFmt numFmtId="30" formatCode="@"/>
      <fill>
        <patternFill patternType="solid">
          <fgColor indexed="64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等线"/>
        <scheme val="minor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等线"/>
        <scheme val="minor"/>
      </font>
      <numFmt numFmtId="180" formatCode="0.0000_ "/>
      <fill>
        <patternFill patternType="solid">
          <fgColor indexed="64"/>
          <bgColor rgb="FFE0E0E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80" formatCode="0.0000_ 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0000"/>
      </font>
      <numFmt numFmtId="30" formatCode="@"/>
      <fill>
        <patternFill patternType="solid">
          <fgColor indexed="64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等线"/>
        <scheme val="minor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等线"/>
        <scheme val="minor"/>
      </font>
      <numFmt numFmtId="180" formatCode="0.0000_ "/>
      <fill>
        <patternFill patternType="solid">
          <fgColor indexed="64"/>
          <bgColor rgb="FFE0E0E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80" formatCode="0.0000_ 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0000"/>
      </font>
      <numFmt numFmtId="30" formatCode="@"/>
      <fill>
        <patternFill patternType="solid">
          <fgColor indexed="64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等线"/>
        <scheme val="minor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等线"/>
        <scheme val="minor"/>
      </font>
      <numFmt numFmtId="180" formatCode="0.0000_ "/>
      <fill>
        <patternFill patternType="solid">
          <fgColor indexed="64"/>
          <bgColor rgb="FFE0E0E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80" formatCode="0.0000_ 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0000"/>
      </font>
      <numFmt numFmtId="30" formatCode="@"/>
      <fill>
        <patternFill patternType="solid">
          <fgColor indexed="64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等线"/>
        <scheme val="minor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等线"/>
        <scheme val="minor"/>
      </font>
      <numFmt numFmtId="180" formatCode="0.0000_ "/>
      <fill>
        <patternFill patternType="solid">
          <fgColor indexed="64"/>
          <bgColor rgb="FFE0E0E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80" formatCode="0.0000_ 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0000"/>
      </font>
      <numFmt numFmtId="30" formatCode="@"/>
      <fill>
        <patternFill patternType="solid">
          <fgColor indexed="64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等线"/>
        <scheme val="minor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等线"/>
        <scheme val="minor"/>
      </font>
      <numFmt numFmtId="180" formatCode="0.0000_ "/>
      <fill>
        <patternFill patternType="solid">
          <fgColor indexed="64"/>
          <bgColor rgb="FFE0E0E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80" formatCode="0.0000_ 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0000"/>
      </font>
      <numFmt numFmtId="30" formatCode="@"/>
      <fill>
        <patternFill patternType="solid">
          <fgColor indexed="64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等线"/>
        <scheme val="minor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等线"/>
        <scheme val="minor"/>
      </font>
      <numFmt numFmtId="180" formatCode="0.0000_ "/>
      <fill>
        <patternFill patternType="solid">
          <fgColor indexed="64"/>
          <bgColor rgb="FFE0E0E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80" formatCode="0.0000_ 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0000"/>
      </font>
      <numFmt numFmtId="30" formatCode="@"/>
      <fill>
        <patternFill patternType="solid">
          <fgColor indexed="64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等线"/>
        <scheme val="minor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等线"/>
        <scheme val="minor"/>
      </font>
      <numFmt numFmtId="180" formatCode="0.0000_ "/>
      <fill>
        <patternFill patternType="solid">
          <fgColor indexed="64"/>
          <bgColor rgb="FFE0E0E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80" formatCode="0.0000_ 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0000"/>
      </font>
      <numFmt numFmtId="30" formatCode="@"/>
      <fill>
        <patternFill patternType="solid">
          <fgColor indexed="64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等线"/>
        <scheme val="minor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等线"/>
        <scheme val="minor"/>
      </font>
      <numFmt numFmtId="180" formatCode="0.0000_ "/>
      <fill>
        <patternFill patternType="solid">
          <fgColor indexed="64"/>
          <bgColor rgb="FFE0E0E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80" formatCode="0.0000_ 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0000"/>
      </font>
      <numFmt numFmtId="30" formatCode="@"/>
      <fill>
        <patternFill patternType="solid">
          <fgColor indexed="64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等线"/>
        <scheme val="minor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等线"/>
        <scheme val="minor"/>
      </font>
      <numFmt numFmtId="180" formatCode="0.0000_ "/>
      <fill>
        <patternFill patternType="solid">
          <fgColor indexed="64"/>
          <bgColor rgb="FFE0E0E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80" formatCode="0.0000_ 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0000"/>
      </font>
      <numFmt numFmtId="30" formatCode="@"/>
      <fill>
        <patternFill patternType="solid">
          <fgColor indexed="64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等线"/>
        <scheme val="minor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等线"/>
        <scheme val="minor"/>
      </font>
      <numFmt numFmtId="180" formatCode="0.0000_ "/>
      <fill>
        <patternFill patternType="solid">
          <fgColor indexed="64"/>
          <bgColor rgb="FFE0E0E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80" formatCode="0.0000_ 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0000"/>
      </font>
      <numFmt numFmtId="30" formatCode="@"/>
      <fill>
        <patternFill patternType="solid">
          <fgColor indexed="64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等线"/>
        <scheme val="minor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等线"/>
        <scheme val="minor"/>
      </font>
      <numFmt numFmtId="14" formatCode="0.00%"/>
      <fill>
        <patternFill patternType="solid">
          <fgColor indexed="64"/>
          <bgColor rgb="FFE0E0E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80" formatCode="0.0000_ 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0000"/>
      </font>
      <numFmt numFmtId="30" formatCode="@"/>
      <fill>
        <patternFill patternType="solid">
          <fgColor indexed="64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等线"/>
        <scheme val="minor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等线"/>
        <scheme val="minor"/>
      </font>
      <numFmt numFmtId="180" formatCode="0.0000_ "/>
      <fill>
        <patternFill patternType="solid">
          <fgColor indexed="64"/>
          <bgColor rgb="FFE0E0E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80" formatCode="0.0000_ 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0000"/>
      </font>
      <numFmt numFmtId="30" formatCode="@"/>
      <fill>
        <patternFill patternType="solid">
          <fgColor indexed="64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等线"/>
        <scheme val="minor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等线"/>
        <scheme val="minor"/>
      </font>
      <numFmt numFmtId="180" formatCode="0.0000_ "/>
      <fill>
        <patternFill patternType="solid">
          <fgColor indexed="64"/>
          <bgColor rgb="FFE0E0E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80" formatCode="0.0000_ 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0000"/>
      </font>
      <numFmt numFmtId="30" formatCode="@"/>
      <fill>
        <patternFill patternType="solid">
          <fgColor indexed="64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等线"/>
        <scheme val="minor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0" indent="0" justifyLastLine="0" shrinkToFit="0" readingOrder="0"/>
    </dxf>
    <dxf>
      <numFmt numFmtId="14" formatCode="0.00%"/>
    </dxf>
    <dxf>
      <numFmt numFmtId="0" formatCode="General"/>
    </dxf>
    <dxf>
      <numFmt numFmtId="14" formatCode="0.00%"/>
      <alignment horizontal="center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14" formatCode="0.00%"/>
      <alignment horizontal="center" vertical="center" textRotation="0" wrapText="0" indent="0" justifyLastLine="0" shrinkToFit="0" readingOrder="0"/>
    </dxf>
    <dxf>
      <numFmt numFmtId="180" formatCode="0.0000_ "/>
    </dxf>
    <dxf>
      <numFmt numFmtId="19" formatCode="yyyy/m/d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等线"/>
        <scheme val="minor"/>
      </font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u val="none"/>
        <sz val="11"/>
        <color theme="1"/>
        <name val="宋体"/>
        <scheme val="none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80" formatCode="0.0000_ 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yyyy/m/d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等线"/>
        <scheme val="minor"/>
      </font>
      <numFmt numFmtId="180" formatCode="0.0000_ "/>
      <fill>
        <patternFill patternType="solid">
          <fgColor indexed="64"/>
          <bgColor rgb="FFE0E0E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80" formatCode="0.0000_ 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0000"/>
      </font>
      <numFmt numFmtId="30" formatCode="@"/>
      <fill>
        <patternFill patternType="solid">
          <fgColor indexed="64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等线"/>
        <scheme val="minor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等线"/>
        <scheme val="minor"/>
      </font>
      <numFmt numFmtId="180" formatCode="0.0000_ "/>
      <fill>
        <patternFill patternType="solid">
          <fgColor indexed="64"/>
          <bgColor rgb="FFE0E0E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80" formatCode="0.0000_ 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0000"/>
      </font>
      <numFmt numFmtId="30" formatCode="@"/>
      <fill>
        <patternFill patternType="solid">
          <fgColor indexed="64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等线"/>
        <scheme val="minor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等线"/>
        <scheme val="minor"/>
      </font>
      <numFmt numFmtId="180" formatCode="0.0000_ "/>
      <fill>
        <patternFill patternType="solid">
          <fgColor indexed="64"/>
          <bgColor rgb="FFE0E0E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80" formatCode="0.0000_ 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0000"/>
      </font>
      <numFmt numFmtId="30" formatCode="@"/>
      <fill>
        <patternFill patternType="solid">
          <fgColor indexed="64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等线"/>
        <scheme val="minor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等线"/>
        <scheme val="minor"/>
      </font>
      <numFmt numFmtId="180" formatCode="0.0000_ "/>
      <fill>
        <patternFill patternType="solid">
          <fgColor indexed="64"/>
          <bgColor rgb="FFE0E0E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80" formatCode="0.0000_ 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0000"/>
      </font>
      <numFmt numFmtId="30" formatCode="@"/>
      <fill>
        <patternFill patternType="solid">
          <fgColor indexed="64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等线"/>
        <scheme val="minor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等线"/>
        <scheme val="minor"/>
      </font>
      <numFmt numFmtId="180" formatCode="0.0000_ "/>
      <fill>
        <patternFill patternType="solid">
          <fgColor indexed="64"/>
          <bgColor rgb="FFE0E0E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80" formatCode="0.0000_ 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0000"/>
      </font>
      <numFmt numFmtId="30" formatCode="@"/>
      <fill>
        <patternFill patternType="solid">
          <fgColor indexed="64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等线"/>
        <scheme val="minor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等线"/>
        <scheme val="minor"/>
      </font>
      <numFmt numFmtId="180" formatCode="0.0000_ "/>
      <fill>
        <patternFill patternType="solid">
          <fgColor indexed="64"/>
          <bgColor rgb="FFE0E0E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80" formatCode="0.0000_ 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0000"/>
      </font>
      <numFmt numFmtId="30" formatCode="@"/>
      <fill>
        <patternFill patternType="solid">
          <fgColor indexed="64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等线"/>
        <scheme val="minor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等线"/>
        <scheme val="minor"/>
      </font>
      <numFmt numFmtId="180" formatCode="0.0000_ "/>
      <fill>
        <patternFill patternType="solid">
          <fgColor indexed="64"/>
          <bgColor rgb="FFE0E0E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80" formatCode="0.0000_ 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0000"/>
      </font>
      <numFmt numFmtId="30" formatCode="@"/>
      <fill>
        <patternFill patternType="solid">
          <fgColor indexed="64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等线"/>
        <scheme val="minor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等线"/>
        <scheme val="minor"/>
      </font>
      <numFmt numFmtId="180" formatCode="0.0000_ "/>
      <fill>
        <patternFill patternType="solid">
          <fgColor indexed="64"/>
          <bgColor rgb="FFE0E0E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80" formatCode="0.0000_ 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0000"/>
      </font>
      <numFmt numFmtId="30" formatCode="@"/>
      <fill>
        <patternFill patternType="solid">
          <fgColor indexed="64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等线"/>
        <scheme val="minor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等线"/>
        <scheme val="minor"/>
      </font>
      <numFmt numFmtId="180" formatCode="0.0000_ "/>
      <fill>
        <patternFill patternType="solid">
          <fgColor indexed="64"/>
          <bgColor rgb="FFE0E0E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80" formatCode="0.0000_ 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color rgb="FF000000"/>
      </font>
      <numFmt numFmtId="181" formatCode="yyyy\-mm\-dd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等线"/>
        <scheme val="minor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等线"/>
        <scheme val="minor"/>
      </font>
      <numFmt numFmtId="180" formatCode="0.0000_ "/>
      <fill>
        <patternFill patternType="solid">
          <fgColor indexed="64"/>
          <bgColor rgb="FFE0E0E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80" formatCode="0.0000_ 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0000"/>
      </font>
      <numFmt numFmtId="30" formatCode="@"/>
      <fill>
        <patternFill patternType="solid">
          <fgColor indexed="64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等线"/>
        <scheme val="minor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等线"/>
        <scheme val="minor"/>
      </font>
      <numFmt numFmtId="180" formatCode="0.0000_ "/>
      <fill>
        <patternFill patternType="solid">
          <fgColor indexed="64"/>
          <bgColor rgb="FFE0E0E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80" formatCode="0.0000_ 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0000"/>
      </font>
      <numFmt numFmtId="30" formatCode="@"/>
      <fill>
        <patternFill patternType="solid">
          <fgColor indexed="64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等线"/>
        <scheme val="minor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等线"/>
        <scheme val="minor"/>
      </font>
      <numFmt numFmtId="180" formatCode="0.0000_ "/>
      <fill>
        <patternFill patternType="solid">
          <fgColor indexed="64"/>
          <bgColor rgb="FFE0E0E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80" formatCode="0.0000_ 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0000"/>
      </font>
      <numFmt numFmtId="30" formatCode="@"/>
      <fill>
        <patternFill patternType="solid">
          <fgColor indexed="64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等线"/>
        <scheme val="minor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等线"/>
        <scheme val="minor"/>
      </font>
      <numFmt numFmtId="180" formatCode="0.0000_ "/>
      <fill>
        <patternFill patternType="solid">
          <fgColor indexed="64"/>
          <bgColor rgb="FFE0E0E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80" formatCode="0.0000_ 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0000"/>
      </font>
      <numFmt numFmtId="30" formatCode="@"/>
      <fill>
        <patternFill patternType="solid">
          <fgColor indexed="64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等线"/>
        <scheme val="minor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等线"/>
        <scheme val="minor"/>
      </font>
      <numFmt numFmtId="180" formatCode="0.0000_ "/>
      <fill>
        <patternFill patternType="solid">
          <fgColor indexed="64"/>
          <bgColor rgb="FFE0E0E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80" formatCode="0.0000_ 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0000"/>
      </font>
      <numFmt numFmtId="30" formatCode="@"/>
      <fill>
        <patternFill patternType="solid">
          <fgColor indexed="64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等线"/>
        <scheme val="minor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等线"/>
        <scheme val="minor"/>
      </font>
      <numFmt numFmtId="180" formatCode="0.0000_ "/>
      <fill>
        <patternFill patternType="solid">
          <fgColor indexed="64"/>
          <bgColor rgb="FFE0E0E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80" formatCode="0.0000_ 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0000"/>
      </font>
      <numFmt numFmtId="30" formatCode="@"/>
      <fill>
        <patternFill patternType="solid">
          <fgColor indexed="64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等线"/>
        <scheme val="minor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等线"/>
        <scheme val="minor"/>
      </font>
      <numFmt numFmtId="180" formatCode="0.0000_ "/>
      <fill>
        <patternFill patternType="solid">
          <fgColor indexed="64"/>
          <bgColor rgb="FFE0E0E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80" formatCode="0.0000_ 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0000"/>
      </font>
      <numFmt numFmtId="30" formatCode="@"/>
      <fill>
        <patternFill patternType="solid">
          <fgColor indexed="64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等线"/>
        <scheme val="minor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等线"/>
        <scheme val="minor"/>
      </font>
      <numFmt numFmtId="180" formatCode="0.0000_ "/>
      <fill>
        <patternFill patternType="solid">
          <fgColor indexed="64"/>
          <bgColor rgb="FFE0E0E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80" formatCode="0.0000_ 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0000"/>
      </font>
      <numFmt numFmtId="30" formatCode="@"/>
      <fill>
        <patternFill patternType="solid">
          <fgColor indexed="64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等线"/>
        <scheme val="minor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等线"/>
        <scheme val="minor"/>
      </font>
      <numFmt numFmtId="180" formatCode="0.0000_ "/>
      <fill>
        <patternFill patternType="solid">
          <fgColor indexed="64"/>
          <bgColor rgb="FFE0E0E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80" formatCode="0.0000_ 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0000"/>
      </font>
      <numFmt numFmtId="30" formatCode="@"/>
      <fill>
        <patternFill patternType="solid">
          <fgColor indexed="64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等线"/>
        <scheme val="minor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等线"/>
        <scheme val="minor"/>
      </font>
      <numFmt numFmtId="180" formatCode="0.0000_ "/>
      <fill>
        <patternFill patternType="solid">
          <fgColor indexed="64"/>
          <bgColor rgb="FFE0E0E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80" formatCode="0.0000_ 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0000"/>
      </font>
      <numFmt numFmtId="30" formatCode="@"/>
      <fill>
        <patternFill patternType="solid">
          <fgColor indexed="64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等线"/>
        <scheme val="minor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等线"/>
        <scheme val="minor"/>
      </font>
      <numFmt numFmtId="180" formatCode="0.0000_ "/>
      <fill>
        <patternFill patternType="solid">
          <fgColor indexed="64"/>
          <bgColor rgb="FFE0E0E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80" formatCode="0.0000_ 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0000"/>
      </font>
      <numFmt numFmtId="30" formatCode="@"/>
      <fill>
        <patternFill patternType="solid">
          <fgColor indexed="64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等线"/>
        <scheme val="minor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等线"/>
        <scheme val="minor"/>
      </font>
      <numFmt numFmtId="180" formatCode="0.0000_ "/>
      <fill>
        <patternFill patternType="solid">
          <fgColor indexed="64"/>
          <bgColor rgb="FFE0E0E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80" formatCode="0.0000_ 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0000"/>
      </font>
      <numFmt numFmtId="30" formatCode="@"/>
      <fill>
        <patternFill patternType="solid">
          <fgColor indexed="64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等线"/>
        <scheme val="minor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等线"/>
        <scheme val="minor"/>
      </font>
      <numFmt numFmtId="180" formatCode="0.0000_ "/>
      <fill>
        <patternFill patternType="solid">
          <fgColor indexed="64"/>
          <bgColor rgb="FFE0E0E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80" formatCode="0.0000_ 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0000"/>
      </font>
      <numFmt numFmtId="30" formatCode="@"/>
      <fill>
        <patternFill patternType="solid">
          <fgColor indexed="64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等线"/>
        <scheme val="minor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等线"/>
        <scheme val="minor"/>
      </font>
      <numFmt numFmtId="180" formatCode="0.0000_ "/>
      <fill>
        <patternFill patternType="solid">
          <fgColor indexed="64"/>
          <bgColor rgb="FFE0E0E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80" formatCode="0.0000_ 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0000"/>
      </font>
      <numFmt numFmtId="30" formatCode="@"/>
      <fill>
        <patternFill patternType="solid">
          <fgColor indexed="64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等线"/>
        <scheme val="minor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等线"/>
        <scheme val="minor"/>
      </font>
      <numFmt numFmtId="180" formatCode="0.0000_ "/>
      <fill>
        <patternFill patternType="solid">
          <fgColor indexed="64"/>
          <bgColor rgb="FFE0E0E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80" formatCode="0.0000_ 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0000"/>
      </font>
      <numFmt numFmtId="30" formatCode="@"/>
      <fill>
        <patternFill patternType="solid">
          <fgColor indexed="64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等线"/>
        <scheme val="minor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等线"/>
        <scheme val="minor"/>
      </font>
      <numFmt numFmtId="180" formatCode="0.0000_ "/>
      <fill>
        <patternFill patternType="solid">
          <fgColor indexed="64"/>
          <bgColor rgb="FFE0E0E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80" formatCode="0.0000_ 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0000"/>
      </font>
      <numFmt numFmtId="30" formatCode="@"/>
      <fill>
        <patternFill patternType="solid">
          <fgColor indexed="64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等线"/>
        <scheme val="minor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等线"/>
        <scheme val="minor"/>
      </font>
      <numFmt numFmtId="180" formatCode="0.0000_ "/>
      <fill>
        <patternFill patternType="solid">
          <fgColor indexed="64"/>
          <bgColor rgb="FFE0E0E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80" formatCode="0.0000_ 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0000"/>
      </font>
      <numFmt numFmtId="30" formatCode="@"/>
      <fill>
        <patternFill patternType="solid">
          <fgColor indexed="64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等线"/>
        <scheme val="minor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等线"/>
        <scheme val="minor"/>
      </font>
      <numFmt numFmtId="180" formatCode="0.0000_ "/>
      <fill>
        <patternFill patternType="solid">
          <fgColor indexed="64"/>
          <bgColor rgb="FFE0E0E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80" formatCode="0.0000_ 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0000"/>
      </font>
      <numFmt numFmtId="30" formatCode="@"/>
      <fill>
        <patternFill patternType="solid">
          <fgColor indexed="64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等线"/>
        <scheme val="minor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等线"/>
        <scheme val="minor"/>
      </font>
      <numFmt numFmtId="180" formatCode="0.0000_ "/>
      <fill>
        <patternFill patternType="solid">
          <fgColor indexed="64"/>
          <bgColor rgb="FFE0E0E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80" formatCode="0.0000_ 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0000"/>
      </font>
      <numFmt numFmtId="30" formatCode="@"/>
      <fill>
        <patternFill patternType="solid">
          <fgColor indexed="64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等线"/>
        <scheme val="minor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等线"/>
        <scheme val="minor"/>
      </font>
      <numFmt numFmtId="180" formatCode="0.0000_ "/>
      <fill>
        <patternFill patternType="solid">
          <fgColor indexed="64"/>
          <bgColor rgb="FFE0E0E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80" formatCode="0.0000_ 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0000"/>
      </font>
      <numFmt numFmtId="30" formatCode="@"/>
      <fill>
        <patternFill patternType="solid">
          <fgColor indexed="64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等线"/>
        <scheme val="minor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00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2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 sz="1400"/>
              <a:t>爱凡哲六号</a:t>
            </a:r>
            <a:endParaRPr lang="en-US" altLang="zh-CN" sz="14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爱凡哲六号!$B$20</c:f>
              <c:strCache>
                <c:ptCount val="1"/>
                <c:pt idx="0">
                  <c:v>累计净值</c:v>
                </c:pt>
              </c:strCache>
            </c:strRef>
          </c:tx>
          <c:marker>
            <c:symbol val="none"/>
          </c:marker>
          <c:cat>
            <c:numRef>
              <c:f>爱凡哲六号!$A$21:$A$439</c:f>
              <c:numCache>
                <c:formatCode>m/d/yyyy</c:formatCode>
                <c:ptCount val="419"/>
                <c:pt idx="0">
                  <c:v>43698</c:v>
                </c:pt>
                <c:pt idx="1">
                  <c:v>43699</c:v>
                </c:pt>
                <c:pt idx="2">
                  <c:v>43700</c:v>
                </c:pt>
                <c:pt idx="3">
                  <c:v>43703</c:v>
                </c:pt>
                <c:pt idx="4">
                  <c:v>43704</c:v>
                </c:pt>
                <c:pt idx="5">
                  <c:v>43705</c:v>
                </c:pt>
                <c:pt idx="6">
                  <c:v>43706</c:v>
                </c:pt>
                <c:pt idx="7">
                  <c:v>43707</c:v>
                </c:pt>
                <c:pt idx="8">
                  <c:v>43710</c:v>
                </c:pt>
                <c:pt idx="9">
                  <c:v>43711</c:v>
                </c:pt>
                <c:pt idx="10">
                  <c:v>43712</c:v>
                </c:pt>
                <c:pt idx="11">
                  <c:v>43713</c:v>
                </c:pt>
                <c:pt idx="12">
                  <c:v>43714</c:v>
                </c:pt>
                <c:pt idx="13">
                  <c:v>43717</c:v>
                </c:pt>
                <c:pt idx="14">
                  <c:v>43718</c:v>
                </c:pt>
                <c:pt idx="15">
                  <c:v>43719</c:v>
                </c:pt>
                <c:pt idx="16">
                  <c:v>43720</c:v>
                </c:pt>
                <c:pt idx="17">
                  <c:v>43724</c:v>
                </c:pt>
                <c:pt idx="18">
                  <c:v>43725</c:v>
                </c:pt>
                <c:pt idx="19">
                  <c:v>43726</c:v>
                </c:pt>
                <c:pt idx="20">
                  <c:v>43727</c:v>
                </c:pt>
                <c:pt idx="21">
                  <c:v>43728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43738</c:v>
                </c:pt>
                <c:pt idx="28">
                  <c:v>43746</c:v>
                </c:pt>
                <c:pt idx="29">
                  <c:v>43747</c:v>
                </c:pt>
                <c:pt idx="30">
                  <c:v>43748</c:v>
                </c:pt>
                <c:pt idx="31">
                  <c:v>43749</c:v>
                </c:pt>
                <c:pt idx="32">
                  <c:v>43752</c:v>
                </c:pt>
                <c:pt idx="33">
                  <c:v>43753</c:v>
                </c:pt>
                <c:pt idx="34">
                  <c:v>43754</c:v>
                </c:pt>
                <c:pt idx="35">
                  <c:v>43755</c:v>
                </c:pt>
                <c:pt idx="36">
                  <c:v>43756</c:v>
                </c:pt>
                <c:pt idx="37">
                  <c:v>43759</c:v>
                </c:pt>
                <c:pt idx="38">
                  <c:v>43760</c:v>
                </c:pt>
                <c:pt idx="39">
                  <c:v>43761</c:v>
                </c:pt>
                <c:pt idx="40">
                  <c:v>43762</c:v>
                </c:pt>
                <c:pt idx="41">
                  <c:v>43763</c:v>
                </c:pt>
                <c:pt idx="42">
                  <c:v>43766</c:v>
                </c:pt>
                <c:pt idx="43">
                  <c:v>43767</c:v>
                </c:pt>
                <c:pt idx="44">
                  <c:v>43768</c:v>
                </c:pt>
                <c:pt idx="45">
                  <c:v>43769</c:v>
                </c:pt>
                <c:pt idx="46">
                  <c:v>43770</c:v>
                </c:pt>
                <c:pt idx="47">
                  <c:v>43773</c:v>
                </c:pt>
                <c:pt idx="48">
                  <c:v>43774</c:v>
                </c:pt>
                <c:pt idx="49">
                  <c:v>43775</c:v>
                </c:pt>
                <c:pt idx="50">
                  <c:v>43776</c:v>
                </c:pt>
                <c:pt idx="51">
                  <c:v>43777</c:v>
                </c:pt>
                <c:pt idx="52">
                  <c:v>43780</c:v>
                </c:pt>
                <c:pt idx="53">
                  <c:v>43781</c:v>
                </c:pt>
                <c:pt idx="54">
                  <c:v>43782</c:v>
                </c:pt>
                <c:pt idx="55">
                  <c:v>43783</c:v>
                </c:pt>
                <c:pt idx="56">
                  <c:v>43784</c:v>
                </c:pt>
                <c:pt idx="57">
                  <c:v>43787</c:v>
                </c:pt>
                <c:pt idx="58">
                  <c:v>43788</c:v>
                </c:pt>
                <c:pt idx="59">
                  <c:v>43789</c:v>
                </c:pt>
                <c:pt idx="60">
                  <c:v>43790</c:v>
                </c:pt>
                <c:pt idx="61">
                  <c:v>43791</c:v>
                </c:pt>
                <c:pt idx="62">
                  <c:v>43794</c:v>
                </c:pt>
                <c:pt idx="63">
                  <c:v>43795</c:v>
                </c:pt>
                <c:pt idx="64">
                  <c:v>43796</c:v>
                </c:pt>
                <c:pt idx="65">
                  <c:v>43797</c:v>
                </c:pt>
                <c:pt idx="66">
                  <c:v>43798</c:v>
                </c:pt>
                <c:pt idx="67">
                  <c:v>43801</c:v>
                </c:pt>
                <c:pt idx="68">
                  <c:v>43802</c:v>
                </c:pt>
                <c:pt idx="69">
                  <c:v>43803</c:v>
                </c:pt>
                <c:pt idx="70">
                  <c:v>43804</c:v>
                </c:pt>
                <c:pt idx="71">
                  <c:v>43805</c:v>
                </c:pt>
                <c:pt idx="72">
                  <c:v>43808</c:v>
                </c:pt>
                <c:pt idx="73">
                  <c:v>43809</c:v>
                </c:pt>
                <c:pt idx="74">
                  <c:v>43810</c:v>
                </c:pt>
                <c:pt idx="75">
                  <c:v>43811</c:v>
                </c:pt>
                <c:pt idx="76">
                  <c:v>43812</c:v>
                </c:pt>
                <c:pt idx="77">
                  <c:v>43815</c:v>
                </c:pt>
                <c:pt idx="78">
                  <c:v>43816</c:v>
                </c:pt>
                <c:pt idx="79">
                  <c:v>43817</c:v>
                </c:pt>
                <c:pt idx="80">
                  <c:v>43818</c:v>
                </c:pt>
                <c:pt idx="81">
                  <c:v>43819</c:v>
                </c:pt>
                <c:pt idx="82">
                  <c:v>43822</c:v>
                </c:pt>
                <c:pt idx="83">
                  <c:v>43823</c:v>
                </c:pt>
                <c:pt idx="84">
                  <c:v>43824</c:v>
                </c:pt>
                <c:pt idx="85">
                  <c:v>43825</c:v>
                </c:pt>
                <c:pt idx="86">
                  <c:v>43826</c:v>
                </c:pt>
                <c:pt idx="87">
                  <c:v>43829</c:v>
                </c:pt>
                <c:pt idx="88">
                  <c:v>43830</c:v>
                </c:pt>
                <c:pt idx="89">
                  <c:v>43832</c:v>
                </c:pt>
                <c:pt idx="90">
                  <c:v>43833</c:v>
                </c:pt>
                <c:pt idx="91">
                  <c:v>43836</c:v>
                </c:pt>
                <c:pt idx="92">
                  <c:v>43837</c:v>
                </c:pt>
                <c:pt idx="93">
                  <c:v>43838</c:v>
                </c:pt>
                <c:pt idx="94">
                  <c:v>43839</c:v>
                </c:pt>
                <c:pt idx="95">
                  <c:v>43840</c:v>
                </c:pt>
                <c:pt idx="96">
                  <c:v>43843</c:v>
                </c:pt>
                <c:pt idx="97">
                  <c:v>43844</c:v>
                </c:pt>
                <c:pt idx="98">
                  <c:v>43845</c:v>
                </c:pt>
                <c:pt idx="99">
                  <c:v>43846</c:v>
                </c:pt>
                <c:pt idx="100">
                  <c:v>43847</c:v>
                </c:pt>
                <c:pt idx="101">
                  <c:v>43850</c:v>
                </c:pt>
                <c:pt idx="102">
                  <c:v>43851</c:v>
                </c:pt>
                <c:pt idx="103">
                  <c:v>43852</c:v>
                </c:pt>
                <c:pt idx="104">
                  <c:v>43853</c:v>
                </c:pt>
                <c:pt idx="105">
                  <c:v>43864</c:v>
                </c:pt>
                <c:pt idx="106">
                  <c:v>43865</c:v>
                </c:pt>
                <c:pt idx="107">
                  <c:v>43866</c:v>
                </c:pt>
                <c:pt idx="108">
                  <c:v>43867</c:v>
                </c:pt>
                <c:pt idx="109">
                  <c:v>43868</c:v>
                </c:pt>
                <c:pt idx="110">
                  <c:v>43871</c:v>
                </c:pt>
                <c:pt idx="111">
                  <c:v>43872</c:v>
                </c:pt>
                <c:pt idx="112">
                  <c:v>43873</c:v>
                </c:pt>
                <c:pt idx="113">
                  <c:v>43874</c:v>
                </c:pt>
                <c:pt idx="114">
                  <c:v>43875</c:v>
                </c:pt>
                <c:pt idx="115">
                  <c:v>43878</c:v>
                </c:pt>
                <c:pt idx="116">
                  <c:v>43879</c:v>
                </c:pt>
                <c:pt idx="117">
                  <c:v>43880</c:v>
                </c:pt>
                <c:pt idx="118">
                  <c:v>43881</c:v>
                </c:pt>
                <c:pt idx="119">
                  <c:v>43882</c:v>
                </c:pt>
                <c:pt idx="120">
                  <c:v>43885</c:v>
                </c:pt>
                <c:pt idx="121">
                  <c:v>43886</c:v>
                </c:pt>
                <c:pt idx="122">
                  <c:v>43887</c:v>
                </c:pt>
                <c:pt idx="123">
                  <c:v>43888</c:v>
                </c:pt>
                <c:pt idx="124">
                  <c:v>43889</c:v>
                </c:pt>
                <c:pt idx="125">
                  <c:v>43892</c:v>
                </c:pt>
                <c:pt idx="126">
                  <c:v>43893</c:v>
                </c:pt>
                <c:pt idx="127">
                  <c:v>43894</c:v>
                </c:pt>
                <c:pt idx="128">
                  <c:v>43895</c:v>
                </c:pt>
                <c:pt idx="129">
                  <c:v>43896</c:v>
                </c:pt>
                <c:pt idx="130">
                  <c:v>43899</c:v>
                </c:pt>
                <c:pt idx="131">
                  <c:v>43900</c:v>
                </c:pt>
                <c:pt idx="132">
                  <c:v>43901</c:v>
                </c:pt>
                <c:pt idx="133">
                  <c:v>43902</c:v>
                </c:pt>
                <c:pt idx="134">
                  <c:v>43903</c:v>
                </c:pt>
                <c:pt idx="135">
                  <c:v>43906</c:v>
                </c:pt>
                <c:pt idx="136">
                  <c:v>43907</c:v>
                </c:pt>
                <c:pt idx="137">
                  <c:v>43908</c:v>
                </c:pt>
                <c:pt idx="138">
                  <c:v>43909</c:v>
                </c:pt>
                <c:pt idx="139">
                  <c:v>43910</c:v>
                </c:pt>
                <c:pt idx="140">
                  <c:v>43913</c:v>
                </c:pt>
                <c:pt idx="141">
                  <c:v>43914</c:v>
                </c:pt>
                <c:pt idx="142">
                  <c:v>43915</c:v>
                </c:pt>
                <c:pt idx="143">
                  <c:v>43916</c:v>
                </c:pt>
                <c:pt idx="144">
                  <c:v>43917</c:v>
                </c:pt>
                <c:pt idx="145">
                  <c:v>43920</c:v>
                </c:pt>
                <c:pt idx="146">
                  <c:v>43921</c:v>
                </c:pt>
                <c:pt idx="147">
                  <c:v>43922</c:v>
                </c:pt>
                <c:pt idx="148">
                  <c:v>43923</c:v>
                </c:pt>
                <c:pt idx="149">
                  <c:v>43924</c:v>
                </c:pt>
                <c:pt idx="150">
                  <c:v>43928</c:v>
                </c:pt>
                <c:pt idx="151">
                  <c:v>43929</c:v>
                </c:pt>
                <c:pt idx="152">
                  <c:v>43930</c:v>
                </c:pt>
                <c:pt idx="153">
                  <c:v>43931</c:v>
                </c:pt>
                <c:pt idx="154">
                  <c:v>43934</c:v>
                </c:pt>
                <c:pt idx="155">
                  <c:v>43935</c:v>
                </c:pt>
                <c:pt idx="156">
                  <c:v>43936</c:v>
                </c:pt>
                <c:pt idx="157">
                  <c:v>43937</c:v>
                </c:pt>
                <c:pt idx="158">
                  <c:v>43938</c:v>
                </c:pt>
                <c:pt idx="159">
                  <c:v>43941</c:v>
                </c:pt>
                <c:pt idx="160">
                  <c:v>43942</c:v>
                </c:pt>
                <c:pt idx="161">
                  <c:v>43943</c:v>
                </c:pt>
                <c:pt idx="162">
                  <c:v>43944</c:v>
                </c:pt>
                <c:pt idx="163">
                  <c:v>43945</c:v>
                </c:pt>
                <c:pt idx="164">
                  <c:v>43948</c:v>
                </c:pt>
                <c:pt idx="165">
                  <c:v>43949</c:v>
                </c:pt>
                <c:pt idx="166">
                  <c:v>43950</c:v>
                </c:pt>
                <c:pt idx="167">
                  <c:v>43951</c:v>
                </c:pt>
                <c:pt idx="168">
                  <c:v>43957</c:v>
                </c:pt>
                <c:pt idx="169">
                  <c:v>43958</c:v>
                </c:pt>
                <c:pt idx="170">
                  <c:v>43959</c:v>
                </c:pt>
                <c:pt idx="171">
                  <c:v>43962</c:v>
                </c:pt>
                <c:pt idx="172">
                  <c:v>43963</c:v>
                </c:pt>
                <c:pt idx="173">
                  <c:v>43964</c:v>
                </c:pt>
                <c:pt idx="174">
                  <c:v>43965</c:v>
                </c:pt>
                <c:pt idx="175">
                  <c:v>43966</c:v>
                </c:pt>
                <c:pt idx="176">
                  <c:v>43969</c:v>
                </c:pt>
                <c:pt idx="177">
                  <c:v>43970</c:v>
                </c:pt>
                <c:pt idx="178">
                  <c:v>43971</c:v>
                </c:pt>
                <c:pt idx="179">
                  <c:v>43972</c:v>
                </c:pt>
                <c:pt idx="180">
                  <c:v>43973</c:v>
                </c:pt>
                <c:pt idx="181">
                  <c:v>43976</c:v>
                </c:pt>
                <c:pt idx="182">
                  <c:v>43977</c:v>
                </c:pt>
                <c:pt idx="183">
                  <c:v>43978</c:v>
                </c:pt>
                <c:pt idx="184">
                  <c:v>43979</c:v>
                </c:pt>
                <c:pt idx="185">
                  <c:v>43980</c:v>
                </c:pt>
                <c:pt idx="186">
                  <c:v>43983</c:v>
                </c:pt>
                <c:pt idx="187">
                  <c:v>43984</c:v>
                </c:pt>
                <c:pt idx="188">
                  <c:v>43985</c:v>
                </c:pt>
                <c:pt idx="189">
                  <c:v>43986</c:v>
                </c:pt>
                <c:pt idx="190">
                  <c:v>43987</c:v>
                </c:pt>
                <c:pt idx="191">
                  <c:v>43990</c:v>
                </c:pt>
                <c:pt idx="192">
                  <c:v>43991</c:v>
                </c:pt>
                <c:pt idx="193">
                  <c:v>43992</c:v>
                </c:pt>
                <c:pt idx="194">
                  <c:v>43993</c:v>
                </c:pt>
                <c:pt idx="195">
                  <c:v>43994</c:v>
                </c:pt>
                <c:pt idx="196">
                  <c:v>43997</c:v>
                </c:pt>
                <c:pt idx="197">
                  <c:v>43998</c:v>
                </c:pt>
                <c:pt idx="198">
                  <c:v>43999</c:v>
                </c:pt>
                <c:pt idx="199">
                  <c:v>44000</c:v>
                </c:pt>
                <c:pt idx="200">
                  <c:v>44001</c:v>
                </c:pt>
                <c:pt idx="201">
                  <c:v>44004</c:v>
                </c:pt>
                <c:pt idx="202">
                  <c:v>44005</c:v>
                </c:pt>
                <c:pt idx="203">
                  <c:v>44006</c:v>
                </c:pt>
                <c:pt idx="204">
                  <c:v>44011</c:v>
                </c:pt>
                <c:pt idx="205">
                  <c:v>44012</c:v>
                </c:pt>
                <c:pt idx="206">
                  <c:v>44013</c:v>
                </c:pt>
                <c:pt idx="207">
                  <c:v>44014</c:v>
                </c:pt>
                <c:pt idx="208">
                  <c:v>44015</c:v>
                </c:pt>
                <c:pt idx="209">
                  <c:v>44018</c:v>
                </c:pt>
                <c:pt idx="210">
                  <c:v>44019</c:v>
                </c:pt>
                <c:pt idx="211">
                  <c:v>44020</c:v>
                </c:pt>
                <c:pt idx="212">
                  <c:v>44021</c:v>
                </c:pt>
                <c:pt idx="213">
                  <c:v>44022</c:v>
                </c:pt>
                <c:pt idx="214">
                  <c:v>44025</c:v>
                </c:pt>
                <c:pt idx="215">
                  <c:v>44026</c:v>
                </c:pt>
                <c:pt idx="216">
                  <c:v>44027</c:v>
                </c:pt>
                <c:pt idx="217">
                  <c:v>44028</c:v>
                </c:pt>
                <c:pt idx="218">
                  <c:v>44029</c:v>
                </c:pt>
                <c:pt idx="219">
                  <c:v>44032</c:v>
                </c:pt>
                <c:pt idx="220">
                  <c:v>44033</c:v>
                </c:pt>
                <c:pt idx="221">
                  <c:v>44034</c:v>
                </c:pt>
                <c:pt idx="222">
                  <c:v>44035</c:v>
                </c:pt>
                <c:pt idx="223">
                  <c:v>44036</c:v>
                </c:pt>
                <c:pt idx="224">
                  <c:v>44039</c:v>
                </c:pt>
                <c:pt idx="225">
                  <c:v>44040</c:v>
                </c:pt>
                <c:pt idx="226">
                  <c:v>44041</c:v>
                </c:pt>
                <c:pt idx="227">
                  <c:v>44042</c:v>
                </c:pt>
                <c:pt idx="228">
                  <c:v>44043</c:v>
                </c:pt>
                <c:pt idx="229">
                  <c:v>44046</c:v>
                </c:pt>
                <c:pt idx="230">
                  <c:v>44047</c:v>
                </c:pt>
                <c:pt idx="231">
                  <c:v>44048</c:v>
                </c:pt>
                <c:pt idx="232">
                  <c:v>44049</c:v>
                </c:pt>
                <c:pt idx="233">
                  <c:v>44050</c:v>
                </c:pt>
                <c:pt idx="234">
                  <c:v>44053</c:v>
                </c:pt>
                <c:pt idx="235">
                  <c:v>44054</c:v>
                </c:pt>
                <c:pt idx="236">
                  <c:v>44055</c:v>
                </c:pt>
                <c:pt idx="237">
                  <c:v>44056</c:v>
                </c:pt>
                <c:pt idx="238">
                  <c:v>44057</c:v>
                </c:pt>
                <c:pt idx="239">
                  <c:v>44060</c:v>
                </c:pt>
                <c:pt idx="240">
                  <c:v>44061</c:v>
                </c:pt>
                <c:pt idx="241">
                  <c:v>44062</c:v>
                </c:pt>
                <c:pt idx="242">
                  <c:v>44063</c:v>
                </c:pt>
                <c:pt idx="243">
                  <c:v>44064</c:v>
                </c:pt>
                <c:pt idx="244">
                  <c:v>44067</c:v>
                </c:pt>
                <c:pt idx="245">
                  <c:v>44068</c:v>
                </c:pt>
                <c:pt idx="246">
                  <c:v>44069</c:v>
                </c:pt>
                <c:pt idx="247">
                  <c:v>44070</c:v>
                </c:pt>
                <c:pt idx="248">
                  <c:v>44071</c:v>
                </c:pt>
                <c:pt idx="249">
                  <c:v>44074</c:v>
                </c:pt>
                <c:pt idx="250">
                  <c:v>44075</c:v>
                </c:pt>
                <c:pt idx="251">
                  <c:v>44076</c:v>
                </c:pt>
                <c:pt idx="252">
                  <c:v>44077</c:v>
                </c:pt>
                <c:pt idx="253">
                  <c:v>44078</c:v>
                </c:pt>
                <c:pt idx="254">
                  <c:v>44081</c:v>
                </c:pt>
                <c:pt idx="255">
                  <c:v>44082</c:v>
                </c:pt>
                <c:pt idx="256">
                  <c:v>44083</c:v>
                </c:pt>
                <c:pt idx="257">
                  <c:v>44084</c:v>
                </c:pt>
                <c:pt idx="258">
                  <c:v>44085</c:v>
                </c:pt>
                <c:pt idx="259">
                  <c:v>44088</c:v>
                </c:pt>
                <c:pt idx="260">
                  <c:v>44089</c:v>
                </c:pt>
                <c:pt idx="261">
                  <c:v>44090</c:v>
                </c:pt>
                <c:pt idx="262">
                  <c:v>44091</c:v>
                </c:pt>
                <c:pt idx="263">
                  <c:v>44092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44102</c:v>
                </c:pt>
                <c:pt idx="270">
                  <c:v>44103</c:v>
                </c:pt>
                <c:pt idx="271">
                  <c:v>44104</c:v>
                </c:pt>
                <c:pt idx="272">
                  <c:v>44113</c:v>
                </c:pt>
                <c:pt idx="273">
                  <c:v>44116</c:v>
                </c:pt>
                <c:pt idx="274">
                  <c:v>44117</c:v>
                </c:pt>
                <c:pt idx="275">
                  <c:v>44118</c:v>
                </c:pt>
                <c:pt idx="276">
                  <c:v>44119</c:v>
                </c:pt>
                <c:pt idx="277">
                  <c:v>44120</c:v>
                </c:pt>
                <c:pt idx="278">
                  <c:v>44123</c:v>
                </c:pt>
                <c:pt idx="279">
                  <c:v>44124</c:v>
                </c:pt>
                <c:pt idx="280">
                  <c:v>44125</c:v>
                </c:pt>
                <c:pt idx="281">
                  <c:v>44126</c:v>
                </c:pt>
                <c:pt idx="282">
                  <c:v>44127</c:v>
                </c:pt>
                <c:pt idx="283">
                  <c:v>44130</c:v>
                </c:pt>
                <c:pt idx="284">
                  <c:v>44131</c:v>
                </c:pt>
                <c:pt idx="285">
                  <c:v>44132</c:v>
                </c:pt>
                <c:pt idx="286">
                  <c:v>44133</c:v>
                </c:pt>
                <c:pt idx="287">
                  <c:v>44134</c:v>
                </c:pt>
                <c:pt idx="288">
                  <c:v>44137</c:v>
                </c:pt>
                <c:pt idx="289">
                  <c:v>44138</c:v>
                </c:pt>
                <c:pt idx="290">
                  <c:v>44139</c:v>
                </c:pt>
                <c:pt idx="291">
                  <c:v>44140</c:v>
                </c:pt>
                <c:pt idx="292">
                  <c:v>44141</c:v>
                </c:pt>
                <c:pt idx="293">
                  <c:v>44144</c:v>
                </c:pt>
                <c:pt idx="294">
                  <c:v>44145</c:v>
                </c:pt>
                <c:pt idx="295">
                  <c:v>44146</c:v>
                </c:pt>
                <c:pt idx="296">
                  <c:v>44147</c:v>
                </c:pt>
                <c:pt idx="297">
                  <c:v>44148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44158</c:v>
                </c:pt>
                <c:pt idx="304">
                  <c:v>44159</c:v>
                </c:pt>
                <c:pt idx="305">
                  <c:v>44160</c:v>
                </c:pt>
                <c:pt idx="306">
                  <c:v>44161</c:v>
                </c:pt>
                <c:pt idx="307">
                  <c:v>44162</c:v>
                </c:pt>
                <c:pt idx="308">
                  <c:v>44165</c:v>
                </c:pt>
                <c:pt idx="309">
                  <c:v>44166</c:v>
                </c:pt>
                <c:pt idx="310">
                  <c:v>44167</c:v>
                </c:pt>
                <c:pt idx="311">
                  <c:v>44168</c:v>
                </c:pt>
                <c:pt idx="312">
                  <c:v>44169</c:v>
                </c:pt>
                <c:pt idx="313">
                  <c:v>44172</c:v>
                </c:pt>
                <c:pt idx="314">
                  <c:v>44173</c:v>
                </c:pt>
                <c:pt idx="315">
                  <c:v>44174</c:v>
                </c:pt>
                <c:pt idx="316">
                  <c:v>44175</c:v>
                </c:pt>
                <c:pt idx="317">
                  <c:v>44176</c:v>
                </c:pt>
                <c:pt idx="318">
                  <c:v>44179</c:v>
                </c:pt>
                <c:pt idx="319">
                  <c:v>44180</c:v>
                </c:pt>
                <c:pt idx="320">
                  <c:v>44181</c:v>
                </c:pt>
                <c:pt idx="321">
                  <c:v>44182</c:v>
                </c:pt>
                <c:pt idx="322">
                  <c:v>44183</c:v>
                </c:pt>
                <c:pt idx="323">
                  <c:v>44186</c:v>
                </c:pt>
                <c:pt idx="324">
                  <c:v>44187</c:v>
                </c:pt>
                <c:pt idx="325">
                  <c:v>44188</c:v>
                </c:pt>
                <c:pt idx="326">
                  <c:v>44189</c:v>
                </c:pt>
                <c:pt idx="327">
                  <c:v>44190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44200</c:v>
                </c:pt>
                <c:pt idx="333">
                  <c:v>44201</c:v>
                </c:pt>
                <c:pt idx="334">
                  <c:v>44202</c:v>
                </c:pt>
                <c:pt idx="335">
                  <c:v>44203</c:v>
                </c:pt>
                <c:pt idx="336">
                  <c:v>44204</c:v>
                </c:pt>
                <c:pt idx="337">
                  <c:v>44207</c:v>
                </c:pt>
                <c:pt idx="338">
                  <c:v>44208</c:v>
                </c:pt>
                <c:pt idx="339">
                  <c:v>44209</c:v>
                </c:pt>
                <c:pt idx="340">
                  <c:v>44210</c:v>
                </c:pt>
                <c:pt idx="341">
                  <c:v>44211</c:v>
                </c:pt>
                <c:pt idx="342">
                  <c:v>44214</c:v>
                </c:pt>
                <c:pt idx="343">
                  <c:v>44215</c:v>
                </c:pt>
                <c:pt idx="344">
                  <c:v>44216</c:v>
                </c:pt>
                <c:pt idx="345">
                  <c:v>44217</c:v>
                </c:pt>
                <c:pt idx="346">
                  <c:v>44218</c:v>
                </c:pt>
                <c:pt idx="347">
                  <c:v>44221</c:v>
                </c:pt>
                <c:pt idx="348">
                  <c:v>44222</c:v>
                </c:pt>
                <c:pt idx="349">
                  <c:v>44223</c:v>
                </c:pt>
                <c:pt idx="350">
                  <c:v>44224</c:v>
                </c:pt>
                <c:pt idx="351">
                  <c:v>44225</c:v>
                </c:pt>
                <c:pt idx="352">
                  <c:v>44228</c:v>
                </c:pt>
                <c:pt idx="353">
                  <c:v>44229</c:v>
                </c:pt>
                <c:pt idx="354">
                  <c:v>44230</c:v>
                </c:pt>
                <c:pt idx="355">
                  <c:v>44231</c:v>
                </c:pt>
                <c:pt idx="356">
                  <c:v>44232</c:v>
                </c:pt>
                <c:pt idx="357">
                  <c:v>44235</c:v>
                </c:pt>
                <c:pt idx="358">
                  <c:v>44236</c:v>
                </c:pt>
                <c:pt idx="359">
                  <c:v>44237</c:v>
                </c:pt>
                <c:pt idx="360">
                  <c:v>44245</c:v>
                </c:pt>
                <c:pt idx="361">
                  <c:v>44246</c:v>
                </c:pt>
                <c:pt idx="362">
                  <c:v>44249</c:v>
                </c:pt>
                <c:pt idx="363">
                  <c:v>44250</c:v>
                </c:pt>
                <c:pt idx="364">
                  <c:v>44251</c:v>
                </c:pt>
                <c:pt idx="365">
                  <c:v>44252</c:v>
                </c:pt>
                <c:pt idx="366">
                  <c:v>44253</c:v>
                </c:pt>
                <c:pt idx="367">
                  <c:v>44256</c:v>
                </c:pt>
                <c:pt idx="368">
                  <c:v>44257</c:v>
                </c:pt>
                <c:pt idx="369">
                  <c:v>44258</c:v>
                </c:pt>
                <c:pt idx="370">
                  <c:v>44259</c:v>
                </c:pt>
                <c:pt idx="371">
                  <c:v>44260</c:v>
                </c:pt>
                <c:pt idx="372">
                  <c:v>44263</c:v>
                </c:pt>
                <c:pt idx="373">
                  <c:v>44264</c:v>
                </c:pt>
                <c:pt idx="374">
                  <c:v>44265</c:v>
                </c:pt>
                <c:pt idx="375">
                  <c:v>44266</c:v>
                </c:pt>
                <c:pt idx="376">
                  <c:v>44267</c:v>
                </c:pt>
                <c:pt idx="377">
                  <c:v>44270</c:v>
                </c:pt>
                <c:pt idx="378">
                  <c:v>44271</c:v>
                </c:pt>
                <c:pt idx="379">
                  <c:v>44272</c:v>
                </c:pt>
                <c:pt idx="380">
                  <c:v>44273</c:v>
                </c:pt>
                <c:pt idx="381">
                  <c:v>44274</c:v>
                </c:pt>
                <c:pt idx="382">
                  <c:v>44277</c:v>
                </c:pt>
                <c:pt idx="383">
                  <c:v>44278</c:v>
                </c:pt>
                <c:pt idx="384">
                  <c:v>44279</c:v>
                </c:pt>
                <c:pt idx="385">
                  <c:v>44280</c:v>
                </c:pt>
                <c:pt idx="386">
                  <c:v>44281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44292</c:v>
                </c:pt>
                <c:pt idx="393">
                  <c:v>44293</c:v>
                </c:pt>
                <c:pt idx="394">
                  <c:v>44294</c:v>
                </c:pt>
                <c:pt idx="395">
                  <c:v>44295</c:v>
                </c:pt>
                <c:pt idx="396">
                  <c:v>44298</c:v>
                </c:pt>
                <c:pt idx="397">
                  <c:v>44299</c:v>
                </c:pt>
                <c:pt idx="398">
                  <c:v>44300</c:v>
                </c:pt>
                <c:pt idx="399">
                  <c:v>44301</c:v>
                </c:pt>
                <c:pt idx="400">
                  <c:v>44302</c:v>
                </c:pt>
                <c:pt idx="401">
                  <c:v>44305</c:v>
                </c:pt>
                <c:pt idx="402">
                  <c:v>44306</c:v>
                </c:pt>
                <c:pt idx="403">
                  <c:v>44307</c:v>
                </c:pt>
                <c:pt idx="404">
                  <c:v>44308</c:v>
                </c:pt>
                <c:pt idx="405">
                  <c:v>44309</c:v>
                </c:pt>
                <c:pt idx="406">
                  <c:v>44312</c:v>
                </c:pt>
                <c:pt idx="407">
                  <c:v>44313</c:v>
                </c:pt>
                <c:pt idx="408">
                  <c:v>44314</c:v>
                </c:pt>
                <c:pt idx="409">
                  <c:v>44315</c:v>
                </c:pt>
                <c:pt idx="410">
                  <c:v>44316</c:v>
                </c:pt>
                <c:pt idx="411">
                  <c:v>44322</c:v>
                </c:pt>
                <c:pt idx="412">
                  <c:v>44323</c:v>
                </c:pt>
                <c:pt idx="413">
                  <c:v>44326</c:v>
                </c:pt>
                <c:pt idx="414">
                  <c:v>44327</c:v>
                </c:pt>
                <c:pt idx="415">
                  <c:v>44328</c:v>
                </c:pt>
                <c:pt idx="416">
                  <c:v>44329</c:v>
                </c:pt>
                <c:pt idx="417">
                  <c:v>44330</c:v>
                </c:pt>
                <c:pt idx="418">
                  <c:v>44333</c:v>
                </c:pt>
              </c:numCache>
            </c:numRef>
          </c:cat>
          <c:val>
            <c:numRef>
              <c:f>爱凡哲六号!$B$21:$B$439</c:f>
              <c:numCache>
                <c:formatCode>0.0000_ </c:formatCode>
                <c:ptCount val="41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1.0009999999999999</c:v>
                </c:pt>
                <c:pt idx="5">
                  <c:v>1.002</c:v>
                </c:pt>
                <c:pt idx="6">
                  <c:v>1.0029999999999999</c:v>
                </c:pt>
                <c:pt idx="7">
                  <c:v>1.002</c:v>
                </c:pt>
                <c:pt idx="8">
                  <c:v>1.0009999999999999</c:v>
                </c:pt>
                <c:pt idx="9">
                  <c:v>1.0069999999999999</c:v>
                </c:pt>
                <c:pt idx="10">
                  <c:v>1.008</c:v>
                </c:pt>
                <c:pt idx="11">
                  <c:v>1.0049999999999999</c:v>
                </c:pt>
                <c:pt idx="12">
                  <c:v>1.006</c:v>
                </c:pt>
                <c:pt idx="13">
                  <c:v>1.006</c:v>
                </c:pt>
                <c:pt idx="14">
                  <c:v>1.0069999999999999</c:v>
                </c:pt>
                <c:pt idx="15">
                  <c:v>1.006</c:v>
                </c:pt>
                <c:pt idx="16">
                  <c:v>1.0069999999999999</c:v>
                </c:pt>
                <c:pt idx="17">
                  <c:v>1.008</c:v>
                </c:pt>
                <c:pt idx="18">
                  <c:v>1.0069999999999999</c:v>
                </c:pt>
                <c:pt idx="19">
                  <c:v>1.0089999999999999</c:v>
                </c:pt>
                <c:pt idx="20">
                  <c:v>1.008</c:v>
                </c:pt>
                <c:pt idx="21">
                  <c:v>1.008</c:v>
                </c:pt>
                <c:pt idx="22">
                  <c:v>1.008</c:v>
                </c:pt>
                <c:pt idx="23">
                  <c:v>1.01</c:v>
                </c:pt>
                <c:pt idx="24">
                  <c:v>1.0129999999999999</c:v>
                </c:pt>
                <c:pt idx="25">
                  <c:v>1.01</c:v>
                </c:pt>
                <c:pt idx="26">
                  <c:v>1.0109999999999999</c:v>
                </c:pt>
                <c:pt idx="27">
                  <c:v>1.0109999999999999</c:v>
                </c:pt>
                <c:pt idx="28">
                  <c:v>1.0129999999999999</c:v>
                </c:pt>
                <c:pt idx="29">
                  <c:v>1.016</c:v>
                </c:pt>
                <c:pt idx="30">
                  <c:v>1.016</c:v>
                </c:pt>
                <c:pt idx="31">
                  <c:v>1.014</c:v>
                </c:pt>
                <c:pt idx="32">
                  <c:v>1.018</c:v>
                </c:pt>
                <c:pt idx="33">
                  <c:v>1.0249999999999999</c:v>
                </c:pt>
                <c:pt idx="34">
                  <c:v>1.022</c:v>
                </c:pt>
                <c:pt idx="35">
                  <c:v>1.0189999999999999</c:v>
                </c:pt>
                <c:pt idx="36">
                  <c:v>1.0209999999999999</c:v>
                </c:pt>
                <c:pt idx="37">
                  <c:v>1.0209999999999999</c:v>
                </c:pt>
                <c:pt idx="38">
                  <c:v>1.0169999999999999</c:v>
                </c:pt>
                <c:pt idx="39">
                  <c:v>1.0149999999999999</c:v>
                </c:pt>
                <c:pt idx="40">
                  <c:v>1.024</c:v>
                </c:pt>
                <c:pt idx="41">
                  <c:v>1.0229999999999999</c:v>
                </c:pt>
                <c:pt idx="42">
                  <c:v>1.028</c:v>
                </c:pt>
                <c:pt idx="43">
                  <c:v>1.0209999999999999</c:v>
                </c:pt>
                <c:pt idx="44">
                  <c:v>1.0289999999999999</c:v>
                </c:pt>
                <c:pt idx="45">
                  <c:v>1.0309999999999999</c:v>
                </c:pt>
                <c:pt idx="46">
                  <c:v>1.0249999999999999</c:v>
                </c:pt>
                <c:pt idx="47">
                  <c:v>1.026</c:v>
                </c:pt>
                <c:pt idx="48">
                  <c:v>1.0289999999999999</c:v>
                </c:pt>
                <c:pt idx="49">
                  <c:v>1.0269999999999999</c:v>
                </c:pt>
                <c:pt idx="50">
                  <c:v>1.0249999999999999</c:v>
                </c:pt>
                <c:pt idx="51">
                  <c:v>1.0309999999999999</c:v>
                </c:pt>
                <c:pt idx="52">
                  <c:v>1.03</c:v>
                </c:pt>
                <c:pt idx="53">
                  <c:v>1.024</c:v>
                </c:pt>
                <c:pt idx="54">
                  <c:v>1.026</c:v>
                </c:pt>
                <c:pt idx="55">
                  <c:v>1.024</c:v>
                </c:pt>
                <c:pt idx="56">
                  <c:v>1.0269999999999999</c:v>
                </c:pt>
                <c:pt idx="57">
                  <c:v>1.03</c:v>
                </c:pt>
                <c:pt idx="58">
                  <c:v>1.03</c:v>
                </c:pt>
                <c:pt idx="59">
                  <c:v>1.0309999999999999</c:v>
                </c:pt>
                <c:pt idx="60">
                  <c:v>1.0309999999999999</c:v>
                </c:pt>
                <c:pt idx="61">
                  <c:v>1.0389999999999999</c:v>
                </c:pt>
                <c:pt idx="62">
                  <c:v>1.04</c:v>
                </c:pt>
                <c:pt idx="63">
                  <c:v>1.0389999999999999</c:v>
                </c:pt>
                <c:pt idx="64">
                  <c:v>1.0409999999999999</c:v>
                </c:pt>
                <c:pt idx="65">
                  <c:v>1.042</c:v>
                </c:pt>
                <c:pt idx="66">
                  <c:v>1.0429999999999999</c:v>
                </c:pt>
                <c:pt idx="67">
                  <c:v>1.044</c:v>
                </c:pt>
                <c:pt idx="68">
                  <c:v>1.046</c:v>
                </c:pt>
                <c:pt idx="69">
                  <c:v>1.0469999999999999</c:v>
                </c:pt>
                <c:pt idx="70">
                  <c:v>1.046</c:v>
                </c:pt>
                <c:pt idx="71">
                  <c:v>1.048</c:v>
                </c:pt>
                <c:pt idx="72">
                  <c:v>1.042</c:v>
                </c:pt>
                <c:pt idx="73">
                  <c:v>1.0449999999999999</c:v>
                </c:pt>
                <c:pt idx="74">
                  <c:v>1.0469999999999999</c:v>
                </c:pt>
                <c:pt idx="75">
                  <c:v>1.05</c:v>
                </c:pt>
                <c:pt idx="76">
                  <c:v>1.05</c:v>
                </c:pt>
                <c:pt idx="77">
                  <c:v>1.05</c:v>
                </c:pt>
                <c:pt idx="78">
                  <c:v>1.05</c:v>
                </c:pt>
                <c:pt idx="79">
                  <c:v>1.0489999999999999</c:v>
                </c:pt>
                <c:pt idx="80">
                  <c:v>1.052</c:v>
                </c:pt>
                <c:pt idx="81">
                  <c:v>1.0509999999999999</c:v>
                </c:pt>
                <c:pt idx="82">
                  <c:v>1.05</c:v>
                </c:pt>
                <c:pt idx="83">
                  <c:v>1.0549999999999999</c:v>
                </c:pt>
                <c:pt idx="84">
                  <c:v>1.0549999999999999</c:v>
                </c:pt>
                <c:pt idx="85">
                  <c:v>1.056</c:v>
                </c:pt>
                <c:pt idx="86">
                  <c:v>1.0549999999999999</c:v>
                </c:pt>
                <c:pt idx="87">
                  <c:v>1.0529999999999999</c:v>
                </c:pt>
                <c:pt idx="88">
                  <c:v>1.0529999999999999</c:v>
                </c:pt>
                <c:pt idx="89">
                  <c:v>1.0549999999999999</c:v>
                </c:pt>
                <c:pt idx="90">
                  <c:v>1.056</c:v>
                </c:pt>
                <c:pt idx="91">
                  <c:v>1.0569999999999999</c:v>
                </c:pt>
                <c:pt idx="92">
                  <c:v>1.0580000000000001</c:v>
                </c:pt>
                <c:pt idx="93">
                  <c:v>1.06</c:v>
                </c:pt>
                <c:pt idx="94">
                  <c:v>1.056</c:v>
                </c:pt>
                <c:pt idx="95">
                  <c:v>1.0569999999999999</c:v>
                </c:pt>
                <c:pt idx="96">
                  <c:v>1.0589999999999999</c:v>
                </c:pt>
                <c:pt idx="97">
                  <c:v>1.06</c:v>
                </c:pt>
                <c:pt idx="98">
                  <c:v>1.0589999999999999</c:v>
                </c:pt>
                <c:pt idx="99">
                  <c:v>1.0609999999999999</c:v>
                </c:pt>
                <c:pt idx="100">
                  <c:v>1.0609999999999999</c:v>
                </c:pt>
                <c:pt idx="101">
                  <c:v>1.0649999999999999</c:v>
                </c:pt>
                <c:pt idx="102">
                  <c:v>1.0649999999999999</c:v>
                </c:pt>
                <c:pt idx="103">
                  <c:v>1.0649999999999999</c:v>
                </c:pt>
                <c:pt idx="104">
                  <c:v>1.0649999999999999</c:v>
                </c:pt>
                <c:pt idx="105">
                  <c:v>1.0649999999999999</c:v>
                </c:pt>
                <c:pt idx="106">
                  <c:v>1.0649999999999999</c:v>
                </c:pt>
                <c:pt idx="107">
                  <c:v>1.0649999999999999</c:v>
                </c:pt>
                <c:pt idx="108">
                  <c:v>1.0649999999999999</c:v>
                </c:pt>
                <c:pt idx="109">
                  <c:v>1.0649999999999999</c:v>
                </c:pt>
                <c:pt idx="110">
                  <c:v>1.0649999999999999</c:v>
                </c:pt>
                <c:pt idx="111">
                  <c:v>1.0660000000000001</c:v>
                </c:pt>
                <c:pt idx="112">
                  <c:v>1.0680000000000001</c:v>
                </c:pt>
                <c:pt idx="113">
                  <c:v>1.0680000000000001</c:v>
                </c:pt>
                <c:pt idx="114">
                  <c:v>1.0669999999999999</c:v>
                </c:pt>
                <c:pt idx="115">
                  <c:v>1.0669999999999999</c:v>
                </c:pt>
                <c:pt idx="116">
                  <c:v>1.0669999999999999</c:v>
                </c:pt>
                <c:pt idx="117">
                  <c:v>1.069</c:v>
                </c:pt>
                <c:pt idx="118">
                  <c:v>1.07</c:v>
                </c:pt>
                <c:pt idx="119">
                  <c:v>1.0720000000000001</c:v>
                </c:pt>
                <c:pt idx="120">
                  <c:v>1.073</c:v>
                </c:pt>
                <c:pt idx="121">
                  <c:v>1.075</c:v>
                </c:pt>
                <c:pt idx="122">
                  <c:v>1.0760000000000001</c:v>
                </c:pt>
                <c:pt idx="123">
                  <c:v>1.073</c:v>
                </c:pt>
                <c:pt idx="124">
                  <c:v>1.0720000000000001</c:v>
                </c:pt>
                <c:pt idx="125">
                  <c:v>1.069</c:v>
                </c:pt>
                <c:pt idx="126">
                  <c:v>1.069</c:v>
                </c:pt>
                <c:pt idx="127">
                  <c:v>1.069</c:v>
                </c:pt>
                <c:pt idx="128">
                  <c:v>1.0720000000000001</c:v>
                </c:pt>
                <c:pt idx="129">
                  <c:v>1.0740000000000001</c:v>
                </c:pt>
                <c:pt idx="130">
                  <c:v>1.0740000000000001</c:v>
                </c:pt>
                <c:pt idx="131">
                  <c:v>1.0760000000000001</c:v>
                </c:pt>
                <c:pt idx="132">
                  <c:v>1.0840000000000001</c:v>
                </c:pt>
                <c:pt idx="133">
                  <c:v>1.0820000000000001</c:v>
                </c:pt>
                <c:pt idx="134">
                  <c:v>1.0880000000000001</c:v>
                </c:pt>
                <c:pt idx="135">
                  <c:v>1.0840000000000001</c:v>
                </c:pt>
                <c:pt idx="136">
                  <c:v>1.0880000000000001</c:v>
                </c:pt>
                <c:pt idx="137">
                  <c:v>1.0940000000000001</c:v>
                </c:pt>
                <c:pt idx="138">
                  <c:v>1.101</c:v>
                </c:pt>
                <c:pt idx="139">
                  <c:v>1.107</c:v>
                </c:pt>
                <c:pt idx="140">
                  <c:v>1.103</c:v>
                </c:pt>
                <c:pt idx="141">
                  <c:v>1.1060000000000001</c:v>
                </c:pt>
                <c:pt idx="142">
                  <c:v>1.1080000000000001</c:v>
                </c:pt>
                <c:pt idx="143">
                  <c:v>1.101</c:v>
                </c:pt>
                <c:pt idx="144">
                  <c:v>1.1060000000000001</c:v>
                </c:pt>
                <c:pt idx="145">
                  <c:v>1.1100000000000001</c:v>
                </c:pt>
                <c:pt idx="146">
                  <c:v>1.1120000000000001</c:v>
                </c:pt>
                <c:pt idx="147">
                  <c:v>1.115</c:v>
                </c:pt>
                <c:pt idx="148">
                  <c:v>1.119</c:v>
                </c:pt>
                <c:pt idx="149">
                  <c:v>1.1200000000000001</c:v>
                </c:pt>
                <c:pt idx="150">
                  <c:v>1.1220000000000001</c:v>
                </c:pt>
                <c:pt idx="151">
                  <c:v>1.1240000000000001</c:v>
                </c:pt>
                <c:pt idx="152">
                  <c:v>1.121</c:v>
                </c:pt>
                <c:pt idx="153">
                  <c:v>1.121</c:v>
                </c:pt>
                <c:pt idx="154">
                  <c:v>1.1200000000000001</c:v>
                </c:pt>
                <c:pt idx="155">
                  <c:v>1.1220000000000001</c:v>
                </c:pt>
                <c:pt idx="156">
                  <c:v>1.127</c:v>
                </c:pt>
                <c:pt idx="157">
                  <c:v>1.135</c:v>
                </c:pt>
                <c:pt idx="158">
                  <c:v>1.1399999999999999</c:v>
                </c:pt>
                <c:pt idx="159">
                  <c:v>1.1439999999999999</c:v>
                </c:pt>
                <c:pt idx="160">
                  <c:v>1.151</c:v>
                </c:pt>
                <c:pt idx="161">
                  <c:v>1.151</c:v>
                </c:pt>
                <c:pt idx="162">
                  <c:v>1.153</c:v>
                </c:pt>
                <c:pt idx="163">
                  <c:v>1.153</c:v>
                </c:pt>
                <c:pt idx="164">
                  <c:v>1.1539999999999999</c:v>
                </c:pt>
                <c:pt idx="165">
                  <c:v>1.1499999999999999</c:v>
                </c:pt>
                <c:pt idx="166">
                  <c:v>1.1519999999999999</c:v>
                </c:pt>
                <c:pt idx="167">
                  <c:v>1.145</c:v>
                </c:pt>
                <c:pt idx="168">
                  <c:v>1.159</c:v>
                </c:pt>
                <c:pt idx="169">
                  <c:v>1.1619999999999999</c:v>
                </c:pt>
                <c:pt idx="170">
                  <c:v>1.161</c:v>
                </c:pt>
                <c:pt idx="171">
                  <c:v>1.163</c:v>
                </c:pt>
                <c:pt idx="172">
                  <c:v>1.1639999999999999</c:v>
                </c:pt>
                <c:pt idx="173">
                  <c:v>1.163</c:v>
                </c:pt>
                <c:pt idx="174">
                  <c:v>1.165</c:v>
                </c:pt>
                <c:pt idx="175">
                  <c:v>1.167</c:v>
                </c:pt>
                <c:pt idx="176">
                  <c:v>1.17</c:v>
                </c:pt>
                <c:pt idx="177">
                  <c:v>1.17</c:v>
                </c:pt>
                <c:pt idx="178">
                  <c:v>1.173</c:v>
                </c:pt>
                <c:pt idx="179">
                  <c:v>1.173</c:v>
                </c:pt>
                <c:pt idx="180">
                  <c:v>1.177</c:v>
                </c:pt>
                <c:pt idx="181">
                  <c:v>1.1779999999999999</c:v>
                </c:pt>
                <c:pt idx="182">
                  <c:v>1.1850000000000001</c:v>
                </c:pt>
                <c:pt idx="183">
                  <c:v>1.1850000000000001</c:v>
                </c:pt>
                <c:pt idx="184">
                  <c:v>1.1879999999999999</c:v>
                </c:pt>
                <c:pt idx="185">
                  <c:v>1.1859999999999999</c:v>
                </c:pt>
                <c:pt idx="186">
                  <c:v>1.19</c:v>
                </c:pt>
                <c:pt idx="187">
                  <c:v>1.1879999999999999</c:v>
                </c:pt>
                <c:pt idx="188">
                  <c:v>1.1850000000000001</c:v>
                </c:pt>
                <c:pt idx="189">
                  <c:v>1.1819999999999999</c:v>
                </c:pt>
                <c:pt idx="190">
                  <c:v>1.1850000000000001</c:v>
                </c:pt>
                <c:pt idx="191">
                  <c:v>1.1879999999999999</c:v>
                </c:pt>
                <c:pt idx="192">
                  <c:v>1.1890000000000001</c:v>
                </c:pt>
                <c:pt idx="193">
                  <c:v>1.1879999999999999</c:v>
                </c:pt>
                <c:pt idx="194">
                  <c:v>1.1890000000000001</c:v>
                </c:pt>
                <c:pt idx="195">
                  <c:v>1.1890000000000001</c:v>
                </c:pt>
                <c:pt idx="196">
                  <c:v>1.1910000000000001</c:v>
                </c:pt>
                <c:pt idx="197">
                  <c:v>1.1950000000000001</c:v>
                </c:pt>
                <c:pt idx="198">
                  <c:v>1.196</c:v>
                </c:pt>
                <c:pt idx="199">
                  <c:v>1.1950000000000001</c:v>
                </c:pt>
                <c:pt idx="200">
                  <c:v>1.19</c:v>
                </c:pt>
                <c:pt idx="201">
                  <c:v>1.1910000000000001</c:v>
                </c:pt>
                <c:pt idx="202">
                  <c:v>1.198</c:v>
                </c:pt>
                <c:pt idx="203">
                  <c:v>1.202</c:v>
                </c:pt>
                <c:pt idx="204">
                  <c:v>1.204</c:v>
                </c:pt>
                <c:pt idx="205">
                  <c:v>1.204</c:v>
                </c:pt>
                <c:pt idx="206">
                  <c:v>1.2050000000000001</c:v>
                </c:pt>
                <c:pt idx="207">
                  <c:v>1.202</c:v>
                </c:pt>
                <c:pt idx="208">
                  <c:v>1.204</c:v>
                </c:pt>
                <c:pt idx="209">
                  <c:v>1.2050000000000001</c:v>
                </c:pt>
                <c:pt idx="210">
                  <c:v>1.216</c:v>
                </c:pt>
                <c:pt idx="211">
                  <c:v>1.222</c:v>
                </c:pt>
                <c:pt idx="212">
                  <c:v>1.224</c:v>
                </c:pt>
                <c:pt idx="213">
                  <c:v>1.23</c:v>
                </c:pt>
                <c:pt idx="214">
                  <c:v>1.23</c:v>
                </c:pt>
                <c:pt idx="215">
                  <c:v>1.2310000000000001</c:v>
                </c:pt>
                <c:pt idx="216">
                  <c:v>1.2330000000000001</c:v>
                </c:pt>
                <c:pt idx="217">
                  <c:v>1.2430000000000001</c:v>
                </c:pt>
                <c:pt idx="218">
                  <c:v>1.2490000000000001</c:v>
                </c:pt>
                <c:pt idx="219">
                  <c:v>1.2529999999999999</c:v>
                </c:pt>
                <c:pt idx="220">
                  <c:v>1.254</c:v>
                </c:pt>
                <c:pt idx="221">
                  <c:v>1.258</c:v>
                </c:pt>
                <c:pt idx="222">
                  <c:v>1.2609999999999999</c:v>
                </c:pt>
                <c:pt idx="223">
                  <c:v>1.2629999999999999</c:v>
                </c:pt>
                <c:pt idx="224">
                  <c:v>1.2649999999999999</c:v>
                </c:pt>
                <c:pt idx="225">
                  <c:v>1.264</c:v>
                </c:pt>
                <c:pt idx="226">
                  <c:v>1.2629999999999999</c:v>
                </c:pt>
                <c:pt idx="227">
                  <c:v>1.264</c:v>
                </c:pt>
                <c:pt idx="228">
                  <c:v>1.266</c:v>
                </c:pt>
                <c:pt idx="229">
                  <c:v>1.266</c:v>
                </c:pt>
                <c:pt idx="230">
                  <c:v>1.2669999999999999</c:v>
                </c:pt>
                <c:pt idx="231">
                  <c:v>1.268</c:v>
                </c:pt>
                <c:pt idx="232">
                  <c:v>1.272</c:v>
                </c:pt>
                <c:pt idx="233">
                  <c:v>1.2709999999999999</c:v>
                </c:pt>
                <c:pt idx="234">
                  <c:v>1.2729999999999999</c:v>
                </c:pt>
                <c:pt idx="235">
                  <c:v>1.2729999999999999</c:v>
                </c:pt>
                <c:pt idx="236">
                  <c:v>1.276</c:v>
                </c:pt>
                <c:pt idx="237">
                  <c:v>1.2749999999999999</c:v>
                </c:pt>
                <c:pt idx="238">
                  <c:v>1.2769999999999999</c:v>
                </c:pt>
                <c:pt idx="239">
                  <c:v>1.2729999999999999</c:v>
                </c:pt>
                <c:pt idx="240">
                  <c:v>1.27</c:v>
                </c:pt>
                <c:pt idx="241">
                  <c:v>1.272</c:v>
                </c:pt>
                <c:pt idx="242">
                  <c:v>1.2709999999999999</c:v>
                </c:pt>
                <c:pt idx="243">
                  <c:v>1.2709999999999999</c:v>
                </c:pt>
                <c:pt idx="244">
                  <c:v>1.2729999999999999</c:v>
                </c:pt>
                <c:pt idx="245">
                  <c:v>1.274</c:v>
                </c:pt>
                <c:pt idx="246">
                  <c:v>1.272</c:v>
                </c:pt>
                <c:pt idx="247">
                  <c:v>1.2729999999999999</c:v>
                </c:pt>
                <c:pt idx="248">
                  <c:v>1.274</c:v>
                </c:pt>
                <c:pt idx="249">
                  <c:v>1.2729999999999999</c:v>
                </c:pt>
                <c:pt idx="250">
                  <c:v>1.2729999999999999</c:v>
                </c:pt>
                <c:pt idx="251">
                  <c:v>1.2729999999999999</c:v>
                </c:pt>
                <c:pt idx="252">
                  <c:v>1.276</c:v>
                </c:pt>
                <c:pt idx="253">
                  <c:v>1.2749999999999999</c:v>
                </c:pt>
                <c:pt idx="254">
                  <c:v>1.278</c:v>
                </c:pt>
                <c:pt idx="255">
                  <c:v>1.2769999999999999</c:v>
                </c:pt>
                <c:pt idx="256">
                  <c:v>1.28</c:v>
                </c:pt>
                <c:pt idx="257">
                  <c:v>1.2789999999999999</c:v>
                </c:pt>
                <c:pt idx="258">
                  <c:v>1.2809999999999999</c:v>
                </c:pt>
                <c:pt idx="259">
                  <c:v>1.2829999999999999</c:v>
                </c:pt>
                <c:pt idx="260">
                  <c:v>1.284</c:v>
                </c:pt>
                <c:pt idx="261">
                  <c:v>1.2849999999999999</c:v>
                </c:pt>
                <c:pt idx="262">
                  <c:v>1.286</c:v>
                </c:pt>
                <c:pt idx="263">
                  <c:v>1.2829999999999999</c:v>
                </c:pt>
                <c:pt idx="264">
                  <c:v>1.28</c:v>
                </c:pt>
                <c:pt idx="265">
                  <c:v>1.286</c:v>
                </c:pt>
                <c:pt idx="266">
                  <c:v>1.2849999999999999</c:v>
                </c:pt>
                <c:pt idx="267">
                  <c:v>1.2809999999999999</c:v>
                </c:pt>
                <c:pt idx="268">
                  <c:v>1.276</c:v>
                </c:pt>
                <c:pt idx="269">
                  <c:v>1.2749999999999999</c:v>
                </c:pt>
                <c:pt idx="270">
                  <c:v>1.276</c:v>
                </c:pt>
                <c:pt idx="271">
                  <c:v>1.276</c:v>
                </c:pt>
                <c:pt idx="272">
                  <c:v>1.2789999999999999</c:v>
                </c:pt>
                <c:pt idx="273">
                  <c:v>1.2789999999999999</c:v>
                </c:pt>
                <c:pt idx="274">
                  <c:v>1.28</c:v>
                </c:pt>
                <c:pt idx="275">
                  <c:v>1.2809999999999999</c:v>
                </c:pt>
                <c:pt idx="276">
                  <c:v>1.28</c:v>
                </c:pt>
                <c:pt idx="277">
                  <c:v>1.2829999999999999</c:v>
                </c:pt>
                <c:pt idx="278">
                  <c:v>1.284</c:v>
                </c:pt>
                <c:pt idx="279">
                  <c:v>1.284</c:v>
                </c:pt>
                <c:pt idx="280">
                  <c:v>1.2849999999999999</c:v>
                </c:pt>
                <c:pt idx="281">
                  <c:v>1.2849999999999999</c:v>
                </c:pt>
                <c:pt idx="282">
                  <c:v>1.2829999999999999</c:v>
                </c:pt>
                <c:pt idx="283">
                  <c:v>1.2849999999999999</c:v>
                </c:pt>
                <c:pt idx="284">
                  <c:v>1.2849999999999999</c:v>
                </c:pt>
                <c:pt idx="285">
                  <c:v>1.286</c:v>
                </c:pt>
                <c:pt idx="286">
                  <c:v>1.288</c:v>
                </c:pt>
                <c:pt idx="287">
                  <c:v>1.2929999999999999</c:v>
                </c:pt>
                <c:pt idx="288">
                  <c:v>1.294</c:v>
                </c:pt>
                <c:pt idx="289">
                  <c:v>1.2969999999999999</c:v>
                </c:pt>
                <c:pt idx="290">
                  <c:v>1.298</c:v>
                </c:pt>
                <c:pt idx="291">
                  <c:v>1.2989999999999999</c:v>
                </c:pt>
                <c:pt idx="292">
                  <c:v>1.3</c:v>
                </c:pt>
                <c:pt idx="293">
                  <c:v>1.3029999999999999</c:v>
                </c:pt>
                <c:pt idx="294">
                  <c:v>1.3080000000000001</c:v>
                </c:pt>
                <c:pt idx="295">
                  <c:v>1.3129999999999999</c:v>
                </c:pt>
                <c:pt idx="296">
                  <c:v>1.31</c:v>
                </c:pt>
                <c:pt idx="297">
                  <c:v>1.3140000000000001</c:v>
                </c:pt>
                <c:pt idx="298">
                  <c:v>1.3169999999999999</c:v>
                </c:pt>
                <c:pt idx="299">
                  <c:v>1.3169999999999999</c:v>
                </c:pt>
                <c:pt idx="300">
                  <c:v>1.3169999999999999</c:v>
                </c:pt>
                <c:pt idx="301">
                  <c:v>1.3169999999999999</c:v>
                </c:pt>
                <c:pt idx="302">
                  <c:v>1.3160000000000001</c:v>
                </c:pt>
                <c:pt idx="303">
                  <c:v>1.3120000000000001</c:v>
                </c:pt>
                <c:pt idx="304">
                  <c:v>1.306</c:v>
                </c:pt>
                <c:pt idx="305">
                  <c:v>1.306</c:v>
                </c:pt>
                <c:pt idx="306">
                  <c:v>1.3140000000000001</c:v>
                </c:pt>
                <c:pt idx="307">
                  <c:v>1.3149999999999999</c:v>
                </c:pt>
                <c:pt idx="308">
                  <c:v>1.319</c:v>
                </c:pt>
                <c:pt idx="309">
                  <c:v>1.3129999999999999</c:v>
                </c:pt>
                <c:pt idx="310">
                  <c:v>1.302</c:v>
                </c:pt>
                <c:pt idx="311">
                  <c:v>1.3009999999999999</c:v>
                </c:pt>
                <c:pt idx="312">
                  <c:v>1.3009999999999999</c:v>
                </c:pt>
                <c:pt idx="313">
                  <c:v>1.3009999999999999</c:v>
                </c:pt>
                <c:pt idx="314">
                  <c:v>1.304</c:v>
                </c:pt>
                <c:pt idx="315">
                  <c:v>1.3069999999999999</c:v>
                </c:pt>
                <c:pt idx="316">
                  <c:v>1.3080000000000001</c:v>
                </c:pt>
                <c:pt idx="317">
                  <c:v>1.3120000000000001</c:v>
                </c:pt>
                <c:pt idx="318">
                  <c:v>1.3120000000000001</c:v>
                </c:pt>
                <c:pt idx="319">
                  <c:v>1.3140000000000001</c:v>
                </c:pt>
                <c:pt idx="320">
                  <c:v>1.3149999999999999</c:v>
                </c:pt>
                <c:pt idx="321">
                  <c:v>1.3160000000000001</c:v>
                </c:pt>
                <c:pt idx="322">
                  <c:v>1.3169999999999999</c:v>
                </c:pt>
                <c:pt idx="323">
                  <c:v>1.3140000000000001</c:v>
                </c:pt>
                <c:pt idx="324">
                  <c:v>1.3169999999999999</c:v>
                </c:pt>
                <c:pt idx="325">
                  <c:v>1.327</c:v>
                </c:pt>
                <c:pt idx="326">
                  <c:v>1.325</c:v>
                </c:pt>
                <c:pt idx="327">
                  <c:v>1.3149999999999999</c:v>
                </c:pt>
                <c:pt idx="328">
                  <c:v>1.3140000000000001</c:v>
                </c:pt>
                <c:pt idx="329">
                  <c:v>1.3129999999999999</c:v>
                </c:pt>
                <c:pt idx="330">
                  <c:v>1.3169999999999999</c:v>
                </c:pt>
                <c:pt idx="331">
                  <c:v>1.3149999999999999</c:v>
                </c:pt>
                <c:pt idx="332">
                  <c:v>1.3129999999999999</c:v>
                </c:pt>
                <c:pt idx="333">
                  <c:v>1.3120000000000001</c:v>
                </c:pt>
                <c:pt idx="334">
                  <c:v>1.3140000000000001</c:v>
                </c:pt>
                <c:pt idx="335">
                  <c:v>1.3089999999999999</c:v>
                </c:pt>
                <c:pt idx="336">
                  <c:v>1.3009999999999999</c:v>
                </c:pt>
                <c:pt idx="337">
                  <c:v>1.3089999999999999</c:v>
                </c:pt>
                <c:pt idx="338">
                  <c:v>1.3120000000000001</c:v>
                </c:pt>
                <c:pt idx="339">
                  <c:v>1.3120000000000001</c:v>
                </c:pt>
                <c:pt idx="340">
                  <c:v>1.3160000000000001</c:v>
                </c:pt>
                <c:pt idx="341">
                  <c:v>1.325</c:v>
                </c:pt>
                <c:pt idx="342">
                  <c:v>1.32</c:v>
                </c:pt>
                <c:pt idx="343">
                  <c:v>1.319</c:v>
                </c:pt>
                <c:pt idx="344">
                  <c:v>1.3180000000000001</c:v>
                </c:pt>
                <c:pt idx="345">
                  <c:v>1.32</c:v>
                </c:pt>
                <c:pt idx="346">
                  <c:v>1.319</c:v>
                </c:pt>
                <c:pt idx="347">
                  <c:v>1.3260000000000001</c:v>
                </c:pt>
                <c:pt idx="348">
                  <c:v>1.327</c:v>
                </c:pt>
                <c:pt idx="349">
                  <c:v>1.329</c:v>
                </c:pt>
                <c:pt idx="350">
                  <c:v>1.329</c:v>
                </c:pt>
                <c:pt idx="351">
                  <c:v>1.331</c:v>
                </c:pt>
                <c:pt idx="352">
                  <c:v>1.3320000000000001</c:v>
                </c:pt>
                <c:pt idx="353">
                  <c:v>1.3360000000000001</c:v>
                </c:pt>
                <c:pt idx="354">
                  <c:v>1.335</c:v>
                </c:pt>
                <c:pt idx="355">
                  <c:v>1.3360000000000001</c:v>
                </c:pt>
                <c:pt idx="356">
                  <c:v>1.3340000000000001</c:v>
                </c:pt>
                <c:pt idx="357">
                  <c:v>1.335</c:v>
                </c:pt>
                <c:pt idx="358">
                  <c:v>1.337</c:v>
                </c:pt>
                <c:pt idx="359">
                  <c:v>1.3360000000000001</c:v>
                </c:pt>
                <c:pt idx="360">
                  <c:v>1.337</c:v>
                </c:pt>
                <c:pt idx="361">
                  <c:v>1.34</c:v>
                </c:pt>
                <c:pt idx="362">
                  <c:v>1.341</c:v>
                </c:pt>
                <c:pt idx="363">
                  <c:v>1.341</c:v>
                </c:pt>
                <c:pt idx="364">
                  <c:v>1.3420000000000001</c:v>
                </c:pt>
                <c:pt idx="365">
                  <c:v>1.341</c:v>
                </c:pt>
                <c:pt idx="366">
                  <c:v>1.345</c:v>
                </c:pt>
                <c:pt idx="367">
                  <c:v>1.3460000000000001</c:v>
                </c:pt>
                <c:pt idx="368">
                  <c:v>1.347</c:v>
                </c:pt>
                <c:pt idx="369">
                  <c:v>1.347</c:v>
                </c:pt>
                <c:pt idx="370">
                  <c:v>1.35</c:v>
                </c:pt>
                <c:pt idx="371">
                  <c:v>1.347</c:v>
                </c:pt>
                <c:pt idx="372">
                  <c:v>1.3520000000000001</c:v>
                </c:pt>
                <c:pt idx="373">
                  <c:v>1.355</c:v>
                </c:pt>
                <c:pt idx="374">
                  <c:v>1.357</c:v>
                </c:pt>
                <c:pt idx="375">
                  <c:v>1.3580000000000001</c:v>
                </c:pt>
                <c:pt idx="376">
                  <c:v>1.36</c:v>
                </c:pt>
                <c:pt idx="377">
                  <c:v>1.3660000000000001</c:v>
                </c:pt>
                <c:pt idx="378">
                  <c:v>1.3660000000000001</c:v>
                </c:pt>
                <c:pt idx="379">
                  <c:v>1.3680000000000001</c:v>
                </c:pt>
                <c:pt idx="380">
                  <c:v>1.367</c:v>
                </c:pt>
                <c:pt idx="381">
                  <c:v>1.371</c:v>
                </c:pt>
                <c:pt idx="382">
                  <c:v>1.3720000000000001</c:v>
                </c:pt>
                <c:pt idx="383">
                  <c:v>1.369</c:v>
                </c:pt>
                <c:pt idx="384">
                  <c:v>1.37</c:v>
                </c:pt>
                <c:pt idx="385">
                  <c:v>1.3740000000000001</c:v>
                </c:pt>
                <c:pt idx="386">
                  <c:v>1.3759999999999999</c:v>
                </c:pt>
                <c:pt idx="387">
                  <c:v>1.379</c:v>
                </c:pt>
                <c:pt idx="388">
                  <c:v>1.3819999999999999</c:v>
                </c:pt>
                <c:pt idx="389">
                  <c:v>1.379</c:v>
                </c:pt>
                <c:pt idx="390">
                  <c:v>1.38</c:v>
                </c:pt>
                <c:pt idx="391">
                  <c:v>1.3839999999999999</c:v>
                </c:pt>
                <c:pt idx="392">
                  <c:v>1.383</c:v>
                </c:pt>
                <c:pt idx="393">
                  <c:v>1.381</c:v>
                </c:pt>
                <c:pt idx="394">
                  <c:v>1.3819999999999999</c:v>
                </c:pt>
                <c:pt idx="395">
                  <c:v>1.3819999999999999</c:v>
                </c:pt>
                <c:pt idx="396">
                  <c:v>1.381</c:v>
                </c:pt>
                <c:pt idx="397">
                  <c:v>1.3819999999999999</c:v>
                </c:pt>
                <c:pt idx="398">
                  <c:v>1.3759999999999999</c:v>
                </c:pt>
                <c:pt idx="399">
                  <c:v>1.385</c:v>
                </c:pt>
                <c:pt idx="400">
                  <c:v>1.3859999999999999</c:v>
                </c:pt>
                <c:pt idx="401">
                  <c:v>1.39</c:v>
                </c:pt>
                <c:pt idx="402">
                  <c:v>1.39</c:v>
                </c:pt>
                <c:pt idx="403">
                  <c:v>1.389</c:v>
                </c:pt>
                <c:pt idx="404">
                  <c:v>1.3879999999999999</c:v>
                </c:pt>
                <c:pt idx="405">
                  <c:v>1.389</c:v>
                </c:pt>
                <c:pt idx="406">
                  <c:v>1.391</c:v>
                </c:pt>
                <c:pt idx="407">
                  <c:v>1.39</c:v>
                </c:pt>
                <c:pt idx="408">
                  <c:v>1.391</c:v>
                </c:pt>
                <c:pt idx="409">
                  <c:v>1.3919999999999999</c:v>
                </c:pt>
                <c:pt idx="410">
                  <c:v>1.389</c:v>
                </c:pt>
                <c:pt idx="411">
                  <c:v>1.3879999999999999</c:v>
                </c:pt>
                <c:pt idx="412">
                  <c:v>1.3879999999999999</c:v>
                </c:pt>
                <c:pt idx="413">
                  <c:v>1.389</c:v>
                </c:pt>
                <c:pt idx="414">
                  <c:v>1.389</c:v>
                </c:pt>
                <c:pt idx="415">
                  <c:v>1.3919999999999999</c:v>
                </c:pt>
                <c:pt idx="416">
                  <c:v>1.3939999999999999</c:v>
                </c:pt>
                <c:pt idx="417">
                  <c:v>1.397</c:v>
                </c:pt>
                <c:pt idx="418">
                  <c:v>1.3979999999999999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8F-49D9-BCFB-C3C9CF2CA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099824"/>
        <c:axId val="545100384"/>
      </c:lineChart>
      <c:catAx>
        <c:axId val="54509982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crossAx val="545100384"/>
        <c:crosses val="autoZero"/>
        <c:auto val="0"/>
        <c:lblAlgn val="ctr"/>
        <c:lblOffset val="100"/>
        <c:noMultiLvlLbl val="1"/>
      </c:catAx>
      <c:valAx>
        <c:axId val="545100384"/>
        <c:scaling>
          <c:orientation val="minMax"/>
          <c:min val="1"/>
        </c:scaling>
        <c:delete val="0"/>
        <c:axPos val="l"/>
        <c:majorGridlines/>
        <c:numFmt formatCode="0.0000_ " sourceLinked="1"/>
        <c:majorTickMark val="none"/>
        <c:minorTickMark val="none"/>
        <c:tickLblPos val="nextTo"/>
        <c:spPr>
          <a:ln w="9525">
            <a:noFill/>
          </a:ln>
        </c:spPr>
        <c:crossAx val="54509982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4" l="0.70000000000000062" r="0.70000000000000062" t="0.750000000000004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 sz="1400"/>
              <a:t>华闻专享定制</a:t>
            </a:r>
            <a:endParaRPr lang="en-US" altLang="zh-CN" sz="14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爱凡哲六号!$B$20</c:f>
              <c:strCache>
                <c:ptCount val="1"/>
                <c:pt idx="0">
                  <c:v>累计净值</c:v>
                </c:pt>
              </c:strCache>
            </c:strRef>
          </c:tx>
          <c:marker>
            <c:symbol val="none"/>
          </c:marker>
          <c:cat>
            <c:numRef>
              <c:f>爱凡哲六号!$A$21:$A$387</c:f>
              <c:numCache>
                <c:formatCode>m/d/yyyy</c:formatCode>
                <c:ptCount val="367"/>
                <c:pt idx="0">
                  <c:v>43698</c:v>
                </c:pt>
                <c:pt idx="1">
                  <c:v>43699</c:v>
                </c:pt>
                <c:pt idx="2">
                  <c:v>43700</c:v>
                </c:pt>
                <c:pt idx="3">
                  <c:v>43703</c:v>
                </c:pt>
                <c:pt idx="4">
                  <c:v>43704</c:v>
                </c:pt>
                <c:pt idx="5">
                  <c:v>43705</c:v>
                </c:pt>
                <c:pt idx="6">
                  <c:v>43706</c:v>
                </c:pt>
                <c:pt idx="7">
                  <c:v>43707</c:v>
                </c:pt>
                <c:pt idx="8">
                  <c:v>43710</c:v>
                </c:pt>
                <c:pt idx="9">
                  <c:v>43711</c:v>
                </c:pt>
                <c:pt idx="10">
                  <c:v>43712</c:v>
                </c:pt>
                <c:pt idx="11">
                  <c:v>43713</c:v>
                </c:pt>
                <c:pt idx="12">
                  <c:v>43714</c:v>
                </c:pt>
                <c:pt idx="13">
                  <c:v>43717</c:v>
                </c:pt>
                <c:pt idx="14">
                  <c:v>43718</c:v>
                </c:pt>
                <c:pt idx="15">
                  <c:v>43719</c:v>
                </c:pt>
                <c:pt idx="16">
                  <c:v>43720</c:v>
                </c:pt>
                <c:pt idx="17">
                  <c:v>43724</c:v>
                </c:pt>
                <c:pt idx="18">
                  <c:v>43725</c:v>
                </c:pt>
                <c:pt idx="19">
                  <c:v>43726</c:v>
                </c:pt>
                <c:pt idx="20">
                  <c:v>43727</c:v>
                </c:pt>
                <c:pt idx="21">
                  <c:v>43728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43738</c:v>
                </c:pt>
                <c:pt idx="28">
                  <c:v>43746</c:v>
                </c:pt>
                <c:pt idx="29">
                  <c:v>43747</c:v>
                </c:pt>
                <c:pt idx="30">
                  <c:v>43748</c:v>
                </c:pt>
                <c:pt idx="31">
                  <c:v>43749</c:v>
                </c:pt>
                <c:pt idx="32">
                  <c:v>43752</c:v>
                </c:pt>
                <c:pt idx="33">
                  <c:v>43753</c:v>
                </c:pt>
                <c:pt idx="34">
                  <c:v>43754</c:v>
                </c:pt>
                <c:pt idx="35">
                  <c:v>43755</c:v>
                </c:pt>
                <c:pt idx="36">
                  <c:v>43756</c:v>
                </c:pt>
                <c:pt idx="37">
                  <c:v>43759</c:v>
                </c:pt>
                <c:pt idx="38">
                  <c:v>43760</c:v>
                </c:pt>
                <c:pt idx="39">
                  <c:v>43761</c:v>
                </c:pt>
                <c:pt idx="40">
                  <c:v>43762</c:v>
                </c:pt>
                <c:pt idx="41">
                  <c:v>43763</c:v>
                </c:pt>
                <c:pt idx="42">
                  <c:v>43766</c:v>
                </c:pt>
                <c:pt idx="43">
                  <c:v>43767</c:v>
                </c:pt>
                <c:pt idx="44">
                  <c:v>43768</c:v>
                </c:pt>
                <c:pt idx="45">
                  <c:v>43769</c:v>
                </c:pt>
                <c:pt idx="46">
                  <c:v>43770</c:v>
                </c:pt>
                <c:pt idx="47">
                  <c:v>43773</c:v>
                </c:pt>
                <c:pt idx="48">
                  <c:v>43774</c:v>
                </c:pt>
                <c:pt idx="49">
                  <c:v>43775</c:v>
                </c:pt>
                <c:pt idx="50">
                  <c:v>43776</c:v>
                </c:pt>
                <c:pt idx="51">
                  <c:v>43777</c:v>
                </c:pt>
                <c:pt idx="52">
                  <c:v>43780</c:v>
                </c:pt>
                <c:pt idx="53">
                  <c:v>43781</c:v>
                </c:pt>
                <c:pt idx="54">
                  <c:v>43782</c:v>
                </c:pt>
                <c:pt idx="55">
                  <c:v>43783</c:v>
                </c:pt>
                <c:pt idx="56">
                  <c:v>43784</c:v>
                </c:pt>
                <c:pt idx="57">
                  <c:v>43787</c:v>
                </c:pt>
                <c:pt idx="58">
                  <c:v>43788</c:v>
                </c:pt>
                <c:pt idx="59">
                  <c:v>43789</c:v>
                </c:pt>
                <c:pt idx="60">
                  <c:v>43790</c:v>
                </c:pt>
                <c:pt idx="61">
                  <c:v>43791</c:v>
                </c:pt>
                <c:pt idx="62">
                  <c:v>43794</c:v>
                </c:pt>
                <c:pt idx="63">
                  <c:v>43795</c:v>
                </c:pt>
                <c:pt idx="64">
                  <c:v>43796</c:v>
                </c:pt>
                <c:pt idx="65">
                  <c:v>43797</c:v>
                </c:pt>
                <c:pt idx="66">
                  <c:v>43798</c:v>
                </c:pt>
                <c:pt idx="67">
                  <c:v>43801</c:v>
                </c:pt>
                <c:pt idx="68">
                  <c:v>43802</c:v>
                </c:pt>
                <c:pt idx="69">
                  <c:v>43803</c:v>
                </c:pt>
                <c:pt idx="70">
                  <c:v>43804</c:v>
                </c:pt>
                <c:pt idx="71">
                  <c:v>43805</c:v>
                </c:pt>
                <c:pt idx="72">
                  <c:v>43808</c:v>
                </c:pt>
                <c:pt idx="73">
                  <c:v>43809</c:v>
                </c:pt>
                <c:pt idx="74">
                  <c:v>43810</c:v>
                </c:pt>
                <c:pt idx="75">
                  <c:v>43811</c:v>
                </c:pt>
                <c:pt idx="76">
                  <c:v>43812</c:v>
                </c:pt>
                <c:pt idx="77">
                  <c:v>43815</c:v>
                </c:pt>
                <c:pt idx="78">
                  <c:v>43816</c:v>
                </c:pt>
                <c:pt idx="79">
                  <c:v>43817</c:v>
                </c:pt>
                <c:pt idx="80">
                  <c:v>43818</c:v>
                </c:pt>
                <c:pt idx="81">
                  <c:v>43819</c:v>
                </c:pt>
                <c:pt idx="82">
                  <c:v>43822</c:v>
                </c:pt>
                <c:pt idx="83">
                  <c:v>43823</c:v>
                </c:pt>
                <c:pt idx="84">
                  <c:v>43824</c:v>
                </c:pt>
                <c:pt idx="85">
                  <c:v>43825</c:v>
                </c:pt>
                <c:pt idx="86">
                  <c:v>43826</c:v>
                </c:pt>
                <c:pt idx="87">
                  <c:v>43829</c:v>
                </c:pt>
                <c:pt idx="88">
                  <c:v>43830</c:v>
                </c:pt>
                <c:pt idx="89">
                  <c:v>43832</c:v>
                </c:pt>
                <c:pt idx="90">
                  <c:v>43833</c:v>
                </c:pt>
                <c:pt idx="91">
                  <c:v>43836</c:v>
                </c:pt>
                <c:pt idx="92">
                  <c:v>43837</c:v>
                </c:pt>
                <c:pt idx="93">
                  <c:v>43838</c:v>
                </c:pt>
                <c:pt idx="94">
                  <c:v>43839</c:v>
                </c:pt>
                <c:pt idx="95">
                  <c:v>43840</c:v>
                </c:pt>
                <c:pt idx="96">
                  <c:v>43843</c:v>
                </c:pt>
                <c:pt idx="97">
                  <c:v>43844</c:v>
                </c:pt>
                <c:pt idx="98">
                  <c:v>43845</c:v>
                </c:pt>
                <c:pt idx="99">
                  <c:v>43846</c:v>
                </c:pt>
                <c:pt idx="100">
                  <c:v>43847</c:v>
                </c:pt>
                <c:pt idx="101">
                  <c:v>43850</c:v>
                </c:pt>
                <c:pt idx="102">
                  <c:v>43851</c:v>
                </c:pt>
                <c:pt idx="103">
                  <c:v>43852</c:v>
                </c:pt>
                <c:pt idx="104">
                  <c:v>43853</c:v>
                </c:pt>
                <c:pt idx="105">
                  <c:v>43864</c:v>
                </c:pt>
                <c:pt idx="106">
                  <c:v>43865</c:v>
                </c:pt>
                <c:pt idx="107">
                  <c:v>43866</c:v>
                </c:pt>
                <c:pt idx="108">
                  <c:v>43867</c:v>
                </c:pt>
                <c:pt idx="109">
                  <c:v>43868</c:v>
                </c:pt>
                <c:pt idx="110">
                  <c:v>43871</c:v>
                </c:pt>
                <c:pt idx="111">
                  <c:v>43872</c:v>
                </c:pt>
                <c:pt idx="112">
                  <c:v>43873</c:v>
                </c:pt>
                <c:pt idx="113">
                  <c:v>43874</c:v>
                </c:pt>
                <c:pt idx="114">
                  <c:v>43875</c:v>
                </c:pt>
                <c:pt idx="115">
                  <c:v>43878</c:v>
                </c:pt>
                <c:pt idx="116">
                  <c:v>43879</c:v>
                </c:pt>
                <c:pt idx="117">
                  <c:v>43880</c:v>
                </c:pt>
                <c:pt idx="118">
                  <c:v>43881</c:v>
                </c:pt>
                <c:pt idx="119">
                  <c:v>43882</c:v>
                </c:pt>
                <c:pt idx="120">
                  <c:v>43885</c:v>
                </c:pt>
                <c:pt idx="121">
                  <c:v>43886</c:v>
                </c:pt>
                <c:pt idx="122">
                  <c:v>43887</c:v>
                </c:pt>
                <c:pt idx="123">
                  <c:v>43888</c:v>
                </c:pt>
                <c:pt idx="124">
                  <c:v>43889</c:v>
                </c:pt>
                <c:pt idx="125">
                  <c:v>43892</c:v>
                </c:pt>
                <c:pt idx="126">
                  <c:v>43893</c:v>
                </c:pt>
                <c:pt idx="127">
                  <c:v>43894</c:v>
                </c:pt>
                <c:pt idx="128">
                  <c:v>43895</c:v>
                </c:pt>
                <c:pt idx="129">
                  <c:v>43896</c:v>
                </c:pt>
                <c:pt idx="130">
                  <c:v>43899</c:v>
                </c:pt>
                <c:pt idx="131">
                  <c:v>43900</c:v>
                </c:pt>
                <c:pt idx="132">
                  <c:v>43901</c:v>
                </c:pt>
                <c:pt idx="133">
                  <c:v>43902</c:v>
                </c:pt>
                <c:pt idx="134">
                  <c:v>43903</c:v>
                </c:pt>
                <c:pt idx="135">
                  <c:v>43906</c:v>
                </c:pt>
                <c:pt idx="136">
                  <c:v>43907</c:v>
                </c:pt>
                <c:pt idx="137">
                  <c:v>43908</c:v>
                </c:pt>
                <c:pt idx="138">
                  <c:v>43909</c:v>
                </c:pt>
                <c:pt idx="139">
                  <c:v>43910</c:v>
                </c:pt>
                <c:pt idx="140">
                  <c:v>43913</c:v>
                </c:pt>
                <c:pt idx="141">
                  <c:v>43914</c:v>
                </c:pt>
                <c:pt idx="142">
                  <c:v>43915</c:v>
                </c:pt>
                <c:pt idx="143">
                  <c:v>43916</c:v>
                </c:pt>
                <c:pt idx="144">
                  <c:v>43917</c:v>
                </c:pt>
                <c:pt idx="145">
                  <c:v>43920</c:v>
                </c:pt>
                <c:pt idx="146">
                  <c:v>43921</c:v>
                </c:pt>
                <c:pt idx="147">
                  <c:v>43922</c:v>
                </c:pt>
                <c:pt idx="148">
                  <c:v>43923</c:v>
                </c:pt>
                <c:pt idx="149">
                  <c:v>43924</c:v>
                </c:pt>
                <c:pt idx="150">
                  <c:v>43928</c:v>
                </c:pt>
                <c:pt idx="151">
                  <c:v>43929</c:v>
                </c:pt>
                <c:pt idx="152">
                  <c:v>43930</c:v>
                </c:pt>
                <c:pt idx="153">
                  <c:v>43931</c:v>
                </c:pt>
                <c:pt idx="154">
                  <c:v>43934</c:v>
                </c:pt>
                <c:pt idx="155">
                  <c:v>43935</c:v>
                </c:pt>
                <c:pt idx="156">
                  <c:v>43936</c:v>
                </c:pt>
                <c:pt idx="157">
                  <c:v>43937</c:v>
                </c:pt>
                <c:pt idx="158">
                  <c:v>43938</c:v>
                </c:pt>
                <c:pt idx="159">
                  <c:v>43941</c:v>
                </c:pt>
                <c:pt idx="160">
                  <c:v>43942</c:v>
                </c:pt>
                <c:pt idx="161">
                  <c:v>43943</c:v>
                </c:pt>
                <c:pt idx="162">
                  <c:v>43944</c:v>
                </c:pt>
                <c:pt idx="163">
                  <c:v>43945</c:v>
                </c:pt>
                <c:pt idx="164">
                  <c:v>43948</c:v>
                </c:pt>
                <c:pt idx="165">
                  <c:v>43949</c:v>
                </c:pt>
                <c:pt idx="166">
                  <c:v>43950</c:v>
                </c:pt>
                <c:pt idx="167">
                  <c:v>43951</c:v>
                </c:pt>
                <c:pt idx="168">
                  <c:v>43957</c:v>
                </c:pt>
                <c:pt idx="169">
                  <c:v>43958</c:v>
                </c:pt>
                <c:pt idx="170">
                  <c:v>43959</c:v>
                </c:pt>
                <c:pt idx="171">
                  <c:v>43962</c:v>
                </c:pt>
                <c:pt idx="172">
                  <c:v>43963</c:v>
                </c:pt>
                <c:pt idx="173">
                  <c:v>43964</c:v>
                </c:pt>
                <c:pt idx="174">
                  <c:v>43965</c:v>
                </c:pt>
                <c:pt idx="175">
                  <c:v>43966</c:v>
                </c:pt>
                <c:pt idx="176">
                  <c:v>43969</c:v>
                </c:pt>
                <c:pt idx="177">
                  <c:v>43970</c:v>
                </c:pt>
                <c:pt idx="178">
                  <c:v>43971</c:v>
                </c:pt>
                <c:pt idx="179">
                  <c:v>43972</c:v>
                </c:pt>
                <c:pt idx="180">
                  <c:v>43973</c:v>
                </c:pt>
                <c:pt idx="181">
                  <c:v>43976</c:v>
                </c:pt>
                <c:pt idx="182">
                  <c:v>43977</c:v>
                </c:pt>
                <c:pt idx="183">
                  <c:v>43978</c:v>
                </c:pt>
                <c:pt idx="184">
                  <c:v>43979</c:v>
                </c:pt>
                <c:pt idx="185">
                  <c:v>43980</c:v>
                </c:pt>
                <c:pt idx="186">
                  <c:v>43983</c:v>
                </c:pt>
                <c:pt idx="187">
                  <c:v>43984</c:v>
                </c:pt>
                <c:pt idx="188">
                  <c:v>43985</c:v>
                </c:pt>
                <c:pt idx="189">
                  <c:v>43986</c:v>
                </c:pt>
                <c:pt idx="190">
                  <c:v>43987</c:v>
                </c:pt>
                <c:pt idx="191">
                  <c:v>43990</c:v>
                </c:pt>
                <c:pt idx="192">
                  <c:v>43991</c:v>
                </c:pt>
                <c:pt idx="193">
                  <c:v>43992</c:v>
                </c:pt>
                <c:pt idx="194">
                  <c:v>43993</c:v>
                </c:pt>
                <c:pt idx="195">
                  <c:v>43994</c:v>
                </c:pt>
                <c:pt idx="196">
                  <c:v>43997</c:v>
                </c:pt>
                <c:pt idx="197">
                  <c:v>43998</c:v>
                </c:pt>
                <c:pt idx="198">
                  <c:v>43999</c:v>
                </c:pt>
                <c:pt idx="199">
                  <c:v>44000</c:v>
                </c:pt>
                <c:pt idx="200">
                  <c:v>44001</c:v>
                </c:pt>
                <c:pt idx="201">
                  <c:v>44004</c:v>
                </c:pt>
                <c:pt idx="202">
                  <c:v>44005</c:v>
                </c:pt>
                <c:pt idx="203">
                  <c:v>44006</c:v>
                </c:pt>
                <c:pt idx="204">
                  <c:v>44011</c:v>
                </c:pt>
                <c:pt idx="205">
                  <c:v>44012</c:v>
                </c:pt>
                <c:pt idx="206">
                  <c:v>44013</c:v>
                </c:pt>
                <c:pt idx="207">
                  <c:v>44014</c:v>
                </c:pt>
                <c:pt idx="208">
                  <c:v>44015</c:v>
                </c:pt>
                <c:pt idx="209">
                  <c:v>44018</c:v>
                </c:pt>
                <c:pt idx="210">
                  <c:v>44019</c:v>
                </c:pt>
                <c:pt idx="211">
                  <c:v>44020</c:v>
                </c:pt>
                <c:pt idx="212">
                  <c:v>44021</c:v>
                </c:pt>
                <c:pt idx="213">
                  <c:v>44022</c:v>
                </c:pt>
                <c:pt idx="214">
                  <c:v>44025</c:v>
                </c:pt>
                <c:pt idx="215">
                  <c:v>44026</c:v>
                </c:pt>
                <c:pt idx="216">
                  <c:v>44027</c:v>
                </c:pt>
                <c:pt idx="217">
                  <c:v>44028</c:v>
                </c:pt>
                <c:pt idx="218">
                  <c:v>44029</c:v>
                </c:pt>
                <c:pt idx="219">
                  <c:v>44032</c:v>
                </c:pt>
                <c:pt idx="220">
                  <c:v>44033</c:v>
                </c:pt>
                <c:pt idx="221">
                  <c:v>44034</c:v>
                </c:pt>
                <c:pt idx="222">
                  <c:v>44035</c:v>
                </c:pt>
                <c:pt idx="223">
                  <c:v>44036</c:v>
                </c:pt>
                <c:pt idx="224">
                  <c:v>44039</c:v>
                </c:pt>
                <c:pt idx="225">
                  <c:v>44040</c:v>
                </c:pt>
                <c:pt idx="226">
                  <c:v>44041</c:v>
                </c:pt>
                <c:pt idx="227">
                  <c:v>44042</c:v>
                </c:pt>
                <c:pt idx="228">
                  <c:v>44043</c:v>
                </c:pt>
                <c:pt idx="229">
                  <c:v>44046</c:v>
                </c:pt>
                <c:pt idx="230">
                  <c:v>44047</c:v>
                </c:pt>
                <c:pt idx="231">
                  <c:v>44048</c:v>
                </c:pt>
                <c:pt idx="232">
                  <c:v>44049</c:v>
                </c:pt>
                <c:pt idx="233">
                  <c:v>44050</c:v>
                </c:pt>
                <c:pt idx="234">
                  <c:v>44053</c:v>
                </c:pt>
                <c:pt idx="235">
                  <c:v>44054</c:v>
                </c:pt>
                <c:pt idx="236">
                  <c:v>44055</c:v>
                </c:pt>
                <c:pt idx="237">
                  <c:v>44056</c:v>
                </c:pt>
                <c:pt idx="238">
                  <c:v>44057</c:v>
                </c:pt>
                <c:pt idx="239">
                  <c:v>44060</c:v>
                </c:pt>
                <c:pt idx="240">
                  <c:v>44061</c:v>
                </c:pt>
                <c:pt idx="241">
                  <c:v>44062</c:v>
                </c:pt>
                <c:pt idx="242">
                  <c:v>44063</c:v>
                </c:pt>
                <c:pt idx="243">
                  <c:v>44064</c:v>
                </c:pt>
                <c:pt idx="244">
                  <c:v>44067</c:v>
                </c:pt>
                <c:pt idx="245">
                  <c:v>44068</c:v>
                </c:pt>
                <c:pt idx="246">
                  <c:v>44069</c:v>
                </c:pt>
                <c:pt idx="247">
                  <c:v>44070</c:v>
                </c:pt>
                <c:pt idx="248">
                  <c:v>44071</c:v>
                </c:pt>
                <c:pt idx="249">
                  <c:v>44074</c:v>
                </c:pt>
                <c:pt idx="250">
                  <c:v>44075</c:v>
                </c:pt>
                <c:pt idx="251">
                  <c:v>44076</c:v>
                </c:pt>
                <c:pt idx="252">
                  <c:v>44077</c:v>
                </c:pt>
                <c:pt idx="253">
                  <c:v>44078</c:v>
                </c:pt>
                <c:pt idx="254">
                  <c:v>44081</c:v>
                </c:pt>
                <c:pt idx="255">
                  <c:v>44082</c:v>
                </c:pt>
                <c:pt idx="256">
                  <c:v>44083</c:v>
                </c:pt>
                <c:pt idx="257">
                  <c:v>44084</c:v>
                </c:pt>
                <c:pt idx="258">
                  <c:v>44085</c:v>
                </c:pt>
                <c:pt idx="259">
                  <c:v>44088</c:v>
                </c:pt>
                <c:pt idx="260">
                  <c:v>44089</c:v>
                </c:pt>
                <c:pt idx="261">
                  <c:v>44090</c:v>
                </c:pt>
                <c:pt idx="262">
                  <c:v>44091</c:v>
                </c:pt>
                <c:pt idx="263">
                  <c:v>44092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44102</c:v>
                </c:pt>
                <c:pt idx="270">
                  <c:v>44103</c:v>
                </c:pt>
                <c:pt idx="271">
                  <c:v>44104</c:v>
                </c:pt>
                <c:pt idx="272">
                  <c:v>44113</c:v>
                </c:pt>
                <c:pt idx="273">
                  <c:v>44116</c:v>
                </c:pt>
                <c:pt idx="274">
                  <c:v>44117</c:v>
                </c:pt>
                <c:pt idx="275">
                  <c:v>44118</c:v>
                </c:pt>
                <c:pt idx="276">
                  <c:v>44119</c:v>
                </c:pt>
                <c:pt idx="277">
                  <c:v>44120</c:v>
                </c:pt>
                <c:pt idx="278">
                  <c:v>44123</c:v>
                </c:pt>
                <c:pt idx="279">
                  <c:v>44124</c:v>
                </c:pt>
                <c:pt idx="280">
                  <c:v>44125</c:v>
                </c:pt>
                <c:pt idx="281">
                  <c:v>44126</c:v>
                </c:pt>
                <c:pt idx="282">
                  <c:v>44127</c:v>
                </c:pt>
                <c:pt idx="283">
                  <c:v>44130</c:v>
                </c:pt>
                <c:pt idx="284">
                  <c:v>44131</c:v>
                </c:pt>
                <c:pt idx="285">
                  <c:v>44132</c:v>
                </c:pt>
                <c:pt idx="286">
                  <c:v>44133</c:v>
                </c:pt>
                <c:pt idx="287">
                  <c:v>44134</c:v>
                </c:pt>
                <c:pt idx="288">
                  <c:v>44137</c:v>
                </c:pt>
                <c:pt idx="289">
                  <c:v>44138</c:v>
                </c:pt>
                <c:pt idx="290">
                  <c:v>44139</c:v>
                </c:pt>
                <c:pt idx="291">
                  <c:v>44140</c:v>
                </c:pt>
                <c:pt idx="292">
                  <c:v>44141</c:v>
                </c:pt>
                <c:pt idx="293">
                  <c:v>44144</c:v>
                </c:pt>
                <c:pt idx="294">
                  <c:v>44145</c:v>
                </c:pt>
                <c:pt idx="295">
                  <c:v>44146</c:v>
                </c:pt>
                <c:pt idx="296">
                  <c:v>44147</c:v>
                </c:pt>
                <c:pt idx="297">
                  <c:v>44148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44158</c:v>
                </c:pt>
                <c:pt idx="304">
                  <c:v>44159</c:v>
                </c:pt>
                <c:pt idx="305">
                  <c:v>44160</c:v>
                </c:pt>
                <c:pt idx="306">
                  <c:v>44161</c:v>
                </c:pt>
                <c:pt idx="307">
                  <c:v>44162</c:v>
                </c:pt>
                <c:pt idx="308">
                  <c:v>44165</c:v>
                </c:pt>
                <c:pt idx="309">
                  <c:v>44166</c:v>
                </c:pt>
                <c:pt idx="310">
                  <c:v>44167</c:v>
                </c:pt>
                <c:pt idx="311">
                  <c:v>44168</c:v>
                </c:pt>
                <c:pt idx="312">
                  <c:v>44169</c:v>
                </c:pt>
                <c:pt idx="313">
                  <c:v>44172</c:v>
                </c:pt>
                <c:pt idx="314">
                  <c:v>44173</c:v>
                </c:pt>
                <c:pt idx="315">
                  <c:v>44174</c:v>
                </c:pt>
                <c:pt idx="316">
                  <c:v>44175</c:v>
                </c:pt>
                <c:pt idx="317">
                  <c:v>44176</c:v>
                </c:pt>
                <c:pt idx="318">
                  <c:v>44179</c:v>
                </c:pt>
                <c:pt idx="319">
                  <c:v>44180</c:v>
                </c:pt>
                <c:pt idx="320">
                  <c:v>44181</c:v>
                </c:pt>
                <c:pt idx="321">
                  <c:v>44182</c:v>
                </c:pt>
                <c:pt idx="322">
                  <c:v>44183</c:v>
                </c:pt>
                <c:pt idx="323">
                  <c:v>44186</c:v>
                </c:pt>
                <c:pt idx="324">
                  <c:v>44187</c:v>
                </c:pt>
                <c:pt idx="325">
                  <c:v>44188</c:v>
                </c:pt>
                <c:pt idx="326">
                  <c:v>44189</c:v>
                </c:pt>
                <c:pt idx="327">
                  <c:v>44190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44200</c:v>
                </c:pt>
                <c:pt idx="333">
                  <c:v>44201</c:v>
                </c:pt>
                <c:pt idx="334">
                  <c:v>44202</c:v>
                </c:pt>
                <c:pt idx="335">
                  <c:v>44203</c:v>
                </c:pt>
                <c:pt idx="336">
                  <c:v>44204</c:v>
                </c:pt>
                <c:pt idx="337">
                  <c:v>44207</c:v>
                </c:pt>
                <c:pt idx="338">
                  <c:v>44208</c:v>
                </c:pt>
                <c:pt idx="339">
                  <c:v>44209</c:v>
                </c:pt>
                <c:pt idx="340">
                  <c:v>44210</c:v>
                </c:pt>
                <c:pt idx="341">
                  <c:v>44211</c:v>
                </c:pt>
                <c:pt idx="342">
                  <c:v>44214</c:v>
                </c:pt>
                <c:pt idx="343">
                  <c:v>44215</c:v>
                </c:pt>
                <c:pt idx="344">
                  <c:v>44216</c:v>
                </c:pt>
                <c:pt idx="345">
                  <c:v>44217</c:v>
                </c:pt>
                <c:pt idx="346">
                  <c:v>44218</c:v>
                </c:pt>
                <c:pt idx="347">
                  <c:v>44221</c:v>
                </c:pt>
                <c:pt idx="348">
                  <c:v>44222</c:v>
                </c:pt>
                <c:pt idx="349">
                  <c:v>44223</c:v>
                </c:pt>
                <c:pt idx="350">
                  <c:v>44224</c:v>
                </c:pt>
                <c:pt idx="351">
                  <c:v>44225</c:v>
                </c:pt>
                <c:pt idx="352">
                  <c:v>44228</c:v>
                </c:pt>
                <c:pt idx="353">
                  <c:v>44229</c:v>
                </c:pt>
                <c:pt idx="354">
                  <c:v>44230</c:v>
                </c:pt>
                <c:pt idx="355">
                  <c:v>44231</c:v>
                </c:pt>
                <c:pt idx="356">
                  <c:v>44232</c:v>
                </c:pt>
                <c:pt idx="357">
                  <c:v>44235</c:v>
                </c:pt>
                <c:pt idx="358">
                  <c:v>44236</c:v>
                </c:pt>
                <c:pt idx="359">
                  <c:v>44237</c:v>
                </c:pt>
                <c:pt idx="360">
                  <c:v>44245</c:v>
                </c:pt>
                <c:pt idx="361">
                  <c:v>44246</c:v>
                </c:pt>
                <c:pt idx="362">
                  <c:v>44249</c:v>
                </c:pt>
                <c:pt idx="363">
                  <c:v>44250</c:v>
                </c:pt>
                <c:pt idx="364">
                  <c:v>44251</c:v>
                </c:pt>
                <c:pt idx="365">
                  <c:v>44252</c:v>
                </c:pt>
                <c:pt idx="366">
                  <c:v>44253</c:v>
                </c:pt>
              </c:numCache>
            </c:numRef>
          </c:cat>
          <c:val>
            <c:numRef>
              <c:f>爱凡哲六号!$B$21:$B$387</c:f>
              <c:numCache>
                <c:formatCode>0.0000_ </c:formatCode>
                <c:ptCount val="36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1.0009999999999999</c:v>
                </c:pt>
                <c:pt idx="5">
                  <c:v>1.002</c:v>
                </c:pt>
                <c:pt idx="6">
                  <c:v>1.0029999999999999</c:v>
                </c:pt>
                <c:pt idx="7">
                  <c:v>1.002</c:v>
                </c:pt>
                <c:pt idx="8">
                  <c:v>1.0009999999999999</c:v>
                </c:pt>
                <c:pt idx="9">
                  <c:v>1.0069999999999999</c:v>
                </c:pt>
                <c:pt idx="10">
                  <c:v>1.008</c:v>
                </c:pt>
                <c:pt idx="11">
                  <c:v>1.0049999999999999</c:v>
                </c:pt>
                <c:pt idx="12">
                  <c:v>1.006</c:v>
                </c:pt>
                <c:pt idx="13">
                  <c:v>1.006</c:v>
                </c:pt>
                <c:pt idx="14">
                  <c:v>1.0069999999999999</c:v>
                </c:pt>
                <c:pt idx="15">
                  <c:v>1.006</c:v>
                </c:pt>
                <c:pt idx="16">
                  <c:v>1.0069999999999999</c:v>
                </c:pt>
                <c:pt idx="17">
                  <c:v>1.008</c:v>
                </c:pt>
                <c:pt idx="18">
                  <c:v>1.0069999999999999</c:v>
                </c:pt>
                <c:pt idx="19">
                  <c:v>1.0089999999999999</c:v>
                </c:pt>
                <c:pt idx="20">
                  <c:v>1.008</c:v>
                </c:pt>
                <c:pt idx="21">
                  <c:v>1.008</c:v>
                </c:pt>
                <c:pt idx="22">
                  <c:v>1.008</c:v>
                </c:pt>
                <c:pt idx="23">
                  <c:v>1.01</c:v>
                </c:pt>
                <c:pt idx="24">
                  <c:v>1.0129999999999999</c:v>
                </c:pt>
                <c:pt idx="25">
                  <c:v>1.01</c:v>
                </c:pt>
                <c:pt idx="26">
                  <c:v>1.0109999999999999</c:v>
                </c:pt>
                <c:pt idx="27">
                  <c:v>1.0109999999999999</c:v>
                </c:pt>
                <c:pt idx="28">
                  <c:v>1.0129999999999999</c:v>
                </c:pt>
                <c:pt idx="29">
                  <c:v>1.016</c:v>
                </c:pt>
                <c:pt idx="30">
                  <c:v>1.016</c:v>
                </c:pt>
                <c:pt idx="31">
                  <c:v>1.014</c:v>
                </c:pt>
                <c:pt idx="32">
                  <c:v>1.018</c:v>
                </c:pt>
                <c:pt idx="33">
                  <c:v>1.0249999999999999</c:v>
                </c:pt>
                <c:pt idx="34">
                  <c:v>1.022</c:v>
                </c:pt>
                <c:pt idx="35">
                  <c:v>1.0189999999999999</c:v>
                </c:pt>
                <c:pt idx="36">
                  <c:v>1.0209999999999999</c:v>
                </c:pt>
                <c:pt idx="37">
                  <c:v>1.0209999999999999</c:v>
                </c:pt>
                <c:pt idx="38">
                  <c:v>1.0169999999999999</c:v>
                </c:pt>
                <c:pt idx="39">
                  <c:v>1.0149999999999999</c:v>
                </c:pt>
                <c:pt idx="40">
                  <c:v>1.024</c:v>
                </c:pt>
                <c:pt idx="41">
                  <c:v>1.0229999999999999</c:v>
                </c:pt>
                <c:pt idx="42">
                  <c:v>1.028</c:v>
                </c:pt>
                <c:pt idx="43">
                  <c:v>1.0209999999999999</c:v>
                </c:pt>
                <c:pt idx="44">
                  <c:v>1.0289999999999999</c:v>
                </c:pt>
                <c:pt idx="45">
                  <c:v>1.0309999999999999</c:v>
                </c:pt>
                <c:pt idx="46">
                  <c:v>1.0249999999999999</c:v>
                </c:pt>
                <c:pt idx="47">
                  <c:v>1.026</c:v>
                </c:pt>
                <c:pt idx="48">
                  <c:v>1.0289999999999999</c:v>
                </c:pt>
                <c:pt idx="49">
                  <c:v>1.0269999999999999</c:v>
                </c:pt>
                <c:pt idx="50">
                  <c:v>1.0249999999999999</c:v>
                </c:pt>
                <c:pt idx="51">
                  <c:v>1.0309999999999999</c:v>
                </c:pt>
                <c:pt idx="52">
                  <c:v>1.03</c:v>
                </c:pt>
                <c:pt idx="53">
                  <c:v>1.024</c:v>
                </c:pt>
                <c:pt idx="54">
                  <c:v>1.026</c:v>
                </c:pt>
                <c:pt idx="55">
                  <c:v>1.024</c:v>
                </c:pt>
                <c:pt idx="56">
                  <c:v>1.0269999999999999</c:v>
                </c:pt>
                <c:pt idx="57">
                  <c:v>1.03</c:v>
                </c:pt>
                <c:pt idx="58">
                  <c:v>1.03</c:v>
                </c:pt>
                <c:pt idx="59">
                  <c:v>1.0309999999999999</c:v>
                </c:pt>
                <c:pt idx="60">
                  <c:v>1.0309999999999999</c:v>
                </c:pt>
                <c:pt idx="61">
                  <c:v>1.0389999999999999</c:v>
                </c:pt>
                <c:pt idx="62">
                  <c:v>1.04</c:v>
                </c:pt>
                <c:pt idx="63">
                  <c:v>1.0389999999999999</c:v>
                </c:pt>
                <c:pt idx="64">
                  <c:v>1.0409999999999999</c:v>
                </c:pt>
                <c:pt idx="65">
                  <c:v>1.042</c:v>
                </c:pt>
                <c:pt idx="66">
                  <c:v>1.0429999999999999</c:v>
                </c:pt>
                <c:pt idx="67">
                  <c:v>1.044</c:v>
                </c:pt>
                <c:pt idx="68">
                  <c:v>1.046</c:v>
                </c:pt>
                <c:pt idx="69">
                  <c:v>1.0469999999999999</c:v>
                </c:pt>
                <c:pt idx="70">
                  <c:v>1.046</c:v>
                </c:pt>
                <c:pt idx="71">
                  <c:v>1.048</c:v>
                </c:pt>
                <c:pt idx="72">
                  <c:v>1.042</c:v>
                </c:pt>
                <c:pt idx="73">
                  <c:v>1.0449999999999999</c:v>
                </c:pt>
                <c:pt idx="74">
                  <c:v>1.0469999999999999</c:v>
                </c:pt>
                <c:pt idx="75">
                  <c:v>1.05</c:v>
                </c:pt>
                <c:pt idx="76">
                  <c:v>1.05</c:v>
                </c:pt>
                <c:pt idx="77">
                  <c:v>1.05</c:v>
                </c:pt>
                <c:pt idx="78">
                  <c:v>1.05</c:v>
                </c:pt>
                <c:pt idx="79">
                  <c:v>1.0489999999999999</c:v>
                </c:pt>
                <c:pt idx="80">
                  <c:v>1.052</c:v>
                </c:pt>
                <c:pt idx="81">
                  <c:v>1.0509999999999999</c:v>
                </c:pt>
                <c:pt idx="82">
                  <c:v>1.05</c:v>
                </c:pt>
                <c:pt idx="83">
                  <c:v>1.0549999999999999</c:v>
                </c:pt>
                <c:pt idx="84">
                  <c:v>1.0549999999999999</c:v>
                </c:pt>
                <c:pt idx="85">
                  <c:v>1.056</c:v>
                </c:pt>
                <c:pt idx="86">
                  <c:v>1.0549999999999999</c:v>
                </c:pt>
                <c:pt idx="87">
                  <c:v>1.0529999999999999</c:v>
                </c:pt>
                <c:pt idx="88">
                  <c:v>1.0529999999999999</c:v>
                </c:pt>
                <c:pt idx="89">
                  <c:v>1.0549999999999999</c:v>
                </c:pt>
                <c:pt idx="90">
                  <c:v>1.056</c:v>
                </c:pt>
                <c:pt idx="91">
                  <c:v>1.0569999999999999</c:v>
                </c:pt>
                <c:pt idx="92">
                  <c:v>1.0580000000000001</c:v>
                </c:pt>
                <c:pt idx="93">
                  <c:v>1.06</c:v>
                </c:pt>
                <c:pt idx="94">
                  <c:v>1.056</c:v>
                </c:pt>
                <c:pt idx="95">
                  <c:v>1.0569999999999999</c:v>
                </c:pt>
                <c:pt idx="96">
                  <c:v>1.0589999999999999</c:v>
                </c:pt>
                <c:pt idx="97">
                  <c:v>1.06</c:v>
                </c:pt>
                <c:pt idx="98">
                  <c:v>1.0589999999999999</c:v>
                </c:pt>
                <c:pt idx="99">
                  <c:v>1.0609999999999999</c:v>
                </c:pt>
                <c:pt idx="100">
                  <c:v>1.0609999999999999</c:v>
                </c:pt>
                <c:pt idx="101">
                  <c:v>1.0649999999999999</c:v>
                </c:pt>
                <c:pt idx="102">
                  <c:v>1.0649999999999999</c:v>
                </c:pt>
                <c:pt idx="103">
                  <c:v>1.0649999999999999</c:v>
                </c:pt>
                <c:pt idx="104">
                  <c:v>1.0649999999999999</c:v>
                </c:pt>
                <c:pt idx="105">
                  <c:v>1.0649999999999999</c:v>
                </c:pt>
                <c:pt idx="106">
                  <c:v>1.0649999999999999</c:v>
                </c:pt>
                <c:pt idx="107">
                  <c:v>1.0649999999999999</c:v>
                </c:pt>
                <c:pt idx="108">
                  <c:v>1.0649999999999999</c:v>
                </c:pt>
                <c:pt idx="109">
                  <c:v>1.0649999999999999</c:v>
                </c:pt>
                <c:pt idx="110">
                  <c:v>1.0649999999999999</c:v>
                </c:pt>
                <c:pt idx="111">
                  <c:v>1.0660000000000001</c:v>
                </c:pt>
                <c:pt idx="112">
                  <c:v>1.0680000000000001</c:v>
                </c:pt>
                <c:pt idx="113">
                  <c:v>1.0680000000000001</c:v>
                </c:pt>
                <c:pt idx="114">
                  <c:v>1.0669999999999999</c:v>
                </c:pt>
                <c:pt idx="115">
                  <c:v>1.0669999999999999</c:v>
                </c:pt>
                <c:pt idx="116">
                  <c:v>1.0669999999999999</c:v>
                </c:pt>
                <c:pt idx="117">
                  <c:v>1.069</c:v>
                </c:pt>
                <c:pt idx="118">
                  <c:v>1.07</c:v>
                </c:pt>
                <c:pt idx="119">
                  <c:v>1.0720000000000001</c:v>
                </c:pt>
                <c:pt idx="120">
                  <c:v>1.073</c:v>
                </c:pt>
                <c:pt idx="121">
                  <c:v>1.075</c:v>
                </c:pt>
                <c:pt idx="122">
                  <c:v>1.0760000000000001</c:v>
                </c:pt>
                <c:pt idx="123">
                  <c:v>1.073</c:v>
                </c:pt>
                <c:pt idx="124">
                  <c:v>1.0720000000000001</c:v>
                </c:pt>
                <c:pt idx="125">
                  <c:v>1.069</c:v>
                </c:pt>
                <c:pt idx="126">
                  <c:v>1.069</c:v>
                </c:pt>
                <c:pt idx="127">
                  <c:v>1.069</c:v>
                </c:pt>
                <c:pt idx="128">
                  <c:v>1.0720000000000001</c:v>
                </c:pt>
                <c:pt idx="129">
                  <c:v>1.0740000000000001</c:v>
                </c:pt>
                <c:pt idx="130">
                  <c:v>1.0740000000000001</c:v>
                </c:pt>
                <c:pt idx="131">
                  <c:v>1.0760000000000001</c:v>
                </c:pt>
                <c:pt idx="132">
                  <c:v>1.0840000000000001</c:v>
                </c:pt>
                <c:pt idx="133">
                  <c:v>1.0820000000000001</c:v>
                </c:pt>
                <c:pt idx="134">
                  <c:v>1.0880000000000001</c:v>
                </c:pt>
                <c:pt idx="135">
                  <c:v>1.0840000000000001</c:v>
                </c:pt>
                <c:pt idx="136">
                  <c:v>1.0880000000000001</c:v>
                </c:pt>
                <c:pt idx="137">
                  <c:v>1.0940000000000001</c:v>
                </c:pt>
                <c:pt idx="138">
                  <c:v>1.101</c:v>
                </c:pt>
                <c:pt idx="139">
                  <c:v>1.107</c:v>
                </c:pt>
                <c:pt idx="140">
                  <c:v>1.103</c:v>
                </c:pt>
                <c:pt idx="141">
                  <c:v>1.1060000000000001</c:v>
                </c:pt>
                <c:pt idx="142">
                  <c:v>1.1080000000000001</c:v>
                </c:pt>
                <c:pt idx="143">
                  <c:v>1.101</c:v>
                </c:pt>
                <c:pt idx="144">
                  <c:v>1.1060000000000001</c:v>
                </c:pt>
                <c:pt idx="145">
                  <c:v>1.1100000000000001</c:v>
                </c:pt>
                <c:pt idx="146">
                  <c:v>1.1120000000000001</c:v>
                </c:pt>
                <c:pt idx="147">
                  <c:v>1.115</c:v>
                </c:pt>
                <c:pt idx="148">
                  <c:v>1.119</c:v>
                </c:pt>
                <c:pt idx="149">
                  <c:v>1.1200000000000001</c:v>
                </c:pt>
                <c:pt idx="150">
                  <c:v>1.1220000000000001</c:v>
                </c:pt>
                <c:pt idx="151">
                  <c:v>1.1240000000000001</c:v>
                </c:pt>
                <c:pt idx="152">
                  <c:v>1.121</c:v>
                </c:pt>
                <c:pt idx="153">
                  <c:v>1.121</c:v>
                </c:pt>
                <c:pt idx="154">
                  <c:v>1.1200000000000001</c:v>
                </c:pt>
                <c:pt idx="155">
                  <c:v>1.1220000000000001</c:v>
                </c:pt>
                <c:pt idx="156">
                  <c:v>1.127</c:v>
                </c:pt>
                <c:pt idx="157">
                  <c:v>1.135</c:v>
                </c:pt>
                <c:pt idx="158">
                  <c:v>1.1399999999999999</c:v>
                </c:pt>
                <c:pt idx="159">
                  <c:v>1.1439999999999999</c:v>
                </c:pt>
                <c:pt idx="160">
                  <c:v>1.151</c:v>
                </c:pt>
                <c:pt idx="161">
                  <c:v>1.151</c:v>
                </c:pt>
                <c:pt idx="162">
                  <c:v>1.153</c:v>
                </c:pt>
                <c:pt idx="163">
                  <c:v>1.153</c:v>
                </c:pt>
                <c:pt idx="164">
                  <c:v>1.1539999999999999</c:v>
                </c:pt>
                <c:pt idx="165">
                  <c:v>1.1499999999999999</c:v>
                </c:pt>
                <c:pt idx="166">
                  <c:v>1.1519999999999999</c:v>
                </c:pt>
                <c:pt idx="167">
                  <c:v>1.145</c:v>
                </c:pt>
                <c:pt idx="168">
                  <c:v>1.159</c:v>
                </c:pt>
                <c:pt idx="169">
                  <c:v>1.1619999999999999</c:v>
                </c:pt>
                <c:pt idx="170">
                  <c:v>1.161</c:v>
                </c:pt>
                <c:pt idx="171">
                  <c:v>1.163</c:v>
                </c:pt>
                <c:pt idx="172">
                  <c:v>1.1639999999999999</c:v>
                </c:pt>
                <c:pt idx="173">
                  <c:v>1.163</c:v>
                </c:pt>
                <c:pt idx="174">
                  <c:v>1.165</c:v>
                </c:pt>
                <c:pt idx="175">
                  <c:v>1.167</c:v>
                </c:pt>
                <c:pt idx="176">
                  <c:v>1.17</c:v>
                </c:pt>
                <c:pt idx="177">
                  <c:v>1.17</c:v>
                </c:pt>
                <c:pt idx="178">
                  <c:v>1.173</c:v>
                </c:pt>
                <c:pt idx="179">
                  <c:v>1.173</c:v>
                </c:pt>
                <c:pt idx="180">
                  <c:v>1.177</c:v>
                </c:pt>
                <c:pt idx="181">
                  <c:v>1.1779999999999999</c:v>
                </c:pt>
                <c:pt idx="182">
                  <c:v>1.1850000000000001</c:v>
                </c:pt>
                <c:pt idx="183">
                  <c:v>1.1850000000000001</c:v>
                </c:pt>
                <c:pt idx="184">
                  <c:v>1.1879999999999999</c:v>
                </c:pt>
                <c:pt idx="185">
                  <c:v>1.1859999999999999</c:v>
                </c:pt>
                <c:pt idx="186">
                  <c:v>1.19</c:v>
                </c:pt>
                <c:pt idx="187">
                  <c:v>1.1879999999999999</c:v>
                </c:pt>
                <c:pt idx="188">
                  <c:v>1.1850000000000001</c:v>
                </c:pt>
                <c:pt idx="189">
                  <c:v>1.1819999999999999</c:v>
                </c:pt>
                <c:pt idx="190">
                  <c:v>1.1850000000000001</c:v>
                </c:pt>
                <c:pt idx="191">
                  <c:v>1.1879999999999999</c:v>
                </c:pt>
                <c:pt idx="192">
                  <c:v>1.1890000000000001</c:v>
                </c:pt>
                <c:pt idx="193">
                  <c:v>1.1879999999999999</c:v>
                </c:pt>
                <c:pt idx="194">
                  <c:v>1.1890000000000001</c:v>
                </c:pt>
                <c:pt idx="195">
                  <c:v>1.1890000000000001</c:v>
                </c:pt>
                <c:pt idx="196">
                  <c:v>1.1910000000000001</c:v>
                </c:pt>
                <c:pt idx="197">
                  <c:v>1.1950000000000001</c:v>
                </c:pt>
                <c:pt idx="198">
                  <c:v>1.196</c:v>
                </c:pt>
                <c:pt idx="199">
                  <c:v>1.1950000000000001</c:v>
                </c:pt>
                <c:pt idx="200">
                  <c:v>1.19</c:v>
                </c:pt>
                <c:pt idx="201">
                  <c:v>1.1910000000000001</c:v>
                </c:pt>
                <c:pt idx="202">
                  <c:v>1.198</c:v>
                </c:pt>
                <c:pt idx="203">
                  <c:v>1.202</c:v>
                </c:pt>
                <c:pt idx="204">
                  <c:v>1.204</c:v>
                </c:pt>
                <c:pt idx="205">
                  <c:v>1.204</c:v>
                </c:pt>
                <c:pt idx="206">
                  <c:v>1.2050000000000001</c:v>
                </c:pt>
                <c:pt idx="207">
                  <c:v>1.202</c:v>
                </c:pt>
                <c:pt idx="208">
                  <c:v>1.204</c:v>
                </c:pt>
                <c:pt idx="209">
                  <c:v>1.2050000000000001</c:v>
                </c:pt>
                <c:pt idx="210">
                  <c:v>1.216</c:v>
                </c:pt>
                <c:pt idx="211">
                  <c:v>1.222</c:v>
                </c:pt>
                <c:pt idx="212">
                  <c:v>1.224</c:v>
                </c:pt>
                <c:pt idx="213">
                  <c:v>1.23</c:v>
                </c:pt>
                <c:pt idx="214">
                  <c:v>1.23</c:v>
                </c:pt>
                <c:pt idx="215">
                  <c:v>1.2310000000000001</c:v>
                </c:pt>
                <c:pt idx="216">
                  <c:v>1.2330000000000001</c:v>
                </c:pt>
                <c:pt idx="217">
                  <c:v>1.2430000000000001</c:v>
                </c:pt>
                <c:pt idx="218">
                  <c:v>1.2490000000000001</c:v>
                </c:pt>
                <c:pt idx="219">
                  <c:v>1.2529999999999999</c:v>
                </c:pt>
                <c:pt idx="220">
                  <c:v>1.254</c:v>
                </c:pt>
                <c:pt idx="221">
                  <c:v>1.258</c:v>
                </c:pt>
                <c:pt idx="222">
                  <c:v>1.2609999999999999</c:v>
                </c:pt>
                <c:pt idx="223">
                  <c:v>1.2629999999999999</c:v>
                </c:pt>
                <c:pt idx="224">
                  <c:v>1.2649999999999999</c:v>
                </c:pt>
                <c:pt idx="225">
                  <c:v>1.264</c:v>
                </c:pt>
                <c:pt idx="226">
                  <c:v>1.2629999999999999</c:v>
                </c:pt>
                <c:pt idx="227">
                  <c:v>1.264</c:v>
                </c:pt>
                <c:pt idx="228">
                  <c:v>1.266</c:v>
                </c:pt>
                <c:pt idx="229">
                  <c:v>1.266</c:v>
                </c:pt>
                <c:pt idx="230">
                  <c:v>1.2669999999999999</c:v>
                </c:pt>
                <c:pt idx="231">
                  <c:v>1.268</c:v>
                </c:pt>
                <c:pt idx="232">
                  <c:v>1.272</c:v>
                </c:pt>
                <c:pt idx="233">
                  <c:v>1.2709999999999999</c:v>
                </c:pt>
                <c:pt idx="234">
                  <c:v>1.2729999999999999</c:v>
                </c:pt>
                <c:pt idx="235">
                  <c:v>1.2729999999999999</c:v>
                </c:pt>
                <c:pt idx="236">
                  <c:v>1.276</c:v>
                </c:pt>
                <c:pt idx="237">
                  <c:v>1.2749999999999999</c:v>
                </c:pt>
                <c:pt idx="238">
                  <c:v>1.2769999999999999</c:v>
                </c:pt>
                <c:pt idx="239">
                  <c:v>1.2729999999999999</c:v>
                </c:pt>
                <c:pt idx="240">
                  <c:v>1.27</c:v>
                </c:pt>
                <c:pt idx="241">
                  <c:v>1.272</c:v>
                </c:pt>
                <c:pt idx="242">
                  <c:v>1.2709999999999999</c:v>
                </c:pt>
                <c:pt idx="243">
                  <c:v>1.2709999999999999</c:v>
                </c:pt>
                <c:pt idx="244">
                  <c:v>1.2729999999999999</c:v>
                </c:pt>
                <c:pt idx="245">
                  <c:v>1.274</c:v>
                </c:pt>
                <c:pt idx="246">
                  <c:v>1.272</c:v>
                </c:pt>
                <c:pt idx="247">
                  <c:v>1.2729999999999999</c:v>
                </c:pt>
                <c:pt idx="248">
                  <c:v>1.274</c:v>
                </c:pt>
                <c:pt idx="249">
                  <c:v>1.2729999999999999</c:v>
                </c:pt>
                <c:pt idx="250">
                  <c:v>1.2729999999999999</c:v>
                </c:pt>
                <c:pt idx="251">
                  <c:v>1.2729999999999999</c:v>
                </c:pt>
                <c:pt idx="252">
                  <c:v>1.276</c:v>
                </c:pt>
                <c:pt idx="253">
                  <c:v>1.2749999999999999</c:v>
                </c:pt>
                <c:pt idx="254">
                  <c:v>1.278</c:v>
                </c:pt>
                <c:pt idx="255">
                  <c:v>1.2769999999999999</c:v>
                </c:pt>
                <c:pt idx="256">
                  <c:v>1.28</c:v>
                </c:pt>
                <c:pt idx="257">
                  <c:v>1.2789999999999999</c:v>
                </c:pt>
                <c:pt idx="258">
                  <c:v>1.2809999999999999</c:v>
                </c:pt>
                <c:pt idx="259">
                  <c:v>1.2829999999999999</c:v>
                </c:pt>
                <c:pt idx="260">
                  <c:v>1.284</c:v>
                </c:pt>
                <c:pt idx="261">
                  <c:v>1.2849999999999999</c:v>
                </c:pt>
                <c:pt idx="262">
                  <c:v>1.286</c:v>
                </c:pt>
                <c:pt idx="263">
                  <c:v>1.2829999999999999</c:v>
                </c:pt>
                <c:pt idx="264">
                  <c:v>1.28</c:v>
                </c:pt>
                <c:pt idx="265">
                  <c:v>1.286</c:v>
                </c:pt>
                <c:pt idx="266">
                  <c:v>1.2849999999999999</c:v>
                </c:pt>
                <c:pt idx="267">
                  <c:v>1.2809999999999999</c:v>
                </c:pt>
                <c:pt idx="268">
                  <c:v>1.276</c:v>
                </c:pt>
                <c:pt idx="269">
                  <c:v>1.2749999999999999</c:v>
                </c:pt>
                <c:pt idx="270">
                  <c:v>1.276</c:v>
                </c:pt>
                <c:pt idx="271">
                  <c:v>1.276</c:v>
                </c:pt>
                <c:pt idx="272">
                  <c:v>1.2789999999999999</c:v>
                </c:pt>
                <c:pt idx="273">
                  <c:v>1.2789999999999999</c:v>
                </c:pt>
                <c:pt idx="274">
                  <c:v>1.28</c:v>
                </c:pt>
                <c:pt idx="275">
                  <c:v>1.2809999999999999</c:v>
                </c:pt>
                <c:pt idx="276">
                  <c:v>1.28</c:v>
                </c:pt>
                <c:pt idx="277">
                  <c:v>1.2829999999999999</c:v>
                </c:pt>
                <c:pt idx="278">
                  <c:v>1.284</c:v>
                </c:pt>
                <c:pt idx="279">
                  <c:v>1.284</c:v>
                </c:pt>
                <c:pt idx="280">
                  <c:v>1.2849999999999999</c:v>
                </c:pt>
                <c:pt idx="281">
                  <c:v>1.2849999999999999</c:v>
                </c:pt>
                <c:pt idx="282">
                  <c:v>1.2829999999999999</c:v>
                </c:pt>
                <c:pt idx="283">
                  <c:v>1.2849999999999999</c:v>
                </c:pt>
                <c:pt idx="284">
                  <c:v>1.2849999999999999</c:v>
                </c:pt>
                <c:pt idx="285">
                  <c:v>1.286</c:v>
                </c:pt>
                <c:pt idx="286">
                  <c:v>1.288</c:v>
                </c:pt>
                <c:pt idx="287">
                  <c:v>1.2929999999999999</c:v>
                </c:pt>
                <c:pt idx="288">
                  <c:v>1.294</c:v>
                </c:pt>
                <c:pt idx="289">
                  <c:v>1.2969999999999999</c:v>
                </c:pt>
                <c:pt idx="290">
                  <c:v>1.298</c:v>
                </c:pt>
                <c:pt idx="291">
                  <c:v>1.2989999999999999</c:v>
                </c:pt>
                <c:pt idx="292">
                  <c:v>1.3</c:v>
                </c:pt>
                <c:pt idx="293">
                  <c:v>1.3029999999999999</c:v>
                </c:pt>
                <c:pt idx="294">
                  <c:v>1.3080000000000001</c:v>
                </c:pt>
                <c:pt idx="295">
                  <c:v>1.3129999999999999</c:v>
                </c:pt>
                <c:pt idx="296">
                  <c:v>1.31</c:v>
                </c:pt>
                <c:pt idx="297">
                  <c:v>1.3140000000000001</c:v>
                </c:pt>
                <c:pt idx="298">
                  <c:v>1.3169999999999999</c:v>
                </c:pt>
                <c:pt idx="299">
                  <c:v>1.3169999999999999</c:v>
                </c:pt>
                <c:pt idx="300">
                  <c:v>1.3169999999999999</c:v>
                </c:pt>
                <c:pt idx="301">
                  <c:v>1.3169999999999999</c:v>
                </c:pt>
                <c:pt idx="302">
                  <c:v>1.3160000000000001</c:v>
                </c:pt>
                <c:pt idx="303">
                  <c:v>1.3120000000000001</c:v>
                </c:pt>
                <c:pt idx="304">
                  <c:v>1.306</c:v>
                </c:pt>
                <c:pt idx="305">
                  <c:v>1.306</c:v>
                </c:pt>
                <c:pt idx="306">
                  <c:v>1.3140000000000001</c:v>
                </c:pt>
                <c:pt idx="307">
                  <c:v>1.3149999999999999</c:v>
                </c:pt>
                <c:pt idx="308">
                  <c:v>1.319</c:v>
                </c:pt>
                <c:pt idx="309">
                  <c:v>1.3129999999999999</c:v>
                </c:pt>
                <c:pt idx="310">
                  <c:v>1.302</c:v>
                </c:pt>
                <c:pt idx="311">
                  <c:v>1.3009999999999999</c:v>
                </c:pt>
                <c:pt idx="312">
                  <c:v>1.3009999999999999</c:v>
                </c:pt>
                <c:pt idx="313">
                  <c:v>1.3009999999999999</c:v>
                </c:pt>
                <c:pt idx="314">
                  <c:v>1.304</c:v>
                </c:pt>
                <c:pt idx="315">
                  <c:v>1.3069999999999999</c:v>
                </c:pt>
                <c:pt idx="316">
                  <c:v>1.3080000000000001</c:v>
                </c:pt>
                <c:pt idx="317">
                  <c:v>1.3120000000000001</c:v>
                </c:pt>
                <c:pt idx="318">
                  <c:v>1.3120000000000001</c:v>
                </c:pt>
                <c:pt idx="319">
                  <c:v>1.3140000000000001</c:v>
                </c:pt>
                <c:pt idx="320">
                  <c:v>1.3149999999999999</c:v>
                </c:pt>
                <c:pt idx="321">
                  <c:v>1.3160000000000001</c:v>
                </c:pt>
                <c:pt idx="322">
                  <c:v>1.3169999999999999</c:v>
                </c:pt>
                <c:pt idx="323">
                  <c:v>1.3140000000000001</c:v>
                </c:pt>
                <c:pt idx="324">
                  <c:v>1.3169999999999999</c:v>
                </c:pt>
                <c:pt idx="325">
                  <c:v>1.327</c:v>
                </c:pt>
                <c:pt idx="326">
                  <c:v>1.325</c:v>
                </c:pt>
                <c:pt idx="327">
                  <c:v>1.3149999999999999</c:v>
                </c:pt>
                <c:pt idx="328">
                  <c:v>1.3140000000000001</c:v>
                </c:pt>
                <c:pt idx="329">
                  <c:v>1.3129999999999999</c:v>
                </c:pt>
                <c:pt idx="330">
                  <c:v>1.3169999999999999</c:v>
                </c:pt>
                <c:pt idx="331">
                  <c:v>1.3149999999999999</c:v>
                </c:pt>
                <c:pt idx="332">
                  <c:v>1.3129999999999999</c:v>
                </c:pt>
                <c:pt idx="333">
                  <c:v>1.3120000000000001</c:v>
                </c:pt>
                <c:pt idx="334">
                  <c:v>1.3140000000000001</c:v>
                </c:pt>
                <c:pt idx="335">
                  <c:v>1.3089999999999999</c:v>
                </c:pt>
                <c:pt idx="336">
                  <c:v>1.3009999999999999</c:v>
                </c:pt>
                <c:pt idx="337">
                  <c:v>1.3089999999999999</c:v>
                </c:pt>
                <c:pt idx="338">
                  <c:v>1.3120000000000001</c:v>
                </c:pt>
                <c:pt idx="339">
                  <c:v>1.3120000000000001</c:v>
                </c:pt>
                <c:pt idx="340">
                  <c:v>1.3160000000000001</c:v>
                </c:pt>
                <c:pt idx="341">
                  <c:v>1.325</c:v>
                </c:pt>
                <c:pt idx="342">
                  <c:v>1.32</c:v>
                </c:pt>
                <c:pt idx="343">
                  <c:v>1.319</c:v>
                </c:pt>
                <c:pt idx="344">
                  <c:v>1.3180000000000001</c:v>
                </c:pt>
                <c:pt idx="345">
                  <c:v>1.32</c:v>
                </c:pt>
                <c:pt idx="346">
                  <c:v>1.319</c:v>
                </c:pt>
                <c:pt idx="347">
                  <c:v>1.3260000000000001</c:v>
                </c:pt>
                <c:pt idx="348">
                  <c:v>1.327</c:v>
                </c:pt>
                <c:pt idx="349">
                  <c:v>1.329</c:v>
                </c:pt>
                <c:pt idx="350">
                  <c:v>1.329</c:v>
                </c:pt>
                <c:pt idx="351">
                  <c:v>1.331</c:v>
                </c:pt>
                <c:pt idx="352">
                  <c:v>1.3320000000000001</c:v>
                </c:pt>
                <c:pt idx="353">
                  <c:v>1.3360000000000001</c:v>
                </c:pt>
                <c:pt idx="354">
                  <c:v>1.335</c:v>
                </c:pt>
                <c:pt idx="355">
                  <c:v>1.3360000000000001</c:v>
                </c:pt>
                <c:pt idx="356">
                  <c:v>1.3340000000000001</c:v>
                </c:pt>
                <c:pt idx="357">
                  <c:v>1.335</c:v>
                </c:pt>
                <c:pt idx="358">
                  <c:v>1.337</c:v>
                </c:pt>
                <c:pt idx="359">
                  <c:v>1.3360000000000001</c:v>
                </c:pt>
                <c:pt idx="360">
                  <c:v>1.337</c:v>
                </c:pt>
                <c:pt idx="361">
                  <c:v>1.34</c:v>
                </c:pt>
                <c:pt idx="362">
                  <c:v>1.341</c:v>
                </c:pt>
                <c:pt idx="363">
                  <c:v>1.341</c:v>
                </c:pt>
                <c:pt idx="364">
                  <c:v>1.3420000000000001</c:v>
                </c:pt>
                <c:pt idx="365">
                  <c:v>1.341</c:v>
                </c:pt>
                <c:pt idx="366">
                  <c:v>1.345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08-474D-A272-848AB0325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099824"/>
        <c:axId val="545100384"/>
      </c:lineChart>
      <c:catAx>
        <c:axId val="54509982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crossAx val="545100384"/>
        <c:crosses val="autoZero"/>
        <c:auto val="0"/>
        <c:lblAlgn val="ctr"/>
        <c:lblOffset val="100"/>
        <c:noMultiLvlLbl val="1"/>
      </c:catAx>
      <c:valAx>
        <c:axId val="545100384"/>
        <c:scaling>
          <c:orientation val="minMax"/>
          <c:min val="1"/>
        </c:scaling>
        <c:delete val="0"/>
        <c:axPos val="l"/>
        <c:majorGridlines/>
        <c:numFmt formatCode="0.0000_ " sourceLinked="1"/>
        <c:majorTickMark val="none"/>
        <c:minorTickMark val="none"/>
        <c:tickLblPos val="nextTo"/>
        <c:spPr>
          <a:ln w="9525">
            <a:noFill/>
          </a:ln>
        </c:spPr>
        <c:crossAx val="54509982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4" l="0.70000000000000062" r="0.70000000000000062" t="0.750000000000004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 sz="1400"/>
              <a:t>子基金</a:t>
            </a:r>
            <a:r>
              <a:rPr lang="en-US" altLang="zh-CN" sz="1400"/>
              <a:t>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爱凡哲六号!$B$20</c:f>
              <c:strCache>
                <c:ptCount val="1"/>
                <c:pt idx="0">
                  <c:v>累计净值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爱凡哲六号!$A$21:$A$387</c:f>
              <c:numCache>
                <c:formatCode>m/d/yyyy</c:formatCode>
                <c:ptCount val="367"/>
                <c:pt idx="0">
                  <c:v>43698</c:v>
                </c:pt>
                <c:pt idx="1">
                  <c:v>43699</c:v>
                </c:pt>
                <c:pt idx="2">
                  <c:v>43700</c:v>
                </c:pt>
                <c:pt idx="3">
                  <c:v>43703</c:v>
                </c:pt>
                <c:pt idx="4">
                  <c:v>43704</c:v>
                </c:pt>
                <c:pt idx="5">
                  <c:v>43705</c:v>
                </c:pt>
                <c:pt idx="6">
                  <c:v>43706</c:v>
                </c:pt>
                <c:pt idx="7">
                  <c:v>43707</c:v>
                </c:pt>
                <c:pt idx="8">
                  <c:v>43710</c:v>
                </c:pt>
                <c:pt idx="9">
                  <c:v>43711</c:v>
                </c:pt>
                <c:pt idx="10">
                  <c:v>43712</c:v>
                </c:pt>
                <c:pt idx="11">
                  <c:v>43713</c:v>
                </c:pt>
                <c:pt idx="12">
                  <c:v>43714</c:v>
                </c:pt>
                <c:pt idx="13">
                  <c:v>43717</c:v>
                </c:pt>
                <c:pt idx="14">
                  <c:v>43718</c:v>
                </c:pt>
                <c:pt idx="15">
                  <c:v>43719</c:v>
                </c:pt>
                <c:pt idx="16">
                  <c:v>43720</c:v>
                </c:pt>
                <c:pt idx="17">
                  <c:v>43724</c:v>
                </c:pt>
                <c:pt idx="18">
                  <c:v>43725</c:v>
                </c:pt>
                <c:pt idx="19">
                  <c:v>43726</c:v>
                </c:pt>
                <c:pt idx="20">
                  <c:v>43727</c:v>
                </c:pt>
                <c:pt idx="21">
                  <c:v>43728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43738</c:v>
                </c:pt>
                <c:pt idx="28">
                  <c:v>43746</c:v>
                </c:pt>
                <c:pt idx="29">
                  <c:v>43747</c:v>
                </c:pt>
                <c:pt idx="30">
                  <c:v>43748</c:v>
                </c:pt>
                <c:pt idx="31">
                  <c:v>43749</c:v>
                </c:pt>
                <c:pt idx="32">
                  <c:v>43752</c:v>
                </c:pt>
                <c:pt idx="33">
                  <c:v>43753</c:v>
                </c:pt>
                <c:pt idx="34">
                  <c:v>43754</c:v>
                </c:pt>
                <c:pt idx="35">
                  <c:v>43755</c:v>
                </c:pt>
                <c:pt idx="36">
                  <c:v>43756</c:v>
                </c:pt>
                <c:pt idx="37">
                  <c:v>43759</c:v>
                </c:pt>
                <c:pt idx="38">
                  <c:v>43760</c:v>
                </c:pt>
                <c:pt idx="39">
                  <c:v>43761</c:v>
                </c:pt>
                <c:pt idx="40">
                  <c:v>43762</c:v>
                </c:pt>
                <c:pt idx="41">
                  <c:v>43763</c:v>
                </c:pt>
                <c:pt idx="42">
                  <c:v>43766</c:v>
                </c:pt>
                <c:pt idx="43">
                  <c:v>43767</c:v>
                </c:pt>
                <c:pt idx="44">
                  <c:v>43768</c:v>
                </c:pt>
                <c:pt idx="45">
                  <c:v>43769</c:v>
                </c:pt>
                <c:pt idx="46">
                  <c:v>43770</c:v>
                </c:pt>
                <c:pt idx="47">
                  <c:v>43773</c:v>
                </c:pt>
                <c:pt idx="48">
                  <c:v>43774</c:v>
                </c:pt>
                <c:pt idx="49">
                  <c:v>43775</c:v>
                </c:pt>
                <c:pt idx="50">
                  <c:v>43776</c:v>
                </c:pt>
                <c:pt idx="51">
                  <c:v>43777</c:v>
                </c:pt>
                <c:pt idx="52">
                  <c:v>43780</c:v>
                </c:pt>
                <c:pt idx="53">
                  <c:v>43781</c:v>
                </c:pt>
                <c:pt idx="54">
                  <c:v>43782</c:v>
                </c:pt>
                <c:pt idx="55">
                  <c:v>43783</c:v>
                </c:pt>
                <c:pt idx="56">
                  <c:v>43784</c:v>
                </c:pt>
                <c:pt idx="57">
                  <c:v>43787</c:v>
                </c:pt>
                <c:pt idx="58">
                  <c:v>43788</c:v>
                </c:pt>
                <c:pt idx="59">
                  <c:v>43789</c:v>
                </c:pt>
                <c:pt idx="60">
                  <c:v>43790</c:v>
                </c:pt>
                <c:pt idx="61">
                  <c:v>43791</c:v>
                </c:pt>
                <c:pt idx="62">
                  <c:v>43794</c:v>
                </c:pt>
                <c:pt idx="63">
                  <c:v>43795</c:v>
                </c:pt>
                <c:pt idx="64">
                  <c:v>43796</c:v>
                </c:pt>
                <c:pt idx="65">
                  <c:v>43797</c:v>
                </c:pt>
                <c:pt idx="66">
                  <c:v>43798</c:v>
                </c:pt>
                <c:pt idx="67">
                  <c:v>43801</c:v>
                </c:pt>
                <c:pt idx="68">
                  <c:v>43802</c:v>
                </c:pt>
                <c:pt idx="69">
                  <c:v>43803</c:v>
                </c:pt>
                <c:pt idx="70">
                  <c:v>43804</c:v>
                </c:pt>
                <c:pt idx="71">
                  <c:v>43805</c:v>
                </c:pt>
                <c:pt idx="72">
                  <c:v>43808</c:v>
                </c:pt>
                <c:pt idx="73">
                  <c:v>43809</c:v>
                </c:pt>
                <c:pt idx="74">
                  <c:v>43810</c:v>
                </c:pt>
                <c:pt idx="75">
                  <c:v>43811</c:v>
                </c:pt>
                <c:pt idx="76">
                  <c:v>43812</c:v>
                </c:pt>
                <c:pt idx="77">
                  <c:v>43815</c:v>
                </c:pt>
                <c:pt idx="78">
                  <c:v>43816</c:v>
                </c:pt>
                <c:pt idx="79">
                  <c:v>43817</c:v>
                </c:pt>
                <c:pt idx="80">
                  <c:v>43818</c:v>
                </c:pt>
                <c:pt idx="81">
                  <c:v>43819</c:v>
                </c:pt>
                <c:pt idx="82">
                  <c:v>43822</c:v>
                </c:pt>
                <c:pt idx="83">
                  <c:v>43823</c:v>
                </c:pt>
                <c:pt idx="84">
                  <c:v>43824</c:v>
                </c:pt>
                <c:pt idx="85">
                  <c:v>43825</c:v>
                </c:pt>
                <c:pt idx="86">
                  <c:v>43826</c:v>
                </c:pt>
                <c:pt idx="87">
                  <c:v>43829</c:v>
                </c:pt>
                <c:pt idx="88">
                  <c:v>43830</c:v>
                </c:pt>
                <c:pt idx="89">
                  <c:v>43832</c:v>
                </c:pt>
                <c:pt idx="90">
                  <c:v>43833</c:v>
                </c:pt>
                <c:pt idx="91">
                  <c:v>43836</c:v>
                </c:pt>
                <c:pt idx="92">
                  <c:v>43837</c:v>
                </c:pt>
                <c:pt idx="93">
                  <c:v>43838</c:v>
                </c:pt>
                <c:pt idx="94">
                  <c:v>43839</c:v>
                </c:pt>
                <c:pt idx="95">
                  <c:v>43840</c:v>
                </c:pt>
                <c:pt idx="96">
                  <c:v>43843</c:v>
                </c:pt>
                <c:pt idx="97">
                  <c:v>43844</c:v>
                </c:pt>
                <c:pt idx="98">
                  <c:v>43845</c:v>
                </c:pt>
                <c:pt idx="99">
                  <c:v>43846</c:v>
                </c:pt>
                <c:pt idx="100">
                  <c:v>43847</c:v>
                </c:pt>
                <c:pt idx="101">
                  <c:v>43850</c:v>
                </c:pt>
                <c:pt idx="102">
                  <c:v>43851</c:v>
                </c:pt>
                <c:pt idx="103">
                  <c:v>43852</c:v>
                </c:pt>
                <c:pt idx="104">
                  <c:v>43853</c:v>
                </c:pt>
                <c:pt idx="105">
                  <c:v>43864</c:v>
                </c:pt>
                <c:pt idx="106">
                  <c:v>43865</c:v>
                </c:pt>
                <c:pt idx="107">
                  <c:v>43866</c:v>
                </c:pt>
                <c:pt idx="108">
                  <c:v>43867</c:v>
                </c:pt>
                <c:pt idx="109">
                  <c:v>43868</c:v>
                </c:pt>
                <c:pt idx="110">
                  <c:v>43871</c:v>
                </c:pt>
                <c:pt idx="111">
                  <c:v>43872</c:v>
                </c:pt>
                <c:pt idx="112">
                  <c:v>43873</c:v>
                </c:pt>
                <c:pt idx="113">
                  <c:v>43874</c:v>
                </c:pt>
                <c:pt idx="114">
                  <c:v>43875</c:v>
                </c:pt>
                <c:pt idx="115">
                  <c:v>43878</c:v>
                </c:pt>
                <c:pt idx="116">
                  <c:v>43879</c:v>
                </c:pt>
                <c:pt idx="117">
                  <c:v>43880</c:v>
                </c:pt>
                <c:pt idx="118">
                  <c:v>43881</c:v>
                </c:pt>
                <c:pt idx="119">
                  <c:v>43882</c:v>
                </c:pt>
                <c:pt idx="120">
                  <c:v>43885</c:v>
                </c:pt>
                <c:pt idx="121">
                  <c:v>43886</c:v>
                </c:pt>
                <c:pt idx="122">
                  <c:v>43887</c:v>
                </c:pt>
                <c:pt idx="123">
                  <c:v>43888</c:v>
                </c:pt>
                <c:pt idx="124">
                  <c:v>43889</c:v>
                </c:pt>
                <c:pt idx="125">
                  <c:v>43892</c:v>
                </c:pt>
                <c:pt idx="126">
                  <c:v>43893</c:v>
                </c:pt>
                <c:pt idx="127">
                  <c:v>43894</c:v>
                </c:pt>
                <c:pt idx="128">
                  <c:v>43895</c:v>
                </c:pt>
                <c:pt idx="129">
                  <c:v>43896</c:v>
                </c:pt>
                <c:pt idx="130">
                  <c:v>43899</c:v>
                </c:pt>
                <c:pt idx="131">
                  <c:v>43900</c:v>
                </c:pt>
                <c:pt idx="132">
                  <c:v>43901</c:v>
                </c:pt>
                <c:pt idx="133">
                  <c:v>43902</c:v>
                </c:pt>
                <c:pt idx="134">
                  <c:v>43903</c:v>
                </c:pt>
                <c:pt idx="135">
                  <c:v>43906</c:v>
                </c:pt>
                <c:pt idx="136">
                  <c:v>43907</c:v>
                </c:pt>
                <c:pt idx="137">
                  <c:v>43908</c:v>
                </c:pt>
                <c:pt idx="138">
                  <c:v>43909</c:v>
                </c:pt>
                <c:pt idx="139">
                  <c:v>43910</c:v>
                </c:pt>
                <c:pt idx="140">
                  <c:v>43913</c:v>
                </c:pt>
                <c:pt idx="141">
                  <c:v>43914</c:v>
                </c:pt>
                <c:pt idx="142">
                  <c:v>43915</c:v>
                </c:pt>
                <c:pt idx="143">
                  <c:v>43916</c:v>
                </c:pt>
                <c:pt idx="144">
                  <c:v>43917</c:v>
                </c:pt>
                <c:pt idx="145">
                  <c:v>43920</c:v>
                </c:pt>
                <c:pt idx="146">
                  <c:v>43921</c:v>
                </c:pt>
                <c:pt idx="147">
                  <c:v>43922</c:v>
                </c:pt>
                <c:pt idx="148">
                  <c:v>43923</c:v>
                </c:pt>
                <c:pt idx="149">
                  <c:v>43924</c:v>
                </c:pt>
                <c:pt idx="150">
                  <c:v>43928</c:v>
                </c:pt>
                <c:pt idx="151">
                  <c:v>43929</c:v>
                </c:pt>
                <c:pt idx="152">
                  <c:v>43930</c:v>
                </c:pt>
                <c:pt idx="153">
                  <c:v>43931</c:v>
                </c:pt>
                <c:pt idx="154">
                  <c:v>43934</c:v>
                </c:pt>
                <c:pt idx="155">
                  <c:v>43935</c:v>
                </c:pt>
                <c:pt idx="156">
                  <c:v>43936</c:v>
                </c:pt>
                <c:pt idx="157">
                  <c:v>43937</c:v>
                </c:pt>
                <c:pt idx="158">
                  <c:v>43938</c:v>
                </c:pt>
                <c:pt idx="159">
                  <c:v>43941</c:v>
                </c:pt>
                <c:pt idx="160">
                  <c:v>43942</c:v>
                </c:pt>
                <c:pt idx="161">
                  <c:v>43943</c:v>
                </c:pt>
                <c:pt idx="162">
                  <c:v>43944</c:v>
                </c:pt>
                <c:pt idx="163">
                  <c:v>43945</c:v>
                </c:pt>
                <c:pt idx="164">
                  <c:v>43948</c:v>
                </c:pt>
                <c:pt idx="165">
                  <c:v>43949</c:v>
                </c:pt>
                <c:pt idx="166">
                  <c:v>43950</c:v>
                </c:pt>
                <c:pt idx="167">
                  <c:v>43951</c:v>
                </c:pt>
                <c:pt idx="168">
                  <c:v>43957</c:v>
                </c:pt>
                <c:pt idx="169">
                  <c:v>43958</c:v>
                </c:pt>
                <c:pt idx="170">
                  <c:v>43959</c:v>
                </c:pt>
                <c:pt idx="171">
                  <c:v>43962</c:v>
                </c:pt>
                <c:pt idx="172">
                  <c:v>43963</c:v>
                </c:pt>
                <c:pt idx="173">
                  <c:v>43964</c:v>
                </c:pt>
                <c:pt idx="174">
                  <c:v>43965</c:v>
                </c:pt>
                <c:pt idx="175">
                  <c:v>43966</c:v>
                </c:pt>
                <c:pt idx="176">
                  <c:v>43969</c:v>
                </c:pt>
                <c:pt idx="177">
                  <c:v>43970</c:v>
                </c:pt>
                <c:pt idx="178">
                  <c:v>43971</c:v>
                </c:pt>
                <c:pt idx="179">
                  <c:v>43972</c:v>
                </c:pt>
                <c:pt idx="180">
                  <c:v>43973</c:v>
                </c:pt>
                <c:pt idx="181">
                  <c:v>43976</c:v>
                </c:pt>
                <c:pt idx="182">
                  <c:v>43977</c:v>
                </c:pt>
                <c:pt idx="183">
                  <c:v>43978</c:v>
                </c:pt>
                <c:pt idx="184">
                  <c:v>43979</c:v>
                </c:pt>
                <c:pt idx="185">
                  <c:v>43980</c:v>
                </c:pt>
                <c:pt idx="186">
                  <c:v>43983</c:v>
                </c:pt>
                <c:pt idx="187">
                  <c:v>43984</c:v>
                </c:pt>
                <c:pt idx="188">
                  <c:v>43985</c:v>
                </c:pt>
                <c:pt idx="189">
                  <c:v>43986</c:v>
                </c:pt>
                <c:pt idx="190">
                  <c:v>43987</c:v>
                </c:pt>
                <c:pt idx="191">
                  <c:v>43990</c:v>
                </c:pt>
                <c:pt idx="192">
                  <c:v>43991</c:v>
                </c:pt>
                <c:pt idx="193">
                  <c:v>43992</c:v>
                </c:pt>
                <c:pt idx="194">
                  <c:v>43993</c:v>
                </c:pt>
                <c:pt idx="195">
                  <c:v>43994</c:v>
                </c:pt>
                <c:pt idx="196">
                  <c:v>43997</c:v>
                </c:pt>
                <c:pt idx="197">
                  <c:v>43998</c:v>
                </c:pt>
                <c:pt idx="198">
                  <c:v>43999</c:v>
                </c:pt>
                <c:pt idx="199">
                  <c:v>44000</c:v>
                </c:pt>
                <c:pt idx="200">
                  <c:v>44001</c:v>
                </c:pt>
                <c:pt idx="201">
                  <c:v>44004</c:v>
                </c:pt>
                <c:pt idx="202">
                  <c:v>44005</c:v>
                </c:pt>
                <c:pt idx="203">
                  <c:v>44006</c:v>
                </c:pt>
                <c:pt idx="204">
                  <c:v>44011</c:v>
                </c:pt>
                <c:pt idx="205">
                  <c:v>44012</c:v>
                </c:pt>
                <c:pt idx="206">
                  <c:v>44013</c:v>
                </c:pt>
                <c:pt idx="207">
                  <c:v>44014</c:v>
                </c:pt>
                <c:pt idx="208">
                  <c:v>44015</c:v>
                </c:pt>
                <c:pt idx="209">
                  <c:v>44018</c:v>
                </c:pt>
                <c:pt idx="210">
                  <c:v>44019</c:v>
                </c:pt>
                <c:pt idx="211">
                  <c:v>44020</c:v>
                </c:pt>
                <c:pt idx="212">
                  <c:v>44021</c:v>
                </c:pt>
                <c:pt idx="213">
                  <c:v>44022</c:v>
                </c:pt>
                <c:pt idx="214">
                  <c:v>44025</c:v>
                </c:pt>
                <c:pt idx="215">
                  <c:v>44026</c:v>
                </c:pt>
                <c:pt idx="216">
                  <c:v>44027</c:v>
                </c:pt>
                <c:pt idx="217">
                  <c:v>44028</c:v>
                </c:pt>
                <c:pt idx="218">
                  <c:v>44029</c:v>
                </c:pt>
                <c:pt idx="219">
                  <c:v>44032</c:v>
                </c:pt>
                <c:pt idx="220">
                  <c:v>44033</c:v>
                </c:pt>
                <c:pt idx="221">
                  <c:v>44034</c:v>
                </c:pt>
                <c:pt idx="222">
                  <c:v>44035</c:v>
                </c:pt>
                <c:pt idx="223">
                  <c:v>44036</c:v>
                </c:pt>
                <c:pt idx="224">
                  <c:v>44039</c:v>
                </c:pt>
                <c:pt idx="225">
                  <c:v>44040</c:v>
                </c:pt>
                <c:pt idx="226">
                  <c:v>44041</c:v>
                </c:pt>
                <c:pt idx="227">
                  <c:v>44042</c:v>
                </c:pt>
                <c:pt idx="228">
                  <c:v>44043</c:v>
                </c:pt>
                <c:pt idx="229">
                  <c:v>44046</c:v>
                </c:pt>
                <c:pt idx="230">
                  <c:v>44047</c:v>
                </c:pt>
                <c:pt idx="231">
                  <c:v>44048</c:v>
                </c:pt>
                <c:pt idx="232">
                  <c:v>44049</c:v>
                </c:pt>
                <c:pt idx="233">
                  <c:v>44050</c:v>
                </c:pt>
                <c:pt idx="234">
                  <c:v>44053</c:v>
                </c:pt>
                <c:pt idx="235">
                  <c:v>44054</c:v>
                </c:pt>
                <c:pt idx="236">
                  <c:v>44055</c:v>
                </c:pt>
                <c:pt idx="237">
                  <c:v>44056</c:v>
                </c:pt>
                <c:pt idx="238">
                  <c:v>44057</c:v>
                </c:pt>
                <c:pt idx="239">
                  <c:v>44060</c:v>
                </c:pt>
                <c:pt idx="240">
                  <c:v>44061</c:v>
                </c:pt>
                <c:pt idx="241">
                  <c:v>44062</c:v>
                </c:pt>
                <c:pt idx="242">
                  <c:v>44063</c:v>
                </c:pt>
                <c:pt idx="243">
                  <c:v>44064</c:v>
                </c:pt>
                <c:pt idx="244">
                  <c:v>44067</c:v>
                </c:pt>
                <c:pt idx="245">
                  <c:v>44068</c:v>
                </c:pt>
                <c:pt idx="246">
                  <c:v>44069</c:v>
                </c:pt>
                <c:pt idx="247">
                  <c:v>44070</c:v>
                </c:pt>
                <c:pt idx="248">
                  <c:v>44071</c:v>
                </c:pt>
                <c:pt idx="249">
                  <c:v>44074</c:v>
                </c:pt>
                <c:pt idx="250">
                  <c:v>44075</c:v>
                </c:pt>
                <c:pt idx="251">
                  <c:v>44076</c:v>
                </c:pt>
                <c:pt idx="252">
                  <c:v>44077</c:v>
                </c:pt>
                <c:pt idx="253">
                  <c:v>44078</c:v>
                </c:pt>
                <c:pt idx="254">
                  <c:v>44081</c:v>
                </c:pt>
                <c:pt idx="255">
                  <c:v>44082</c:v>
                </c:pt>
                <c:pt idx="256">
                  <c:v>44083</c:v>
                </c:pt>
                <c:pt idx="257">
                  <c:v>44084</c:v>
                </c:pt>
                <c:pt idx="258">
                  <c:v>44085</c:v>
                </c:pt>
                <c:pt idx="259">
                  <c:v>44088</c:v>
                </c:pt>
                <c:pt idx="260">
                  <c:v>44089</c:v>
                </c:pt>
                <c:pt idx="261">
                  <c:v>44090</c:v>
                </c:pt>
                <c:pt idx="262">
                  <c:v>44091</c:v>
                </c:pt>
                <c:pt idx="263">
                  <c:v>44092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44102</c:v>
                </c:pt>
                <c:pt idx="270">
                  <c:v>44103</c:v>
                </c:pt>
                <c:pt idx="271">
                  <c:v>44104</c:v>
                </c:pt>
                <c:pt idx="272">
                  <c:v>44113</c:v>
                </c:pt>
                <c:pt idx="273">
                  <c:v>44116</c:v>
                </c:pt>
                <c:pt idx="274">
                  <c:v>44117</c:v>
                </c:pt>
                <c:pt idx="275">
                  <c:v>44118</c:v>
                </c:pt>
                <c:pt idx="276">
                  <c:v>44119</c:v>
                </c:pt>
                <c:pt idx="277">
                  <c:v>44120</c:v>
                </c:pt>
                <c:pt idx="278">
                  <c:v>44123</c:v>
                </c:pt>
                <c:pt idx="279">
                  <c:v>44124</c:v>
                </c:pt>
                <c:pt idx="280">
                  <c:v>44125</c:v>
                </c:pt>
                <c:pt idx="281">
                  <c:v>44126</c:v>
                </c:pt>
                <c:pt idx="282">
                  <c:v>44127</c:v>
                </c:pt>
                <c:pt idx="283">
                  <c:v>44130</c:v>
                </c:pt>
                <c:pt idx="284">
                  <c:v>44131</c:v>
                </c:pt>
                <c:pt idx="285">
                  <c:v>44132</c:v>
                </c:pt>
                <c:pt idx="286">
                  <c:v>44133</c:v>
                </c:pt>
                <c:pt idx="287">
                  <c:v>44134</c:v>
                </c:pt>
                <c:pt idx="288">
                  <c:v>44137</c:v>
                </c:pt>
                <c:pt idx="289">
                  <c:v>44138</c:v>
                </c:pt>
                <c:pt idx="290">
                  <c:v>44139</c:v>
                </c:pt>
                <c:pt idx="291">
                  <c:v>44140</c:v>
                </c:pt>
                <c:pt idx="292">
                  <c:v>44141</c:v>
                </c:pt>
                <c:pt idx="293">
                  <c:v>44144</c:v>
                </c:pt>
                <c:pt idx="294">
                  <c:v>44145</c:v>
                </c:pt>
                <c:pt idx="295">
                  <c:v>44146</c:v>
                </c:pt>
                <c:pt idx="296">
                  <c:v>44147</c:v>
                </c:pt>
                <c:pt idx="297">
                  <c:v>44148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44158</c:v>
                </c:pt>
                <c:pt idx="304">
                  <c:v>44159</c:v>
                </c:pt>
                <c:pt idx="305">
                  <c:v>44160</c:v>
                </c:pt>
                <c:pt idx="306">
                  <c:v>44161</c:v>
                </c:pt>
                <c:pt idx="307">
                  <c:v>44162</c:v>
                </c:pt>
                <c:pt idx="308">
                  <c:v>44165</c:v>
                </c:pt>
                <c:pt idx="309">
                  <c:v>44166</c:v>
                </c:pt>
                <c:pt idx="310">
                  <c:v>44167</c:v>
                </c:pt>
                <c:pt idx="311">
                  <c:v>44168</c:v>
                </c:pt>
                <c:pt idx="312">
                  <c:v>44169</c:v>
                </c:pt>
                <c:pt idx="313">
                  <c:v>44172</c:v>
                </c:pt>
                <c:pt idx="314">
                  <c:v>44173</c:v>
                </c:pt>
                <c:pt idx="315">
                  <c:v>44174</c:v>
                </c:pt>
                <c:pt idx="316">
                  <c:v>44175</c:v>
                </c:pt>
                <c:pt idx="317">
                  <c:v>44176</c:v>
                </c:pt>
                <c:pt idx="318">
                  <c:v>44179</c:v>
                </c:pt>
                <c:pt idx="319">
                  <c:v>44180</c:v>
                </c:pt>
                <c:pt idx="320">
                  <c:v>44181</c:v>
                </c:pt>
                <c:pt idx="321">
                  <c:v>44182</c:v>
                </c:pt>
                <c:pt idx="322">
                  <c:v>44183</c:v>
                </c:pt>
                <c:pt idx="323">
                  <c:v>44186</c:v>
                </c:pt>
                <c:pt idx="324">
                  <c:v>44187</c:v>
                </c:pt>
                <c:pt idx="325">
                  <c:v>44188</c:v>
                </c:pt>
                <c:pt idx="326">
                  <c:v>44189</c:v>
                </c:pt>
                <c:pt idx="327">
                  <c:v>44190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44200</c:v>
                </c:pt>
                <c:pt idx="333">
                  <c:v>44201</c:v>
                </c:pt>
                <c:pt idx="334">
                  <c:v>44202</c:v>
                </c:pt>
                <c:pt idx="335">
                  <c:v>44203</c:v>
                </c:pt>
                <c:pt idx="336">
                  <c:v>44204</c:v>
                </c:pt>
                <c:pt idx="337">
                  <c:v>44207</c:v>
                </c:pt>
                <c:pt idx="338">
                  <c:v>44208</c:v>
                </c:pt>
                <c:pt idx="339">
                  <c:v>44209</c:v>
                </c:pt>
                <c:pt idx="340">
                  <c:v>44210</c:v>
                </c:pt>
                <c:pt idx="341">
                  <c:v>44211</c:v>
                </c:pt>
                <c:pt idx="342">
                  <c:v>44214</c:v>
                </c:pt>
                <c:pt idx="343">
                  <c:v>44215</c:v>
                </c:pt>
                <c:pt idx="344">
                  <c:v>44216</c:v>
                </c:pt>
                <c:pt idx="345">
                  <c:v>44217</c:v>
                </c:pt>
                <c:pt idx="346">
                  <c:v>44218</c:v>
                </c:pt>
                <c:pt idx="347">
                  <c:v>44221</c:v>
                </c:pt>
                <c:pt idx="348">
                  <c:v>44222</c:v>
                </c:pt>
                <c:pt idx="349">
                  <c:v>44223</c:v>
                </c:pt>
                <c:pt idx="350">
                  <c:v>44224</c:v>
                </c:pt>
                <c:pt idx="351">
                  <c:v>44225</c:v>
                </c:pt>
                <c:pt idx="352">
                  <c:v>44228</c:v>
                </c:pt>
                <c:pt idx="353">
                  <c:v>44229</c:v>
                </c:pt>
                <c:pt idx="354">
                  <c:v>44230</c:v>
                </c:pt>
                <c:pt idx="355">
                  <c:v>44231</c:v>
                </c:pt>
                <c:pt idx="356">
                  <c:v>44232</c:v>
                </c:pt>
                <c:pt idx="357">
                  <c:v>44235</c:v>
                </c:pt>
                <c:pt idx="358">
                  <c:v>44236</c:v>
                </c:pt>
                <c:pt idx="359">
                  <c:v>44237</c:v>
                </c:pt>
                <c:pt idx="360">
                  <c:v>44245</c:v>
                </c:pt>
                <c:pt idx="361">
                  <c:v>44246</c:v>
                </c:pt>
                <c:pt idx="362">
                  <c:v>44249</c:v>
                </c:pt>
                <c:pt idx="363">
                  <c:v>44250</c:v>
                </c:pt>
                <c:pt idx="364">
                  <c:v>44251</c:v>
                </c:pt>
                <c:pt idx="365">
                  <c:v>44252</c:v>
                </c:pt>
                <c:pt idx="366">
                  <c:v>44253</c:v>
                </c:pt>
              </c:numCache>
            </c:numRef>
          </c:cat>
          <c:val>
            <c:numRef>
              <c:f>爱凡哲六号!$B$21:$B$387</c:f>
              <c:numCache>
                <c:formatCode>0.0000_ </c:formatCode>
                <c:ptCount val="36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1.0009999999999999</c:v>
                </c:pt>
                <c:pt idx="5">
                  <c:v>1.002</c:v>
                </c:pt>
                <c:pt idx="6">
                  <c:v>1.0029999999999999</c:v>
                </c:pt>
                <c:pt idx="7">
                  <c:v>1.002</c:v>
                </c:pt>
                <c:pt idx="8">
                  <c:v>1.0009999999999999</c:v>
                </c:pt>
                <c:pt idx="9">
                  <c:v>1.0069999999999999</c:v>
                </c:pt>
                <c:pt idx="10">
                  <c:v>1.008</c:v>
                </c:pt>
                <c:pt idx="11">
                  <c:v>1.0049999999999999</c:v>
                </c:pt>
                <c:pt idx="12">
                  <c:v>1.006</c:v>
                </c:pt>
                <c:pt idx="13">
                  <c:v>1.006</c:v>
                </c:pt>
                <c:pt idx="14">
                  <c:v>1.0069999999999999</c:v>
                </c:pt>
                <c:pt idx="15">
                  <c:v>1.006</c:v>
                </c:pt>
                <c:pt idx="16">
                  <c:v>1.0069999999999999</c:v>
                </c:pt>
                <c:pt idx="17">
                  <c:v>1.008</c:v>
                </c:pt>
                <c:pt idx="18">
                  <c:v>1.0069999999999999</c:v>
                </c:pt>
                <c:pt idx="19">
                  <c:v>1.0089999999999999</c:v>
                </c:pt>
                <c:pt idx="20">
                  <c:v>1.008</c:v>
                </c:pt>
                <c:pt idx="21">
                  <c:v>1.008</c:v>
                </c:pt>
                <c:pt idx="22">
                  <c:v>1.008</c:v>
                </c:pt>
                <c:pt idx="23">
                  <c:v>1.01</c:v>
                </c:pt>
                <c:pt idx="24">
                  <c:v>1.0129999999999999</c:v>
                </c:pt>
                <c:pt idx="25">
                  <c:v>1.01</c:v>
                </c:pt>
                <c:pt idx="26">
                  <c:v>1.0109999999999999</c:v>
                </c:pt>
                <c:pt idx="27">
                  <c:v>1.0109999999999999</c:v>
                </c:pt>
                <c:pt idx="28">
                  <c:v>1.0129999999999999</c:v>
                </c:pt>
                <c:pt idx="29">
                  <c:v>1.016</c:v>
                </c:pt>
                <c:pt idx="30">
                  <c:v>1.016</c:v>
                </c:pt>
                <c:pt idx="31">
                  <c:v>1.014</c:v>
                </c:pt>
                <c:pt idx="32">
                  <c:v>1.018</c:v>
                </c:pt>
                <c:pt idx="33">
                  <c:v>1.0249999999999999</c:v>
                </c:pt>
                <c:pt idx="34">
                  <c:v>1.022</c:v>
                </c:pt>
                <c:pt idx="35">
                  <c:v>1.0189999999999999</c:v>
                </c:pt>
                <c:pt idx="36">
                  <c:v>1.0209999999999999</c:v>
                </c:pt>
                <c:pt idx="37">
                  <c:v>1.0209999999999999</c:v>
                </c:pt>
                <c:pt idx="38">
                  <c:v>1.0169999999999999</c:v>
                </c:pt>
                <c:pt idx="39">
                  <c:v>1.0149999999999999</c:v>
                </c:pt>
                <c:pt idx="40">
                  <c:v>1.024</c:v>
                </c:pt>
                <c:pt idx="41">
                  <c:v>1.0229999999999999</c:v>
                </c:pt>
                <c:pt idx="42">
                  <c:v>1.028</c:v>
                </c:pt>
                <c:pt idx="43">
                  <c:v>1.0209999999999999</c:v>
                </c:pt>
                <c:pt idx="44">
                  <c:v>1.0289999999999999</c:v>
                </c:pt>
                <c:pt idx="45">
                  <c:v>1.0309999999999999</c:v>
                </c:pt>
                <c:pt idx="46">
                  <c:v>1.0249999999999999</c:v>
                </c:pt>
                <c:pt idx="47">
                  <c:v>1.026</c:v>
                </c:pt>
                <c:pt idx="48">
                  <c:v>1.0289999999999999</c:v>
                </c:pt>
                <c:pt idx="49">
                  <c:v>1.0269999999999999</c:v>
                </c:pt>
                <c:pt idx="50">
                  <c:v>1.0249999999999999</c:v>
                </c:pt>
                <c:pt idx="51">
                  <c:v>1.0309999999999999</c:v>
                </c:pt>
                <c:pt idx="52">
                  <c:v>1.03</c:v>
                </c:pt>
                <c:pt idx="53">
                  <c:v>1.024</c:v>
                </c:pt>
                <c:pt idx="54">
                  <c:v>1.026</c:v>
                </c:pt>
                <c:pt idx="55">
                  <c:v>1.024</c:v>
                </c:pt>
                <c:pt idx="56">
                  <c:v>1.0269999999999999</c:v>
                </c:pt>
                <c:pt idx="57">
                  <c:v>1.03</c:v>
                </c:pt>
                <c:pt idx="58">
                  <c:v>1.03</c:v>
                </c:pt>
                <c:pt idx="59">
                  <c:v>1.0309999999999999</c:v>
                </c:pt>
                <c:pt idx="60">
                  <c:v>1.0309999999999999</c:v>
                </c:pt>
                <c:pt idx="61">
                  <c:v>1.0389999999999999</c:v>
                </c:pt>
                <c:pt idx="62">
                  <c:v>1.04</c:v>
                </c:pt>
                <c:pt idx="63">
                  <c:v>1.0389999999999999</c:v>
                </c:pt>
                <c:pt idx="64">
                  <c:v>1.0409999999999999</c:v>
                </c:pt>
                <c:pt idx="65">
                  <c:v>1.042</c:v>
                </c:pt>
                <c:pt idx="66">
                  <c:v>1.0429999999999999</c:v>
                </c:pt>
                <c:pt idx="67">
                  <c:v>1.044</c:v>
                </c:pt>
                <c:pt idx="68">
                  <c:v>1.046</c:v>
                </c:pt>
                <c:pt idx="69">
                  <c:v>1.0469999999999999</c:v>
                </c:pt>
                <c:pt idx="70">
                  <c:v>1.046</c:v>
                </c:pt>
                <c:pt idx="71">
                  <c:v>1.048</c:v>
                </c:pt>
                <c:pt idx="72">
                  <c:v>1.042</c:v>
                </c:pt>
                <c:pt idx="73">
                  <c:v>1.0449999999999999</c:v>
                </c:pt>
                <c:pt idx="74">
                  <c:v>1.0469999999999999</c:v>
                </c:pt>
                <c:pt idx="75">
                  <c:v>1.05</c:v>
                </c:pt>
                <c:pt idx="76">
                  <c:v>1.05</c:v>
                </c:pt>
                <c:pt idx="77">
                  <c:v>1.05</c:v>
                </c:pt>
                <c:pt idx="78">
                  <c:v>1.05</c:v>
                </c:pt>
                <c:pt idx="79">
                  <c:v>1.0489999999999999</c:v>
                </c:pt>
                <c:pt idx="80">
                  <c:v>1.052</c:v>
                </c:pt>
                <c:pt idx="81">
                  <c:v>1.0509999999999999</c:v>
                </c:pt>
                <c:pt idx="82">
                  <c:v>1.05</c:v>
                </c:pt>
                <c:pt idx="83">
                  <c:v>1.0549999999999999</c:v>
                </c:pt>
                <c:pt idx="84">
                  <c:v>1.0549999999999999</c:v>
                </c:pt>
                <c:pt idx="85">
                  <c:v>1.056</c:v>
                </c:pt>
                <c:pt idx="86">
                  <c:v>1.0549999999999999</c:v>
                </c:pt>
                <c:pt idx="87">
                  <c:v>1.0529999999999999</c:v>
                </c:pt>
                <c:pt idx="88">
                  <c:v>1.0529999999999999</c:v>
                </c:pt>
                <c:pt idx="89">
                  <c:v>1.0549999999999999</c:v>
                </c:pt>
                <c:pt idx="90">
                  <c:v>1.056</c:v>
                </c:pt>
                <c:pt idx="91">
                  <c:v>1.0569999999999999</c:v>
                </c:pt>
                <c:pt idx="92">
                  <c:v>1.0580000000000001</c:v>
                </c:pt>
                <c:pt idx="93">
                  <c:v>1.06</c:v>
                </c:pt>
                <c:pt idx="94">
                  <c:v>1.056</c:v>
                </c:pt>
                <c:pt idx="95">
                  <c:v>1.0569999999999999</c:v>
                </c:pt>
                <c:pt idx="96">
                  <c:v>1.0589999999999999</c:v>
                </c:pt>
                <c:pt idx="97">
                  <c:v>1.06</c:v>
                </c:pt>
                <c:pt idx="98">
                  <c:v>1.0589999999999999</c:v>
                </c:pt>
                <c:pt idx="99">
                  <c:v>1.0609999999999999</c:v>
                </c:pt>
                <c:pt idx="100">
                  <c:v>1.0609999999999999</c:v>
                </c:pt>
                <c:pt idx="101">
                  <c:v>1.0649999999999999</c:v>
                </c:pt>
                <c:pt idx="102">
                  <c:v>1.0649999999999999</c:v>
                </c:pt>
                <c:pt idx="103">
                  <c:v>1.0649999999999999</c:v>
                </c:pt>
                <c:pt idx="104">
                  <c:v>1.0649999999999999</c:v>
                </c:pt>
                <c:pt idx="105">
                  <c:v>1.0649999999999999</c:v>
                </c:pt>
                <c:pt idx="106">
                  <c:v>1.0649999999999999</c:v>
                </c:pt>
                <c:pt idx="107">
                  <c:v>1.0649999999999999</c:v>
                </c:pt>
                <c:pt idx="108">
                  <c:v>1.0649999999999999</c:v>
                </c:pt>
                <c:pt idx="109">
                  <c:v>1.0649999999999999</c:v>
                </c:pt>
                <c:pt idx="110">
                  <c:v>1.0649999999999999</c:v>
                </c:pt>
                <c:pt idx="111">
                  <c:v>1.0660000000000001</c:v>
                </c:pt>
                <c:pt idx="112">
                  <c:v>1.0680000000000001</c:v>
                </c:pt>
                <c:pt idx="113">
                  <c:v>1.0680000000000001</c:v>
                </c:pt>
                <c:pt idx="114">
                  <c:v>1.0669999999999999</c:v>
                </c:pt>
                <c:pt idx="115">
                  <c:v>1.0669999999999999</c:v>
                </c:pt>
                <c:pt idx="116">
                  <c:v>1.0669999999999999</c:v>
                </c:pt>
                <c:pt idx="117">
                  <c:v>1.069</c:v>
                </c:pt>
                <c:pt idx="118">
                  <c:v>1.07</c:v>
                </c:pt>
                <c:pt idx="119">
                  <c:v>1.0720000000000001</c:v>
                </c:pt>
                <c:pt idx="120">
                  <c:v>1.073</c:v>
                </c:pt>
                <c:pt idx="121">
                  <c:v>1.075</c:v>
                </c:pt>
                <c:pt idx="122">
                  <c:v>1.0760000000000001</c:v>
                </c:pt>
                <c:pt idx="123">
                  <c:v>1.073</c:v>
                </c:pt>
                <c:pt idx="124">
                  <c:v>1.0720000000000001</c:v>
                </c:pt>
                <c:pt idx="125">
                  <c:v>1.069</c:v>
                </c:pt>
                <c:pt idx="126">
                  <c:v>1.069</c:v>
                </c:pt>
                <c:pt idx="127">
                  <c:v>1.069</c:v>
                </c:pt>
                <c:pt idx="128">
                  <c:v>1.0720000000000001</c:v>
                </c:pt>
                <c:pt idx="129">
                  <c:v>1.0740000000000001</c:v>
                </c:pt>
                <c:pt idx="130">
                  <c:v>1.0740000000000001</c:v>
                </c:pt>
                <c:pt idx="131">
                  <c:v>1.0760000000000001</c:v>
                </c:pt>
                <c:pt idx="132">
                  <c:v>1.0840000000000001</c:v>
                </c:pt>
                <c:pt idx="133">
                  <c:v>1.0820000000000001</c:v>
                </c:pt>
                <c:pt idx="134">
                  <c:v>1.0880000000000001</c:v>
                </c:pt>
                <c:pt idx="135">
                  <c:v>1.0840000000000001</c:v>
                </c:pt>
                <c:pt idx="136">
                  <c:v>1.0880000000000001</c:v>
                </c:pt>
                <c:pt idx="137">
                  <c:v>1.0940000000000001</c:v>
                </c:pt>
                <c:pt idx="138">
                  <c:v>1.101</c:v>
                </c:pt>
                <c:pt idx="139">
                  <c:v>1.107</c:v>
                </c:pt>
                <c:pt idx="140">
                  <c:v>1.103</c:v>
                </c:pt>
                <c:pt idx="141">
                  <c:v>1.1060000000000001</c:v>
                </c:pt>
                <c:pt idx="142">
                  <c:v>1.1080000000000001</c:v>
                </c:pt>
                <c:pt idx="143">
                  <c:v>1.101</c:v>
                </c:pt>
                <c:pt idx="144">
                  <c:v>1.1060000000000001</c:v>
                </c:pt>
                <c:pt idx="145">
                  <c:v>1.1100000000000001</c:v>
                </c:pt>
                <c:pt idx="146">
                  <c:v>1.1120000000000001</c:v>
                </c:pt>
                <c:pt idx="147">
                  <c:v>1.115</c:v>
                </c:pt>
                <c:pt idx="148">
                  <c:v>1.119</c:v>
                </c:pt>
                <c:pt idx="149">
                  <c:v>1.1200000000000001</c:v>
                </c:pt>
                <c:pt idx="150">
                  <c:v>1.1220000000000001</c:v>
                </c:pt>
                <c:pt idx="151">
                  <c:v>1.1240000000000001</c:v>
                </c:pt>
                <c:pt idx="152">
                  <c:v>1.121</c:v>
                </c:pt>
                <c:pt idx="153">
                  <c:v>1.121</c:v>
                </c:pt>
                <c:pt idx="154">
                  <c:v>1.1200000000000001</c:v>
                </c:pt>
                <c:pt idx="155">
                  <c:v>1.1220000000000001</c:v>
                </c:pt>
                <c:pt idx="156">
                  <c:v>1.127</c:v>
                </c:pt>
                <c:pt idx="157">
                  <c:v>1.135</c:v>
                </c:pt>
                <c:pt idx="158">
                  <c:v>1.1399999999999999</c:v>
                </c:pt>
                <c:pt idx="159">
                  <c:v>1.1439999999999999</c:v>
                </c:pt>
                <c:pt idx="160">
                  <c:v>1.151</c:v>
                </c:pt>
                <c:pt idx="161">
                  <c:v>1.151</c:v>
                </c:pt>
                <c:pt idx="162">
                  <c:v>1.153</c:v>
                </c:pt>
                <c:pt idx="163">
                  <c:v>1.153</c:v>
                </c:pt>
                <c:pt idx="164">
                  <c:v>1.1539999999999999</c:v>
                </c:pt>
                <c:pt idx="165">
                  <c:v>1.1499999999999999</c:v>
                </c:pt>
                <c:pt idx="166">
                  <c:v>1.1519999999999999</c:v>
                </c:pt>
                <c:pt idx="167">
                  <c:v>1.145</c:v>
                </c:pt>
                <c:pt idx="168">
                  <c:v>1.159</c:v>
                </c:pt>
                <c:pt idx="169">
                  <c:v>1.1619999999999999</c:v>
                </c:pt>
                <c:pt idx="170">
                  <c:v>1.161</c:v>
                </c:pt>
                <c:pt idx="171">
                  <c:v>1.163</c:v>
                </c:pt>
                <c:pt idx="172">
                  <c:v>1.1639999999999999</c:v>
                </c:pt>
                <c:pt idx="173">
                  <c:v>1.163</c:v>
                </c:pt>
                <c:pt idx="174">
                  <c:v>1.165</c:v>
                </c:pt>
                <c:pt idx="175">
                  <c:v>1.167</c:v>
                </c:pt>
                <c:pt idx="176">
                  <c:v>1.17</c:v>
                </c:pt>
                <c:pt idx="177">
                  <c:v>1.17</c:v>
                </c:pt>
                <c:pt idx="178">
                  <c:v>1.173</c:v>
                </c:pt>
                <c:pt idx="179">
                  <c:v>1.173</c:v>
                </c:pt>
                <c:pt idx="180">
                  <c:v>1.177</c:v>
                </c:pt>
                <c:pt idx="181">
                  <c:v>1.1779999999999999</c:v>
                </c:pt>
                <c:pt idx="182">
                  <c:v>1.1850000000000001</c:v>
                </c:pt>
                <c:pt idx="183">
                  <c:v>1.1850000000000001</c:v>
                </c:pt>
                <c:pt idx="184">
                  <c:v>1.1879999999999999</c:v>
                </c:pt>
                <c:pt idx="185">
                  <c:v>1.1859999999999999</c:v>
                </c:pt>
                <c:pt idx="186">
                  <c:v>1.19</c:v>
                </c:pt>
                <c:pt idx="187">
                  <c:v>1.1879999999999999</c:v>
                </c:pt>
                <c:pt idx="188">
                  <c:v>1.1850000000000001</c:v>
                </c:pt>
                <c:pt idx="189">
                  <c:v>1.1819999999999999</c:v>
                </c:pt>
                <c:pt idx="190">
                  <c:v>1.1850000000000001</c:v>
                </c:pt>
                <c:pt idx="191">
                  <c:v>1.1879999999999999</c:v>
                </c:pt>
                <c:pt idx="192">
                  <c:v>1.1890000000000001</c:v>
                </c:pt>
                <c:pt idx="193">
                  <c:v>1.1879999999999999</c:v>
                </c:pt>
                <c:pt idx="194">
                  <c:v>1.1890000000000001</c:v>
                </c:pt>
                <c:pt idx="195">
                  <c:v>1.1890000000000001</c:v>
                </c:pt>
                <c:pt idx="196">
                  <c:v>1.1910000000000001</c:v>
                </c:pt>
                <c:pt idx="197">
                  <c:v>1.1950000000000001</c:v>
                </c:pt>
                <c:pt idx="198">
                  <c:v>1.196</c:v>
                </c:pt>
                <c:pt idx="199">
                  <c:v>1.1950000000000001</c:v>
                </c:pt>
                <c:pt idx="200">
                  <c:v>1.19</c:v>
                </c:pt>
                <c:pt idx="201">
                  <c:v>1.1910000000000001</c:v>
                </c:pt>
                <c:pt idx="202">
                  <c:v>1.198</c:v>
                </c:pt>
                <c:pt idx="203">
                  <c:v>1.202</c:v>
                </c:pt>
                <c:pt idx="204">
                  <c:v>1.204</c:v>
                </c:pt>
                <c:pt idx="205">
                  <c:v>1.204</c:v>
                </c:pt>
                <c:pt idx="206">
                  <c:v>1.2050000000000001</c:v>
                </c:pt>
                <c:pt idx="207">
                  <c:v>1.202</c:v>
                </c:pt>
                <c:pt idx="208">
                  <c:v>1.204</c:v>
                </c:pt>
                <c:pt idx="209">
                  <c:v>1.2050000000000001</c:v>
                </c:pt>
                <c:pt idx="210">
                  <c:v>1.216</c:v>
                </c:pt>
                <c:pt idx="211">
                  <c:v>1.222</c:v>
                </c:pt>
                <c:pt idx="212">
                  <c:v>1.224</c:v>
                </c:pt>
                <c:pt idx="213">
                  <c:v>1.23</c:v>
                </c:pt>
                <c:pt idx="214">
                  <c:v>1.23</c:v>
                </c:pt>
                <c:pt idx="215">
                  <c:v>1.2310000000000001</c:v>
                </c:pt>
                <c:pt idx="216">
                  <c:v>1.2330000000000001</c:v>
                </c:pt>
                <c:pt idx="217">
                  <c:v>1.2430000000000001</c:v>
                </c:pt>
                <c:pt idx="218">
                  <c:v>1.2490000000000001</c:v>
                </c:pt>
                <c:pt idx="219">
                  <c:v>1.2529999999999999</c:v>
                </c:pt>
                <c:pt idx="220">
                  <c:v>1.254</c:v>
                </c:pt>
                <c:pt idx="221">
                  <c:v>1.258</c:v>
                </c:pt>
                <c:pt idx="222">
                  <c:v>1.2609999999999999</c:v>
                </c:pt>
                <c:pt idx="223">
                  <c:v>1.2629999999999999</c:v>
                </c:pt>
                <c:pt idx="224">
                  <c:v>1.2649999999999999</c:v>
                </c:pt>
                <c:pt idx="225">
                  <c:v>1.264</c:v>
                </c:pt>
                <c:pt idx="226">
                  <c:v>1.2629999999999999</c:v>
                </c:pt>
                <c:pt idx="227">
                  <c:v>1.264</c:v>
                </c:pt>
                <c:pt idx="228">
                  <c:v>1.266</c:v>
                </c:pt>
                <c:pt idx="229">
                  <c:v>1.266</c:v>
                </c:pt>
                <c:pt idx="230">
                  <c:v>1.2669999999999999</c:v>
                </c:pt>
                <c:pt idx="231">
                  <c:v>1.268</c:v>
                </c:pt>
                <c:pt idx="232">
                  <c:v>1.272</c:v>
                </c:pt>
                <c:pt idx="233">
                  <c:v>1.2709999999999999</c:v>
                </c:pt>
                <c:pt idx="234">
                  <c:v>1.2729999999999999</c:v>
                </c:pt>
                <c:pt idx="235">
                  <c:v>1.2729999999999999</c:v>
                </c:pt>
                <c:pt idx="236">
                  <c:v>1.276</c:v>
                </c:pt>
                <c:pt idx="237">
                  <c:v>1.2749999999999999</c:v>
                </c:pt>
                <c:pt idx="238">
                  <c:v>1.2769999999999999</c:v>
                </c:pt>
                <c:pt idx="239">
                  <c:v>1.2729999999999999</c:v>
                </c:pt>
                <c:pt idx="240">
                  <c:v>1.27</c:v>
                </c:pt>
                <c:pt idx="241">
                  <c:v>1.272</c:v>
                </c:pt>
                <c:pt idx="242">
                  <c:v>1.2709999999999999</c:v>
                </c:pt>
                <c:pt idx="243">
                  <c:v>1.2709999999999999</c:v>
                </c:pt>
                <c:pt idx="244">
                  <c:v>1.2729999999999999</c:v>
                </c:pt>
                <c:pt idx="245">
                  <c:v>1.274</c:v>
                </c:pt>
                <c:pt idx="246">
                  <c:v>1.272</c:v>
                </c:pt>
                <c:pt idx="247">
                  <c:v>1.2729999999999999</c:v>
                </c:pt>
                <c:pt idx="248">
                  <c:v>1.274</c:v>
                </c:pt>
                <c:pt idx="249">
                  <c:v>1.2729999999999999</c:v>
                </c:pt>
                <c:pt idx="250">
                  <c:v>1.2729999999999999</c:v>
                </c:pt>
                <c:pt idx="251">
                  <c:v>1.2729999999999999</c:v>
                </c:pt>
                <c:pt idx="252">
                  <c:v>1.276</c:v>
                </c:pt>
                <c:pt idx="253">
                  <c:v>1.2749999999999999</c:v>
                </c:pt>
                <c:pt idx="254">
                  <c:v>1.278</c:v>
                </c:pt>
                <c:pt idx="255">
                  <c:v>1.2769999999999999</c:v>
                </c:pt>
                <c:pt idx="256">
                  <c:v>1.28</c:v>
                </c:pt>
                <c:pt idx="257">
                  <c:v>1.2789999999999999</c:v>
                </c:pt>
                <c:pt idx="258">
                  <c:v>1.2809999999999999</c:v>
                </c:pt>
                <c:pt idx="259">
                  <c:v>1.2829999999999999</c:v>
                </c:pt>
                <c:pt idx="260">
                  <c:v>1.284</c:v>
                </c:pt>
                <c:pt idx="261">
                  <c:v>1.2849999999999999</c:v>
                </c:pt>
                <c:pt idx="262">
                  <c:v>1.286</c:v>
                </c:pt>
                <c:pt idx="263">
                  <c:v>1.2829999999999999</c:v>
                </c:pt>
                <c:pt idx="264">
                  <c:v>1.28</c:v>
                </c:pt>
                <c:pt idx="265">
                  <c:v>1.286</c:v>
                </c:pt>
                <c:pt idx="266">
                  <c:v>1.2849999999999999</c:v>
                </c:pt>
                <c:pt idx="267">
                  <c:v>1.2809999999999999</c:v>
                </c:pt>
                <c:pt idx="268">
                  <c:v>1.276</c:v>
                </c:pt>
                <c:pt idx="269">
                  <c:v>1.2749999999999999</c:v>
                </c:pt>
                <c:pt idx="270">
                  <c:v>1.276</c:v>
                </c:pt>
                <c:pt idx="271">
                  <c:v>1.276</c:v>
                </c:pt>
                <c:pt idx="272">
                  <c:v>1.2789999999999999</c:v>
                </c:pt>
                <c:pt idx="273">
                  <c:v>1.2789999999999999</c:v>
                </c:pt>
                <c:pt idx="274">
                  <c:v>1.28</c:v>
                </c:pt>
                <c:pt idx="275">
                  <c:v>1.2809999999999999</c:v>
                </c:pt>
                <c:pt idx="276">
                  <c:v>1.28</c:v>
                </c:pt>
                <c:pt idx="277">
                  <c:v>1.2829999999999999</c:v>
                </c:pt>
                <c:pt idx="278">
                  <c:v>1.284</c:v>
                </c:pt>
                <c:pt idx="279">
                  <c:v>1.284</c:v>
                </c:pt>
                <c:pt idx="280">
                  <c:v>1.2849999999999999</c:v>
                </c:pt>
                <c:pt idx="281">
                  <c:v>1.2849999999999999</c:v>
                </c:pt>
                <c:pt idx="282">
                  <c:v>1.2829999999999999</c:v>
                </c:pt>
                <c:pt idx="283">
                  <c:v>1.2849999999999999</c:v>
                </c:pt>
                <c:pt idx="284">
                  <c:v>1.2849999999999999</c:v>
                </c:pt>
                <c:pt idx="285">
                  <c:v>1.286</c:v>
                </c:pt>
                <c:pt idx="286">
                  <c:v>1.288</c:v>
                </c:pt>
                <c:pt idx="287">
                  <c:v>1.2929999999999999</c:v>
                </c:pt>
                <c:pt idx="288">
                  <c:v>1.294</c:v>
                </c:pt>
                <c:pt idx="289">
                  <c:v>1.2969999999999999</c:v>
                </c:pt>
                <c:pt idx="290">
                  <c:v>1.298</c:v>
                </c:pt>
                <c:pt idx="291">
                  <c:v>1.2989999999999999</c:v>
                </c:pt>
                <c:pt idx="292">
                  <c:v>1.3</c:v>
                </c:pt>
                <c:pt idx="293">
                  <c:v>1.3029999999999999</c:v>
                </c:pt>
                <c:pt idx="294">
                  <c:v>1.3080000000000001</c:v>
                </c:pt>
                <c:pt idx="295">
                  <c:v>1.3129999999999999</c:v>
                </c:pt>
                <c:pt idx="296">
                  <c:v>1.31</c:v>
                </c:pt>
                <c:pt idx="297">
                  <c:v>1.3140000000000001</c:v>
                </c:pt>
                <c:pt idx="298">
                  <c:v>1.3169999999999999</c:v>
                </c:pt>
                <c:pt idx="299">
                  <c:v>1.3169999999999999</c:v>
                </c:pt>
                <c:pt idx="300">
                  <c:v>1.3169999999999999</c:v>
                </c:pt>
                <c:pt idx="301">
                  <c:v>1.3169999999999999</c:v>
                </c:pt>
                <c:pt idx="302">
                  <c:v>1.3160000000000001</c:v>
                </c:pt>
                <c:pt idx="303">
                  <c:v>1.3120000000000001</c:v>
                </c:pt>
                <c:pt idx="304">
                  <c:v>1.306</c:v>
                </c:pt>
                <c:pt idx="305">
                  <c:v>1.306</c:v>
                </c:pt>
                <c:pt idx="306">
                  <c:v>1.3140000000000001</c:v>
                </c:pt>
                <c:pt idx="307">
                  <c:v>1.3149999999999999</c:v>
                </c:pt>
                <c:pt idx="308">
                  <c:v>1.319</c:v>
                </c:pt>
                <c:pt idx="309">
                  <c:v>1.3129999999999999</c:v>
                </c:pt>
                <c:pt idx="310">
                  <c:v>1.302</c:v>
                </c:pt>
                <c:pt idx="311">
                  <c:v>1.3009999999999999</c:v>
                </c:pt>
                <c:pt idx="312">
                  <c:v>1.3009999999999999</c:v>
                </c:pt>
                <c:pt idx="313">
                  <c:v>1.3009999999999999</c:v>
                </c:pt>
                <c:pt idx="314">
                  <c:v>1.304</c:v>
                </c:pt>
                <c:pt idx="315">
                  <c:v>1.3069999999999999</c:v>
                </c:pt>
                <c:pt idx="316">
                  <c:v>1.3080000000000001</c:v>
                </c:pt>
                <c:pt idx="317">
                  <c:v>1.3120000000000001</c:v>
                </c:pt>
                <c:pt idx="318">
                  <c:v>1.3120000000000001</c:v>
                </c:pt>
                <c:pt idx="319">
                  <c:v>1.3140000000000001</c:v>
                </c:pt>
                <c:pt idx="320">
                  <c:v>1.3149999999999999</c:v>
                </c:pt>
                <c:pt idx="321">
                  <c:v>1.3160000000000001</c:v>
                </c:pt>
                <c:pt idx="322">
                  <c:v>1.3169999999999999</c:v>
                </c:pt>
                <c:pt idx="323">
                  <c:v>1.3140000000000001</c:v>
                </c:pt>
                <c:pt idx="324">
                  <c:v>1.3169999999999999</c:v>
                </c:pt>
                <c:pt idx="325">
                  <c:v>1.327</c:v>
                </c:pt>
                <c:pt idx="326">
                  <c:v>1.325</c:v>
                </c:pt>
                <c:pt idx="327">
                  <c:v>1.3149999999999999</c:v>
                </c:pt>
                <c:pt idx="328">
                  <c:v>1.3140000000000001</c:v>
                </c:pt>
                <c:pt idx="329">
                  <c:v>1.3129999999999999</c:v>
                </c:pt>
                <c:pt idx="330">
                  <c:v>1.3169999999999999</c:v>
                </c:pt>
                <c:pt idx="331">
                  <c:v>1.3149999999999999</c:v>
                </c:pt>
                <c:pt idx="332">
                  <c:v>1.3129999999999999</c:v>
                </c:pt>
                <c:pt idx="333">
                  <c:v>1.3120000000000001</c:v>
                </c:pt>
                <c:pt idx="334">
                  <c:v>1.3140000000000001</c:v>
                </c:pt>
                <c:pt idx="335">
                  <c:v>1.3089999999999999</c:v>
                </c:pt>
                <c:pt idx="336">
                  <c:v>1.3009999999999999</c:v>
                </c:pt>
                <c:pt idx="337">
                  <c:v>1.3089999999999999</c:v>
                </c:pt>
                <c:pt idx="338">
                  <c:v>1.3120000000000001</c:v>
                </c:pt>
                <c:pt idx="339">
                  <c:v>1.3120000000000001</c:v>
                </c:pt>
                <c:pt idx="340">
                  <c:v>1.3160000000000001</c:v>
                </c:pt>
                <c:pt idx="341">
                  <c:v>1.325</c:v>
                </c:pt>
                <c:pt idx="342">
                  <c:v>1.32</c:v>
                </c:pt>
                <c:pt idx="343">
                  <c:v>1.319</c:v>
                </c:pt>
                <c:pt idx="344">
                  <c:v>1.3180000000000001</c:v>
                </c:pt>
                <c:pt idx="345">
                  <c:v>1.32</c:v>
                </c:pt>
                <c:pt idx="346">
                  <c:v>1.319</c:v>
                </c:pt>
                <c:pt idx="347">
                  <c:v>1.3260000000000001</c:v>
                </c:pt>
                <c:pt idx="348">
                  <c:v>1.327</c:v>
                </c:pt>
                <c:pt idx="349">
                  <c:v>1.329</c:v>
                </c:pt>
                <c:pt idx="350">
                  <c:v>1.329</c:v>
                </c:pt>
                <c:pt idx="351">
                  <c:v>1.331</c:v>
                </c:pt>
                <c:pt idx="352">
                  <c:v>1.3320000000000001</c:v>
                </c:pt>
                <c:pt idx="353">
                  <c:v>1.3360000000000001</c:v>
                </c:pt>
                <c:pt idx="354">
                  <c:v>1.335</c:v>
                </c:pt>
                <c:pt idx="355">
                  <c:v>1.3360000000000001</c:v>
                </c:pt>
                <c:pt idx="356">
                  <c:v>1.3340000000000001</c:v>
                </c:pt>
                <c:pt idx="357">
                  <c:v>1.335</c:v>
                </c:pt>
                <c:pt idx="358">
                  <c:v>1.337</c:v>
                </c:pt>
                <c:pt idx="359">
                  <c:v>1.3360000000000001</c:v>
                </c:pt>
                <c:pt idx="360">
                  <c:v>1.337</c:v>
                </c:pt>
                <c:pt idx="361">
                  <c:v>1.34</c:v>
                </c:pt>
                <c:pt idx="362">
                  <c:v>1.341</c:v>
                </c:pt>
                <c:pt idx="363">
                  <c:v>1.341</c:v>
                </c:pt>
                <c:pt idx="364">
                  <c:v>1.3420000000000001</c:v>
                </c:pt>
                <c:pt idx="365">
                  <c:v>1.341</c:v>
                </c:pt>
                <c:pt idx="366">
                  <c:v>1.345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E2-4598-B2DA-458304A59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099824"/>
        <c:axId val="545100384"/>
      </c:lineChart>
      <c:catAx>
        <c:axId val="54509982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crossAx val="545100384"/>
        <c:crosses val="autoZero"/>
        <c:auto val="0"/>
        <c:lblAlgn val="ctr"/>
        <c:lblOffset val="100"/>
        <c:noMultiLvlLbl val="1"/>
      </c:catAx>
      <c:valAx>
        <c:axId val="545100384"/>
        <c:scaling>
          <c:orientation val="minMax"/>
          <c:min val="1"/>
        </c:scaling>
        <c:delete val="0"/>
        <c:axPos val="l"/>
        <c:majorGridlines/>
        <c:numFmt formatCode="0.0000_ " sourceLinked="1"/>
        <c:majorTickMark val="none"/>
        <c:minorTickMark val="none"/>
        <c:tickLblPos val="nextTo"/>
        <c:spPr>
          <a:ln w="9525">
            <a:noFill/>
          </a:ln>
        </c:spPr>
        <c:crossAx val="54509982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4" l="0.70000000000000062" r="0.70000000000000062" t="0.750000000000004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 sz="1600"/>
              <a:t>新视野</a:t>
            </a:r>
            <a:r>
              <a:rPr lang="en-US" altLang="zh-CN" sz="1600"/>
              <a:t>1</a:t>
            </a:r>
            <a:r>
              <a:rPr lang="zh-CN" altLang="en-US" sz="1600"/>
              <a:t>号</a:t>
            </a:r>
            <a:endParaRPr lang="en-US" altLang="zh-CN" sz="16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新视野1号!$B$20</c:f>
              <c:strCache>
                <c:ptCount val="1"/>
                <c:pt idx="0">
                  <c:v>累计净值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新视野1号!$A$21:$A$436</c:f>
              <c:numCache>
                <c:formatCode>m/d/yyyy</c:formatCode>
                <c:ptCount val="416"/>
                <c:pt idx="0">
                  <c:v>43703</c:v>
                </c:pt>
                <c:pt idx="1">
                  <c:v>43704</c:v>
                </c:pt>
                <c:pt idx="2">
                  <c:v>43705</c:v>
                </c:pt>
                <c:pt idx="3">
                  <c:v>43706</c:v>
                </c:pt>
                <c:pt idx="4">
                  <c:v>43707</c:v>
                </c:pt>
                <c:pt idx="5">
                  <c:v>43710</c:v>
                </c:pt>
                <c:pt idx="6">
                  <c:v>43711</c:v>
                </c:pt>
                <c:pt idx="7">
                  <c:v>43712</c:v>
                </c:pt>
                <c:pt idx="8">
                  <c:v>43713</c:v>
                </c:pt>
                <c:pt idx="9">
                  <c:v>43714</c:v>
                </c:pt>
                <c:pt idx="10">
                  <c:v>43717</c:v>
                </c:pt>
                <c:pt idx="11">
                  <c:v>43718</c:v>
                </c:pt>
                <c:pt idx="12">
                  <c:v>43719</c:v>
                </c:pt>
                <c:pt idx="13">
                  <c:v>43720</c:v>
                </c:pt>
                <c:pt idx="14">
                  <c:v>43724</c:v>
                </c:pt>
                <c:pt idx="15">
                  <c:v>43725</c:v>
                </c:pt>
                <c:pt idx="16">
                  <c:v>43726</c:v>
                </c:pt>
                <c:pt idx="17">
                  <c:v>43727</c:v>
                </c:pt>
                <c:pt idx="18">
                  <c:v>43728</c:v>
                </c:pt>
                <c:pt idx="19">
                  <c:v>43731</c:v>
                </c:pt>
                <c:pt idx="20">
                  <c:v>43732</c:v>
                </c:pt>
                <c:pt idx="21">
                  <c:v>43733</c:v>
                </c:pt>
                <c:pt idx="22">
                  <c:v>43734</c:v>
                </c:pt>
                <c:pt idx="23">
                  <c:v>43735</c:v>
                </c:pt>
                <c:pt idx="24">
                  <c:v>43738</c:v>
                </c:pt>
                <c:pt idx="25">
                  <c:v>43746</c:v>
                </c:pt>
                <c:pt idx="26">
                  <c:v>43747</c:v>
                </c:pt>
                <c:pt idx="27">
                  <c:v>43748</c:v>
                </c:pt>
                <c:pt idx="28">
                  <c:v>43749</c:v>
                </c:pt>
                <c:pt idx="29">
                  <c:v>43752</c:v>
                </c:pt>
                <c:pt idx="30">
                  <c:v>43753</c:v>
                </c:pt>
                <c:pt idx="31">
                  <c:v>43754</c:v>
                </c:pt>
                <c:pt idx="32">
                  <c:v>43755</c:v>
                </c:pt>
                <c:pt idx="33">
                  <c:v>43756</c:v>
                </c:pt>
                <c:pt idx="34">
                  <c:v>43759</c:v>
                </c:pt>
                <c:pt idx="35">
                  <c:v>43760</c:v>
                </c:pt>
                <c:pt idx="36">
                  <c:v>43761</c:v>
                </c:pt>
                <c:pt idx="37">
                  <c:v>43762</c:v>
                </c:pt>
                <c:pt idx="38">
                  <c:v>43763</c:v>
                </c:pt>
                <c:pt idx="39">
                  <c:v>43766</c:v>
                </c:pt>
                <c:pt idx="40">
                  <c:v>43767</c:v>
                </c:pt>
                <c:pt idx="41">
                  <c:v>43768</c:v>
                </c:pt>
                <c:pt idx="42">
                  <c:v>43769</c:v>
                </c:pt>
                <c:pt idx="43">
                  <c:v>43770</c:v>
                </c:pt>
                <c:pt idx="44">
                  <c:v>43773</c:v>
                </c:pt>
                <c:pt idx="45">
                  <c:v>43774</c:v>
                </c:pt>
                <c:pt idx="46">
                  <c:v>43775</c:v>
                </c:pt>
                <c:pt idx="47">
                  <c:v>43776</c:v>
                </c:pt>
                <c:pt idx="48">
                  <c:v>43777</c:v>
                </c:pt>
                <c:pt idx="49">
                  <c:v>43780</c:v>
                </c:pt>
                <c:pt idx="50">
                  <c:v>43781</c:v>
                </c:pt>
                <c:pt idx="51">
                  <c:v>43782</c:v>
                </c:pt>
                <c:pt idx="52">
                  <c:v>43783</c:v>
                </c:pt>
                <c:pt idx="53">
                  <c:v>43784</c:v>
                </c:pt>
                <c:pt idx="54">
                  <c:v>43787</c:v>
                </c:pt>
                <c:pt idx="55">
                  <c:v>43788</c:v>
                </c:pt>
                <c:pt idx="56">
                  <c:v>43789</c:v>
                </c:pt>
                <c:pt idx="57">
                  <c:v>43790</c:v>
                </c:pt>
                <c:pt idx="58">
                  <c:v>43791</c:v>
                </c:pt>
                <c:pt idx="59">
                  <c:v>43794</c:v>
                </c:pt>
                <c:pt idx="60">
                  <c:v>43795</c:v>
                </c:pt>
                <c:pt idx="61">
                  <c:v>43796</c:v>
                </c:pt>
                <c:pt idx="62">
                  <c:v>43797</c:v>
                </c:pt>
                <c:pt idx="63">
                  <c:v>43798</c:v>
                </c:pt>
                <c:pt idx="64">
                  <c:v>43801</c:v>
                </c:pt>
                <c:pt idx="65">
                  <c:v>43802</c:v>
                </c:pt>
                <c:pt idx="66">
                  <c:v>43803</c:v>
                </c:pt>
                <c:pt idx="67">
                  <c:v>43804</c:v>
                </c:pt>
                <c:pt idx="68">
                  <c:v>43805</c:v>
                </c:pt>
                <c:pt idx="69">
                  <c:v>43808</c:v>
                </c:pt>
                <c:pt idx="70">
                  <c:v>43809</c:v>
                </c:pt>
                <c:pt idx="71">
                  <c:v>43810</c:v>
                </c:pt>
                <c:pt idx="72">
                  <c:v>43811</c:v>
                </c:pt>
                <c:pt idx="73">
                  <c:v>43812</c:v>
                </c:pt>
                <c:pt idx="74">
                  <c:v>43815</c:v>
                </c:pt>
                <c:pt idx="75">
                  <c:v>43816</c:v>
                </c:pt>
                <c:pt idx="76">
                  <c:v>43817</c:v>
                </c:pt>
                <c:pt idx="77">
                  <c:v>43818</c:v>
                </c:pt>
                <c:pt idx="78">
                  <c:v>43819</c:v>
                </c:pt>
                <c:pt idx="79">
                  <c:v>43822</c:v>
                </c:pt>
                <c:pt idx="80">
                  <c:v>43823</c:v>
                </c:pt>
                <c:pt idx="81">
                  <c:v>43824</c:v>
                </c:pt>
                <c:pt idx="82">
                  <c:v>43825</c:v>
                </c:pt>
                <c:pt idx="83">
                  <c:v>43826</c:v>
                </c:pt>
                <c:pt idx="84">
                  <c:v>43829</c:v>
                </c:pt>
                <c:pt idx="85">
                  <c:v>43830</c:v>
                </c:pt>
                <c:pt idx="86">
                  <c:v>43832</c:v>
                </c:pt>
                <c:pt idx="87">
                  <c:v>43833</c:v>
                </c:pt>
                <c:pt idx="88">
                  <c:v>43836</c:v>
                </c:pt>
                <c:pt idx="89">
                  <c:v>43837</c:v>
                </c:pt>
                <c:pt idx="90">
                  <c:v>43838</c:v>
                </c:pt>
                <c:pt idx="91">
                  <c:v>43839</c:v>
                </c:pt>
                <c:pt idx="92">
                  <c:v>43840</c:v>
                </c:pt>
                <c:pt idx="93">
                  <c:v>43843</c:v>
                </c:pt>
                <c:pt idx="94">
                  <c:v>43844</c:v>
                </c:pt>
                <c:pt idx="95">
                  <c:v>43845</c:v>
                </c:pt>
                <c:pt idx="96">
                  <c:v>43846</c:v>
                </c:pt>
                <c:pt idx="97">
                  <c:v>43847</c:v>
                </c:pt>
                <c:pt idx="98">
                  <c:v>43850</c:v>
                </c:pt>
                <c:pt idx="99">
                  <c:v>43851</c:v>
                </c:pt>
                <c:pt idx="100">
                  <c:v>43852</c:v>
                </c:pt>
                <c:pt idx="101">
                  <c:v>43853</c:v>
                </c:pt>
                <c:pt idx="102">
                  <c:v>43864</c:v>
                </c:pt>
                <c:pt idx="103">
                  <c:v>43865</c:v>
                </c:pt>
                <c:pt idx="104">
                  <c:v>43866</c:v>
                </c:pt>
                <c:pt idx="105">
                  <c:v>43867</c:v>
                </c:pt>
                <c:pt idx="106">
                  <c:v>43868</c:v>
                </c:pt>
                <c:pt idx="107">
                  <c:v>43871</c:v>
                </c:pt>
                <c:pt idx="108">
                  <c:v>43872</c:v>
                </c:pt>
                <c:pt idx="109">
                  <c:v>43873</c:v>
                </c:pt>
                <c:pt idx="110">
                  <c:v>43874</c:v>
                </c:pt>
                <c:pt idx="111">
                  <c:v>43875</c:v>
                </c:pt>
                <c:pt idx="112">
                  <c:v>43878</c:v>
                </c:pt>
                <c:pt idx="113">
                  <c:v>43879</c:v>
                </c:pt>
                <c:pt idx="114">
                  <c:v>43880</c:v>
                </c:pt>
                <c:pt idx="115">
                  <c:v>43881</c:v>
                </c:pt>
                <c:pt idx="116">
                  <c:v>43882</c:v>
                </c:pt>
                <c:pt idx="117">
                  <c:v>43885</c:v>
                </c:pt>
                <c:pt idx="118">
                  <c:v>43886</c:v>
                </c:pt>
                <c:pt idx="119">
                  <c:v>43887</c:v>
                </c:pt>
                <c:pt idx="120">
                  <c:v>43888</c:v>
                </c:pt>
                <c:pt idx="121">
                  <c:v>43889</c:v>
                </c:pt>
                <c:pt idx="122">
                  <c:v>43892</c:v>
                </c:pt>
                <c:pt idx="123">
                  <c:v>43893</c:v>
                </c:pt>
                <c:pt idx="124">
                  <c:v>43894</c:v>
                </c:pt>
                <c:pt idx="125">
                  <c:v>43895</c:v>
                </c:pt>
                <c:pt idx="126">
                  <c:v>43896</c:v>
                </c:pt>
                <c:pt idx="127">
                  <c:v>43899</c:v>
                </c:pt>
                <c:pt idx="128">
                  <c:v>43900</c:v>
                </c:pt>
                <c:pt idx="129">
                  <c:v>43901</c:v>
                </c:pt>
                <c:pt idx="130">
                  <c:v>43902</c:v>
                </c:pt>
                <c:pt idx="131">
                  <c:v>43903</c:v>
                </c:pt>
                <c:pt idx="132">
                  <c:v>43906</c:v>
                </c:pt>
                <c:pt idx="133">
                  <c:v>43907</c:v>
                </c:pt>
                <c:pt idx="134">
                  <c:v>43908</c:v>
                </c:pt>
                <c:pt idx="135">
                  <c:v>43909</c:v>
                </c:pt>
                <c:pt idx="136">
                  <c:v>43910</c:v>
                </c:pt>
                <c:pt idx="137">
                  <c:v>43913</c:v>
                </c:pt>
                <c:pt idx="138">
                  <c:v>43914</c:v>
                </c:pt>
                <c:pt idx="139">
                  <c:v>43915</c:v>
                </c:pt>
                <c:pt idx="140">
                  <c:v>43916</c:v>
                </c:pt>
                <c:pt idx="141">
                  <c:v>43917</c:v>
                </c:pt>
                <c:pt idx="142">
                  <c:v>43920</c:v>
                </c:pt>
                <c:pt idx="143">
                  <c:v>43921</c:v>
                </c:pt>
                <c:pt idx="144">
                  <c:v>43922</c:v>
                </c:pt>
                <c:pt idx="145">
                  <c:v>43923</c:v>
                </c:pt>
                <c:pt idx="146">
                  <c:v>43924</c:v>
                </c:pt>
                <c:pt idx="147">
                  <c:v>43928</c:v>
                </c:pt>
                <c:pt idx="148">
                  <c:v>43929</c:v>
                </c:pt>
                <c:pt idx="149">
                  <c:v>43930</c:v>
                </c:pt>
                <c:pt idx="150">
                  <c:v>43931</c:v>
                </c:pt>
                <c:pt idx="151">
                  <c:v>43934</c:v>
                </c:pt>
                <c:pt idx="152">
                  <c:v>43935</c:v>
                </c:pt>
                <c:pt idx="153">
                  <c:v>43936</c:v>
                </c:pt>
                <c:pt idx="154">
                  <c:v>43937</c:v>
                </c:pt>
                <c:pt idx="155">
                  <c:v>43938</c:v>
                </c:pt>
                <c:pt idx="156">
                  <c:v>43941</c:v>
                </c:pt>
                <c:pt idx="157">
                  <c:v>43942</c:v>
                </c:pt>
                <c:pt idx="158">
                  <c:v>43943</c:v>
                </c:pt>
                <c:pt idx="159">
                  <c:v>43944</c:v>
                </c:pt>
                <c:pt idx="160">
                  <c:v>43945</c:v>
                </c:pt>
                <c:pt idx="161">
                  <c:v>43948</c:v>
                </c:pt>
                <c:pt idx="162">
                  <c:v>43949</c:v>
                </c:pt>
                <c:pt idx="163">
                  <c:v>43950</c:v>
                </c:pt>
                <c:pt idx="164">
                  <c:v>43951</c:v>
                </c:pt>
                <c:pt idx="165">
                  <c:v>43957</c:v>
                </c:pt>
                <c:pt idx="166">
                  <c:v>43958</c:v>
                </c:pt>
                <c:pt idx="167">
                  <c:v>43959</c:v>
                </c:pt>
                <c:pt idx="168">
                  <c:v>43962</c:v>
                </c:pt>
                <c:pt idx="169">
                  <c:v>43963</c:v>
                </c:pt>
                <c:pt idx="170">
                  <c:v>43964</c:v>
                </c:pt>
                <c:pt idx="171">
                  <c:v>43965</c:v>
                </c:pt>
                <c:pt idx="172">
                  <c:v>43966</c:v>
                </c:pt>
                <c:pt idx="173">
                  <c:v>43969</c:v>
                </c:pt>
                <c:pt idx="174">
                  <c:v>43970</c:v>
                </c:pt>
                <c:pt idx="175">
                  <c:v>43971</c:v>
                </c:pt>
                <c:pt idx="176">
                  <c:v>43972</c:v>
                </c:pt>
                <c:pt idx="177">
                  <c:v>43973</c:v>
                </c:pt>
                <c:pt idx="178">
                  <c:v>43976</c:v>
                </c:pt>
                <c:pt idx="179">
                  <c:v>43977</c:v>
                </c:pt>
                <c:pt idx="180">
                  <c:v>43978</c:v>
                </c:pt>
                <c:pt idx="181">
                  <c:v>43979</c:v>
                </c:pt>
                <c:pt idx="182">
                  <c:v>43980</c:v>
                </c:pt>
                <c:pt idx="183">
                  <c:v>43983</c:v>
                </c:pt>
                <c:pt idx="184">
                  <c:v>43984</c:v>
                </c:pt>
                <c:pt idx="185">
                  <c:v>43985</c:v>
                </c:pt>
                <c:pt idx="186">
                  <c:v>43986</c:v>
                </c:pt>
                <c:pt idx="187">
                  <c:v>43987</c:v>
                </c:pt>
                <c:pt idx="188">
                  <c:v>43990</c:v>
                </c:pt>
                <c:pt idx="189">
                  <c:v>43991</c:v>
                </c:pt>
                <c:pt idx="190">
                  <c:v>43992</c:v>
                </c:pt>
                <c:pt idx="191">
                  <c:v>43993</c:v>
                </c:pt>
                <c:pt idx="192">
                  <c:v>43994</c:v>
                </c:pt>
                <c:pt idx="193">
                  <c:v>43997</c:v>
                </c:pt>
                <c:pt idx="194">
                  <c:v>43998</c:v>
                </c:pt>
                <c:pt idx="195">
                  <c:v>43999</c:v>
                </c:pt>
                <c:pt idx="196">
                  <c:v>44000</c:v>
                </c:pt>
                <c:pt idx="197">
                  <c:v>44001</c:v>
                </c:pt>
                <c:pt idx="198">
                  <c:v>44004</c:v>
                </c:pt>
                <c:pt idx="199">
                  <c:v>44005</c:v>
                </c:pt>
                <c:pt idx="200">
                  <c:v>44006</c:v>
                </c:pt>
                <c:pt idx="201">
                  <c:v>44011</c:v>
                </c:pt>
                <c:pt idx="202">
                  <c:v>44012</c:v>
                </c:pt>
                <c:pt idx="203">
                  <c:v>44013</c:v>
                </c:pt>
                <c:pt idx="204">
                  <c:v>44014</c:v>
                </c:pt>
                <c:pt idx="205">
                  <c:v>44015</c:v>
                </c:pt>
                <c:pt idx="206">
                  <c:v>44018</c:v>
                </c:pt>
                <c:pt idx="207">
                  <c:v>44019</c:v>
                </c:pt>
                <c:pt idx="208">
                  <c:v>44020</c:v>
                </c:pt>
                <c:pt idx="209">
                  <c:v>44021</c:v>
                </c:pt>
                <c:pt idx="210">
                  <c:v>44022</c:v>
                </c:pt>
                <c:pt idx="211">
                  <c:v>44025</c:v>
                </c:pt>
                <c:pt idx="212">
                  <c:v>44026</c:v>
                </c:pt>
                <c:pt idx="213">
                  <c:v>44027</c:v>
                </c:pt>
                <c:pt idx="214">
                  <c:v>44028</c:v>
                </c:pt>
                <c:pt idx="215">
                  <c:v>44029</c:v>
                </c:pt>
                <c:pt idx="216">
                  <c:v>44032</c:v>
                </c:pt>
                <c:pt idx="217">
                  <c:v>44033</c:v>
                </c:pt>
                <c:pt idx="218">
                  <c:v>44034</c:v>
                </c:pt>
                <c:pt idx="219">
                  <c:v>44035</c:v>
                </c:pt>
                <c:pt idx="220">
                  <c:v>44036</c:v>
                </c:pt>
                <c:pt idx="221">
                  <c:v>44039</c:v>
                </c:pt>
                <c:pt idx="222">
                  <c:v>44040</c:v>
                </c:pt>
                <c:pt idx="223">
                  <c:v>44041</c:v>
                </c:pt>
                <c:pt idx="224">
                  <c:v>44042</c:v>
                </c:pt>
                <c:pt idx="225">
                  <c:v>44043</c:v>
                </c:pt>
                <c:pt idx="226">
                  <c:v>44046</c:v>
                </c:pt>
                <c:pt idx="227">
                  <c:v>44047</c:v>
                </c:pt>
                <c:pt idx="228">
                  <c:v>44048</c:v>
                </c:pt>
                <c:pt idx="229">
                  <c:v>44049</c:v>
                </c:pt>
                <c:pt idx="230">
                  <c:v>44050</c:v>
                </c:pt>
                <c:pt idx="231">
                  <c:v>44053</c:v>
                </c:pt>
                <c:pt idx="232">
                  <c:v>44054</c:v>
                </c:pt>
                <c:pt idx="233">
                  <c:v>44055</c:v>
                </c:pt>
                <c:pt idx="234">
                  <c:v>44056</c:v>
                </c:pt>
                <c:pt idx="235">
                  <c:v>44057</c:v>
                </c:pt>
                <c:pt idx="236">
                  <c:v>44060</c:v>
                </c:pt>
                <c:pt idx="237">
                  <c:v>44061</c:v>
                </c:pt>
                <c:pt idx="238">
                  <c:v>44062</c:v>
                </c:pt>
                <c:pt idx="239">
                  <c:v>44063</c:v>
                </c:pt>
                <c:pt idx="240">
                  <c:v>44064</c:v>
                </c:pt>
                <c:pt idx="241">
                  <c:v>44067</c:v>
                </c:pt>
                <c:pt idx="242">
                  <c:v>44068</c:v>
                </c:pt>
                <c:pt idx="243">
                  <c:v>44069</c:v>
                </c:pt>
                <c:pt idx="244">
                  <c:v>44070</c:v>
                </c:pt>
                <c:pt idx="245">
                  <c:v>44071</c:v>
                </c:pt>
                <c:pt idx="246">
                  <c:v>44074</c:v>
                </c:pt>
                <c:pt idx="247">
                  <c:v>44075</c:v>
                </c:pt>
                <c:pt idx="248">
                  <c:v>44076</c:v>
                </c:pt>
                <c:pt idx="249">
                  <c:v>44077</c:v>
                </c:pt>
                <c:pt idx="250">
                  <c:v>44078</c:v>
                </c:pt>
                <c:pt idx="251">
                  <c:v>44081</c:v>
                </c:pt>
                <c:pt idx="252">
                  <c:v>44082</c:v>
                </c:pt>
                <c:pt idx="253">
                  <c:v>44083</c:v>
                </c:pt>
                <c:pt idx="254">
                  <c:v>44084</c:v>
                </c:pt>
                <c:pt idx="255">
                  <c:v>44085</c:v>
                </c:pt>
                <c:pt idx="256">
                  <c:v>44088</c:v>
                </c:pt>
                <c:pt idx="257">
                  <c:v>44089</c:v>
                </c:pt>
                <c:pt idx="258">
                  <c:v>44090</c:v>
                </c:pt>
                <c:pt idx="259">
                  <c:v>44091</c:v>
                </c:pt>
                <c:pt idx="260">
                  <c:v>44092</c:v>
                </c:pt>
                <c:pt idx="261">
                  <c:v>44095</c:v>
                </c:pt>
                <c:pt idx="262">
                  <c:v>44096</c:v>
                </c:pt>
                <c:pt idx="263">
                  <c:v>44097</c:v>
                </c:pt>
                <c:pt idx="264">
                  <c:v>44098</c:v>
                </c:pt>
                <c:pt idx="265">
                  <c:v>44099</c:v>
                </c:pt>
                <c:pt idx="266">
                  <c:v>44102</c:v>
                </c:pt>
                <c:pt idx="267">
                  <c:v>44103</c:v>
                </c:pt>
                <c:pt idx="268">
                  <c:v>44104</c:v>
                </c:pt>
                <c:pt idx="269">
                  <c:v>44113</c:v>
                </c:pt>
                <c:pt idx="270">
                  <c:v>44116</c:v>
                </c:pt>
                <c:pt idx="271">
                  <c:v>44117</c:v>
                </c:pt>
                <c:pt idx="272">
                  <c:v>44118</c:v>
                </c:pt>
                <c:pt idx="273">
                  <c:v>44119</c:v>
                </c:pt>
                <c:pt idx="274">
                  <c:v>44120</c:v>
                </c:pt>
                <c:pt idx="275">
                  <c:v>44123</c:v>
                </c:pt>
                <c:pt idx="276">
                  <c:v>44124</c:v>
                </c:pt>
                <c:pt idx="277">
                  <c:v>44125</c:v>
                </c:pt>
                <c:pt idx="278">
                  <c:v>44126</c:v>
                </c:pt>
                <c:pt idx="279">
                  <c:v>44127</c:v>
                </c:pt>
                <c:pt idx="280">
                  <c:v>44130</c:v>
                </c:pt>
                <c:pt idx="281">
                  <c:v>44131</c:v>
                </c:pt>
                <c:pt idx="282">
                  <c:v>44132</c:v>
                </c:pt>
                <c:pt idx="283">
                  <c:v>44133</c:v>
                </c:pt>
                <c:pt idx="284">
                  <c:v>44134</c:v>
                </c:pt>
                <c:pt idx="285">
                  <c:v>44137</c:v>
                </c:pt>
                <c:pt idx="286">
                  <c:v>44138</c:v>
                </c:pt>
                <c:pt idx="287">
                  <c:v>44139</c:v>
                </c:pt>
                <c:pt idx="288">
                  <c:v>44140</c:v>
                </c:pt>
                <c:pt idx="289">
                  <c:v>44141</c:v>
                </c:pt>
                <c:pt idx="290">
                  <c:v>44144</c:v>
                </c:pt>
                <c:pt idx="291">
                  <c:v>44145</c:v>
                </c:pt>
                <c:pt idx="292">
                  <c:v>44146</c:v>
                </c:pt>
                <c:pt idx="293">
                  <c:v>44147</c:v>
                </c:pt>
                <c:pt idx="294">
                  <c:v>44148</c:v>
                </c:pt>
                <c:pt idx="295">
                  <c:v>44151</c:v>
                </c:pt>
                <c:pt idx="296">
                  <c:v>44152</c:v>
                </c:pt>
                <c:pt idx="297">
                  <c:v>44153</c:v>
                </c:pt>
                <c:pt idx="298">
                  <c:v>44154</c:v>
                </c:pt>
                <c:pt idx="299">
                  <c:v>44155</c:v>
                </c:pt>
                <c:pt idx="300">
                  <c:v>44158</c:v>
                </c:pt>
                <c:pt idx="301">
                  <c:v>44159</c:v>
                </c:pt>
                <c:pt idx="302">
                  <c:v>44160</c:v>
                </c:pt>
                <c:pt idx="303">
                  <c:v>44161</c:v>
                </c:pt>
                <c:pt idx="304">
                  <c:v>44162</c:v>
                </c:pt>
                <c:pt idx="305">
                  <c:v>44165</c:v>
                </c:pt>
                <c:pt idx="306">
                  <c:v>44166</c:v>
                </c:pt>
                <c:pt idx="307">
                  <c:v>44167</c:v>
                </c:pt>
                <c:pt idx="308">
                  <c:v>44168</c:v>
                </c:pt>
                <c:pt idx="309">
                  <c:v>44169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44179</c:v>
                </c:pt>
                <c:pt idx="316">
                  <c:v>44180</c:v>
                </c:pt>
                <c:pt idx="317">
                  <c:v>44181</c:v>
                </c:pt>
                <c:pt idx="318">
                  <c:v>44182</c:v>
                </c:pt>
                <c:pt idx="319">
                  <c:v>44183</c:v>
                </c:pt>
                <c:pt idx="320">
                  <c:v>44186</c:v>
                </c:pt>
                <c:pt idx="321">
                  <c:v>44187</c:v>
                </c:pt>
                <c:pt idx="322">
                  <c:v>44188</c:v>
                </c:pt>
                <c:pt idx="323">
                  <c:v>44189</c:v>
                </c:pt>
                <c:pt idx="324">
                  <c:v>44190</c:v>
                </c:pt>
                <c:pt idx="325">
                  <c:v>44193</c:v>
                </c:pt>
                <c:pt idx="326">
                  <c:v>44194</c:v>
                </c:pt>
                <c:pt idx="327">
                  <c:v>44195</c:v>
                </c:pt>
                <c:pt idx="328">
                  <c:v>44196</c:v>
                </c:pt>
                <c:pt idx="329">
                  <c:v>44200</c:v>
                </c:pt>
                <c:pt idx="330">
                  <c:v>44201</c:v>
                </c:pt>
                <c:pt idx="331">
                  <c:v>44202</c:v>
                </c:pt>
                <c:pt idx="332">
                  <c:v>44203</c:v>
                </c:pt>
                <c:pt idx="333">
                  <c:v>44204</c:v>
                </c:pt>
                <c:pt idx="334">
                  <c:v>44207</c:v>
                </c:pt>
                <c:pt idx="335">
                  <c:v>44208</c:v>
                </c:pt>
                <c:pt idx="336">
                  <c:v>44209</c:v>
                </c:pt>
                <c:pt idx="337">
                  <c:v>44210</c:v>
                </c:pt>
                <c:pt idx="338">
                  <c:v>44211</c:v>
                </c:pt>
                <c:pt idx="339">
                  <c:v>44214</c:v>
                </c:pt>
                <c:pt idx="340">
                  <c:v>44215</c:v>
                </c:pt>
                <c:pt idx="341">
                  <c:v>44216</c:v>
                </c:pt>
                <c:pt idx="342">
                  <c:v>44217</c:v>
                </c:pt>
                <c:pt idx="343">
                  <c:v>44218</c:v>
                </c:pt>
                <c:pt idx="344">
                  <c:v>44221</c:v>
                </c:pt>
                <c:pt idx="345">
                  <c:v>44222</c:v>
                </c:pt>
                <c:pt idx="346">
                  <c:v>44223</c:v>
                </c:pt>
                <c:pt idx="347">
                  <c:v>44224</c:v>
                </c:pt>
                <c:pt idx="348">
                  <c:v>44225</c:v>
                </c:pt>
                <c:pt idx="349">
                  <c:v>44228</c:v>
                </c:pt>
                <c:pt idx="350">
                  <c:v>44229</c:v>
                </c:pt>
                <c:pt idx="351">
                  <c:v>44230</c:v>
                </c:pt>
                <c:pt idx="352">
                  <c:v>44231</c:v>
                </c:pt>
                <c:pt idx="353">
                  <c:v>44232</c:v>
                </c:pt>
                <c:pt idx="354">
                  <c:v>44235</c:v>
                </c:pt>
                <c:pt idx="355">
                  <c:v>44236</c:v>
                </c:pt>
                <c:pt idx="356">
                  <c:v>44237</c:v>
                </c:pt>
                <c:pt idx="357">
                  <c:v>44245</c:v>
                </c:pt>
                <c:pt idx="358">
                  <c:v>44246</c:v>
                </c:pt>
                <c:pt idx="359">
                  <c:v>44249</c:v>
                </c:pt>
                <c:pt idx="360">
                  <c:v>44250</c:v>
                </c:pt>
                <c:pt idx="361">
                  <c:v>44251</c:v>
                </c:pt>
                <c:pt idx="362">
                  <c:v>44252</c:v>
                </c:pt>
                <c:pt idx="363">
                  <c:v>44253</c:v>
                </c:pt>
                <c:pt idx="364">
                  <c:v>44256</c:v>
                </c:pt>
                <c:pt idx="365">
                  <c:v>44257</c:v>
                </c:pt>
                <c:pt idx="366">
                  <c:v>44258</c:v>
                </c:pt>
                <c:pt idx="367">
                  <c:v>44259</c:v>
                </c:pt>
                <c:pt idx="368">
                  <c:v>44260</c:v>
                </c:pt>
                <c:pt idx="369">
                  <c:v>44263</c:v>
                </c:pt>
                <c:pt idx="370">
                  <c:v>44264</c:v>
                </c:pt>
                <c:pt idx="371">
                  <c:v>44265</c:v>
                </c:pt>
                <c:pt idx="372">
                  <c:v>44266</c:v>
                </c:pt>
                <c:pt idx="373">
                  <c:v>44267</c:v>
                </c:pt>
                <c:pt idx="374">
                  <c:v>44270</c:v>
                </c:pt>
                <c:pt idx="375">
                  <c:v>44271</c:v>
                </c:pt>
                <c:pt idx="376">
                  <c:v>44272</c:v>
                </c:pt>
                <c:pt idx="377">
                  <c:v>44273</c:v>
                </c:pt>
                <c:pt idx="378">
                  <c:v>44274</c:v>
                </c:pt>
                <c:pt idx="379">
                  <c:v>44277</c:v>
                </c:pt>
                <c:pt idx="380">
                  <c:v>44278</c:v>
                </c:pt>
                <c:pt idx="381">
                  <c:v>44279</c:v>
                </c:pt>
                <c:pt idx="382">
                  <c:v>44280</c:v>
                </c:pt>
                <c:pt idx="383">
                  <c:v>44281</c:v>
                </c:pt>
                <c:pt idx="384">
                  <c:v>44284</c:v>
                </c:pt>
                <c:pt idx="385">
                  <c:v>44285</c:v>
                </c:pt>
                <c:pt idx="386">
                  <c:v>44286</c:v>
                </c:pt>
                <c:pt idx="387">
                  <c:v>44287</c:v>
                </c:pt>
                <c:pt idx="388">
                  <c:v>44288</c:v>
                </c:pt>
                <c:pt idx="389">
                  <c:v>44292</c:v>
                </c:pt>
                <c:pt idx="390">
                  <c:v>44293</c:v>
                </c:pt>
                <c:pt idx="391">
                  <c:v>44294</c:v>
                </c:pt>
                <c:pt idx="392">
                  <c:v>44295</c:v>
                </c:pt>
                <c:pt idx="393">
                  <c:v>44298</c:v>
                </c:pt>
                <c:pt idx="394">
                  <c:v>44299</c:v>
                </c:pt>
                <c:pt idx="395">
                  <c:v>44300</c:v>
                </c:pt>
                <c:pt idx="396">
                  <c:v>44301</c:v>
                </c:pt>
                <c:pt idx="397">
                  <c:v>44302</c:v>
                </c:pt>
                <c:pt idx="398">
                  <c:v>44305</c:v>
                </c:pt>
                <c:pt idx="399">
                  <c:v>44306</c:v>
                </c:pt>
                <c:pt idx="400">
                  <c:v>44307</c:v>
                </c:pt>
                <c:pt idx="401">
                  <c:v>44308</c:v>
                </c:pt>
                <c:pt idx="402">
                  <c:v>44309</c:v>
                </c:pt>
                <c:pt idx="403">
                  <c:v>44312</c:v>
                </c:pt>
                <c:pt idx="404">
                  <c:v>44313</c:v>
                </c:pt>
                <c:pt idx="405">
                  <c:v>44314</c:v>
                </c:pt>
                <c:pt idx="406">
                  <c:v>44315</c:v>
                </c:pt>
                <c:pt idx="407">
                  <c:v>44316</c:v>
                </c:pt>
                <c:pt idx="408">
                  <c:v>44322</c:v>
                </c:pt>
                <c:pt idx="409">
                  <c:v>44323</c:v>
                </c:pt>
                <c:pt idx="410">
                  <c:v>44326</c:v>
                </c:pt>
                <c:pt idx="411">
                  <c:v>44327</c:v>
                </c:pt>
                <c:pt idx="412">
                  <c:v>44328</c:v>
                </c:pt>
                <c:pt idx="413">
                  <c:v>44329</c:v>
                </c:pt>
                <c:pt idx="414">
                  <c:v>44330</c:v>
                </c:pt>
                <c:pt idx="415">
                  <c:v>44333</c:v>
                </c:pt>
              </c:numCache>
            </c:numRef>
          </c:cat>
          <c:val>
            <c:numRef>
              <c:f>新视野1号!$B$21:$B$436</c:f>
              <c:numCache>
                <c:formatCode>0.0000_ </c:formatCode>
                <c:ptCount val="416"/>
                <c:pt idx="0">
                  <c:v>1.0053000000000001</c:v>
                </c:pt>
                <c:pt idx="1">
                  <c:v>1.0065</c:v>
                </c:pt>
                <c:pt idx="2">
                  <c:v>1.0037</c:v>
                </c:pt>
                <c:pt idx="3">
                  <c:v>1.0051000000000001</c:v>
                </c:pt>
                <c:pt idx="4">
                  <c:v>1.0065999999999999</c:v>
                </c:pt>
                <c:pt idx="5">
                  <c:v>1.0025999999999999</c:v>
                </c:pt>
                <c:pt idx="6">
                  <c:v>1.0043</c:v>
                </c:pt>
                <c:pt idx="7">
                  <c:v>1.0016</c:v>
                </c:pt>
                <c:pt idx="8">
                  <c:v>0.99309999999999998</c:v>
                </c:pt>
                <c:pt idx="9">
                  <c:v>0.99639999999999995</c:v>
                </c:pt>
                <c:pt idx="10">
                  <c:v>0.99829999999999997</c:v>
                </c:pt>
                <c:pt idx="11">
                  <c:v>0.99890000000000001</c:v>
                </c:pt>
                <c:pt idx="12">
                  <c:v>0.99550000000000005</c:v>
                </c:pt>
                <c:pt idx="13">
                  <c:v>0.99560000000000004</c:v>
                </c:pt>
                <c:pt idx="14">
                  <c:v>1.0016</c:v>
                </c:pt>
                <c:pt idx="15">
                  <c:v>1.0027999999999999</c:v>
                </c:pt>
                <c:pt idx="16">
                  <c:v>1.0038</c:v>
                </c:pt>
                <c:pt idx="17">
                  <c:v>1.0085999999999999</c:v>
                </c:pt>
                <c:pt idx="18">
                  <c:v>1.0072000000000001</c:v>
                </c:pt>
                <c:pt idx="19">
                  <c:v>1.0055000000000001</c:v>
                </c:pt>
                <c:pt idx="20">
                  <c:v>1.0046999999999999</c:v>
                </c:pt>
                <c:pt idx="21">
                  <c:v>1.0024999999999999</c:v>
                </c:pt>
                <c:pt idx="22">
                  <c:v>1.0007999999999999</c:v>
                </c:pt>
                <c:pt idx="23">
                  <c:v>1.0048999999999999</c:v>
                </c:pt>
                <c:pt idx="24">
                  <c:v>1.0058</c:v>
                </c:pt>
                <c:pt idx="25">
                  <c:v>1.0081</c:v>
                </c:pt>
                <c:pt idx="26">
                  <c:v>1.0112000000000001</c:v>
                </c:pt>
                <c:pt idx="27">
                  <c:v>1.0142</c:v>
                </c:pt>
                <c:pt idx="28">
                  <c:v>1.0105999999999999</c:v>
                </c:pt>
                <c:pt idx="29">
                  <c:v>1.0111000000000001</c:v>
                </c:pt>
                <c:pt idx="30">
                  <c:v>1.0093000000000001</c:v>
                </c:pt>
                <c:pt idx="31">
                  <c:v>1.0119</c:v>
                </c:pt>
                <c:pt idx="32">
                  <c:v>1.0135000000000001</c:v>
                </c:pt>
                <c:pt idx="33">
                  <c:v>1.016</c:v>
                </c:pt>
                <c:pt idx="34">
                  <c:v>1.0174000000000001</c:v>
                </c:pt>
                <c:pt idx="35">
                  <c:v>1.0167999999999999</c:v>
                </c:pt>
                <c:pt idx="36">
                  <c:v>1.0165</c:v>
                </c:pt>
                <c:pt idx="37">
                  <c:v>1.0153000000000001</c:v>
                </c:pt>
                <c:pt idx="38">
                  <c:v>1.0161</c:v>
                </c:pt>
                <c:pt idx="39">
                  <c:v>1.0190999999999999</c:v>
                </c:pt>
                <c:pt idx="40">
                  <c:v>1.0178</c:v>
                </c:pt>
                <c:pt idx="41">
                  <c:v>1.0201</c:v>
                </c:pt>
                <c:pt idx="42">
                  <c:v>1.0185</c:v>
                </c:pt>
                <c:pt idx="43">
                  <c:v>1.0217000000000001</c:v>
                </c:pt>
                <c:pt idx="44">
                  <c:v>1.0241</c:v>
                </c:pt>
                <c:pt idx="45">
                  <c:v>1.0221</c:v>
                </c:pt>
                <c:pt idx="46">
                  <c:v>1.0262</c:v>
                </c:pt>
                <c:pt idx="47">
                  <c:v>1.0274000000000001</c:v>
                </c:pt>
                <c:pt idx="48">
                  <c:v>1.0263</c:v>
                </c:pt>
                <c:pt idx="49">
                  <c:v>1.0264</c:v>
                </c:pt>
                <c:pt idx="50">
                  <c:v>1.0316000000000001</c:v>
                </c:pt>
                <c:pt idx="51">
                  <c:v>1.0290999999999999</c:v>
                </c:pt>
                <c:pt idx="52">
                  <c:v>1.0301</c:v>
                </c:pt>
                <c:pt idx="53">
                  <c:v>1.0254000000000001</c:v>
                </c:pt>
                <c:pt idx="54">
                  <c:v>1.0297000000000001</c:v>
                </c:pt>
                <c:pt idx="55">
                  <c:v>1.0311999999999999</c:v>
                </c:pt>
                <c:pt idx="56">
                  <c:v>1.0303</c:v>
                </c:pt>
                <c:pt idx="57">
                  <c:v>1.03</c:v>
                </c:pt>
                <c:pt idx="58">
                  <c:v>1.0279</c:v>
                </c:pt>
                <c:pt idx="59">
                  <c:v>1.0264</c:v>
                </c:pt>
                <c:pt idx="60">
                  <c:v>1.0271999999999999</c:v>
                </c:pt>
                <c:pt idx="61">
                  <c:v>1.0267999999999999</c:v>
                </c:pt>
                <c:pt idx="62">
                  <c:v>1.0246999999999999</c:v>
                </c:pt>
                <c:pt idx="63">
                  <c:v>1.0232000000000001</c:v>
                </c:pt>
                <c:pt idx="64">
                  <c:v>1.0221</c:v>
                </c:pt>
                <c:pt idx="65">
                  <c:v>1.0227999999999999</c:v>
                </c:pt>
                <c:pt idx="66">
                  <c:v>1.0234000000000001</c:v>
                </c:pt>
                <c:pt idx="67">
                  <c:v>1.0226999999999999</c:v>
                </c:pt>
                <c:pt idx="68">
                  <c:v>1.0237000000000001</c:v>
                </c:pt>
                <c:pt idx="69">
                  <c:v>1.0195000000000001</c:v>
                </c:pt>
                <c:pt idx="70">
                  <c:v>1.0147999999999999</c:v>
                </c:pt>
                <c:pt idx="71">
                  <c:v>1.0158</c:v>
                </c:pt>
                <c:pt idx="72">
                  <c:v>1.016</c:v>
                </c:pt>
                <c:pt idx="73">
                  <c:v>1.0187999999999999</c:v>
                </c:pt>
                <c:pt idx="74">
                  <c:v>1.0221</c:v>
                </c:pt>
                <c:pt idx="75">
                  <c:v>1.0132000000000001</c:v>
                </c:pt>
                <c:pt idx="76">
                  <c:v>1.0130999999999999</c:v>
                </c:pt>
                <c:pt idx="77">
                  <c:v>1.0124</c:v>
                </c:pt>
                <c:pt idx="78">
                  <c:v>1.0056</c:v>
                </c:pt>
                <c:pt idx="79">
                  <c:v>1.0165999999999999</c:v>
                </c:pt>
                <c:pt idx="80">
                  <c:v>1.0204</c:v>
                </c:pt>
                <c:pt idx="81">
                  <c:v>1.0243</c:v>
                </c:pt>
                <c:pt idx="82">
                  <c:v>1.0244</c:v>
                </c:pt>
                <c:pt idx="83">
                  <c:v>1.0206</c:v>
                </c:pt>
                <c:pt idx="84">
                  <c:v>1.0166999999999999</c:v>
                </c:pt>
                <c:pt idx="85">
                  <c:v>1.0186999999999999</c:v>
                </c:pt>
                <c:pt idx="86">
                  <c:v>1.0189999999999999</c:v>
                </c:pt>
                <c:pt idx="87">
                  <c:v>1.0201</c:v>
                </c:pt>
                <c:pt idx="88">
                  <c:v>1.0230999999999999</c:v>
                </c:pt>
                <c:pt idx="89">
                  <c:v>1.0214000000000001</c:v>
                </c:pt>
                <c:pt idx="90">
                  <c:v>1.0198</c:v>
                </c:pt>
                <c:pt idx="91">
                  <c:v>1.028</c:v>
                </c:pt>
                <c:pt idx="92">
                  <c:v>1.0291999999999999</c:v>
                </c:pt>
                <c:pt idx="93">
                  <c:v>1.0337000000000001</c:v>
                </c:pt>
                <c:pt idx="94">
                  <c:v>1.0284</c:v>
                </c:pt>
                <c:pt idx="95">
                  <c:v>1.0289999999999999</c:v>
                </c:pt>
                <c:pt idx="96">
                  <c:v>1.0293000000000001</c:v>
                </c:pt>
                <c:pt idx="97">
                  <c:v>1.0311999999999999</c:v>
                </c:pt>
                <c:pt idx="98">
                  <c:v>1.0325</c:v>
                </c:pt>
                <c:pt idx="99">
                  <c:v>1.0322</c:v>
                </c:pt>
                <c:pt idx="100">
                  <c:v>1.0317000000000001</c:v>
                </c:pt>
                <c:pt idx="101">
                  <c:v>1.0406</c:v>
                </c:pt>
                <c:pt idx="102">
                  <c:v>1.046</c:v>
                </c:pt>
                <c:pt idx="103">
                  <c:v>1.0387999999999999</c:v>
                </c:pt>
                <c:pt idx="104">
                  <c:v>1.0468999999999999</c:v>
                </c:pt>
                <c:pt idx="105">
                  <c:v>1.0492999999999999</c:v>
                </c:pt>
                <c:pt idx="106">
                  <c:v>1.0533999999999999</c:v>
                </c:pt>
                <c:pt idx="107">
                  <c:v>1.0617000000000001</c:v>
                </c:pt>
                <c:pt idx="108">
                  <c:v>1.0598000000000001</c:v>
                </c:pt>
                <c:pt idx="109">
                  <c:v>1.0630999999999999</c:v>
                </c:pt>
                <c:pt idx="110">
                  <c:v>1.0593999999999999</c:v>
                </c:pt>
                <c:pt idx="111">
                  <c:v>1.0653999999999999</c:v>
                </c:pt>
                <c:pt idx="112">
                  <c:v>1.0619000000000001</c:v>
                </c:pt>
                <c:pt idx="113">
                  <c:v>1.0686</c:v>
                </c:pt>
                <c:pt idx="114">
                  <c:v>1.0672999999999999</c:v>
                </c:pt>
                <c:pt idx="115">
                  <c:v>1.0722</c:v>
                </c:pt>
                <c:pt idx="116">
                  <c:v>1.0738000000000001</c:v>
                </c:pt>
                <c:pt idx="117">
                  <c:v>1.0751999999999999</c:v>
                </c:pt>
                <c:pt idx="118">
                  <c:v>1.0765</c:v>
                </c:pt>
                <c:pt idx="119">
                  <c:v>1.0757000000000001</c:v>
                </c:pt>
                <c:pt idx="120">
                  <c:v>1.083</c:v>
                </c:pt>
                <c:pt idx="121">
                  <c:v>1.0869</c:v>
                </c:pt>
                <c:pt idx="122">
                  <c:v>1.0907</c:v>
                </c:pt>
                <c:pt idx="123">
                  <c:v>1.0993999999999999</c:v>
                </c:pt>
                <c:pt idx="124">
                  <c:v>1.1068</c:v>
                </c:pt>
                <c:pt idx="125">
                  <c:v>1.1057999999999999</c:v>
                </c:pt>
                <c:pt idx="126">
                  <c:v>1.1071</c:v>
                </c:pt>
                <c:pt idx="127">
                  <c:v>1.109</c:v>
                </c:pt>
                <c:pt idx="128">
                  <c:v>1.1073999999999999</c:v>
                </c:pt>
                <c:pt idx="129">
                  <c:v>1.1100000000000001</c:v>
                </c:pt>
                <c:pt idx="130">
                  <c:v>1.1104000000000001</c:v>
                </c:pt>
                <c:pt idx="131">
                  <c:v>1.1061000000000001</c:v>
                </c:pt>
                <c:pt idx="132">
                  <c:v>1.1012</c:v>
                </c:pt>
                <c:pt idx="133">
                  <c:v>1.1113999999999999</c:v>
                </c:pt>
                <c:pt idx="134">
                  <c:v>1.1123000000000001</c:v>
                </c:pt>
                <c:pt idx="135">
                  <c:v>1.1153999999999999</c:v>
                </c:pt>
                <c:pt idx="136">
                  <c:v>1.1162000000000001</c:v>
                </c:pt>
                <c:pt idx="137">
                  <c:v>1.1087</c:v>
                </c:pt>
                <c:pt idx="138">
                  <c:v>1.1169</c:v>
                </c:pt>
                <c:pt idx="139">
                  <c:v>1.1198999999999999</c:v>
                </c:pt>
                <c:pt idx="140">
                  <c:v>1.1224000000000001</c:v>
                </c:pt>
                <c:pt idx="141">
                  <c:v>1.1204000000000001</c:v>
                </c:pt>
                <c:pt idx="142">
                  <c:v>1.1237999999999999</c:v>
                </c:pt>
                <c:pt idx="143">
                  <c:v>1.1254</c:v>
                </c:pt>
                <c:pt idx="144">
                  <c:v>1.1259999999999999</c:v>
                </c:pt>
                <c:pt idx="145">
                  <c:v>1.1258999999999999</c:v>
                </c:pt>
                <c:pt idx="146">
                  <c:v>1.1254999999999999</c:v>
                </c:pt>
                <c:pt idx="147">
                  <c:v>1.1248</c:v>
                </c:pt>
                <c:pt idx="148">
                  <c:v>1.1274</c:v>
                </c:pt>
                <c:pt idx="149">
                  <c:v>1.1271</c:v>
                </c:pt>
                <c:pt idx="150">
                  <c:v>1.1248</c:v>
                </c:pt>
                <c:pt idx="151">
                  <c:v>1.1254</c:v>
                </c:pt>
                <c:pt idx="152">
                  <c:v>1.129</c:v>
                </c:pt>
                <c:pt idx="153">
                  <c:v>1.1229</c:v>
                </c:pt>
                <c:pt idx="154">
                  <c:v>1.1200000000000001</c:v>
                </c:pt>
                <c:pt idx="155">
                  <c:v>1.1227</c:v>
                </c:pt>
                <c:pt idx="156">
                  <c:v>1.1284000000000001</c:v>
                </c:pt>
                <c:pt idx="157">
                  <c:v>1.1323000000000001</c:v>
                </c:pt>
                <c:pt idx="158">
                  <c:v>1.1309</c:v>
                </c:pt>
                <c:pt idx="159">
                  <c:v>1.1294</c:v>
                </c:pt>
                <c:pt idx="160">
                  <c:v>1.1274999999999999</c:v>
                </c:pt>
                <c:pt idx="161">
                  <c:v>1.1263000000000001</c:v>
                </c:pt>
                <c:pt idx="162">
                  <c:v>1.1303000000000001</c:v>
                </c:pt>
                <c:pt idx="163">
                  <c:v>1.1292</c:v>
                </c:pt>
                <c:pt idx="164">
                  <c:v>1.1269</c:v>
                </c:pt>
                <c:pt idx="165">
                  <c:v>1.1312</c:v>
                </c:pt>
                <c:pt idx="166">
                  <c:v>1.1321000000000001</c:v>
                </c:pt>
                <c:pt idx="167">
                  <c:v>1.1294</c:v>
                </c:pt>
                <c:pt idx="168">
                  <c:v>1.1334</c:v>
                </c:pt>
                <c:pt idx="169">
                  <c:v>1.1332</c:v>
                </c:pt>
                <c:pt idx="170">
                  <c:v>1.1325000000000001</c:v>
                </c:pt>
                <c:pt idx="171">
                  <c:v>1.1296999999999999</c:v>
                </c:pt>
                <c:pt idx="172">
                  <c:v>1.1292</c:v>
                </c:pt>
                <c:pt idx="173">
                  <c:v>1.1317999999999999</c:v>
                </c:pt>
                <c:pt idx="174">
                  <c:v>1.1357999999999999</c:v>
                </c:pt>
                <c:pt idx="175">
                  <c:v>1.1361000000000001</c:v>
                </c:pt>
                <c:pt idx="176">
                  <c:v>1.1365000000000001</c:v>
                </c:pt>
                <c:pt idx="177">
                  <c:v>1.1345000000000001</c:v>
                </c:pt>
                <c:pt idx="178">
                  <c:v>1.1369</c:v>
                </c:pt>
                <c:pt idx="179">
                  <c:v>1.1413</c:v>
                </c:pt>
                <c:pt idx="180">
                  <c:v>1.1436999999999999</c:v>
                </c:pt>
                <c:pt idx="181">
                  <c:v>1.1463000000000001</c:v>
                </c:pt>
                <c:pt idx="182">
                  <c:v>1.1489</c:v>
                </c:pt>
                <c:pt idx="183">
                  <c:v>1.1488</c:v>
                </c:pt>
                <c:pt idx="184">
                  <c:v>1.1501999999999999</c:v>
                </c:pt>
                <c:pt idx="185">
                  <c:v>1.1491</c:v>
                </c:pt>
                <c:pt idx="186">
                  <c:v>1.1515</c:v>
                </c:pt>
                <c:pt idx="187">
                  <c:v>1.153</c:v>
                </c:pt>
                <c:pt idx="188">
                  <c:v>1.1549</c:v>
                </c:pt>
                <c:pt idx="189">
                  <c:v>1.1596</c:v>
                </c:pt>
                <c:pt idx="190">
                  <c:v>1.1638999999999999</c:v>
                </c:pt>
                <c:pt idx="191">
                  <c:v>1.1625000000000001</c:v>
                </c:pt>
                <c:pt idx="192">
                  <c:v>1.1571</c:v>
                </c:pt>
                <c:pt idx="193">
                  <c:v>1.1589</c:v>
                </c:pt>
                <c:pt idx="194">
                  <c:v>1.1642999999999999</c:v>
                </c:pt>
                <c:pt idx="195">
                  <c:v>1.1678999999999999</c:v>
                </c:pt>
                <c:pt idx="196">
                  <c:v>1.1653</c:v>
                </c:pt>
                <c:pt idx="197">
                  <c:v>1.1589</c:v>
                </c:pt>
                <c:pt idx="198">
                  <c:v>1.1605000000000001</c:v>
                </c:pt>
                <c:pt idx="199">
                  <c:v>1.1605000000000001</c:v>
                </c:pt>
                <c:pt idx="200">
                  <c:v>1.1617999999999999</c:v>
                </c:pt>
                <c:pt idx="201">
                  <c:v>1.1640999999999999</c:v>
                </c:pt>
                <c:pt idx="202">
                  <c:v>1.1652</c:v>
                </c:pt>
                <c:pt idx="203">
                  <c:v>1.1700999999999999</c:v>
                </c:pt>
                <c:pt idx="204">
                  <c:v>1.1611</c:v>
                </c:pt>
                <c:pt idx="205">
                  <c:v>1.1595</c:v>
                </c:pt>
                <c:pt idx="206">
                  <c:v>1.1453</c:v>
                </c:pt>
                <c:pt idx="207">
                  <c:v>1.1459999999999999</c:v>
                </c:pt>
                <c:pt idx="208">
                  <c:v>1.1561999999999999</c:v>
                </c:pt>
                <c:pt idx="209">
                  <c:v>1.1626000000000001</c:v>
                </c:pt>
                <c:pt idx="210">
                  <c:v>1.1607000000000001</c:v>
                </c:pt>
                <c:pt idx="211">
                  <c:v>1.1687000000000001</c:v>
                </c:pt>
                <c:pt idx="212">
                  <c:v>1.1812</c:v>
                </c:pt>
                <c:pt idx="213">
                  <c:v>1.1765000000000001</c:v>
                </c:pt>
                <c:pt idx="214">
                  <c:v>1.1775</c:v>
                </c:pt>
                <c:pt idx="215">
                  <c:v>1.1847000000000001</c:v>
                </c:pt>
                <c:pt idx="216">
                  <c:v>1.1970000000000001</c:v>
                </c:pt>
                <c:pt idx="217">
                  <c:v>1.2004999999999999</c:v>
                </c:pt>
                <c:pt idx="218">
                  <c:v>1.1972</c:v>
                </c:pt>
                <c:pt idx="219">
                  <c:v>1.1992</c:v>
                </c:pt>
                <c:pt idx="220">
                  <c:v>1.1975</c:v>
                </c:pt>
                <c:pt idx="221">
                  <c:v>1.2041999999999999</c:v>
                </c:pt>
                <c:pt idx="222">
                  <c:v>1.2110000000000001</c:v>
                </c:pt>
                <c:pt idx="223">
                  <c:v>1.2057</c:v>
                </c:pt>
                <c:pt idx="224">
                  <c:v>1.2056</c:v>
                </c:pt>
                <c:pt idx="225">
                  <c:v>1.2091000000000001</c:v>
                </c:pt>
                <c:pt idx="226">
                  <c:v>1.2109000000000001</c:v>
                </c:pt>
                <c:pt idx="227">
                  <c:v>1.2093</c:v>
                </c:pt>
                <c:pt idx="228">
                  <c:v>1.2151000000000001</c:v>
                </c:pt>
                <c:pt idx="229">
                  <c:v>1.2172000000000001</c:v>
                </c:pt>
                <c:pt idx="230">
                  <c:v>1.2170000000000001</c:v>
                </c:pt>
                <c:pt idx="231">
                  <c:v>1.2133</c:v>
                </c:pt>
                <c:pt idx="232">
                  <c:v>1.2154</c:v>
                </c:pt>
                <c:pt idx="233">
                  <c:v>1.2165999999999999</c:v>
                </c:pt>
                <c:pt idx="234">
                  <c:v>1.2155</c:v>
                </c:pt>
                <c:pt idx="235">
                  <c:v>1.2154</c:v>
                </c:pt>
                <c:pt idx="236">
                  <c:v>1.2164999999999999</c:v>
                </c:pt>
                <c:pt idx="237">
                  <c:v>1.2198</c:v>
                </c:pt>
                <c:pt idx="238">
                  <c:v>1.2183999999999999</c:v>
                </c:pt>
                <c:pt idx="239">
                  <c:v>1.2185999999999999</c:v>
                </c:pt>
                <c:pt idx="240">
                  <c:v>1.2239</c:v>
                </c:pt>
                <c:pt idx="241">
                  <c:v>1.2270000000000001</c:v>
                </c:pt>
                <c:pt idx="242">
                  <c:v>1.2292000000000001</c:v>
                </c:pt>
                <c:pt idx="243">
                  <c:v>1.2235</c:v>
                </c:pt>
                <c:pt idx="244">
                  <c:v>1.2263999999999999</c:v>
                </c:pt>
                <c:pt idx="245">
                  <c:v>1.2255</c:v>
                </c:pt>
                <c:pt idx="246">
                  <c:v>1.2258</c:v>
                </c:pt>
                <c:pt idx="247">
                  <c:v>1.2305999999999999</c:v>
                </c:pt>
                <c:pt idx="248">
                  <c:v>1.2322</c:v>
                </c:pt>
                <c:pt idx="249">
                  <c:v>1.2319</c:v>
                </c:pt>
                <c:pt idx="250">
                  <c:v>1.2309000000000001</c:v>
                </c:pt>
                <c:pt idx="251">
                  <c:v>1.2277</c:v>
                </c:pt>
                <c:pt idx="252">
                  <c:v>1.2273000000000001</c:v>
                </c:pt>
                <c:pt idx="253">
                  <c:v>1.2186999999999999</c:v>
                </c:pt>
                <c:pt idx="254">
                  <c:v>1.2136</c:v>
                </c:pt>
                <c:pt idx="255">
                  <c:v>1.2209000000000001</c:v>
                </c:pt>
                <c:pt idx="256">
                  <c:v>1.2271000000000001</c:v>
                </c:pt>
                <c:pt idx="257">
                  <c:v>1.2291000000000001</c:v>
                </c:pt>
                <c:pt idx="258">
                  <c:v>1.2263999999999999</c:v>
                </c:pt>
                <c:pt idx="259">
                  <c:v>1.2194</c:v>
                </c:pt>
                <c:pt idx="260">
                  <c:v>1.2223999999999999</c:v>
                </c:pt>
                <c:pt idx="261">
                  <c:v>1.2233000000000001</c:v>
                </c:pt>
                <c:pt idx="262">
                  <c:v>1.2212000000000001</c:v>
                </c:pt>
                <c:pt idx="263">
                  <c:v>1.2233000000000001</c:v>
                </c:pt>
                <c:pt idx="264">
                  <c:v>1.2186999999999999</c:v>
                </c:pt>
                <c:pt idx="265">
                  <c:v>1.2161</c:v>
                </c:pt>
                <c:pt idx="266">
                  <c:v>1.2123999999999999</c:v>
                </c:pt>
                <c:pt idx="267">
                  <c:v>1.2102999999999999</c:v>
                </c:pt>
                <c:pt idx="268">
                  <c:v>1.2210000000000001</c:v>
                </c:pt>
                <c:pt idx="269">
                  <c:v>1.2232000000000001</c:v>
                </c:pt>
                <c:pt idx="270">
                  <c:v>1.2262</c:v>
                </c:pt>
                <c:pt idx="271">
                  <c:v>1.23</c:v>
                </c:pt>
                <c:pt idx="272">
                  <c:v>1.228</c:v>
                </c:pt>
                <c:pt idx="273">
                  <c:v>1.2255</c:v>
                </c:pt>
                <c:pt idx="274">
                  <c:v>1.2273000000000001</c:v>
                </c:pt>
                <c:pt idx="275">
                  <c:v>1.2316</c:v>
                </c:pt>
                <c:pt idx="276">
                  <c:v>1.2327999999999999</c:v>
                </c:pt>
                <c:pt idx="277">
                  <c:v>1.2307999999999999</c:v>
                </c:pt>
                <c:pt idx="278">
                  <c:v>1.2281</c:v>
                </c:pt>
                <c:pt idx="279">
                  <c:v>1.2225999999999999</c:v>
                </c:pt>
                <c:pt idx="280">
                  <c:v>1.2264999999999999</c:v>
                </c:pt>
                <c:pt idx="281">
                  <c:v>1.2284999999999999</c:v>
                </c:pt>
                <c:pt idx="282">
                  <c:v>1.2315</c:v>
                </c:pt>
                <c:pt idx="283">
                  <c:v>1.2309000000000001</c:v>
                </c:pt>
                <c:pt idx="284">
                  <c:v>1.2278</c:v>
                </c:pt>
                <c:pt idx="285">
                  <c:v>1.2282999999999999</c:v>
                </c:pt>
                <c:pt idx="286">
                  <c:v>1.2327999999999999</c:v>
                </c:pt>
                <c:pt idx="287">
                  <c:v>1.2321</c:v>
                </c:pt>
                <c:pt idx="288">
                  <c:v>1.2324999999999999</c:v>
                </c:pt>
                <c:pt idx="289">
                  <c:v>1.2323999999999999</c:v>
                </c:pt>
                <c:pt idx="290">
                  <c:v>1.2357</c:v>
                </c:pt>
                <c:pt idx="291">
                  <c:v>1.2377</c:v>
                </c:pt>
                <c:pt idx="292">
                  <c:v>1.2322</c:v>
                </c:pt>
                <c:pt idx="293">
                  <c:v>1.2353000000000001</c:v>
                </c:pt>
                <c:pt idx="294">
                  <c:v>1.2382</c:v>
                </c:pt>
                <c:pt idx="295">
                  <c:v>1.2383</c:v>
                </c:pt>
                <c:pt idx="296">
                  <c:v>1.236</c:v>
                </c:pt>
                <c:pt idx="297">
                  <c:v>1.2336</c:v>
                </c:pt>
                <c:pt idx="298">
                  <c:v>1.234</c:v>
                </c:pt>
                <c:pt idx="299">
                  <c:v>1.2315</c:v>
                </c:pt>
                <c:pt idx="300">
                  <c:v>1.2244999999999999</c:v>
                </c:pt>
                <c:pt idx="301">
                  <c:v>1.2264999999999999</c:v>
                </c:pt>
                <c:pt idx="302">
                  <c:v>1.2232000000000001</c:v>
                </c:pt>
                <c:pt idx="303">
                  <c:v>1.2216</c:v>
                </c:pt>
                <c:pt idx="304">
                  <c:v>1.2233000000000001</c:v>
                </c:pt>
                <c:pt idx="305">
                  <c:v>1.2228000000000001</c:v>
                </c:pt>
                <c:pt idx="306">
                  <c:v>1.2234</c:v>
                </c:pt>
                <c:pt idx="307">
                  <c:v>1.2254</c:v>
                </c:pt>
                <c:pt idx="308">
                  <c:v>1.2265999999999999</c:v>
                </c:pt>
                <c:pt idx="309">
                  <c:v>1.2291000000000001</c:v>
                </c:pt>
                <c:pt idx="310">
                  <c:v>1.2302</c:v>
                </c:pt>
                <c:pt idx="311">
                  <c:v>1.2275</c:v>
                </c:pt>
                <c:pt idx="312">
                  <c:v>1.2226999999999999</c:v>
                </c:pt>
                <c:pt idx="313">
                  <c:v>1.2245999999999999</c:v>
                </c:pt>
                <c:pt idx="314">
                  <c:v>1.2278</c:v>
                </c:pt>
                <c:pt idx="315">
                  <c:v>1.2298</c:v>
                </c:pt>
                <c:pt idx="316">
                  <c:v>1.2309000000000001</c:v>
                </c:pt>
                <c:pt idx="317">
                  <c:v>1.2293000000000001</c:v>
                </c:pt>
                <c:pt idx="318">
                  <c:v>1.2274</c:v>
                </c:pt>
                <c:pt idx="319">
                  <c:v>1.2271000000000001</c:v>
                </c:pt>
                <c:pt idx="320">
                  <c:v>1.2266999999999999</c:v>
                </c:pt>
                <c:pt idx="321">
                  <c:v>1.2236</c:v>
                </c:pt>
                <c:pt idx="322">
                  <c:v>1.2269000000000001</c:v>
                </c:pt>
                <c:pt idx="323">
                  <c:v>1.2239</c:v>
                </c:pt>
                <c:pt idx="324">
                  <c:v>1.2258</c:v>
                </c:pt>
                <c:pt idx="325">
                  <c:v>1.2287999999999999</c:v>
                </c:pt>
                <c:pt idx="326">
                  <c:v>1.2233000000000001</c:v>
                </c:pt>
                <c:pt idx="327">
                  <c:v>1.2271000000000001</c:v>
                </c:pt>
                <c:pt idx="328">
                  <c:v>1.2311000000000001</c:v>
                </c:pt>
                <c:pt idx="329">
                  <c:v>1.2362</c:v>
                </c:pt>
                <c:pt idx="330">
                  <c:v>1.2415</c:v>
                </c:pt>
                <c:pt idx="331">
                  <c:v>1.2401</c:v>
                </c:pt>
                <c:pt idx="332">
                  <c:v>1.2391000000000001</c:v>
                </c:pt>
                <c:pt idx="333">
                  <c:v>1.2332000000000001</c:v>
                </c:pt>
                <c:pt idx="334">
                  <c:v>1.2330000000000001</c:v>
                </c:pt>
                <c:pt idx="335">
                  <c:v>1.2399</c:v>
                </c:pt>
                <c:pt idx="336">
                  <c:v>1.2373000000000001</c:v>
                </c:pt>
                <c:pt idx="337">
                  <c:v>1.2304999999999999</c:v>
                </c:pt>
                <c:pt idx="338">
                  <c:v>1.236</c:v>
                </c:pt>
                <c:pt idx="339">
                  <c:v>1.2414000000000001</c:v>
                </c:pt>
                <c:pt idx="340">
                  <c:v>1.2410000000000001</c:v>
                </c:pt>
                <c:pt idx="341">
                  <c:v>1.2442</c:v>
                </c:pt>
                <c:pt idx="342">
                  <c:v>1.2462</c:v>
                </c:pt>
                <c:pt idx="343">
                  <c:v>1.2502</c:v>
                </c:pt>
                <c:pt idx="344">
                  <c:v>1.2509999999999999</c:v>
                </c:pt>
                <c:pt idx="345">
                  <c:v>1.2454000000000001</c:v>
                </c:pt>
                <c:pt idx="346">
                  <c:v>1.2476</c:v>
                </c:pt>
                <c:pt idx="347">
                  <c:v>1.2387999999999999</c:v>
                </c:pt>
                <c:pt idx="348">
                  <c:v>1.2414000000000001</c:v>
                </c:pt>
                <c:pt idx="349">
                  <c:v>1.2413000000000001</c:v>
                </c:pt>
                <c:pt idx="350">
                  <c:v>1.2452000000000001</c:v>
                </c:pt>
                <c:pt idx="351">
                  <c:v>1.2421</c:v>
                </c:pt>
                <c:pt idx="352">
                  <c:v>1.2399</c:v>
                </c:pt>
                <c:pt idx="353">
                  <c:v>1.2365999999999999</c:v>
                </c:pt>
                <c:pt idx="354">
                  <c:v>1.2353000000000001</c:v>
                </c:pt>
                <c:pt idx="355">
                  <c:v>1.2375</c:v>
                </c:pt>
                <c:pt idx="356">
                  <c:v>1.2412000000000001</c:v>
                </c:pt>
                <c:pt idx="357">
                  <c:v>1.2444999999999999</c:v>
                </c:pt>
                <c:pt idx="358">
                  <c:v>1.2451000000000001</c:v>
                </c:pt>
                <c:pt idx="359">
                  <c:v>1.2415</c:v>
                </c:pt>
                <c:pt idx="360">
                  <c:v>1.2413000000000001</c:v>
                </c:pt>
                <c:pt idx="361">
                  <c:v>1.2423999999999999</c:v>
                </c:pt>
                <c:pt idx="362">
                  <c:v>1.2441</c:v>
                </c:pt>
                <c:pt idx="363">
                  <c:v>1.2450000000000001</c:v>
                </c:pt>
                <c:pt idx="364">
                  <c:v>1.2524</c:v>
                </c:pt>
                <c:pt idx="365">
                  <c:v>1.2544</c:v>
                </c:pt>
                <c:pt idx="366">
                  <c:v>1.2555000000000001</c:v>
                </c:pt>
                <c:pt idx="367">
                  <c:v>1.2514000000000001</c:v>
                </c:pt>
                <c:pt idx="368">
                  <c:v>1.2486999999999999</c:v>
                </c:pt>
                <c:pt idx="369">
                  <c:v>1.2447999999999999</c:v>
                </c:pt>
                <c:pt idx="370">
                  <c:v>1.2408999999999999</c:v>
                </c:pt>
                <c:pt idx="371">
                  <c:v>1.2475000000000001</c:v>
                </c:pt>
                <c:pt idx="372">
                  <c:v>1.2552000000000001</c:v>
                </c:pt>
                <c:pt idx="373">
                  <c:v>1.2554000000000001</c:v>
                </c:pt>
                <c:pt idx="374">
                  <c:v>1.2525999999999999</c:v>
                </c:pt>
                <c:pt idx="375">
                  <c:v>1.2563</c:v>
                </c:pt>
                <c:pt idx="376">
                  <c:v>1.2567999999999999</c:v>
                </c:pt>
                <c:pt idx="377">
                  <c:v>1.256</c:v>
                </c:pt>
                <c:pt idx="378">
                  <c:v>1.2532000000000001</c:v>
                </c:pt>
                <c:pt idx="379">
                  <c:v>1.2521</c:v>
                </c:pt>
                <c:pt idx="380">
                  <c:v>1.2525999999999999</c:v>
                </c:pt>
                <c:pt idx="381">
                  <c:v>1.2424999999999999</c:v>
                </c:pt>
                <c:pt idx="382">
                  <c:v>1.2387999999999999</c:v>
                </c:pt>
                <c:pt idx="383">
                  <c:v>1.2427999999999999</c:v>
                </c:pt>
                <c:pt idx="384">
                  <c:v>1.2467999999999999</c:v>
                </c:pt>
                <c:pt idx="385">
                  <c:v>1.2477</c:v>
                </c:pt>
                <c:pt idx="386">
                  <c:v>1.2448999999999999</c:v>
                </c:pt>
                <c:pt idx="387">
                  <c:v>1.2432000000000001</c:v>
                </c:pt>
                <c:pt idx="388">
                  <c:v>1.2441</c:v>
                </c:pt>
                <c:pt idx="389">
                  <c:v>1.2459</c:v>
                </c:pt>
                <c:pt idx="390">
                  <c:v>1.2495000000000001</c:v>
                </c:pt>
                <c:pt idx="391">
                  <c:v>1.2462</c:v>
                </c:pt>
                <c:pt idx="392">
                  <c:v>1.2462</c:v>
                </c:pt>
                <c:pt idx="393">
                  <c:v>1.2437</c:v>
                </c:pt>
                <c:pt idx="394">
                  <c:v>1.2376</c:v>
                </c:pt>
                <c:pt idx="395">
                  <c:v>1.2374000000000001</c:v>
                </c:pt>
                <c:pt idx="396">
                  <c:v>1.2343999999999999</c:v>
                </c:pt>
                <c:pt idx="397">
                  <c:v>1.2326999999999999</c:v>
                </c:pt>
                <c:pt idx="398">
                  <c:v>1.2334000000000001</c:v>
                </c:pt>
                <c:pt idx="399">
                  <c:v>1.2319</c:v>
                </c:pt>
                <c:pt idx="400">
                  <c:v>1.2317</c:v>
                </c:pt>
                <c:pt idx="401">
                  <c:v>1.2329000000000001</c:v>
                </c:pt>
                <c:pt idx="402">
                  <c:v>1.2276</c:v>
                </c:pt>
                <c:pt idx="403">
                  <c:v>1.2221</c:v>
                </c:pt>
                <c:pt idx="404">
                  <c:v>1.2193000000000001</c:v>
                </c:pt>
                <c:pt idx="405">
                  <c:v>1.2192000000000001</c:v>
                </c:pt>
                <c:pt idx="406">
                  <c:v>1.2191000000000001</c:v>
                </c:pt>
                <c:pt idx="407">
                  <c:v>1.2159</c:v>
                </c:pt>
                <c:pt idx="408">
                  <c:v>1.216</c:v>
                </c:pt>
                <c:pt idx="409">
                  <c:v>1.2153</c:v>
                </c:pt>
                <c:pt idx="410">
                  <c:v>1.2178</c:v>
                </c:pt>
                <c:pt idx="411">
                  <c:v>1.2203999999999999</c:v>
                </c:pt>
                <c:pt idx="412">
                  <c:v>1.2204999999999999</c:v>
                </c:pt>
                <c:pt idx="413">
                  <c:v>1.2204999999999999</c:v>
                </c:pt>
                <c:pt idx="414">
                  <c:v>1.2209000000000001</c:v>
                </c:pt>
                <c:pt idx="415">
                  <c:v>1.2158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40-4DAB-BC5B-22F0EBA54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099824"/>
        <c:axId val="545100384"/>
      </c:lineChart>
      <c:catAx>
        <c:axId val="54509982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crossAx val="545100384"/>
        <c:crosses val="autoZero"/>
        <c:auto val="0"/>
        <c:lblAlgn val="ctr"/>
        <c:lblOffset val="100"/>
        <c:noMultiLvlLbl val="1"/>
      </c:catAx>
      <c:valAx>
        <c:axId val="545100384"/>
        <c:scaling>
          <c:orientation val="minMax"/>
          <c:min val="0.99"/>
        </c:scaling>
        <c:delete val="0"/>
        <c:axPos val="l"/>
        <c:majorGridlines/>
        <c:numFmt formatCode="0.0000_ " sourceLinked="1"/>
        <c:majorTickMark val="none"/>
        <c:minorTickMark val="none"/>
        <c:tickLblPos val="nextTo"/>
        <c:spPr>
          <a:ln w="9525">
            <a:noFill/>
          </a:ln>
        </c:spPr>
        <c:crossAx val="54509982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4" l="0.70000000000000062" r="0.70000000000000062" t="0.750000000000004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 sz="1600"/>
              <a:t>社润悟林二号</a:t>
            </a:r>
            <a:endParaRPr lang="en-US" altLang="zh-CN" sz="16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社润悟林二号!$B$20</c:f>
              <c:strCache>
                <c:ptCount val="1"/>
                <c:pt idx="0">
                  <c:v>累计净值</c:v>
                </c:pt>
              </c:strCache>
            </c:strRef>
          </c:tx>
          <c:marker>
            <c:symbol val="none"/>
          </c:marker>
          <c:cat>
            <c:numRef>
              <c:f>社润悟林二号!$A$21:$A$390</c:f>
              <c:numCache>
                <c:formatCode>m/d/yyyy</c:formatCode>
                <c:ptCount val="370"/>
                <c:pt idx="0">
                  <c:v>43775</c:v>
                </c:pt>
                <c:pt idx="1">
                  <c:v>43776</c:v>
                </c:pt>
                <c:pt idx="2">
                  <c:v>43777</c:v>
                </c:pt>
                <c:pt idx="3">
                  <c:v>43780</c:v>
                </c:pt>
                <c:pt idx="4">
                  <c:v>43781</c:v>
                </c:pt>
                <c:pt idx="5">
                  <c:v>43782</c:v>
                </c:pt>
                <c:pt idx="6">
                  <c:v>43783</c:v>
                </c:pt>
                <c:pt idx="7">
                  <c:v>43784</c:v>
                </c:pt>
                <c:pt idx="8">
                  <c:v>43787</c:v>
                </c:pt>
                <c:pt idx="9">
                  <c:v>43788</c:v>
                </c:pt>
                <c:pt idx="10">
                  <c:v>43789</c:v>
                </c:pt>
                <c:pt idx="11">
                  <c:v>43790</c:v>
                </c:pt>
                <c:pt idx="12">
                  <c:v>43791</c:v>
                </c:pt>
                <c:pt idx="13">
                  <c:v>43794</c:v>
                </c:pt>
                <c:pt idx="14">
                  <c:v>43795</c:v>
                </c:pt>
                <c:pt idx="15">
                  <c:v>43796</c:v>
                </c:pt>
                <c:pt idx="16">
                  <c:v>43797</c:v>
                </c:pt>
                <c:pt idx="17">
                  <c:v>43798</c:v>
                </c:pt>
                <c:pt idx="18">
                  <c:v>43801</c:v>
                </c:pt>
                <c:pt idx="19">
                  <c:v>43802</c:v>
                </c:pt>
                <c:pt idx="20">
                  <c:v>43803</c:v>
                </c:pt>
                <c:pt idx="21">
                  <c:v>43804</c:v>
                </c:pt>
                <c:pt idx="22">
                  <c:v>43805</c:v>
                </c:pt>
                <c:pt idx="23">
                  <c:v>43808</c:v>
                </c:pt>
                <c:pt idx="24">
                  <c:v>43809</c:v>
                </c:pt>
                <c:pt idx="25">
                  <c:v>43810</c:v>
                </c:pt>
                <c:pt idx="26">
                  <c:v>43811</c:v>
                </c:pt>
                <c:pt idx="27">
                  <c:v>43812</c:v>
                </c:pt>
                <c:pt idx="28">
                  <c:v>43815</c:v>
                </c:pt>
                <c:pt idx="29">
                  <c:v>43816</c:v>
                </c:pt>
                <c:pt idx="30">
                  <c:v>43817</c:v>
                </c:pt>
                <c:pt idx="31">
                  <c:v>43818</c:v>
                </c:pt>
                <c:pt idx="32">
                  <c:v>43819</c:v>
                </c:pt>
                <c:pt idx="33">
                  <c:v>43822</c:v>
                </c:pt>
                <c:pt idx="34">
                  <c:v>43823</c:v>
                </c:pt>
                <c:pt idx="35">
                  <c:v>43824</c:v>
                </c:pt>
                <c:pt idx="36">
                  <c:v>43825</c:v>
                </c:pt>
                <c:pt idx="37">
                  <c:v>43826</c:v>
                </c:pt>
                <c:pt idx="38">
                  <c:v>43829</c:v>
                </c:pt>
                <c:pt idx="39">
                  <c:v>43830</c:v>
                </c:pt>
                <c:pt idx="40">
                  <c:v>43832</c:v>
                </c:pt>
                <c:pt idx="41">
                  <c:v>43833</c:v>
                </c:pt>
                <c:pt idx="42">
                  <c:v>43836</c:v>
                </c:pt>
                <c:pt idx="43">
                  <c:v>43837</c:v>
                </c:pt>
                <c:pt idx="44">
                  <c:v>43838</c:v>
                </c:pt>
                <c:pt idx="45">
                  <c:v>43839</c:v>
                </c:pt>
                <c:pt idx="46">
                  <c:v>43840</c:v>
                </c:pt>
                <c:pt idx="47">
                  <c:v>43843</c:v>
                </c:pt>
                <c:pt idx="48">
                  <c:v>43844</c:v>
                </c:pt>
                <c:pt idx="49">
                  <c:v>43845</c:v>
                </c:pt>
                <c:pt idx="50">
                  <c:v>43846</c:v>
                </c:pt>
                <c:pt idx="51">
                  <c:v>43847</c:v>
                </c:pt>
                <c:pt idx="52">
                  <c:v>43850</c:v>
                </c:pt>
                <c:pt idx="53">
                  <c:v>43851</c:v>
                </c:pt>
                <c:pt idx="54">
                  <c:v>43852</c:v>
                </c:pt>
                <c:pt idx="55">
                  <c:v>43853</c:v>
                </c:pt>
                <c:pt idx="56">
                  <c:v>43864</c:v>
                </c:pt>
                <c:pt idx="57">
                  <c:v>43865</c:v>
                </c:pt>
                <c:pt idx="58">
                  <c:v>43866</c:v>
                </c:pt>
                <c:pt idx="59">
                  <c:v>43867</c:v>
                </c:pt>
                <c:pt idx="60">
                  <c:v>43868</c:v>
                </c:pt>
                <c:pt idx="61">
                  <c:v>43871</c:v>
                </c:pt>
                <c:pt idx="62">
                  <c:v>43872</c:v>
                </c:pt>
                <c:pt idx="63">
                  <c:v>43873</c:v>
                </c:pt>
                <c:pt idx="64">
                  <c:v>43874</c:v>
                </c:pt>
                <c:pt idx="65">
                  <c:v>43875</c:v>
                </c:pt>
                <c:pt idx="66">
                  <c:v>43878</c:v>
                </c:pt>
                <c:pt idx="67">
                  <c:v>43879</c:v>
                </c:pt>
                <c:pt idx="68">
                  <c:v>43880</c:v>
                </c:pt>
                <c:pt idx="69">
                  <c:v>43881</c:v>
                </c:pt>
                <c:pt idx="70">
                  <c:v>43882</c:v>
                </c:pt>
                <c:pt idx="71">
                  <c:v>43885</c:v>
                </c:pt>
                <c:pt idx="72">
                  <c:v>43886</c:v>
                </c:pt>
                <c:pt idx="73">
                  <c:v>43887</c:v>
                </c:pt>
                <c:pt idx="74">
                  <c:v>43888</c:v>
                </c:pt>
                <c:pt idx="75">
                  <c:v>43889</c:v>
                </c:pt>
                <c:pt idx="76">
                  <c:v>43892</c:v>
                </c:pt>
                <c:pt idx="77">
                  <c:v>43893</c:v>
                </c:pt>
                <c:pt idx="78">
                  <c:v>43894</c:v>
                </c:pt>
                <c:pt idx="79">
                  <c:v>43895</c:v>
                </c:pt>
                <c:pt idx="80">
                  <c:v>43896</c:v>
                </c:pt>
                <c:pt idx="81">
                  <c:v>43899</c:v>
                </c:pt>
                <c:pt idx="82">
                  <c:v>43900</c:v>
                </c:pt>
                <c:pt idx="83">
                  <c:v>43901</c:v>
                </c:pt>
                <c:pt idx="84">
                  <c:v>43902</c:v>
                </c:pt>
                <c:pt idx="85">
                  <c:v>43903</c:v>
                </c:pt>
                <c:pt idx="86">
                  <c:v>43906</c:v>
                </c:pt>
                <c:pt idx="87">
                  <c:v>43907</c:v>
                </c:pt>
                <c:pt idx="88">
                  <c:v>43908</c:v>
                </c:pt>
                <c:pt idx="89">
                  <c:v>43909</c:v>
                </c:pt>
                <c:pt idx="90">
                  <c:v>43910</c:v>
                </c:pt>
                <c:pt idx="91">
                  <c:v>43913</c:v>
                </c:pt>
                <c:pt idx="92">
                  <c:v>43914</c:v>
                </c:pt>
                <c:pt idx="93">
                  <c:v>43915</c:v>
                </c:pt>
                <c:pt idx="94">
                  <c:v>43916</c:v>
                </c:pt>
                <c:pt idx="95">
                  <c:v>43917</c:v>
                </c:pt>
                <c:pt idx="96">
                  <c:v>43920</c:v>
                </c:pt>
                <c:pt idx="97">
                  <c:v>43921</c:v>
                </c:pt>
                <c:pt idx="98">
                  <c:v>43922</c:v>
                </c:pt>
                <c:pt idx="99">
                  <c:v>43923</c:v>
                </c:pt>
                <c:pt idx="100">
                  <c:v>43924</c:v>
                </c:pt>
                <c:pt idx="101">
                  <c:v>43928</c:v>
                </c:pt>
                <c:pt idx="102">
                  <c:v>43929</c:v>
                </c:pt>
                <c:pt idx="103">
                  <c:v>43930</c:v>
                </c:pt>
                <c:pt idx="104">
                  <c:v>43931</c:v>
                </c:pt>
                <c:pt idx="105">
                  <c:v>43934</c:v>
                </c:pt>
                <c:pt idx="106">
                  <c:v>43935</c:v>
                </c:pt>
                <c:pt idx="107">
                  <c:v>43936</c:v>
                </c:pt>
                <c:pt idx="108">
                  <c:v>43937</c:v>
                </c:pt>
                <c:pt idx="109">
                  <c:v>43938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43948</c:v>
                </c:pt>
                <c:pt idx="116">
                  <c:v>43949</c:v>
                </c:pt>
                <c:pt idx="117">
                  <c:v>43950</c:v>
                </c:pt>
                <c:pt idx="118">
                  <c:v>43951</c:v>
                </c:pt>
                <c:pt idx="119">
                  <c:v>43957</c:v>
                </c:pt>
                <c:pt idx="120">
                  <c:v>43958</c:v>
                </c:pt>
                <c:pt idx="121">
                  <c:v>43959</c:v>
                </c:pt>
                <c:pt idx="122">
                  <c:v>43962</c:v>
                </c:pt>
                <c:pt idx="123">
                  <c:v>43963</c:v>
                </c:pt>
                <c:pt idx="124">
                  <c:v>43964</c:v>
                </c:pt>
                <c:pt idx="125">
                  <c:v>43965</c:v>
                </c:pt>
                <c:pt idx="126">
                  <c:v>43966</c:v>
                </c:pt>
                <c:pt idx="127">
                  <c:v>43969</c:v>
                </c:pt>
                <c:pt idx="128">
                  <c:v>43970</c:v>
                </c:pt>
                <c:pt idx="129">
                  <c:v>43971</c:v>
                </c:pt>
                <c:pt idx="130">
                  <c:v>43972</c:v>
                </c:pt>
                <c:pt idx="131">
                  <c:v>43973</c:v>
                </c:pt>
                <c:pt idx="132">
                  <c:v>43976</c:v>
                </c:pt>
                <c:pt idx="133">
                  <c:v>43977</c:v>
                </c:pt>
                <c:pt idx="134">
                  <c:v>43978</c:v>
                </c:pt>
                <c:pt idx="135">
                  <c:v>43979</c:v>
                </c:pt>
                <c:pt idx="136">
                  <c:v>43980</c:v>
                </c:pt>
                <c:pt idx="137">
                  <c:v>43983</c:v>
                </c:pt>
                <c:pt idx="138">
                  <c:v>43984</c:v>
                </c:pt>
                <c:pt idx="139">
                  <c:v>43985</c:v>
                </c:pt>
                <c:pt idx="140">
                  <c:v>43986</c:v>
                </c:pt>
                <c:pt idx="141">
                  <c:v>43987</c:v>
                </c:pt>
                <c:pt idx="142">
                  <c:v>43990</c:v>
                </c:pt>
                <c:pt idx="143">
                  <c:v>43991</c:v>
                </c:pt>
                <c:pt idx="144">
                  <c:v>43992</c:v>
                </c:pt>
                <c:pt idx="145">
                  <c:v>43993</c:v>
                </c:pt>
                <c:pt idx="146">
                  <c:v>43994</c:v>
                </c:pt>
                <c:pt idx="147">
                  <c:v>43997</c:v>
                </c:pt>
                <c:pt idx="148">
                  <c:v>43998</c:v>
                </c:pt>
                <c:pt idx="149">
                  <c:v>43999</c:v>
                </c:pt>
                <c:pt idx="150">
                  <c:v>44000</c:v>
                </c:pt>
                <c:pt idx="151">
                  <c:v>44001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44011</c:v>
                </c:pt>
                <c:pt idx="156">
                  <c:v>44012</c:v>
                </c:pt>
                <c:pt idx="157">
                  <c:v>44013</c:v>
                </c:pt>
                <c:pt idx="158">
                  <c:v>44014</c:v>
                </c:pt>
                <c:pt idx="159">
                  <c:v>44015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44025</c:v>
                </c:pt>
                <c:pt idx="166">
                  <c:v>44026</c:v>
                </c:pt>
                <c:pt idx="167">
                  <c:v>44027</c:v>
                </c:pt>
                <c:pt idx="168">
                  <c:v>44028</c:v>
                </c:pt>
                <c:pt idx="169">
                  <c:v>44029</c:v>
                </c:pt>
                <c:pt idx="170">
                  <c:v>44032</c:v>
                </c:pt>
                <c:pt idx="171">
                  <c:v>44033</c:v>
                </c:pt>
                <c:pt idx="172">
                  <c:v>44034</c:v>
                </c:pt>
                <c:pt idx="173">
                  <c:v>44035</c:v>
                </c:pt>
                <c:pt idx="174">
                  <c:v>44036</c:v>
                </c:pt>
                <c:pt idx="175">
                  <c:v>44039</c:v>
                </c:pt>
                <c:pt idx="176">
                  <c:v>44040</c:v>
                </c:pt>
                <c:pt idx="177">
                  <c:v>44041</c:v>
                </c:pt>
                <c:pt idx="178">
                  <c:v>44042</c:v>
                </c:pt>
                <c:pt idx="179">
                  <c:v>44043</c:v>
                </c:pt>
                <c:pt idx="180">
                  <c:v>44046</c:v>
                </c:pt>
                <c:pt idx="181">
                  <c:v>44047</c:v>
                </c:pt>
                <c:pt idx="182">
                  <c:v>44048</c:v>
                </c:pt>
                <c:pt idx="183">
                  <c:v>44049</c:v>
                </c:pt>
                <c:pt idx="184">
                  <c:v>44050</c:v>
                </c:pt>
                <c:pt idx="185">
                  <c:v>44053</c:v>
                </c:pt>
                <c:pt idx="186">
                  <c:v>44054</c:v>
                </c:pt>
                <c:pt idx="187">
                  <c:v>44055</c:v>
                </c:pt>
                <c:pt idx="188">
                  <c:v>44056</c:v>
                </c:pt>
                <c:pt idx="189">
                  <c:v>44057</c:v>
                </c:pt>
                <c:pt idx="190">
                  <c:v>44060</c:v>
                </c:pt>
                <c:pt idx="191">
                  <c:v>44061</c:v>
                </c:pt>
                <c:pt idx="192">
                  <c:v>44062</c:v>
                </c:pt>
                <c:pt idx="193">
                  <c:v>44063</c:v>
                </c:pt>
                <c:pt idx="194">
                  <c:v>44064</c:v>
                </c:pt>
                <c:pt idx="195">
                  <c:v>44067</c:v>
                </c:pt>
                <c:pt idx="196">
                  <c:v>44068</c:v>
                </c:pt>
                <c:pt idx="197">
                  <c:v>44069</c:v>
                </c:pt>
                <c:pt idx="198">
                  <c:v>44070</c:v>
                </c:pt>
                <c:pt idx="199">
                  <c:v>44071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44081</c:v>
                </c:pt>
                <c:pt idx="206">
                  <c:v>44082</c:v>
                </c:pt>
                <c:pt idx="207">
                  <c:v>44083</c:v>
                </c:pt>
                <c:pt idx="208">
                  <c:v>44084</c:v>
                </c:pt>
                <c:pt idx="209">
                  <c:v>44085</c:v>
                </c:pt>
                <c:pt idx="210">
                  <c:v>44088</c:v>
                </c:pt>
                <c:pt idx="211">
                  <c:v>44089</c:v>
                </c:pt>
                <c:pt idx="212">
                  <c:v>44090</c:v>
                </c:pt>
                <c:pt idx="213">
                  <c:v>44091</c:v>
                </c:pt>
                <c:pt idx="214">
                  <c:v>44092</c:v>
                </c:pt>
                <c:pt idx="215">
                  <c:v>44095</c:v>
                </c:pt>
                <c:pt idx="216">
                  <c:v>44096</c:v>
                </c:pt>
                <c:pt idx="217">
                  <c:v>44097</c:v>
                </c:pt>
                <c:pt idx="218">
                  <c:v>44098</c:v>
                </c:pt>
                <c:pt idx="219">
                  <c:v>44099</c:v>
                </c:pt>
                <c:pt idx="220">
                  <c:v>44102</c:v>
                </c:pt>
                <c:pt idx="221">
                  <c:v>44103</c:v>
                </c:pt>
                <c:pt idx="222">
                  <c:v>44104</c:v>
                </c:pt>
                <c:pt idx="223">
                  <c:v>44113</c:v>
                </c:pt>
                <c:pt idx="224">
                  <c:v>44116</c:v>
                </c:pt>
                <c:pt idx="225">
                  <c:v>44117</c:v>
                </c:pt>
                <c:pt idx="226">
                  <c:v>44118</c:v>
                </c:pt>
                <c:pt idx="227">
                  <c:v>44119</c:v>
                </c:pt>
                <c:pt idx="228">
                  <c:v>44120</c:v>
                </c:pt>
                <c:pt idx="229">
                  <c:v>44123</c:v>
                </c:pt>
                <c:pt idx="230">
                  <c:v>44124</c:v>
                </c:pt>
                <c:pt idx="231">
                  <c:v>44125</c:v>
                </c:pt>
                <c:pt idx="232">
                  <c:v>44126</c:v>
                </c:pt>
                <c:pt idx="233">
                  <c:v>44127</c:v>
                </c:pt>
                <c:pt idx="234">
                  <c:v>44130</c:v>
                </c:pt>
                <c:pt idx="235">
                  <c:v>44131</c:v>
                </c:pt>
                <c:pt idx="236">
                  <c:v>44132</c:v>
                </c:pt>
                <c:pt idx="237">
                  <c:v>44133</c:v>
                </c:pt>
                <c:pt idx="238">
                  <c:v>44134</c:v>
                </c:pt>
                <c:pt idx="239">
                  <c:v>44137</c:v>
                </c:pt>
                <c:pt idx="240">
                  <c:v>44138</c:v>
                </c:pt>
                <c:pt idx="241">
                  <c:v>44139</c:v>
                </c:pt>
                <c:pt idx="242">
                  <c:v>44140</c:v>
                </c:pt>
                <c:pt idx="243">
                  <c:v>44141</c:v>
                </c:pt>
                <c:pt idx="244">
                  <c:v>44144</c:v>
                </c:pt>
                <c:pt idx="245">
                  <c:v>44145</c:v>
                </c:pt>
                <c:pt idx="246">
                  <c:v>44146</c:v>
                </c:pt>
                <c:pt idx="247">
                  <c:v>44147</c:v>
                </c:pt>
                <c:pt idx="248">
                  <c:v>44148</c:v>
                </c:pt>
                <c:pt idx="249">
                  <c:v>44151</c:v>
                </c:pt>
                <c:pt idx="250">
                  <c:v>44152</c:v>
                </c:pt>
                <c:pt idx="251">
                  <c:v>44153</c:v>
                </c:pt>
                <c:pt idx="252">
                  <c:v>44154</c:v>
                </c:pt>
                <c:pt idx="253">
                  <c:v>44155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44172</c:v>
                </c:pt>
                <c:pt idx="265">
                  <c:v>44173</c:v>
                </c:pt>
                <c:pt idx="266">
                  <c:v>44174</c:v>
                </c:pt>
                <c:pt idx="267">
                  <c:v>44175</c:v>
                </c:pt>
                <c:pt idx="268">
                  <c:v>44176</c:v>
                </c:pt>
                <c:pt idx="269">
                  <c:v>44179</c:v>
                </c:pt>
                <c:pt idx="270">
                  <c:v>44180</c:v>
                </c:pt>
                <c:pt idx="271">
                  <c:v>44181</c:v>
                </c:pt>
                <c:pt idx="272">
                  <c:v>44182</c:v>
                </c:pt>
                <c:pt idx="273">
                  <c:v>44183</c:v>
                </c:pt>
                <c:pt idx="274">
                  <c:v>44186</c:v>
                </c:pt>
                <c:pt idx="275">
                  <c:v>44187</c:v>
                </c:pt>
                <c:pt idx="276">
                  <c:v>44188</c:v>
                </c:pt>
                <c:pt idx="277">
                  <c:v>44189</c:v>
                </c:pt>
                <c:pt idx="278">
                  <c:v>44190</c:v>
                </c:pt>
                <c:pt idx="279">
                  <c:v>44193</c:v>
                </c:pt>
                <c:pt idx="280">
                  <c:v>44194</c:v>
                </c:pt>
                <c:pt idx="281">
                  <c:v>44195</c:v>
                </c:pt>
                <c:pt idx="282">
                  <c:v>44196</c:v>
                </c:pt>
                <c:pt idx="283">
                  <c:v>44200</c:v>
                </c:pt>
                <c:pt idx="284">
                  <c:v>44201</c:v>
                </c:pt>
                <c:pt idx="285">
                  <c:v>44202</c:v>
                </c:pt>
                <c:pt idx="286">
                  <c:v>44203</c:v>
                </c:pt>
                <c:pt idx="287">
                  <c:v>44204</c:v>
                </c:pt>
                <c:pt idx="288">
                  <c:v>44207</c:v>
                </c:pt>
                <c:pt idx="289">
                  <c:v>44208</c:v>
                </c:pt>
                <c:pt idx="290">
                  <c:v>44209</c:v>
                </c:pt>
                <c:pt idx="291">
                  <c:v>44210</c:v>
                </c:pt>
                <c:pt idx="292">
                  <c:v>44211</c:v>
                </c:pt>
                <c:pt idx="293">
                  <c:v>44214</c:v>
                </c:pt>
                <c:pt idx="294">
                  <c:v>44215</c:v>
                </c:pt>
                <c:pt idx="295">
                  <c:v>44216</c:v>
                </c:pt>
                <c:pt idx="296">
                  <c:v>44217</c:v>
                </c:pt>
                <c:pt idx="297">
                  <c:v>44218</c:v>
                </c:pt>
                <c:pt idx="298">
                  <c:v>44221</c:v>
                </c:pt>
                <c:pt idx="299">
                  <c:v>44222</c:v>
                </c:pt>
                <c:pt idx="300">
                  <c:v>44223</c:v>
                </c:pt>
                <c:pt idx="301">
                  <c:v>44224</c:v>
                </c:pt>
                <c:pt idx="302">
                  <c:v>44225</c:v>
                </c:pt>
                <c:pt idx="303">
                  <c:v>44228</c:v>
                </c:pt>
                <c:pt idx="304">
                  <c:v>44229</c:v>
                </c:pt>
                <c:pt idx="305">
                  <c:v>44230</c:v>
                </c:pt>
                <c:pt idx="306">
                  <c:v>44231</c:v>
                </c:pt>
                <c:pt idx="307">
                  <c:v>44232</c:v>
                </c:pt>
                <c:pt idx="308">
                  <c:v>44235</c:v>
                </c:pt>
                <c:pt idx="309">
                  <c:v>44236</c:v>
                </c:pt>
                <c:pt idx="310">
                  <c:v>44237</c:v>
                </c:pt>
                <c:pt idx="311">
                  <c:v>44245</c:v>
                </c:pt>
                <c:pt idx="312">
                  <c:v>44246</c:v>
                </c:pt>
                <c:pt idx="313">
                  <c:v>44249</c:v>
                </c:pt>
                <c:pt idx="314">
                  <c:v>44250</c:v>
                </c:pt>
                <c:pt idx="315">
                  <c:v>44251</c:v>
                </c:pt>
                <c:pt idx="316">
                  <c:v>44252</c:v>
                </c:pt>
                <c:pt idx="317">
                  <c:v>44253</c:v>
                </c:pt>
                <c:pt idx="318">
                  <c:v>44256</c:v>
                </c:pt>
                <c:pt idx="319">
                  <c:v>44257</c:v>
                </c:pt>
                <c:pt idx="320">
                  <c:v>44258</c:v>
                </c:pt>
                <c:pt idx="321">
                  <c:v>44259</c:v>
                </c:pt>
                <c:pt idx="322">
                  <c:v>44260</c:v>
                </c:pt>
                <c:pt idx="323">
                  <c:v>44263</c:v>
                </c:pt>
                <c:pt idx="324">
                  <c:v>44264</c:v>
                </c:pt>
                <c:pt idx="325">
                  <c:v>44265</c:v>
                </c:pt>
                <c:pt idx="326">
                  <c:v>44266</c:v>
                </c:pt>
                <c:pt idx="327">
                  <c:v>44267</c:v>
                </c:pt>
                <c:pt idx="328">
                  <c:v>44270</c:v>
                </c:pt>
                <c:pt idx="329">
                  <c:v>44271</c:v>
                </c:pt>
                <c:pt idx="330">
                  <c:v>44272</c:v>
                </c:pt>
                <c:pt idx="331">
                  <c:v>44273</c:v>
                </c:pt>
                <c:pt idx="332">
                  <c:v>44274</c:v>
                </c:pt>
                <c:pt idx="333">
                  <c:v>44277</c:v>
                </c:pt>
                <c:pt idx="334">
                  <c:v>44278</c:v>
                </c:pt>
                <c:pt idx="335">
                  <c:v>44279</c:v>
                </c:pt>
                <c:pt idx="336">
                  <c:v>44280</c:v>
                </c:pt>
                <c:pt idx="337">
                  <c:v>44281</c:v>
                </c:pt>
                <c:pt idx="338">
                  <c:v>44284</c:v>
                </c:pt>
                <c:pt idx="339">
                  <c:v>44285</c:v>
                </c:pt>
                <c:pt idx="340">
                  <c:v>44286</c:v>
                </c:pt>
                <c:pt idx="341">
                  <c:v>44287</c:v>
                </c:pt>
                <c:pt idx="342">
                  <c:v>44288</c:v>
                </c:pt>
                <c:pt idx="343">
                  <c:v>44292</c:v>
                </c:pt>
                <c:pt idx="344">
                  <c:v>44293</c:v>
                </c:pt>
                <c:pt idx="345">
                  <c:v>44294</c:v>
                </c:pt>
                <c:pt idx="346">
                  <c:v>44295</c:v>
                </c:pt>
                <c:pt idx="347">
                  <c:v>44298</c:v>
                </c:pt>
                <c:pt idx="348">
                  <c:v>44299</c:v>
                </c:pt>
                <c:pt idx="349">
                  <c:v>44300</c:v>
                </c:pt>
                <c:pt idx="350">
                  <c:v>44301</c:v>
                </c:pt>
                <c:pt idx="351">
                  <c:v>44302</c:v>
                </c:pt>
                <c:pt idx="352">
                  <c:v>44305</c:v>
                </c:pt>
                <c:pt idx="353">
                  <c:v>44306</c:v>
                </c:pt>
                <c:pt idx="354">
                  <c:v>44307</c:v>
                </c:pt>
                <c:pt idx="355">
                  <c:v>44308</c:v>
                </c:pt>
                <c:pt idx="356">
                  <c:v>44309</c:v>
                </c:pt>
                <c:pt idx="357">
                  <c:v>44312</c:v>
                </c:pt>
                <c:pt idx="358">
                  <c:v>44313</c:v>
                </c:pt>
                <c:pt idx="359">
                  <c:v>44314</c:v>
                </c:pt>
                <c:pt idx="360">
                  <c:v>44315</c:v>
                </c:pt>
                <c:pt idx="361">
                  <c:v>44316</c:v>
                </c:pt>
                <c:pt idx="362">
                  <c:v>44322</c:v>
                </c:pt>
                <c:pt idx="363">
                  <c:v>44323</c:v>
                </c:pt>
                <c:pt idx="364">
                  <c:v>44326</c:v>
                </c:pt>
                <c:pt idx="365">
                  <c:v>44327</c:v>
                </c:pt>
                <c:pt idx="366">
                  <c:v>44328</c:v>
                </c:pt>
                <c:pt idx="367">
                  <c:v>44329</c:v>
                </c:pt>
                <c:pt idx="368">
                  <c:v>44330</c:v>
                </c:pt>
                <c:pt idx="369">
                  <c:v>44333</c:v>
                </c:pt>
              </c:numCache>
            </c:numRef>
          </c:cat>
          <c:val>
            <c:numRef>
              <c:f>社润悟林二号!$B$21:$B$390</c:f>
              <c:numCache>
                <c:formatCode>0.0000_ </c:formatCode>
                <c:ptCount val="370"/>
                <c:pt idx="0">
                  <c:v>0.99119999999999997</c:v>
                </c:pt>
                <c:pt idx="1">
                  <c:v>0.99119999999999997</c:v>
                </c:pt>
                <c:pt idx="2">
                  <c:v>0.99080000000000001</c:v>
                </c:pt>
                <c:pt idx="3">
                  <c:v>0.99399999999999999</c:v>
                </c:pt>
                <c:pt idx="4">
                  <c:v>0.99450000000000005</c:v>
                </c:pt>
                <c:pt idx="5">
                  <c:v>0.99</c:v>
                </c:pt>
                <c:pt idx="6">
                  <c:v>0.99</c:v>
                </c:pt>
                <c:pt idx="7">
                  <c:v>0.99539999999999995</c:v>
                </c:pt>
                <c:pt idx="8">
                  <c:v>0.99680000000000002</c:v>
                </c:pt>
                <c:pt idx="9">
                  <c:v>0.99650000000000005</c:v>
                </c:pt>
                <c:pt idx="10">
                  <c:v>0.99929999999999997</c:v>
                </c:pt>
                <c:pt idx="11">
                  <c:v>0.99439999999999995</c:v>
                </c:pt>
                <c:pt idx="12">
                  <c:v>0.99270000000000003</c:v>
                </c:pt>
                <c:pt idx="13">
                  <c:v>0.99639999999999995</c:v>
                </c:pt>
                <c:pt idx="14">
                  <c:v>0.99539999999999995</c:v>
                </c:pt>
                <c:pt idx="15">
                  <c:v>0.99209999999999998</c:v>
                </c:pt>
                <c:pt idx="16">
                  <c:v>0.99080000000000001</c:v>
                </c:pt>
                <c:pt idx="17">
                  <c:v>0.99319999999999997</c:v>
                </c:pt>
                <c:pt idx="18">
                  <c:v>0.98760000000000003</c:v>
                </c:pt>
                <c:pt idx="19">
                  <c:v>0.98970000000000002</c:v>
                </c:pt>
                <c:pt idx="20">
                  <c:v>0.98870000000000002</c:v>
                </c:pt>
                <c:pt idx="21">
                  <c:v>0.98209999999999997</c:v>
                </c:pt>
                <c:pt idx="22">
                  <c:v>0.97719999999999996</c:v>
                </c:pt>
                <c:pt idx="23">
                  <c:v>0.99760000000000004</c:v>
                </c:pt>
                <c:pt idx="24">
                  <c:v>1.0014000000000001</c:v>
                </c:pt>
                <c:pt idx="25">
                  <c:v>1</c:v>
                </c:pt>
                <c:pt idx="26">
                  <c:v>1.0011000000000001</c:v>
                </c:pt>
                <c:pt idx="27">
                  <c:v>1.0013000000000001</c:v>
                </c:pt>
                <c:pt idx="28">
                  <c:v>1.0051000000000001</c:v>
                </c:pt>
                <c:pt idx="29">
                  <c:v>0.99690000000000001</c:v>
                </c:pt>
                <c:pt idx="30">
                  <c:v>0.99670000000000003</c:v>
                </c:pt>
                <c:pt idx="31">
                  <c:v>1.0017</c:v>
                </c:pt>
                <c:pt idx="32">
                  <c:v>1.0072000000000001</c:v>
                </c:pt>
                <c:pt idx="33">
                  <c:v>1.0105999999999999</c:v>
                </c:pt>
                <c:pt idx="34">
                  <c:v>1.0085</c:v>
                </c:pt>
                <c:pt idx="35">
                  <c:v>1.0082</c:v>
                </c:pt>
                <c:pt idx="36">
                  <c:v>1.0065</c:v>
                </c:pt>
                <c:pt idx="37">
                  <c:v>1.0145</c:v>
                </c:pt>
                <c:pt idx="38">
                  <c:v>1.0094000000000001</c:v>
                </c:pt>
                <c:pt idx="39">
                  <c:v>1.0095000000000001</c:v>
                </c:pt>
                <c:pt idx="40">
                  <c:v>1.0079</c:v>
                </c:pt>
                <c:pt idx="41">
                  <c:v>1.0132000000000001</c:v>
                </c:pt>
                <c:pt idx="42">
                  <c:v>1.0076000000000001</c:v>
                </c:pt>
                <c:pt idx="43">
                  <c:v>1.0017</c:v>
                </c:pt>
                <c:pt idx="44">
                  <c:v>1.0035000000000001</c:v>
                </c:pt>
                <c:pt idx="45">
                  <c:v>1.0093000000000001</c:v>
                </c:pt>
                <c:pt idx="46">
                  <c:v>1.0169999999999999</c:v>
                </c:pt>
                <c:pt idx="47">
                  <c:v>1.0194000000000001</c:v>
                </c:pt>
                <c:pt idx="48">
                  <c:v>1.0190999999999999</c:v>
                </c:pt>
                <c:pt idx="49">
                  <c:v>1.0158</c:v>
                </c:pt>
                <c:pt idx="50">
                  <c:v>1.0123</c:v>
                </c:pt>
                <c:pt idx="51">
                  <c:v>1.0077</c:v>
                </c:pt>
                <c:pt idx="52">
                  <c:v>1.0082</c:v>
                </c:pt>
                <c:pt idx="53">
                  <c:v>1.0081</c:v>
                </c:pt>
                <c:pt idx="54">
                  <c:v>1.0182</c:v>
                </c:pt>
                <c:pt idx="55">
                  <c:v>1.0244</c:v>
                </c:pt>
                <c:pt idx="56">
                  <c:v>1.0604</c:v>
                </c:pt>
                <c:pt idx="57">
                  <c:v>1.0826</c:v>
                </c:pt>
                <c:pt idx="58">
                  <c:v>1.0819000000000001</c:v>
                </c:pt>
                <c:pt idx="59">
                  <c:v>1.0809</c:v>
                </c:pt>
                <c:pt idx="60">
                  <c:v>1.0759000000000001</c:v>
                </c:pt>
                <c:pt idx="61">
                  <c:v>1.083</c:v>
                </c:pt>
                <c:pt idx="62">
                  <c:v>1.0746</c:v>
                </c:pt>
                <c:pt idx="63">
                  <c:v>1.0775999999999999</c:v>
                </c:pt>
                <c:pt idx="64">
                  <c:v>1.0681</c:v>
                </c:pt>
                <c:pt idx="65">
                  <c:v>1.0677000000000001</c:v>
                </c:pt>
                <c:pt idx="66">
                  <c:v>1.0671999999999999</c:v>
                </c:pt>
                <c:pt idx="67">
                  <c:v>1.0633999999999999</c:v>
                </c:pt>
                <c:pt idx="68">
                  <c:v>1.0568</c:v>
                </c:pt>
                <c:pt idx="69">
                  <c:v>1.0484</c:v>
                </c:pt>
                <c:pt idx="70">
                  <c:v>1.0488999999999999</c:v>
                </c:pt>
                <c:pt idx="71">
                  <c:v>1.071</c:v>
                </c:pt>
                <c:pt idx="72">
                  <c:v>1.0738000000000001</c:v>
                </c:pt>
                <c:pt idx="73">
                  <c:v>1.077</c:v>
                </c:pt>
                <c:pt idx="74">
                  <c:v>1.0981000000000001</c:v>
                </c:pt>
                <c:pt idx="75">
                  <c:v>1.1177999999999999</c:v>
                </c:pt>
                <c:pt idx="76">
                  <c:v>1.125</c:v>
                </c:pt>
                <c:pt idx="77">
                  <c:v>1.1124000000000001</c:v>
                </c:pt>
                <c:pt idx="78">
                  <c:v>1.1195999999999999</c:v>
                </c:pt>
                <c:pt idx="79">
                  <c:v>1.1215999999999999</c:v>
                </c:pt>
                <c:pt idx="80">
                  <c:v>1.1299999999999999</c:v>
                </c:pt>
                <c:pt idx="81">
                  <c:v>1.1452</c:v>
                </c:pt>
                <c:pt idx="82">
                  <c:v>1.1447000000000001</c:v>
                </c:pt>
                <c:pt idx="83">
                  <c:v>1.1466000000000001</c:v>
                </c:pt>
                <c:pt idx="84">
                  <c:v>1.1586000000000001</c:v>
                </c:pt>
                <c:pt idx="85">
                  <c:v>1.1617</c:v>
                </c:pt>
                <c:pt idx="86">
                  <c:v>1.1140000000000001</c:v>
                </c:pt>
                <c:pt idx="87">
                  <c:v>1.1183000000000001</c:v>
                </c:pt>
                <c:pt idx="88">
                  <c:v>1.1523000000000001</c:v>
                </c:pt>
                <c:pt idx="89">
                  <c:v>1.1624000000000001</c:v>
                </c:pt>
                <c:pt idx="90">
                  <c:v>1.1807000000000001</c:v>
                </c:pt>
                <c:pt idx="91">
                  <c:v>1.1598999999999999</c:v>
                </c:pt>
                <c:pt idx="92">
                  <c:v>1.1564000000000001</c:v>
                </c:pt>
                <c:pt idx="93">
                  <c:v>1.1526000000000001</c:v>
                </c:pt>
                <c:pt idx="94">
                  <c:v>1.1591</c:v>
                </c:pt>
                <c:pt idx="95">
                  <c:v>1.1593</c:v>
                </c:pt>
                <c:pt idx="96">
                  <c:v>1.1753</c:v>
                </c:pt>
                <c:pt idx="97">
                  <c:v>1.1711</c:v>
                </c:pt>
                <c:pt idx="98">
                  <c:v>1.1783999999999999</c:v>
                </c:pt>
                <c:pt idx="99">
                  <c:v>1.1973</c:v>
                </c:pt>
                <c:pt idx="100">
                  <c:v>1.1856</c:v>
                </c:pt>
                <c:pt idx="101">
                  <c:v>1.1805000000000001</c:v>
                </c:pt>
                <c:pt idx="102">
                  <c:v>1.1971000000000001</c:v>
                </c:pt>
                <c:pt idx="103">
                  <c:v>1.2035</c:v>
                </c:pt>
                <c:pt idx="104">
                  <c:v>1.2068000000000001</c:v>
                </c:pt>
                <c:pt idx="105">
                  <c:v>1.2009000000000001</c:v>
                </c:pt>
                <c:pt idx="106">
                  <c:v>1.2302</c:v>
                </c:pt>
                <c:pt idx="107">
                  <c:v>1.2369000000000001</c:v>
                </c:pt>
                <c:pt idx="108">
                  <c:v>1.2415</c:v>
                </c:pt>
                <c:pt idx="109">
                  <c:v>1.2484</c:v>
                </c:pt>
                <c:pt idx="110">
                  <c:v>1.2533000000000001</c:v>
                </c:pt>
                <c:pt idx="111">
                  <c:v>1.2272000000000001</c:v>
                </c:pt>
                <c:pt idx="112">
                  <c:v>1.2474000000000001</c:v>
                </c:pt>
                <c:pt idx="113">
                  <c:v>1.2618</c:v>
                </c:pt>
                <c:pt idx="114">
                  <c:v>1.2630999999999999</c:v>
                </c:pt>
                <c:pt idx="115">
                  <c:v>1.2808999999999999</c:v>
                </c:pt>
                <c:pt idx="116">
                  <c:v>1.2676000000000001</c:v>
                </c:pt>
                <c:pt idx="117">
                  <c:v>1.2585</c:v>
                </c:pt>
                <c:pt idx="118">
                  <c:v>1.2606999999999999</c:v>
                </c:pt>
                <c:pt idx="119">
                  <c:v>1.2824</c:v>
                </c:pt>
                <c:pt idx="120">
                  <c:v>1.2886</c:v>
                </c:pt>
                <c:pt idx="121">
                  <c:v>1.2915000000000001</c:v>
                </c:pt>
                <c:pt idx="122">
                  <c:v>1.2935000000000001</c:v>
                </c:pt>
                <c:pt idx="123">
                  <c:v>1.3030999999999999</c:v>
                </c:pt>
                <c:pt idx="124">
                  <c:v>1.3117000000000001</c:v>
                </c:pt>
                <c:pt idx="125">
                  <c:v>1.3169999999999999</c:v>
                </c:pt>
                <c:pt idx="126">
                  <c:v>1.3072999999999999</c:v>
                </c:pt>
                <c:pt idx="127">
                  <c:v>1.3076000000000001</c:v>
                </c:pt>
                <c:pt idx="128">
                  <c:v>1.3005</c:v>
                </c:pt>
                <c:pt idx="129">
                  <c:v>1.2948</c:v>
                </c:pt>
                <c:pt idx="130">
                  <c:v>1.2928999999999999</c:v>
                </c:pt>
                <c:pt idx="131">
                  <c:v>1.2968999999999999</c:v>
                </c:pt>
                <c:pt idx="132">
                  <c:v>1.3004</c:v>
                </c:pt>
                <c:pt idx="133">
                  <c:v>1.2937000000000001</c:v>
                </c:pt>
                <c:pt idx="134">
                  <c:v>1.2790999999999999</c:v>
                </c:pt>
                <c:pt idx="135">
                  <c:v>1.2830999999999999</c:v>
                </c:pt>
                <c:pt idx="136">
                  <c:v>1.2912999999999999</c:v>
                </c:pt>
                <c:pt idx="137">
                  <c:v>1.3016000000000001</c:v>
                </c:pt>
                <c:pt idx="138">
                  <c:v>1.3066</c:v>
                </c:pt>
                <c:pt idx="139">
                  <c:v>1.31</c:v>
                </c:pt>
                <c:pt idx="140">
                  <c:v>1.3069999999999999</c:v>
                </c:pt>
                <c:pt idx="141">
                  <c:v>1.3031999999999999</c:v>
                </c:pt>
                <c:pt idx="142">
                  <c:v>1.3231999999999999</c:v>
                </c:pt>
                <c:pt idx="143">
                  <c:v>1.3263</c:v>
                </c:pt>
                <c:pt idx="144">
                  <c:v>1.3293999999999999</c:v>
                </c:pt>
                <c:pt idx="145">
                  <c:v>1.3273999999999999</c:v>
                </c:pt>
                <c:pt idx="146">
                  <c:v>1.3252999999999999</c:v>
                </c:pt>
                <c:pt idx="147">
                  <c:v>1.3182</c:v>
                </c:pt>
                <c:pt idx="148">
                  <c:v>1.3293999999999999</c:v>
                </c:pt>
                <c:pt idx="149">
                  <c:v>1.3310999999999999</c:v>
                </c:pt>
                <c:pt idx="150">
                  <c:v>1.3297000000000001</c:v>
                </c:pt>
                <c:pt idx="151">
                  <c:v>1.3212999999999999</c:v>
                </c:pt>
                <c:pt idx="152">
                  <c:v>1.3126</c:v>
                </c:pt>
                <c:pt idx="153">
                  <c:v>1.3147</c:v>
                </c:pt>
                <c:pt idx="154">
                  <c:v>1.3123</c:v>
                </c:pt>
                <c:pt idx="155">
                  <c:v>1.3149999999999999</c:v>
                </c:pt>
                <c:pt idx="156">
                  <c:v>1.3248</c:v>
                </c:pt>
                <c:pt idx="157">
                  <c:v>1.3136000000000001</c:v>
                </c:pt>
                <c:pt idx="158">
                  <c:v>1.3008</c:v>
                </c:pt>
                <c:pt idx="159">
                  <c:v>1.2908999999999999</c:v>
                </c:pt>
                <c:pt idx="160">
                  <c:v>1.2722</c:v>
                </c:pt>
                <c:pt idx="161">
                  <c:v>1.2947</c:v>
                </c:pt>
                <c:pt idx="162">
                  <c:v>1.2897000000000001</c:v>
                </c:pt>
                <c:pt idx="163">
                  <c:v>1.2859</c:v>
                </c:pt>
                <c:pt idx="164">
                  <c:v>1.2865</c:v>
                </c:pt>
                <c:pt idx="165">
                  <c:v>1.3010999999999999</c:v>
                </c:pt>
                <c:pt idx="166">
                  <c:v>1.2895000000000001</c:v>
                </c:pt>
                <c:pt idx="167">
                  <c:v>1.2836000000000001</c:v>
                </c:pt>
                <c:pt idx="168">
                  <c:v>1.2652000000000001</c:v>
                </c:pt>
                <c:pt idx="169">
                  <c:v>1.2776000000000001</c:v>
                </c:pt>
                <c:pt idx="170">
                  <c:v>1.2845</c:v>
                </c:pt>
                <c:pt idx="171">
                  <c:v>1.2929999999999999</c:v>
                </c:pt>
                <c:pt idx="172">
                  <c:v>1.2879</c:v>
                </c:pt>
                <c:pt idx="173">
                  <c:v>1.2748999999999999</c:v>
                </c:pt>
                <c:pt idx="174">
                  <c:v>1.2451000000000001</c:v>
                </c:pt>
                <c:pt idx="175">
                  <c:v>1.2484</c:v>
                </c:pt>
                <c:pt idx="176">
                  <c:v>1.2421</c:v>
                </c:pt>
                <c:pt idx="177">
                  <c:v>1.2386999999999999</c:v>
                </c:pt>
                <c:pt idx="178">
                  <c:v>1.2358</c:v>
                </c:pt>
                <c:pt idx="179">
                  <c:v>1.2374000000000001</c:v>
                </c:pt>
                <c:pt idx="180">
                  <c:v>1.242</c:v>
                </c:pt>
                <c:pt idx="181">
                  <c:v>1.2524</c:v>
                </c:pt>
                <c:pt idx="182">
                  <c:v>1.2545999999999999</c:v>
                </c:pt>
                <c:pt idx="183">
                  <c:v>1.2625</c:v>
                </c:pt>
                <c:pt idx="184">
                  <c:v>1.2563</c:v>
                </c:pt>
                <c:pt idx="185">
                  <c:v>1.2597</c:v>
                </c:pt>
                <c:pt idx="186">
                  <c:v>1.2753000000000001</c:v>
                </c:pt>
                <c:pt idx="187">
                  <c:v>1.2789999999999999</c:v>
                </c:pt>
                <c:pt idx="188">
                  <c:v>1.2823</c:v>
                </c:pt>
                <c:pt idx="189">
                  <c:v>1.2844</c:v>
                </c:pt>
                <c:pt idx="190">
                  <c:v>1.2766</c:v>
                </c:pt>
                <c:pt idx="191">
                  <c:v>1.2785</c:v>
                </c:pt>
                <c:pt idx="192">
                  <c:v>1.2867</c:v>
                </c:pt>
                <c:pt idx="193">
                  <c:v>1.2927</c:v>
                </c:pt>
                <c:pt idx="194">
                  <c:v>1.2969999999999999</c:v>
                </c:pt>
                <c:pt idx="195">
                  <c:v>1.298</c:v>
                </c:pt>
                <c:pt idx="196">
                  <c:v>1.2922</c:v>
                </c:pt>
                <c:pt idx="197">
                  <c:v>1.2867999999999999</c:v>
                </c:pt>
                <c:pt idx="198">
                  <c:v>1.2846</c:v>
                </c:pt>
                <c:pt idx="199">
                  <c:v>1.2841</c:v>
                </c:pt>
                <c:pt idx="200">
                  <c:v>1.2807999999999999</c:v>
                </c:pt>
                <c:pt idx="201">
                  <c:v>1.2774000000000001</c:v>
                </c:pt>
                <c:pt idx="202">
                  <c:v>1.2741</c:v>
                </c:pt>
                <c:pt idx="203">
                  <c:v>1.2858000000000001</c:v>
                </c:pt>
                <c:pt idx="204">
                  <c:v>1.2926</c:v>
                </c:pt>
                <c:pt idx="205">
                  <c:v>1.2934000000000001</c:v>
                </c:pt>
                <c:pt idx="206">
                  <c:v>1.2942</c:v>
                </c:pt>
                <c:pt idx="207">
                  <c:v>1.3028</c:v>
                </c:pt>
                <c:pt idx="208">
                  <c:v>1.3033999999999999</c:v>
                </c:pt>
                <c:pt idx="209">
                  <c:v>1.3141</c:v>
                </c:pt>
                <c:pt idx="210">
                  <c:v>1.3154999999999999</c:v>
                </c:pt>
                <c:pt idx="211">
                  <c:v>1.3148</c:v>
                </c:pt>
                <c:pt idx="212">
                  <c:v>1.3106</c:v>
                </c:pt>
                <c:pt idx="213">
                  <c:v>1.3047</c:v>
                </c:pt>
                <c:pt idx="214">
                  <c:v>1.3148</c:v>
                </c:pt>
                <c:pt idx="215">
                  <c:v>1.3157000000000001</c:v>
                </c:pt>
                <c:pt idx="216">
                  <c:v>1.3236000000000001</c:v>
                </c:pt>
                <c:pt idx="217">
                  <c:v>1.3241000000000001</c:v>
                </c:pt>
                <c:pt idx="218">
                  <c:v>1.3084</c:v>
                </c:pt>
                <c:pt idx="219">
                  <c:v>1.3028</c:v>
                </c:pt>
                <c:pt idx="220">
                  <c:v>1.3030999999999999</c:v>
                </c:pt>
                <c:pt idx="221">
                  <c:v>1.3063</c:v>
                </c:pt>
                <c:pt idx="222">
                  <c:v>1.3069999999999999</c:v>
                </c:pt>
                <c:pt idx="223">
                  <c:v>1.3249</c:v>
                </c:pt>
                <c:pt idx="224">
                  <c:v>1.3178000000000001</c:v>
                </c:pt>
                <c:pt idx="225">
                  <c:v>1.3231999999999999</c:v>
                </c:pt>
                <c:pt idx="226">
                  <c:v>1.3172999999999999</c:v>
                </c:pt>
                <c:pt idx="227">
                  <c:v>1.3072999999999999</c:v>
                </c:pt>
                <c:pt idx="228">
                  <c:v>1.2968</c:v>
                </c:pt>
                <c:pt idx="229">
                  <c:v>1.2947</c:v>
                </c:pt>
                <c:pt idx="230">
                  <c:v>1.2962</c:v>
                </c:pt>
                <c:pt idx="231">
                  <c:v>1.2883</c:v>
                </c:pt>
                <c:pt idx="232">
                  <c:v>1.2882</c:v>
                </c:pt>
                <c:pt idx="233">
                  <c:v>1.2841</c:v>
                </c:pt>
                <c:pt idx="234">
                  <c:v>1.2859</c:v>
                </c:pt>
                <c:pt idx="235">
                  <c:v>1.2924</c:v>
                </c:pt>
                <c:pt idx="236">
                  <c:v>1.3041</c:v>
                </c:pt>
                <c:pt idx="237">
                  <c:v>1.3145</c:v>
                </c:pt>
                <c:pt idx="238">
                  <c:v>1.3226</c:v>
                </c:pt>
                <c:pt idx="239">
                  <c:v>1.3232999999999999</c:v>
                </c:pt>
                <c:pt idx="240">
                  <c:v>1.3107</c:v>
                </c:pt>
                <c:pt idx="241">
                  <c:v>1.3105</c:v>
                </c:pt>
                <c:pt idx="242">
                  <c:v>1.3119000000000001</c:v>
                </c:pt>
                <c:pt idx="243">
                  <c:v>1.3204</c:v>
                </c:pt>
                <c:pt idx="244">
                  <c:v>1.3144</c:v>
                </c:pt>
                <c:pt idx="245">
                  <c:v>1.3178000000000001</c:v>
                </c:pt>
                <c:pt idx="246">
                  <c:v>1.3144</c:v>
                </c:pt>
                <c:pt idx="247">
                  <c:v>1.3193999999999999</c:v>
                </c:pt>
                <c:pt idx="248">
                  <c:v>1.3246</c:v>
                </c:pt>
                <c:pt idx="249">
                  <c:v>1.3205</c:v>
                </c:pt>
                <c:pt idx="250">
                  <c:v>1.3193999999999999</c:v>
                </c:pt>
                <c:pt idx="251">
                  <c:v>1.3184</c:v>
                </c:pt>
                <c:pt idx="252">
                  <c:v>1.3246</c:v>
                </c:pt>
                <c:pt idx="253">
                  <c:v>1.3268</c:v>
                </c:pt>
                <c:pt idx="254">
                  <c:v>1.3093999999999999</c:v>
                </c:pt>
                <c:pt idx="255">
                  <c:v>1.2997000000000001</c:v>
                </c:pt>
                <c:pt idx="256">
                  <c:v>1.2926</c:v>
                </c:pt>
                <c:pt idx="257">
                  <c:v>1.2989999999999999</c:v>
                </c:pt>
                <c:pt idx="258">
                  <c:v>1.3042</c:v>
                </c:pt>
                <c:pt idx="259">
                  <c:v>1.2995000000000001</c:v>
                </c:pt>
                <c:pt idx="260">
                  <c:v>1.3008</c:v>
                </c:pt>
                <c:pt idx="261">
                  <c:v>1.3149</c:v>
                </c:pt>
                <c:pt idx="262">
                  <c:v>1.3163</c:v>
                </c:pt>
                <c:pt idx="263">
                  <c:v>1.3177000000000001</c:v>
                </c:pt>
                <c:pt idx="264">
                  <c:v>1.3271999999999999</c:v>
                </c:pt>
                <c:pt idx="265">
                  <c:v>1.3309</c:v>
                </c:pt>
                <c:pt idx="266">
                  <c:v>1.3387</c:v>
                </c:pt>
                <c:pt idx="267">
                  <c:v>1.3531</c:v>
                </c:pt>
                <c:pt idx="268">
                  <c:v>1.3644000000000001</c:v>
                </c:pt>
                <c:pt idx="269">
                  <c:v>1.3484</c:v>
                </c:pt>
                <c:pt idx="270">
                  <c:v>1.3359000000000001</c:v>
                </c:pt>
                <c:pt idx="271">
                  <c:v>1.3392999999999999</c:v>
                </c:pt>
                <c:pt idx="272">
                  <c:v>1.3303</c:v>
                </c:pt>
                <c:pt idx="273">
                  <c:v>1.3312999999999999</c:v>
                </c:pt>
                <c:pt idx="274">
                  <c:v>1.3595999999999999</c:v>
                </c:pt>
                <c:pt idx="275">
                  <c:v>1.3634999999999999</c:v>
                </c:pt>
                <c:pt idx="276">
                  <c:v>1.3532</c:v>
                </c:pt>
                <c:pt idx="277">
                  <c:v>1.3474999999999999</c:v>
                </c:pt>
                <c:pt idx="278">
                  <c:v>1.3447</c:v>
                </c:pt>
                <c:pt idx="279">
                  <c:v>1.3517999999999999</c:v>
                </c:pt>
                <c:pt idx="280">
                  <c:v>1.3469</c:v>
                </c:pt>
                <c:pt idx="281">
                  <c:v>1.3403</c:v>
                </c:pt>
                <c:pt idx="282">
                  <c:v>1.3460000000000001</c:v>
                </c:pt>
                <c:pt idx="283">
                  <c:v>1.3305</c:v>
                </c:pt>
                <c:pt idx="284">
                  <c:v>1.3436999999999999</c:v>
                </c:pt>
                <c:pt idx="285">
                  <c:v>1.3359000000000001</c:v>
                </c:pt>
                <c:pt idx="286">
                  <c:v>1.3266</c:v>
                </c:pt>
                <c:pt idx="287">
                  <c:v>1.3298000000000001</c:v>
                </c:pt>
                <c:pt idx="288">
                  <c:v>1.3347</c:v>
                </c:pt>
                <c:pt idx="289">
                  <c:v>1.3442000000000001</c:v>
                </c:pt>
                <c:pt idx="290">
                  <c:v>1.3245</c:v>
                </c:pt>
                <c:pt idx="291">
                  <c:v>1.325</c:v>
                </c:pt>
                <c:pt idx="292">
                  <c:v>1.3381000000000001</c:v>
                </c:pt>
                <c:pt idx="293">
                  <c:v>1.3472999999999999</c:v>
                </c:pt>
                <c:pt idx="294">
                  <c:v>1.3328</c:v>
                </c:pt>
                <c:pt idx="295">
                  <c:v>1.3244</c:v>
                </c:pt>
                <c:pt idx="296">
                  <c:v>1.3259000000000001</c:v>
                </c:pt>
                <c:pt idx="297">
                  <c:v>1.3374999999999999</c:v>
                </c:pt>
                <c:pt idx="298">
                  <c:v>1.3403</c:v>
                </c:pt>
                <c:pt idx="299">
                  <c:v>1.3368</c:v>
                </c:pt>
                <c:pt idx="300">
                  <c:v>1.3386</c:v>
                </c:pt>
                <c:pt idx="301">
                  <c:v>1.3177000000000001</c:v>
                </c:pt>
                <c:pt idx="302">
                  <c:v>1.2964</c:v>
                </c:pt>
                <c:pt idx="303">
                  <c:v>1.3011999999999999</c:v>
                </c:pt>
                <c:pt idx="304">
                  <c:v>1.2954000000000001</c:v>
                </c:pt>
                <c:pt idx="305">
                  <c:v>1.2874000000000001</c:v>
                </c:pt>
                <c:pt idx="306">
                  <c:v>1.2858000000000001</c:v>
                </c:pt>
                <c:pt idx="307">
                  <c:v>1.29</c:v>
                </c:pt>
                <c:pt idx="308">
                  <c:v>1.2928999999999999</c:v>
                </c:pt>
                <c:pt idx="309">
                  <c:v>1.3001</c:v>
                </c:pt>
                <c:pt idx="310">
                  <c:v>1.3015000000000001</c:v>
                </c:pt>
                <c:pt idx="311">
                  <c:v>1.3218000000000001</c:v>
                </c:pt>
                <c:pt idx="312">
                  <c:v>1.3324</c:v>
                </c:pt>
                <c:pt idx="313">
                  <c:v>1.3440000000000001</c:v>
                </c:pt>
                <c:pt idx="314">
                  <c:v>1.3363</c:v>
                </c:pt>
                <c:pt idx="315">
                  <c:v>1.3286</c:v>
                </c:pt>
                <c:pt idx="316">
                  <c:v>1.3360000000000001</c:v>
                </c:pt>
                <c:pt idx="317">
                  <c:v>1.3409</c:v>
                </c:pt>
                <c:pt idx="318">
                  <c:v>1.3402000000000001</c:v>
                </c:pt>
                <c:pt idx="319">
                  <c:v>1.3337000000000001</c:v>
                </c:pt>
                <c:pt idx="320">
                  <c:v>1.3452</c:v>
                </c:pt>
                <c:pt idx="321">
                  <c:v>1.3380000000000001</c:v>
                </c:pt>
                <c:pt idx="322">
                  <c:v>1.3345</c:v>
                </c:pt>
                <c:pt idx="323">
                  <c:v>1.3412999999999999</c:v>
                </c:pt>
                <c:pt idx="324">
                  <c:v>1.3232999999999999</c:v>
                </c:pt>
                <c:pt idx="325">
                  <c:v>1.3183</c:v>
                </c:pt>
                <c:pt idx="326">
                  <c:v>1.3303</c:v>
                </c:pt>
                <c:pt idx="327">
                  <c:v>1.3404</c:v>
                </c:pt>
                <c:pt idx="328">
                  <c:v>1.3250999999999999</c:v>
                </c:pt>
                <c:pt idx="329">
                  <c:v>1.3411</c:v>
                </c:pt>
                <c:pt idx="330">
                  <c:v>1.3284</c:v>
                </c:pt>
                <c:pt idx="331">
                  <c:v>1.3411</c:v>
                </c:pt>
                <c:pt idx="332">
                  <c:v>1.33</c:v>
                </c:pt>
                <c:pt idx="333">
                  <c:v>1.3199000000000001</c:v>
                </c:pt>
                <c:pt idx="334">
                  <c:v>1.3280000000000001</c:v>
                </c:pt>
                <c:pt idx="335">
                  <c:v>1.3284</c:v>
                </c:pt>
                <c:pt idx="336">
                  <c:v>1.3318000000000001</c:v>
                </c:pt>
                <c:pt idx="337">
                  <c:v>1.3363</c:v>
                </c:pt>
                <c:pt idx="338">
                  <c:v>1.3474999999999999</c:v>
                </c:pt>
                <c:pt idx="339">
                  <c:v>1.3501000000000001</c:v>
                </c:pt>
                <c:pt idx="340">
                  <c:v>1.3409</c:v>
                </c:pt>
                <c:pt idx="341">
                  <c:v>1.3496999999999999</c:v>
                </c:pt>
                <c:pt idx="342">
                  <c:v>1.3534999999999999</c:v>
                </c:pt>
                <c:pt idx="343">
                  <c:v>1.3584000000000001</c:v>
                </c:pt>
                <c:pt idx="344">
                  <c:v>1.3485</c:v>
                </c:pt>
                <c:pt idx="345">
                  <c:v>1.3482000000000001</c:v>
                </c:pt>
                <c:pt idx="346">
                  <c:v>1.3486</c:v>
                </c:pt>
                <c:pt idx="347">
                  <c:v>1.3319000000000001</c:v>
                </c:pt>
                <c:pt idx="348">
                  <c:v>1.3403</c:v>
                </c:pt>
                <c:pt idx="349">
                  <c:v>1.3513999999999999</c:v>
                </c:pt>
                <c:pt idx="350">
                  <c:v>1.3465</c:v>
                </c:pt>
                <c:pt idx="351">
                  <c:v>1.3478000000000001</c:v>
                </c:pt>
                <c:pt idx="352">
                  <c:v>1.3596999999999999</c:v>
                </c:pt>
                <c:pt idx="353">
                  <c:v>1.3580000000000001</c:v>
                </c:pt>
                <c:pt idx="354">
                  <c:v>1.3667</c:v>
                </c:pt>
                <c:pt idx="355">
                  <c:v>1.3683000000000001</c:v>
                </c:pt>
                <c:pt idx="356">
                  <c:v>1.3686</c:v>
                </c:pt>
                <c:pt idx="357">
                  <c:v>1.377</c:v>
                </c:pt>
                <c:pt idx="358">
                  <c:v>1.383</c:v>
                </c:pt>
                <c:pt idx="359">
                  <c:v>1.385</c:v>
                </c:pt>
                <c:pt idx="360">
                  <c:v>1.3834</c:v>
                </c:pt>
                <c:pt idx="361">
                  <c:v>1.3868</c:v>
                </c:pt>
                <c:pt idx="362">
                  <c:v>1.4149</c:v>
                </c:pt>
                <c:pt idx="363">
                  <c:v>1.4166000000000001</c:v>
                </c:pt>
                <c:pt idx="364">
                  <c:v>1.4419</c:v>
                </c:pt>
                <c:pt idx="365">
                  <c:v>1.4537</c:v>
                </c:pt>
                <c:pt idx="366">
                  <c:v>1.4537</c:v>
                </c:pt>
                <c:pt idx="367">
                  <c:v>1.4503999999999999</c:v>
                </c:pt>
                <c:pt idx="368">
                  <c:v>1.4459</c:v>
                </c:pt>
                <c:pt idx="369">
                  <c:v>1.4478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92-4033-B5AF-8C0AB6001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90982512"/>
        <c:axId val="-490965104"/>
      </c:lineChart>
      <c:catAx>
        <c:axId val="-49098251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crossAx val="-490965104"/>
        <c:crosses val="autoZero"/>
        <c:auto val="0"/>
        <c:lblAlgn val="ctr"/>
        <c:lblOffset val="100"/>
        <c:noMultiLvlLbl val="1"/>
      </c:catAx>
      <c:valAx>
        <c:axId val="-490965104"/>
        <c:scaling>
          <c:orientation val="minMax"/>
          <c:min val="0.95000000000000007"/>
        </c:scaling>
        <c:delete val="0"/>
        <c:axPos val="l"/>
        <c:majorGridlines/>
        <c:numFmt formatCode="0.0000_ " sourceLinked="1"/>
        <c:majorTickMark val="none"/>
        <c:minorTickMark val="none"/>
        <c:tickLblPos val="nextTo"/>
        <c:spPr>
          <a:ln w="9525">
            <a:noFill/>
          </a:ln>
        </c:spPr>
        <c:crossAx val="-490982512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4" l="0.70000000000000062" r="0.70000000000000062" t="0.750000000000004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 sz="1600"/>
              <a:t>纯享</a:t>
            </a:r>
            <a:r>
              <a:rPr lang="en-US" altLang="zh-CN" sz="1600"/>
              <a:t>CTA</a:t>
            </a:r>
            <a:r>
              <a:rPr lang="zh-CN" altLang="en-US" sz="1600"/>
              <a:t>三期</a:t>
            </a:r>
            <a:endParaRPr lang="en-US" altLang="zh-CN" sz="16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纯享CTA三期!$B$20</c:f>
              <c:strCache>
                <c:ptCount val="1"/>
                <c:pt idx="0">
                  <c:v>累计净值</c:v>
                </c:pt>
              </c:strCache>
            </c:strRef>
          </c:tx>
          <c:marker>
            <c:symbol val="none"/>
          </c:marker>
          <c:cat>
            <c:numRef>
              <c:f>纯享CTA三期!$A$21:$A$371</c:f>
              <c:numCache>
                <c:formatCode>m/d/yyyy</c:formatCode>
                <c:ptCount val="351"/>
                <c:pt idx="0">
                  <c:v>43801</c:v>
                </c:pt>
                <c:pt idx="1">
                  <c:v>43802</c:v>
                </c:pt>
                <c:pt idx="2">
                  <c:v>43803</c:v>
                </c:pt>
                <c:pt idx="3">
                  <c:v>43804</c:v>
                </c:pt>
                <c:pt idx="4">
                  <c:v>43805</c:v>
                </c:pt>
                <c:pt idx="5">
                  <c:v>43808</c:v>
                </c:pt>
                <c:pt idx="6">
                  <c:v>43809</c:v>
                </c:pt>
                <c:pt idx="7">
                  <c:v>43810</c:v>
                </c:pt>
                <c:pt idx="8">
                  <c:v>43811</c:v>
                </c:pt>
                <c:pt idx="9">
                  <c:v>43812</c:v>
                </c:pt>
                <c:pt idx="10">
                  <c:v>43815</c:v>
                </c:pt>
                <c:pt idx="11">
                  <c:v>43816</c:v>
                </c:pt>
                <c:pt idx="12">
                  <c:v>43817</c:v>
                </c:pt>
                <c:pt idx="13">
                  <c:v>43818</c:v>
                </c:pt>
                <c:pt idx="14">
                  <c:v>43819</c:v>
                </c:pt>
                <c:pt idx="15">
                  <c:v>43822</c:v>
                </c:pt>
                <c:pt idx="16">
                  <c:v>43823</c:v>
                </c:pt>
                <c:pt idx="17">
                  <c:v>43824</c:v>
                </c:pt>
                <c:pt idx="18">
                  <c:v>43825</c:v>
                </c:pt>
                <c:pt idx="19">
                  <c:v>43826</c:v>
                </c:pt>
                <c:pt idx="20">
                  <c:v>43829</c:v>
                </c:pt>
                <c:pt idx="21">
                  <c:v>43830</c:v>
                </c:pt>
                <c:pt idx="22">
                  <c:v>43832</c:v>
                </c:pt>
                <c:pt idx="23">
                  <c:v>43833</c:v>
                </c:pt>
                <c:pt idx="24">
                  <c:v>43836</c:v>
                </c:pt>
                <c:pt idx="25">
                  <c:v>43837</c:v>
                </c:pt>
                <c:pt idx="26">
                  <c:v>43838</c:v>
                </c:pt>
                <c:pt idx="27">
                  <c:v>43839</c:v>
                </c:pt>
                <c:pt idx="28">
                  <c:v>43840</c:v>
                </c:pt>
                <c:pt idx="29">
                  <c:v>43843</c:v>
                </c:pt>
                <c:pt idx="30">
                  <c:v>43844</c:v>
                </c:pt>
                <c:pt idx="31">
                  <c:v>43845</c:v>
                </c:pt>
                <c:pt idx="32">
                  <c:v>43846</c:v>
                </c:pt>
                <c:pt idx="33">
                  <c:v>43847</c:v>
                </c:pt>
                <c:pt idx="34">
                  <c:v>43850</c:v>
                </c:pt>
                <c:pt idx="35">
                  <c:v>43851</c:v>
                </c:pt>
                <c:pt idx="36">
                  <c:v>43852</c:v>
                </c:pt>
                <c:pt idx="37">
                  <c:v>43853</c:v>
                </c:pt>
                <c:pt idx="38">
                  <c:v>43864</c:v>
                </c:pt>
                <c:pt idx="39">
                  <c:v>43865</c:v>
                </c:pt>
                <c:pt idx="40">
                  <c:v>43866</c:v>
                </c:pt>
                <c:pt idx="41">
                  <c:v>43867</c:v>
                </c:pt>
                <c:pt idx="42">
                  <c:v>43868</c:v>
                </c:pt>
                <c:pt idx="43">
                  <c:v>43871</c:v>
                </c:pt>
                <c:pt idx="44">
                  <c:v>43872</c:v>
                </c:pt>
                <c:pt idx="45">
                  <c:v>43873</c:v>
                </c:pt>
                <c:pt idx="46">
                  <c:v>43874</c:v>
                </c:pt>
                <c:pt idx="47">
                  <c:v>43875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43885</c:v>
                </c:pt>
                <c:pt idx="54">
                  <c:v>43886</c:v>
                </c:pt>
                <c:pt idx="55">
                  <c:v>43887</c:v>
                </c:pt>
                <c:pt idx="56">
                  <c:v>43888</c:v>
                </c:pt>
                <c:pt idx="57">
                  <c:v>43889</c:v>
                </c:pt>
                <c:pt idx="58">
                  <c:v>43892</c:v>
                </c:pt>
                <c:pt idx="59">
                  <c:v>43893</c:v>
                </c:pt>
                <c:pt idx="60">
                  <c:v>43894</c:v>
                </c:pt>
                <c:pt idx="61">
                  <c:v>43895</c:v>
                </c:pt>
                <c:pt idx="62">
                  <c:v>43896</c:v>
                </c:pt>
                <c:pt idx="63">
                  <c:v>43899</c:v>
                </c:pt>
                <c:pt idx="64">
                  <c:v>43900</c:v>
                </c:pt>
                <c:pt idx="65">
                  <c:v>43901</c:v>
                </c:pt>
                <c:pt idx="66">
                  <c:v>43902</c:v>
                </c:pt>
                <c:pt idx="67">
                  <c:v>43903</c:v>
                </c:pt>
                <c:pt idx="68">
                  <c:v>43906</c:v>
                </c:pt>
                <c:pt idx="69">
                  <c:v>43907</c:v>
                </c:pt>
                <c:pt idx="70">
                  <c:v>43908</c:v>
                </c:pt>
                <c:pt idx="71">
                  <c:v>43909</c:v>
                </c:pt>
                <c:pt idx="72">
                  <c:v>43910</c:v>
                </c:pt>
                <c:pt idx="73">
                  <c:v>43913</c:v>
                </c:pt>
                <c:pt idx="74">
                  <c:v>43914</c:v>
                </c:pt>
                <c:pt idx="75">
                  <c:v>43915</c:v>
                </c:pt>
                <c:pt idx="76">
                  <c:v>43916</c:v>
                </c:pt>
                <c:pt idx="77">
                  <c:v>43917</c:v>
                </c:pt>
                <c:pt idx="78">
                  <c:v>43920</c:v>
                </c:pt>
                <c:pt idx="79">
                  <c:v>43921</c:v>
                </c:pt>
                <c:pt idx="80">
                  <c:v>43922</c:v>
                </c:pt>
                <c:pt idx="81">
                  <c:v>43923</c:v>
                </c:pt>
                <c:pt idx="82">
                  <c:v>43924</c:v>
                </c:pt>
                <c:pt idx="83">
                  <c:v>43928</c:v>
                </c:pt>
                <c:pt idx="84">
                  <c:v>43929</c:v>
                </c:pt>
                <c:pt idx="85">
                  <c:v>43930</c:v>
                </c:pt>
                <c:pt idx="86">
                  <c:v>43931</c:v>
                </c:pt>
                <c:pt idx="87">
                  <c:v>43934</c:v>
                </c:pt>
                <c:pt idx="88">
                  <c:v>43935</c:v>
                </c:pt>
                <c:pt idx="89">
                  <c:v>43936</c:v>
                </c:pt>
                <c:pt idx="90">
                  <c:v>43937</c:v>
                </c:pt>
                <c:pt idx="91">
                  <c:v>43938</c:v>
                </c:pt>
                <c:pt idx="92">
                  <c:v>43941</c:v>
                </c:pt>
                <c:pt idx="93">
                  <c:v>43942</c:v>
                </c:pt>
                <c:pt idx="94">
                  <c:v>43943</c:v>
                </c:pt>
                <c:pt idx="95">
                  <c:v>43944</c:v>
                </c:pt>
                <c:pt idx="96">
                  <c:v>43945</c:v>
                </c:pt>
                <c:pt idx="97">
                  <c:v>43948</c:v>
                </c:pt>
                <c:pt idx="98">
                  <c:v>43949</c:v>
                </c:pt>
                <c:pt idx="99">
                  <c:v>43950</c:v>
                </c:pt>
                <c:pt idx="100">
                  <c:v>43951</c:v>
                </c:pt>
                <c:pt idx="101">
                  <c:v>43957</c:v>
                </c:pt>
                <c:pt idx="102">
                  <c:v>43958</c:v>
                </c:pt>
                <c:pt idx="103">
                  <c:v>43959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43969</c:v>
                </c:pt>
                <c:pt idx="110">
                  <c:v>43970</c:v>
                </c:pt>
                <c:pt idx="111">
                  <c:v>43971</c:v>
                </c:pt>
                <c:pt idx="112">
                  <c:v>43972</c:v>
                </c:pt>
                <c:pt idx="113">
                  <c:v>43973</c:v>
                </c:pt>
                <c:pt idx="114">
                  <c:v>43976</c:v>
                </c:pt>
                <c:pt idx="115">
                  <c:v>43977</c:v>
                </c:pt>
                <c:pt idx="116">
                  <c:v>43978</c:v>
                </c:pt>
                <c:pt idx="117">
                  <c:v>43979</c:v>
                </c:pt>
                <c:pt idx="118">
                  <c:v>43980</c:v>
                </c:pt>
                <c:pt idx="119">
                  <c:v>43983</c:v>
                </c:pt>
                <c:pt idx="120">
                  <c:v>43984</c:v>
                </c:pt>
                <c:pt idx="121">
                  <c:v>43985</c:v>
                </c:pt>
                <c:pt idx="122">
                  <c:v>43986</c:v>
                </c:pt>
                <c:pt idx="123">
                  <c:v>43987</c:v>
                </c:pt>
                <c:pt idx="124">
                  <c:v>43990</c:v>
                </c:pt>
                <c:pt idx="125">
                  <c:v>43991</c:v>
                </c:pt>
                <c:pt idx="126">
                  <c:v>43992</c:v>
                </c:pt>
                <c:pt idx="127">
                  <c:v>43993</c:v>
                </c:pt>
                <c:pt idx="128">
                  <c:v>43994</c:v>
                </c:pt>
                <c:pt idx="129">
                  <c:v>43997</c:v>
                </c:pt>
                <c:pt idx="130">
                  <c:v>43998</c:v>
                </c:pt>
                <c:pt idx="131">
                  <c:v>43999</c:v>
                </c:pt>
                <c:pt idx="132">
                  <c:v>44000</c:v>
                </c:pt>
                <c:pt idx="133">
                  <c:v>44001</c:v>
                </c:pt>
                <c:pt idx="134">
                  <c:v>44004</c:v>
                </c:pt>
                <c:pt idx="135">
                  <c:v>44005</c:v>
                </c:pt>
                <c:pt idx="136">
                  <c:v>44006</c:v>
                </c:pt>
                <c:pt idx="137">
                  <c:v>44011</c:v>
                </c:pt>
                <c:pt idx="138">
                  <c:v>44012</c:v>
                </c:pt>
                <c:pt idx="139">
                  <c:v>44013</c:v>
                </c:pt>
                <c:pt idx="140">
                  <c:v>44014</c:v>
                </c:pt>
                <c:pt idx="141">
                  <c:v>44015</c:v>
                </c:pt>
                <c:pt idx="142">
                  <c:v>44018</c:v>
                </c:pt>
                <c:pt idx="143">
                  <c:v>44019</c:v>
                </c:pt>
                <c:pt idx="144">
                  <c:v>44020</c:v>
                </c:pt>
                <c:pt idx="145">
                  <c:v>44021</c:v>
                </c:pt>
                <c:pt idx="146">
                  <c:v>44022</c:v>
                </c:pt>
                <c:pt idx="147">
                  <c:v>44025</c:v>
                </c:pt>
                <c:pt idx="148">
                  <c:v>44026</c:v>
                </c:pt>
                <c:pt idx="149">
                  <c:v>44027</c:v>
                </c:pt>
                <c:pt idx="150">
                  <c:v>44028</c:v>
                </c:pt>
                <c:pt idx="151">
                  <c:v>44029</c:v>
                </c:pt>
                <c:pt idx="152">
                  <c:v>44032</c:v>
                </c:pt>
                <c:pt idx="153">
                  <c:v>44033</c:v>
                </c:pt>
                <c:pt idx="154">
                  <c:v>44034</c:v>
                </c:pt>
                <c:pt idx="155">
                  <c:v>44035</c:v>
                </c:pt>
                <c:pt idx="156">
                  <c:v>44036</c:v>
                </c:pt>
                <c:pt idx="157">
                  <c:v>44039</c:v>
                </c:pt>
                <c:pt idx="158">
                  <c:v>44040</c:v>
                </c:pt>
                <c:pt idx="159">
                  <c:v>44041</c:v>
                </c:pt>
                <c:pt idx="160">
                  <c:v>44042</c:v>
                </c:pt>
                <c:pt idx="161">
                  <c:v>44043</c:v>
                </c:pt>
                <c:pt idx="162">
                  <c:v>44046</c:v>
                </c:pt>
                <c:pt idx="163">
                  <c:v>44047</c:v>
                </c:pt>
                <c:pt idx="164">
                  <c:v>44048</c:v>
                </c:pt>
                <c:pt idx="165">
                  <c:v>44049</c:v>
                </c:pt>
                <c:pt idx="166">
                  <c:v>44050</c:v>
                </c:pt>
                <c:pt idx="167">
                  <c:v>44053</c:v>
                </c:pt>
                <c:pt idx="168">
                  <c:v>44054</c:v>
                </c:pt>
                <c:pt idx="169">
                  <c:v>44055</c:v>
                </c:pt>
                <c:pt idx="170">
                  <c:v>44056</c:v>
                </c:pt>
                <c:pt idx="171">
                  <c:v>44057</c:v>
                </c:pt>
                <c:pt idx="172">
                  <c:v>44060</c:v>
                </c:pt>
                <c:pt idx="173">
                  <c:v>44061</c:v>
                </c:pt>
                <c:pt idx="174">
                  <c:v>44062</c:v>
                </c:pt>
                <c:pt idx="175">
                  <c:v>44063</c:v>
                </c:pt>
                <c:pt idx="176">
                  <c:v>44064</c:v>
                </c:pt>
                <c:pt idx="177">
                  <c:v>44067</c:v>
                </c:pt>
                <c:pt idx="178">
                  <c:v>44068</c:v>
                </c:pt>
                <c:pt idx="179">
                  <c:v>44069</c:v>
                </c:pt>
                <c:pt idx="180">
                  <c:v>44070</c:v>
                </c:pt>
                <c:pt idx="181">
                  <c:v>44071</c:v>
                </c:pt>
                <c:pt idx="182">
                  <c:v>44074</c:v>
                </c:pt>
                <c:pt idx="183">
                  <c:v>44075</c:v>
                </c:pt>
                <c:pt idx="184">
                  <c:v>44076</c:v>
                </c:pt>
                <c:pt idx="185">
                  <c:v>44077</c:v>
                </c:pt>
                <c:pt idx="186">
                  <c:v>44078</c:v>
                </c:pt>
                <c:pt idx="187">
                  <c:v>44081</c:v>
                </c:pt>
                <c:pt idx="188">
                  <c:v>44082</c:v>
                </c:pt>
                <c:pt idx="189">
                  <c:v>44083</c:v>
                </c:pt>
                <c:pt idx="190">
                  <c:v>44084</c:v>
                </c:pt>
                <c:pt idx="191">
                  <c:v>44085</c:v>
                </c:pt>
                <c:pt idx="192">
                  <c:v>44088</c:v>
                </c:pt>
                <c:pt idx="193">
                  <c:v>44089</c:v>
                </c:pt>
                <c:pt idx="194">
                  <c:v>44090</c:v>
                </c:pt>
                <c:pt idx="195">
                  <c:v>44091</c:v>
                </c:pt>
                <c:pt idx="196">
                  <c:v>44092</c:v>
                </c:pt>
                <c:pt idx="197">
                  <c:v>44095</c:v>
                </c:pt>
                <c:pt idx="198">
                  <c:v>44096</c:v>
                </c:pt>
                <c:pt idx="199">
                  <c:v>44097</c:v>
                </c:pt>
                <c:pt idx="200">
                  <c:v>44098</c:v>
                </c:pt>
                <c:pt idx="201">
                  <c:v>44099</c:v>
                </c:pt>
                <c:pt idx="202">
                  <c:v>44102</c:v>
                </c:pt>
                <c:pt idx="203">
                  <c:v>44103</c:v>
                </c:pt>
                <c:pt idx="204">
                  <c:v>44104</c:v>
                </c:pt>
                <c:pt idx="205">
                  <c:v>44113</c:v>
                </c:pt>
                <c:pt idx="206">
                  <c:v>44116</c:v>
                </c:pt>
                <c:pt idx="207">
                  <c:v>44117</c:v>
                </c:pt>
                <c:pt idx="208">
                  <c:v>44118</c:v>
                </c:pt>
                <c:pt idx="209">
                  <c:v>44119</c:v>
                </c:pt>
                <c:pt idx="210">
                  <c:v>44120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44130</c:v>
                </c:pt>
                <c:pt idx="217">
                  <c:v>44131</c:v>
                </c:pt>
                <c:pt idx="218">
                  <c:v>44132</c:v>
                </c:pt>
                <c:pt idx="219">
                  <c:v>44133</c:v>
                </c:pt>
                <c:pt idx="220">
                  <c:v>44134</c:v>
                </c:pt>
                <c:pt idx="221">
                  <c:v>44137</c:v>
                </c:pt>
                <c:pt idx="222">
                  <c:v>44138</c:v>
                </c:pt>
                <c:pt idx="223">
                  <c:v>44139</c:v>
                </c:pt>
                <c:pt idx="224">
                  <c:v>44140</c:v>
                </c:pt>
                <c:pt idx="225">
                  <c:v>44141</c:v>
                </c:pt>
                <c:pt idx="226">
                  <c:v>44144</c:v>
                </c:pt>
                <c:pt idx="227">
                  <c:v>44145</c:v>
                </c:pt>
                <c:pt idx="228">
                  <c:v>44146</c:v>
                </c:pt>
                <c:pt idx="229">
                  <c:v>44147</c:v>
                </c:pt>
                <c:pt idx="230">
                  <c:v>44148</c:v>
                </c:pt>
                <c:pt idx="231">
                  <c:v>44151</c:v>
                </c:pt>
                <c:pt idx="232">
                  <c:v>44152</c:v>
                </c:pt>
                <c:pt idx="233">
                  <c:v>44153</c:v>
                </c:pt>
                <c:pt idx="234">
                  <c:v>44154</c:v>
                </c:pt>
                <c:pt idx="235">
                  <c:v>44155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44165</c:v>
                </c:pt>
                <c:pt idx="242">
                  <c:v>44166</c:v>
                </c:pt>
                <c:pt idx="243">
                  <c:v>44167</c:v>
                </c:pt>
                <c:pt idx="244">
                  <c:v>44168</c:v>
                </c:pt>
                <c:pt idx="245">
                  <c:v>44169</c:v>
                </c:pt>
                <c:pt idx="246">
                  <c:v>44172</c:v>
                </c:pt>
                <c:pt idx="247">
                  <c:v>44173</c:v>
                </c:pt>
                <c:pt idx="248">
                  <c:v>44174</c:v>
                </c:pt>
                <c:pt idx="249">
                  <c:v>44175</c:v>
                </c:pt>
                <c:pt idx="250">
                  <c:v>44176</c:v>
                </c:pt>
                <c:pt idx="251">
                  <c:v>44179</c:v>
                </c:pt>
                <c:pt idx="252">
                  <c:v>44180</c:v>
                </c:pt>
                <c:pt idx="253">
                  <c:v>44181</c:v>
                </c:pt>
                <c:pt idx="254">
                  <c:v>44182</c:v>
                </c:pt>
                <c:pt idx="255">
                  <c:v>44183</c:v>
                </c:pt>
                <c:pt idx="256">
                  <c:v>44186</c:v>
                </c:pt>
                <c:pt idx="257">
                  <c:v>44187</c:v>
                </c:pt>
                <c:pt idx="258">
                  <c:v>44188</c:v>
                </c:pt>
                <c:pt idx="259">
                  <c:v>44189</c:v>
                </c:pt>
                <c:pt idx="260">
                  <c:v>44190</c:v>
                </c:pt>
                <c:pt idx="261">
                  <c:v>44193</c:v>
                </c:pt>
                <c:pt idx="262">
                  <c:v>44194</c:v>
                </c:pt>
                <c:pt idx="263">
                  <c:v>44195</c:v>
                </c:pt>
                <c:pt idx="264">
                  <c:v>44196</c:v>
                </c:pt>
                <c:pt idx="265">
                  <c:v>44200</c:v>
                </c:pt>
                <c:pt idx="266">
                  <c:v>44201</c:v>
                </c:pt>
                <c:pt idx="267">
                  <c:v>44202</c:v>
                </c:pt>
                <c:pt idx="268">
                  <c:v>44203</c:v>
                </c:pt>
                <c:pt idx="269">
                  <c:v>44204</c:v>
                </c:pt>
                <c:pt idx="270">
                  <c:v>44207</c:v>
                </c:pt>
                <c:pt idx="271">
                  <c:v>44208</c:v>
                </c:pt>
                <c:pt idx="272">
                  <c:v>44209</c:v>
                </c:pt>
                <c:pt idx="273">
                  <c:v>44210</c:v>
                </c:pt>
                <c:pt idx="274">
                  <c:v>44211</c:v>
                </c:pt>
                <c:pt idx="275">
                  <c:v>44214</c:v>
                </c:pt>
                <c:pt idx="276">
                  <c:v>44215</c:v>
                </c:pt>
                <c:pt idx="277">
                  <c:v>44216</c:v>
                </c:pt>
                <c:pt idx="278">
                  <c:v>44217</c:v>
                </c:pt>
                <c:pt idx="279">
                  <c:v>44218</c:v>
                </c:pt>
                <c:pt idx="280">
                  <c:v>44221</c:v>
                </c:pt>
                <c:pt idx="281">
                  <c:v>44222</c:v>
                </c:pt>
                <c:pt idx="282">
                  <c:v>44223</c:v>
                </c:pt>
                <c:pt idx="283">
                  <c:v>44224</c:v>
                </c:pt>
                <c:pt idx="284">
                  <c:v>44225</c:v>
                </c:pt>
                <c:pt idx="285">
                  <c:v>44228</c:v>
                </c:pt>
                <c:pt idx="286">
                  <c:v>44229</c:v>
                </c:pt>
                <c:pt idx="287">
                  <c:v>44230</c:v>
                </c:pt>
                <c:pt idx="288">
                  <c:v>44231</c:v>
                </c:pt>
                <c:pt idx="289">
                  <c:v>44232</c:v>
                </c:pt>
                <c:pt idx="290">
                  <c:v>44235</c:v>
                </c:pt>
                <c:pt idx="291">
                  <c:v>44236</c:v>
                </c:pt>
                <c:pt idx="292">
                  <c:v>44237</c:v>
                </c:pt>
                <c:pt idx="293">
                  <c:v>44245</c:v>
                </c:pt>
                <c:pt idx="294">
                  <c:v>44246</c:v>
                </c:pt>
                <c:pt idx="295">
                  <c:v>44249</c:v>
                </c:pt>
                <c:pt idx="296">
                  <c:v>44250</c:v>
                </c:pt>
                <c:pt idx="297">
                  <c:v>44251</c:v>
                </c:pt>
                <c:pt idx="298">
                  <c:v>44252</c:v>
                </c:pt>
                <c:pt idx="299">
                  <c:v>44253</c:v>
                </c:pt>
                <c:pt idx="300">
                  <c:v>44256</c:v>
                </c:pt>
                <c:pt idx="301">
                  <c:v>44257</c:v>
                </c:pt>
                <c:pt idx="302">
                  <c:v>44258</c:v>
                </c:pt>
                <c:pt idx="303">
                  <c:v>44259</c:v>
                </c:pt>
                <c:pt idx="304">
                  <c:v>44260</c:v>
                </c:pt>
                <c:pt idx="305">
                  <c:v>44263</c:v>
                </c:pt>
                <c:pt idx="306">
                  <c:v>44264</c:v>
                </c:pt>
                <c:pt idx="307">
                  <c:v>44265</c:v>
                </c:pt>
                <c:pt idx="308">
                  <c:v>44266</c:v>
                </c:pt>
                <c:pt idx="309">
                  <c:v>44267</c:v>
                </c:pt>
                <c:pt idx="310">
                  <c:v>44270</c:v>
                </c:pt>
                <c:pt idx="311">
                  <c:v>44271</c:v>
                </c:pt>
                <c:pt idx="312">
                  <c:v>44272</c:v>
                </c:pt>
                <c:pt idx="313">
                  <c:v>44273</c:v>
                </c:pt>
                <c:pt idx="314">
                  <c:v>44274</c:v>
                </c:pt>
                <c:pt idx="315">
                  <c:v>44277</c:v>
                </c:pt>
                <c:pt idx="316">
                  <c:v>44278</c:v>
                </c:pt>
                <c:pt idx="317">
                  <c:v>44279</c:v>
                </c:pt>
                <c:pt idx="318">
                  <c:v>44280</c:v>
                </c:pt>
                <c:pt idx="319">
                  <c:v>44281</c:v>
                </c:pt>
                <c:pt idx="320">
                  <c:v>44284</c:v>
                </c:pt>
                <c:pt idx="321">
                  <c:v>44285</c:v>
                </c:pt>
                <c:pt idx="322">
                  <c:v>44286</c:v>
                </c:pt>
                <c:pt idx="323">
                  <c:v>44287</c:v>
                </c:pt>
                <c:pt idx="324">
                  <c:v>44288</c:v>
                </c:pt>
                <c:pt idx="325">
                  <c:v>44292</c:v>
                </c:pt>
                <c:pt idx="326">
                  <c:v>44293</c:v>
                </c:pt>
                <c:pt idx="327">
                  <c:v>44294</c:v>
                </c:pt>
                <c:pt idx="328">
                  <c:v>44295</c:v>
                </c:pt>
                <c:pt idx="329">
                  <c:v>44298</c:v>
                </c:pt>
                <c:pt idx="330">
                  <c:v>44299</c:v>
                </c:pt>
                <c:pt idx="331">
                  <c:v>44300</c:v>
                </c:pt>
                <c:pt idx="332">
                  <c:v>44301</c:v>
                </c:pt>
                <c:pt idx="333">
                  <c:v>44302</c:v>
                </c:pt>
                <c:pt idx="334">
                  <c:v>44305</c:v>
                </c:pt>
                <c:pt idx="335">
                  <c:v>44306</c:v>
                </c:pt>
                <c:pt idx="336">
                  <c:v>44307</c:v>
                </c:pt>
                <c:pt idx="337">
                  <c:v>44308</c:v>
                </c:pt>
                <c:pt idx="338">
                  <c:v>44309</c:v>
                </c:pt>
                <c:pt idx="339">
                  <c:v>44312</c:v>
                </c:pt>
                <c:pt idx="340">
                  <c:v>44313</c:v>
                </c:pt>
                <c:pt idx="341">
                  <c:v>44314</c:v>
                </c:pt>
                <c:pt idx="342">
                  <c:v>44315</c:v>
                </c:pt>
                <c:pt idx="343">
                  <c:v>44316</c:v>
                </c:pt>
                <c:pt idx="344">
                  <c:v>44322</c:v>
                </c:pt>
                <c:pt idx="345">
                  <c:v>44323</c:v>
                </c:pt>
                <c:pt idx="346">
                  <c:v>44326</c:v>
                </c:pt>
                <c:pt idx="347">
                  <c:v>44327</c:v>
                </c:pt>
                <c:pt idx="348">
                  <c:v>44328</c:v>
                </c:pt>
                <c:pt idx="349">
                  <c:v>44329</c:v>
                </c:pt>
                <c:pt idx="350">
                  <c:v>44330</c:v>
                </c:pt>
              </c:numCache>
            </c:numRef>
          </c:cat>
          <c:val>
            <c:numRef>
              <c:f>纯享CTA三期!$B$21:$B$371</c:f>
              <c:numCache>
                <c:formatCode>0.0000_ </c:formatCode>
                <c:ptCount val="351"/>
                <c:pt idx="0">
                  <c:v>1.0006999999999999</c:v>
                </c:pt>
                <c:pt idx="1">
                  <c:v>1.0006999999999999</c:v>
                </c:pt>
                <c:pt idx="2">
                  <c:v>1.0007999999999999</c:v>
                </c:pt>
                <c:pt idx="3">
                  <c:v>1.0006999999999999</c:v>
                </c:pt>
                <c:pt idx="4">
                  <c:v>0.99960000000000004</c:v>
                </c:pt>
                <c:pt idx="5">
                  <c:v>1.0031000000000001</c:v>
                </c:pt>
                <c:pt idx="6">
                  <c:v>1.0055000000000001</c:v>
                </c:pt>
                <c:pt idx="7">
                  <c:v>1.0067999999999999</c:v>
                </c:pt>
                <c:pt idx="8">
                  <c:v>1.0061</c:v>
                </c:pt>
                <c:pt idx="9">
                  <c:v>1.0052000000000001</c:v>
                </c:pt>
                <c:pt idx="10">
                  <c:v>1.0044</c:v>
                </c:pt>
                <c:pt idx="11">
                  <c:v>1.0044999999999999</c:v>
                </c:pt>
                <c:pt idx="12">
                  <c:v>1.0039</c:v>
                </c:pt>
                <c:pt idx="13">
                  <c:v>1.0032000000000001</c:v>
                </c:pt>
                <c:pt idx="14">
                  <c:v>1.0013000000000001</c:v>
                </c:pt>
                <c:pt idx="15">
                  <c:v>1.0022</c:v>
                </c:pt>
                <c:pt idx="16">
                  <c:v>1.0021</c:v>
                </c:pt>
                <c:pt idx="17">
                  <c:v>1.0025999999999999</c:v>
                </c:pt>
                <c:pt idx="18">
                  <c:v>1.0024</c:v>
                </c:pt>
                <c:pt idx="19">
                  <c:v>1.0027999999999999</c:v>
                </c:pt>
                <c:pt idx="20">
                  <c:v>1.0028999999999999</c:v>
                </c:pt>
                <c:pt idx="21">
                  <c:v>1.0029999999999999</c:v>
                </c:pt>
                <c:pt idx="22">
                  <c:v>1.0007999999999999</c:v>
                </c:pt>
                <c:pt idx="23">
                  <c:v>0.99909999999999999</c:v>
                </c:pt>
                <c:pt idx="24">
                  <c:v>1.0004999999999999</c:v>
                </c:pt>
                <c:pt idx="25">
                  <c:v>0.99950000000000006</c:v>
                </c:pt>
                <c:pt idx="26">
                  <c:v>0.99970000000000003</c:v>
                </c:pt>
                <c:pt idx="27">
                  <c:v>0.99150000000000005</c:v>
                </c:pt>
                <c:pt idx="28">
                  <c:v>0.99490000000000001</c:v>
                </c:pt>
                <c:pt idx="29">
                  <c:v>0.99470000000000003</c:v>
                </c:pt>
                <c:pt idx="30">
                  <c:v>0.99439999999999995</c:v>
                </c:pt>
                <c:pt idx="31">
                  <c:v>0.99519999999999997</c:v>
                </c:pt>
                <c:pt idx="32">
                  <c:v>0.99419999999999997</c:v>
                </c:pt>
                <c:pt idx="33">
                  <c:v>0.99429999999999996</c:v>
                </c:pt>
                <c:pt idx="34">
                  <c:v>0.99429999999999996</c:v>
                </c:pt>
                <c:pt idx="35">
                  <c:v>0.99429999999999996</c:v>
                </c:pt>
                <c:pt idx="36">
                  <c:v>0.99429999999999996</c:v>
                </c:pt>
                <c:pt idx="37">
                  <c:v>0.99429999999999996</c:v>
                </c:pt>
                <c:pt idx="38">
                  <c:v>0.99450000000000005</c:v>
                </c:pt>
                <c:pt idx="39">
                  <c:v>0.99460000000000004</c:v>
                </c:pt>
                <c:pt idx="40">
                  <c:v>0.99460000000000004</c:v>
                </c:pt>
                <c:pt idx="41">
                  <c:v>0.99470000000000003</c:v>
                </c:pt>
                <c:pt idx="42">
                  <c:v>0.99470000000000003</c:v>
                </c:pt>
                <c:pt idx="43">
                  <c:v>0.99460000000000004</c:v>
                </c:pt>
                <c:pt idx="44">
                  <c:v>0.99470000000000003</c:v>
                </c:pt>
                <c:pt idx="45">
                  <c:v>0.99480000000000002</c:v>
                </c:pt>
                <c:pt idx="46">
                  <c:v>0.99419999999999997</c:v>
                </c:pt>
                <c:pt idx="47">
                  <c:v>0.99309999999999998</c:v>
                </c:pt>
                <c:pt idx="48">
                  <c:v>0.99280000000000002</c:v>
                </c:pt>
                <c:pt idx="49">
                  <c:v>0.99080000000000001</c:v>
                </c:pt>
                <c:pt idx="50">
                  <c:v>0.99080000000000001</c:v>
                </c:pt>
                <c:pt idx="51">
                  <c:v>0.98970000000000002</c:v>
                </c:pt>
                <c:pt idx="52">
                  <c:v>0.99150000000000005</c:v>
                </c:pt>
                <c:pt idx="53">
                  <c:v>0.99209999999999998</c:v>
                </c:pt>
                <c:pt idx="54">
                  <c:v>0.98950000000000005</c:v>
                </c:pt>
                <c:pt idx="55">
                  <c:v>0.98960000000000004</c:v>
                </c:pt>
                <c:pt idx="56">
                  <c:v>0.99439999999999995</c:v>
                </c:pt>
                <c:pt idx="57">
                  <c:v>1.0056</c:v>
                </c:pt>
                <c:pt idx="58">
                  <c:v>1.0002</c:v>
                </c:pt>
                <c:pt idx="59">
                  <c:v>0.99109999999999998</c:v>
                </c:pt>
                <c:pt idx="60">
                  <c:v>0.99099999999999999</c:v>
                </c:pt>
                <c:pt idx="61">
                  <c:v>0.99099999999999999</c:v>
                </c:pt>
                <c:pt idx="62">
                  <c:v>0.99019999999999997</c:v>
                </c:pt>
                <c:pt idx="63">
                  <c:v>0.98839999999999995</c:v>
                </c:pt>
                <c:pt idx="64">
                  <c:v>0.9829</c:v>
                </c:pt>
                <c:pt idx="65">
                  <c:v>0.9829</c:v>
                </c:pt>
                <c:pt idx="66">
                  <c:v>0.98699999999999999</c:v>
                </c:pt>
                <c:pt idx="67">
                  <c:v>0.98640000000000005</c:v>
                </c:pt>
                <c:pt idx="68">
                  <c:v>0.99039999999999995</c:v>
                </c:pt>
                <c:pt idx="69">
                  <c:v>0.99039999999999995</c:v>
                </c:pt>
                <c:pt idx="70">
                  <c:v>0.99009999999999998</c:v>
                </c:pt>
                <c:pt idx="71">
                  <c:v>0.98670000000000002</c:v>
                </c:pt>
                <c:pt idx="72">
                  <c:v>0.98650000000000004</c:v>
                </c:pt>
                <c:pt idx="73">
                  <c:v>0.98740000000000006</c:v>
                </c:pt>
                <c:pt idx="74">
                  <c:v>0.9899</c:v>
                </c:pt>
                <c:pt idx="75">
                  <c:v>0.98980000000000001</c:v>
                </c:pt>
                <c:pt idx="76">
                  <c:v>0.99060000000000004</c:v>
                </c:pt>
                <c:pt idx="77">
                  <c:v>0.99150000000000005</c:v>
                </c:pt>
                <c:pt idx="78">
                  <c:v>0.9929</c:v>
                </c:pt>
                <c:pt idx="79">
                  <c:v>0.99139999999999995</c:v>
                </c:pt>
                <c:pt idx="80">
                  <c:v>0.99219999999999997</c:v>
                </c:pt>
                <c:pt idx="81">
                  <c:v>0.98950000000000005</c:v>
                </c:pt>
                <c:pt idx="82">
                  <c:v>0.98770000000000002</c:v>
                </c:pt>
                <c:pt idx="83">
                  <c:v>0.98709999999999998</c:v>
                </c:pt>
                <c:pt idx="84">
                  <c:v>0.98680000000000001</c:v>
                </c:pt>
                <c:pt idx="85">
                  <c:v>0.98670000000000002</c:v>
                </c:pt>
                <c:pt idx="86">
                  <c:v>0.98560000000000003</c:v>
                </c:pt>
                <c:pt idx="87">
                  <c:v>0.98580000000000001</c:v>
                </c:pt>
                <c:pt idx="88">
                  <c:v>0.98540000000000005</c:v>
                </c:pt>
                <c:pt idx="89">
                  <c:v>0.98350000000000004</c:v>
                </c:pt>
                <c:pt idx="90">
                  <c:v>0.98180000000000001</c:v>
                </c:pt>
                <c:pt idx="91">
                  <c:v>0.98060000000000003</c:v>
                </c:pt>
                <c:pt idx="92">
                  <c:v>0.9859</c:v>
                </c:pt>
                <c:pt idx="93">
                  <c:v>0.98680000000000001</c:v>
                </c:pt>
                <c:pt idx="94">
                  <c:v>0.98180000000000001</c:v>
                </c:pt>
                <c:pt idx="95">
                  <c:v>0.97970000000000002</c:v>
                </c:pt>
                <c:pt idx="96">
                  <c:v>0.98089999999999999</c:v>
                </c:pt>
                <c:pt idx="97">
                  <c:v>0.97850000000000004</c:v>
                </c:pt>
                <c:pt idx="98">
                  <c:v>0.96989999999999998</c:v>
                </c:pt>
                <c:pt idx="99">
                  <c:v>0.97089999999999999</c:v>
                </c:pt>
                <c:pt idx="100">
                  <c:v>0.97240000000000004</c:v>
                </c:pt>
                <c:pt idx="101">
                  <c:v>0.9708</c:v>
                </c:pt>
                <c:pt idx="102">
                  <c:v>0.96830000000000005</c:v>
                </c:pt>
                <c:pt idx="103">
                  <c:v>0.9768</c:v>
                </c:pt>
                <c:pt idx="104">
                  <c:v>0.9758</c:v>
                </c:pt>
                <c:pt idx="105">
                  <c:v>0.97409999999999997</c:v>
                </c:pt>
                <c:pt idx="106">
                  <c:v>0.9738</c:v>
                </c:pt>
                <c:pt idx="107">
                  <c:v>0.97060000000000002</c:v>
                </c:pt>
                <c:pt idx="108">
                  <c:v>0.99180000000000001</c:v>
                </c:pt>
                <c:pt idx="109">
                  <c:v>1.0276000000000001</c:v>
                </c:pt>
                <c:pt idx="110">
                  <c:v>1.0291999999999999</c:v>
                </c:pt>
                <c:pt idx="111">
                  <c:v>1.0364</c:v>
                </c:pt>
                <c:pt idx="112">
                  <c:v>1.0422</c:v>
                </c:pt>
                <c:pt idx="113">
                  <c:v>1.0223</c:v>
                </c:pt>
                <c:pt idx="114">
                  <c:v>1.0250999999999999</c:v>
                </c:pt>
                <c:pt idx="115">
                  <c:v>1.0251999999999999</c:v>
                </c:pt>
                <c:pt idx="116">
                  <c:v>1.0241</c:v>
                </c:pt>
                <c:pt idx="117">
                  <c:v>1.0242</c:v>
                </c:pt>
                <c:pt idx="118">
                  <c:v>1.0218</c:v>
                </c:pt>
                <c:pt idx="119">
                  <c:v>1.0289999999999999</c:v>
                </c:pt>
                <c:pt idx="120">
                  <c:v>1.0383</c:v>
                </c:pt>
                <c:pt idx="121">
                  <c:v>1.0503</c:v>
                </c:pt>
                <c:pt idx="122">
                  <c:v>1.0399</c:v>
                </c:pt>
                <c:pt idx="123">
                  <c:v>1.0427999999999999</c:v>
                </c:pt>
                <c:pt idx="124">
                  <c:v>1.042</c:v>
                </c:pt>
                <c:pt idx="125">
                  <c:v>1.0294000000000001</c:v>
                </c:pt>
                <c:pt idx="126">
                  <c:v>1.0219</c:v>
                </c:pt>
                <c:pt idx="127">
                  <c:v>1.0218</c:v>
                </c:pt>
                <c:pt idx="128">
                  <c:v>1.0216000000000001</c:v>
                </c:pt>
                <c:pt idx="129">
                  <c:v>1.0188999999999999</c:v>
                </c:pt>
                <c:pt idx="130">
                  <c:v>1.0233000000000001</c:v>
                </c:pt>
                <c:pt idx="131">
                  <c:v>1.0187999999999999</c:v>
                </c:pt>
                <c:pt idx="132">
                  <c:v>1.0185999999999999</c:v>
                </c:pt>
                <c:pt idx="133">
                  <c:v>1.0142</c:v>
                </c:pt>
                <c:pt idx="134">
                  <c:v>1.0185999999999999</c:v>
                </c:pt>
                <c:pt idx="135">
                  <c:v>1.0123</c:v>
                </c:pt>
                <c:pt idx="136">
                  <c:v>1.0176000000000001</c:v>
                </c:pt>
                <c:pt idx="137">
                  <c:v>1.0175000000000001</c:v>
                </c:pt>
                <c:pt idx="138">
                  <c:v>1.018</c:v>
                </c:pt>
                <c:pt idx="139">
                  <c:v>1.0249999999999999</c:v>
                </c:pt>
                <c:pt idx="140">
                  <c:v>1.0173000000000001</c:v>
                </c:pt>
                <c:pt idx="141">
                  <c:v>1.0198</c:v>
                </c:pt>
                <c:pt idx="142">
                  <c:v>1.0174000000000001</c:v>
                </c:pt>
                <c:pt idx="143">
                  <c:v>1.0121</c:v>
                </c:pt>
                <c:pt idx="144">
                  <c:v>1.014</c:v>
                </c:pt>
                <c:pt idx="145">
                  <c:v>1.0245</c:v>
                </c:pt>
                <c:pt idx="146">
                  <c:v>1.0135000000000001</c:v>
                </c:pt>
                <c:pt idx="147">
                  <c:v>1.0206</c:v>
                </c:pt>
                <c:pt idx="148">
                  <c:v>1.0194000000000001</c:v>
                </c:pt>
                <c:pt idx="149">
                  <c:v>1.0172000000000001</c:v>
                </c:pt>
                <c:pt idx="150">
                  <c:v>1.0133000000000001</c:v>
                </c:pt>
                <c:pt idx="151">
                  <c:v>1.0097</c:v>
                </c:pt>
                <c:pt idx="152">
                  <c:v>1.0176000000000001</c:v>
                </c:pt>
                <c:pt idx="153">
                  <c:v>1.0147999999999999</c:v>
                </c:pt>
                <c:pt idx="154">
                  <c:v>1.0342</c:v>
                </c:pt>
                <c:pt idx="155">
                  <c:v>1.0682</c:v>
                </c:pt>
                <c:pt idx="156">
                  <c:v>1.0652999999999999</c:v>
                </c:pt>
                <c:pt idx="157">
                  <c:v>1.0665</c:v>
                </c:pt>
                <c:pt idx="158">
                  <c:v>1.0677000000000001</c:v>
                </c:pt>
                <c:pt idx="159">
                  <c:v>1.0656000000000001</c:v>
                </c:pt>
                <c:pt idx="160">
                  <c:v>1.0638000000000001</c:v>
                </c:pt>
                <c:pt idx="161">
                  <c:v>1.0650999999999999</c:v>
                </c:pt>
                <c:pt idx="162">
                  <c:v>1.0583</c:v>
                </c:pt>
                <c:pt idx="163">
                  <c:v>1.0645</c:v>
                </c:pt>
                <c:pt idx="164">
                  <c:v>1.0644</c:v>
                </c:pt>
                <c:pt idx="165">
                  <c:v>1.0919000000000001</c:v>
                </c:pt>
                <c:pt idx="166">
                  <c:v>1.1004</c:v>
                </c:pt>
                <c:pt idx="167">
                  <c:v>1.0813999999999999</c:v>
                </c:pt>
                <c:pt idx="168">
                  <c:v>1.0775999999999999</c:v>
                </c:pt>
                <c:pt idx="169">
                  <c:v>1.081</c:v>
                </c:pt>
                <c:pt idx="170">
                  <c:v>1.0774999999999999</c:v>
                </c:pt>
                <c:pt idx="171">
                  <c:v>1.0774999999999999</c:v>
                </c:pt>
                <c:pt idx="172">
                  <c:v>1.0769</c:v>
                </c:pt>
                <c:pt idx="173">
                  <c:v>1.0768</c:v>
                </c:pt>
                <c:pt idx="174">
                  <c:v>1.0772999999999999</c:v>
                </c:pt>
                <c:pt idx="175">
                  <c:v>1.0714999999999999</c:v>
                </c:pt>
                <c:pt idx="176">
                  <c:v>1.0720000000000001</c:v>
                </c:pt>
                <c:pt idx="177">
                  <c:v>1.07</c:v>
                </c:pt>
                <c:pt idx="178">
                  <c:v>1.0688</c:v>
                </c:pt>
                <c:pt idx="179">
                  <c:v>1.0706</c:v>
                </c:pt>
                <c:pt idx="180">
                  <c:v>1.0725</c:v>
                </c:pt>
                <c:pt idx="181">
                  <c:v>1.0720000000000001</c:v>
                </c:pt>
                <c:pt idx="182">
                  <c:v>1.0744</c:v>
                </c:pt>
                <c:pt idx="183">
                  <c:v>1.0758000000000001</c:v>
                </c:pt>
                <c:pt idx="184">
                  <c:v>1.0742</c:v>
                </c:pt>
                <c:pt idx="185">
                  <c:v>1.0746</c:v>
                </c:pt>
                <c:pt idx="186">
                  <c:v>1.0729</c:v>
                </c:pt>
                <c:pt idx="187">
                  <c:v>1.0717000000000001</c:v>
                </c:pt>
                <c:pt idx="188">
                  <c:v>1.0724</c:v>
                </c:pt>
                <c:pt idx="189">
                  <c:v>1.0696000000000001</c:v>
                </c:pt>
                <c:pt idx="190">
                  <c:v>1.0692999999999999</c:v>
                </c:pt>
                <c:pt idx="191">
                  <c:v>1.0723</c:v>
                </c:pt>
                <c:pt idx="192">
                  <c:v>1.0737000000000001</c:v>
                </c:pt>
                <c:pt idx="193">
                  <c:v>1.0748</c:v>
                </c:pt>
                <c:pt idx="194">
                  <c:v>1.0752999999999999</c:v>
                </c:pt>
                <c:pt idx="195">
                  <c:v>1.0759000000000001</c:v>
                </c:pt>
                <c:pt idx="196">
                  <c:v>1.0753999999999999</c:v>
                </c:pt>
                <c:pt idx="197">
                  <c:v>1.0738000000000001</c:v>
                </c:pt>
                <c:pt idx="198">
                  <c:v>1.0814999999999999</c:v>
                </c:pt>
                <c:pt idx="199">
                  <c:v>1.0833999999999999</c:v>
                </c:pt>
                <c:pt idx="200">
                  <c:v>1.0905</c:v>
                </c:pt>
                <c:pt idx="201">
                  <c:v>1.0911999999999999</c:v>
                </c:pt>
                <c:pt idx="202">
                  <c:v>1.0912999999999999</c:v>
                </c:pt>
                <c:pt idx="203">
                  <c:v>1.0920000000000001</c:v>
                </c:pt>
                <c:pt idx="204">
                  <c:v>1.0960000000000001</c:v>
                </c:pt>
                <c:pt idx="205">
                  <c:v>1.0960000000000001</c:v>
                </c:pt>
                <c:pt idx="206">
                  <c:v>1.0960000000000001</c:v>
                </c:pt>
                <c:pt idx="207">
                  <c:v>1.0960000000000001</c:v>
                </c:pt>
                <c:pt idx="208">
                  <c:v>1.0960000000000001</c:v>
                </c:pt>
                <c:pt idx="209">
                  <c:v>1.0959000000000001</c:v>
                </c:pt>
                <c:pt idx="210">
                  <c:v>1.0920000000000001</c:v>
                </c:pt>
                <c:pt idx="211">
                  <c:v>1.0920000000000001</c:v>
                </c:pt>
                <c:pt idx="212">
                  <c:v>1.0919000000000001</c:v>
                </c:pt>
                <c:pt idx="213">
                  <c:v>1.0927</c:v>
                </c:pt>
                <c:pt idx="214">
                  <c:v>1.0919000000000001</c:v>
                </c:pt>
                <c:pt idx="215">
                  <c:v>1.0843</c:v>
                </c:pt>
                <c:pt idx="216">
                  <c:v>1.0858000000000001</c:v>
                </c:pt>
                <c:pt idx="217">
                  <c:v>1.0863</c:v>
                </c:pt>
                <c:pt idx="218">
                  <c:v>1.0854999999999999</c:v>
                </c:pt>
                <c:pt idx="219">
                  <c:v>1.0812999999999999</c:v>
                </c:pt>
                <c:pt idx="220">
                  <c:v>1.0773999999999999</c:v>
                </c:pt>
                <c:pt idx="221">
                  <c:v>1.0772999999999999</c:v>
                </c:pt>
                <c:pt idx="222">
                  <c:v>1.0789</c:v>
                </c:pt>
                <c:pt idx="223">
                  <c:v>1.0831</c:v>
                </c:pt>
                <c:pt idx="224">
                  <c:v>1.0843</c:v>
                </c:pt>
                <c:pt idx="225">
                  <c:v>1.0874999999999999</c:v>
                </c:pt>
                <c:pt idx="226">
                  <c:v>1.091</c:v>
                </c:pt>
                <c:pt idx="227">
                  <c:v>1.0902000000000001</c:v>
                </c:pt>
                <c:pt idx="228">
                  <c:v>1.0892999999999999</c:v>
                </c:pt>
                <c:pt idx="229">
                  <c:v>1.0911</c:v>
                </c:pt>
                <c:pt idx="230">
                  <c:v>1.0908</c:v>
                </c:pt>
                <c:pt idx="231">
                  <c:v>1.0979000000000001</c:v>
                </c:pt>
                <c:pt idx="232">
                  <c:v>1.0981000000000001</c:v>
                </c:pt>
                <c:pt idx="233">
                  <c:v>1.1002000000000001</c:v>
                </c:pt>
                <c:pt idx="234">
                  <c:v>1.1036999999999999</c:v>
                </c:pt>
                <c:pt idx="235">
                  <c:v>1.1032999999999999</c:v>
                </c:pt>
                <c:pt idx="236">
                  <c:v>1.1009</c:v>
                </c:pt>
                <c:pt idx="237">
                  <c:v>1.097</c:v>
                </c:pt>
                <c:pt idx="238">
                  <c:v>1.0924</c:v>
                </c:pt>
                <c:pt idx="239">
                  <c:v>1.0924</c:v>
                </c:pt>
                <c:pt idx="240">
                  <c:v>1.0963000000000001</c:v>
                </c:pt>
                <c:pt idx="241">
                  <c:v>1.0983000000000001</c:v>
                </c:pt>
                <c:pt idx="242">
                  <c:v>1.0999000000000001</c:v>
                </c:pt>
                <c:pt idx="243">
                  <c:v>1.1021000000000001</c:v>
                </c:pt>
                <c:pt idx="244">
                  <c:v>1.0980000000000001</c:v>
                </c:pt>
                <c:pt idx="245">
                  <c:v>1.0992999999999999</c:v>
                </c:pt>
                <c:pt idx="246">
                  <c:v>1.0993999999999999</c:v>
                </c:pt>
                <c:pt idx="247">
                  <c:v>1.0994999999999999</c:v>
                </c:pt>
                <c:pt idx="248">
                  <c:v>1.1032</c:v>
                </c:pt>
                <c:pt idx="249">
                  <c:v>1.1136999999999999</c:v>
                </c:pt>
                <c:pt idx="250">
                  <c:v>1.1176999999999999</c:v>
                </c:pt>
                <c:pt idx="251">
                  <c:v>1.1088</c:v>
                </c:pt>
                <c:pt idx="252">
                  <c:v>1.1036999999999999</c:v>
                </c:pt>
                <c:pt idx="253">
                  <c:v>1.1057999999999999</c:v>
                </c:pt>
                <c:pt idx="254">
                  <c:v>1.1025</c:v>
                </c:pt>
                <c:pt idx="255">
                  <c:v>1.1092</c:v>
                </c:pt>
                <c:pt idx="256">
                  <c:v>1.1173999999999999</c:v>
                </c:pt>
                <c:pt idx="257">
                  <c:v>1.1195999999999999</c:v>
                </c:pt>
                <c:pt idx="258">
                  <c:v>1.1136999999999999</c:v>
                </c:pt>
                <c:pt idx="259">
                  <c:v>1.1136999999999999</c:v>
                </c:pt>
                <c:pt idx="260">
                  <c:v>1.1107</c:v>
                </c:pt>
                <c:pt idx="261">
                  <c:v>1.1045</c:v>
                </c:pt>
                <c:pt idx="262">
                  <c:v>1.1021000000000001</c:v>
                </c:pt>
                <c:pt idx="263">
                  <c:v>1.1045</c:v>
                </c:pt>
                <c:pt idx="264">
                  <c:v>1.1057999999999999</c:v>
                </c:pt>
                <c:pt idx="265">
                  <c:v>1.1040000000000001</c:v>
                </c:pt>
                <c:pt idx="266">
                  <c:v>1.1062000000000001</c:v>
                </c:pt>
                <c:pt idx="267">
                  <c:v>1.107</c:v>
                </c:pt>
                <c:pt idx="268">
                  <c:v>1.1019000000000001</c:v>
                </c:pt>
                <c:pt idx="269">
                  <c:v>1.1012999999999999</c:v>
                </c:pt>
                <c:pt idx="270">
                  <c:v>1.1048</c:v>
                </c:pt>
                <c:pt idx="271">
                  <c:v>1.1114999999999999</c:v>
                </c:pt>
                <c:pt idx="272">
                  <c:v>1.1114999999999999</c:v>
                </c:pt>
                <c:pt idx="273">
                  <c:v>1.1059000000000001</c:v>
                </c:pt>
                <c:pt idx="274">
                  <c:v>1.1085</c:v>
                </c:pt>
                <c:pt idx="275">
                  <c:v>1.1048</c:v>
                </c:pt>
                <c:pt idx="276">
                  <c:v>1.0972999999999999</c:v>
                </c:pt>
                <c:pt idx="277">
                  <c:v>1.0916999999999999</c:v>
                </c:pt>
                <c:pt idx="278">
                  <c:v>1.0905</c:v>
                </c:pt>
                <c:pt idx="279">
                  <c:v>1.0912999999999999</c:v>
                </c:pt>
                <c:pt idx="280">
                  <c:v>1.0921000000000001</c:v>
                </c:pt>
                <c:pt idx="281">
                  <c:v>1.0927</c:v>
                </c:pt>
                <c:pt idx="282">
                  <c:v>1.0942000000000001</c:v>
                </c:pt>
                <c:pt idx="283">
                  <c:v>1.0938000000000001</c:v>
                </c:pt>
                <c:pt idx="284">
                  <c:v>1.0892999999999999</c:v>
                </c:pt>
                <c:pt idx="285">
                  <c:v>1.0864</c:v>
                </c:pt>
                <c:pt idx="286">
                  <c:v>1.0815999999999999</c:v>
                </c:pt>
                <c:pt idx="287">
                  <c:v>1.0771999999999999</c:v>
                </c:pt>
                <c:pt idx="288">
                  <c:v>1.0766</c:v>
                </c:pt>
                <c:pt idx="289">
                  <c:v>1.0771999999999999</c:v>
                </c:pt>
                <c:pt idx="290">
                  <c:v>1.0798000000000001</c:v>
                </c:pt>
                <c:pt idx="291">
                  <c:v>1.0851999999999999</c:v>
                </c:pt>
                <c:pt idx="292">
                  <c:v>1.0899000000000001</c:v>
                </c:pt>
                <c:pt idx="293">
                  <c:v>1.0975999999999999</c:v>
                </c:pt>
                <c:pt idx="294">
                  <c:v>1.0999000000000001</c:v>
                </c:pt>
                <c:pt idx="295">
                  <c:v>1.1089</c:v>
                </c:pt>
                <c:pt idx="296">
                  <c:v>1.1091</c:v>
                </c:pt>
                <c:pt idx="297">
                  <c:v>1.1048</c:v>
                </c:pt>
                <c:pt idx="298">
                  <c:v>1.1029</c:v>
                </c:pt>
                <c:pt idx="299">
                  <c:v>1.105</c:v>
                </c:pt>
                <c:pt idx="300">
                  <c:v>1.1086</c:v>
                </c:pt>
                <c:pt idx="301">
                  <c:v>1.1095999999999999</c:v>
                </c:pt>
                <c:pt idx="302">
                  <c:v>1.1133999999999999</c:v>
                </c:pt>
                <c:pt idx="303">
                  <c:v>1.1133</c:v>
                </c:pt>
                <c:pt idx="304">
                  <c:v>1.1091</c:v>
                </c:pt>
                <c:pt idx="305">
                  <c:v>1.1108</c:v>
                </c:pt>
                <c:pt idx="306">
                  <c:v>1.1102000000000001</c:v>
                </c:pt>
                <c:pt idx="307">
                  <c:v>1.1065</c:v>
                </c:pt>
                <c:pt idx="308">
                  <c:v>1.1079000000000001</c:v>
                </c:pt>
                <c:pt idx="309">
                  <c:v>1.1087</c:v>
                </c:pt>
                <c:pt idx="310">
                  <c:v>1.1085</c:v>
                </c:pt>
                <c:pt idx="311">
                  <c:v>1.1080000000000001</c:v>
                </c:pt>
                <c:pt idx="312">
                  <c:v>1.1068</c:v>
                </c:pt>
                <c:pt idx="313">
                  <c:v>1.1062000000000001</c:v>
                </c:pt>
                <c:pt idx="314">
                  <c:v>1.1053999999999999</c:v>
                </c:pt>
                <c:pt idx="315">
                  <c:v>1.1089</c:v>
                </c:pt>
                <c:pt idx="316">
                  <c:v>1.1102000000000001</c:v>
                </c:pt>
                <c:pt idx="317">
                  <c:v>1.1097999999999999</c:v>
                </c:pt>
                <c:pt idx="318">
                  <c:v>1.1086</c:v>
                </c:pt>
                <c:pt idx="319">
                  <c:v>1.1053999999999999</c:v>
                </c:pt>
                <c:pt idx="320">
                  <c:v>1.1027</c:v>
                </c:pt>
                <c:pt idx="321">
                  <c:v>1.1026</c:v>
                </c:pt>
                <c:pt idx="322">
                  <c:v>1.1025</c:v>
                </c:pt>
                <c:pt idx="323">
                  <c:v>1.1033999999999999</c:v>
                </c:pt>
                <c:pt idx="324">
                  <c:v>1.1031</c:v>
                </c:pt>
                <c:pt idx="325">
                  <c:v>1.1079000000000001</c:v>
                </c:pt>
                <c:pt idx="326">
                  <c:v>1.1073</c:v>
                </c:pt>
                <c:pt idx="327">
                  <c:v>1.1056999999999999</c:v>
                </c:pt>
                <c:pt idx="328">
                  <c:v>1.1043000000000001</c:v>
                </c:pt>
                <c:pt idx="329">
                  <c:v>1.0958000000000001</c:v>
                </c:pt>
                <c:pt idx="330">
                  <c:v>1.0935999999999999</c:v>
                </c:pt>
                <c:pt idx="331">
                  <c:v>1.0920000000000001</c:v>
                </c:pt>
                <c:pt idx="332">
                  <c:v>1.089</c:v>
                </c:pt>
                <c:pt idx="333">
                  <c:v>1.0921000000000001</c:v>
                </c:pt>
                <c:pt idx="334">
                  <c:v>1.0913200000000001</c:v>
                </c:pt>
                <c:pt idx="335">
                  <c:v>1.0884</c:v>
                </c:pt>
                <c:pt idx="336">
                  <c:v>1.0842000000000001</c:v>
                </c:pt>
                <c:pt idx="337">
                  <c:v>1.0851999999999999</c:v>
                </c:pt>
                <c:pt idx="338">
                  <c:v>1.0878000000000001</c:v>
                </c:pt>
                <c:pt idx="339">
                  <c:v>1.0921000000000001</c:v>
                </c:pt>
                <c:pt idx="340">
                  <c:v>1.0903</c:v>
                </c:pt>
                <c:pt idx="341">
                  <c:v>1.0891</c:v>
                </c:pt>
                <c:pt idx="342">
                  <c:v>1.0931999999999999</c:v>
                </c:pt>
                <c:pt idx="343">
                  <c:v>1.0878000000000001</c:v>
                </c:pt>
                <c:pt idx="344">
                  <c:v>1.1047</c:v>
                </c:pt>
                <c:pt idx="345">
                  <c:v>1.1093</c:v>
                </c:pt>
                <c:pt idx="346">
                  <c:v>1.1174999999999999</c:v>
                </c:pt>
                <c:pt idx="347">
                  <c:v>1.1173</c:v>
                </c:pt>
                <c:pt idx="348">
                  <c:v>1.1244000000000001</c:v>
                </c:pt>
                <c:pt idx="349">
                  <c:v>1.1248</c:v>
                </c:pt>
                <c:pt idx="350">
                  <c:v>1.1181000000000001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AA-4DFC-95F0-837FC3B22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099824"/>
        <c:axId val="545100384"/>
      </c:lineChart>
      <c:catAx>
        <c:axId val="54509982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crossAx val="545100384"/>
        <c:crosses val="autoZero"/>
        <c:auto val="0"/>
        <c:lblAlgn val="ctr"/>
        <c:lblOffset val="100"/>
        <c:noMultiLvlLbl val="1"/>
      </c:catAx>
      <c:valAx>
        <c:axId val="545100384"/>
        <c:scaling>
          <c:orientation val="minMax"/>
          <c:min val="0.95000000000000007"/>
        </c:scaling>
        <c:delete val="0"/>
        <c:axPos val="l"/>
        <c:majorGridlines/>
        <c:numFmt formatCode="0.0000_ " sourceLinked="1"/>
        <c:majorTickMark val="none"/>
        <c:minorTickMark val="none"/>
        <c:tickLblPos val="nextTo"/>
        <c:spPr>
          <a:ln w="9525">
            <a:noFill/>
          </a:ln>
        </c:spPr>
        <c:crossAx val="54509982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4" l="0.70000000000000062" r="0.70000000000000062" t="0.750000000000004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 sz="1600"/>
              <a:t>合绎塑造者</a:t>
            </a:r>
            <a:r>
              <a:rPr lang="en-US" altLang="zh-CN" sz="1600"/>
              <a:t>2</a:t>
            </a:r>
            <a:r>
              <a:rPr lang="zh-CN" altLang="en-US" sz="1600"/>
              <a:t>号</a:t>
            </a:r>
            <a:endParaRPr lang="en-US" altLang="zh-CN" sz="16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塑造者2号!$B$20</c:f>
              <c:strCache>
                <c:ptCount val="1"/>
                <c:pt idx="0">
                  <c:v>累计净值</c:v>
                </c:pt>
              </c:strCache>
            </c:strRef>
          </c:tx>
          <c:marker>
            <c:symbol val="none"/>
          </c:marker>
          <c:cat>
            <c:numRef>
              <c:f>塑造者2号!$A$21:$A$274</c:f>
              <c:numCache>
                <c:formatCode>m/d/yyyy</c:formatCode>
                <c:ptCount val="254"/>
                <c:pt idx="0">
                  <c:v>43948</c:v>
                </c:pt>
                <c:pt idx="1">
                  <c:v>43949</c:v>
                </c:pt>
                <c:pt idx="2">
                  <c:v>43950</c:v>
                </c:pt>
                <c:pt idx="3">
                  <c:v>43951</c:v>
                </c:pt>
                <c:pt idx="4">
                  <c:v>43957</c:v>
                </c:pt>
                <c:pt idx="5">
                  <c:v>43958</c:v>
                </c:pt>
                <c:pt idx="6">
                  <c:v>43959</c:v>
                </c:pt>
                <c:pt idx="7">
                  <c:v>43962</c:v>
                </c:pt>
                <c:pt idx="8">
                  <c:v>43963</c:v>
                </c:pt>
                <c:pt idx="9">
                  <c:v>43964</c:v>
                </c:pt>
                <c:pt idx="10">
                  <c:v>43965</c:v>
                </c:pt>
                <c:pt idx="11">
                  <c:v>43966</c:v>
                </c:pt>
                <c:pt idx="12">
                  <c:v>43969</c:v>
                </c:pt>
                <c:pt idx="13">
                  <c:v>43970</c:v>
                </c:pt>
                <c:pt idx="14">
                  <c:v>43971</c:v>
                </c:pt>
                <c:pt idx="15">
                  <c:v>43972</c:v>
                </c:pt>
                <c:pt idx="16">
                  <c:v>43973</c:v>
                </c:pt>
                <c:pt idx="17">
                  <c:v>43976</c:v>
                </c:pt>
                <c:pt idx="18">
                  <c:v>43977</c:v>
                </c:pt>
                <c:pt idx="19">
                  <c:v>43978</c:v>
                </c:pt>
                <c:pt idx="20">
                  <c:v>43979</c:v>
                </c:pt>
                <c:pt idx="21">
                  <c:v>43980</c:v>
                </c:pt>
                <c:pt idx="22">
                  <c:v>43983</c:v>
                </c:pt>
                <c:pt idx="23">
                  <c:v>43984</c:v>
                </c:pt>
                <c:pt idx="24">
                  <c:v>43985</c:v>
                </c:pt>
                <c:pt idx="25">
                  <c:v>43986</c:v>
                </c:pt>
                <c:pt idx="26">
                  <c:v>43987</c:v>
                </c:pt>
                <c:pt idx="27">
                  <c:v>43990</c:v>
                </c:pt>
                <c:pt idx="28">
                  <c:v>43991</c:v>
                </c:pt>
                <c:pt idx="29">
                  <c:v>43992</c:v>
                </c:pt>
                <c:pt idx="30">
                  <c:v>43993</c:v>
                </c:pt>
                <c:pt idx="31">
                  <c:v>43994</c:v>
                </c:pt>
                <c:pt idx="32">
                  <c:v>43997</c:v>
                </c:pt>
                <c:pt idx="33">
                  <c:v>43998</c:v>
                </c:pt>
                <c:pt idx="34">
                  <c:v>43999</c:v>
                </c:pt>
                <c:pt idx="35">
                  <c:v>44000</c:v>
                </c:pt>
                <c:pt idx="36">
                  <c:v>44001</c:v>
                </c:pt>
                <c:pt idx="37">
                  <c:v>44004</c:v>
                </c:pt>
                <c:pt idx="38">
                  <c:v>44005</c:v>
                </c:pt>
                <c:pt idx="39">
                  <c:v>44006</c:v>
                </c:pt>
                <c:pt idx="40">
                  <c:v>44011</c:v>
                </c:pt>
                <c:pt idx="41">
                  <c:v>44012</c:v>
                </c:pt>
                <c:pt idx="42">
                  <c:v>44013</c:v>
                </c:pt>
                <c:pt idx="43">
                  <c:v>44014</c:v>
                </c:pt>
                <c:pt idx="44">
                  <c:v>44015</c:v>
                </c:pt>
                <c:pt idx="45">
                  <c:v>44018</c:v>
                </c:pt>
                <c:pt idx="46">
                  <c:v>44019</c:v>
                </c:pt>
                <c:pt idx="47">
                  <c:v>44020</c:v>
                </c:pt>
                <c:pt idx="48">
                  <c:v>44021</c:v>
                </c:pt>
                <c:pt idx="49">
                  <c:v>44022</c:v>
                </c:pt>
                <c:pt idx="50">
                  <c:v>44025</c:v>
                </c:pt>
                <c:pt idx="51">
                  <c:v>44026</c:v>
                </c:pt>
                <c:pt idx="52">
                  <c:v>44027</c:v>
                </c:pt>
                <c:pt idx="53">
                  <c:v>44028</c:v>
                </c:pt>
                <c:pt idx="54">
                  <c:v>44029</c:v>
                </c:pt>
                <c:pt idx="55">
                  <c:v>44032</c:v>
                </c:pt>
                <c:pt idx="56">
                  <c:v>44033</c:v>
                </c:pt>
                <c:pt idx="57">
                  <c:v>44034</c:v>
                </c:pt>
                <c:pt idx="58">
                  <c:v>44035</c:v>
                </c:pt>
                <c:pt idx="59">
                  <c:v>44036</c:v>
                </c:pt>
                <c:pt idx="60">
                  <c:v>44039</c:v>
                </c:pt>
                <c:pt idx="61">
                  <c:v>44040</c:v>
                </c:pt>
                <c:pt idx="62">
                  <c:v>44041</c:v>
                </c:pt>
                <c:pt idx="63">
                  <c:v>44042</c:v>
                </c:pt>
                <c:pt idx="64">
                  <c:v>44043</c:v>
                </c:pt>
                <c:pt idx="65">
                  <c:v>44046</c:v>
                </c:pt>
                <c:pt idx="66">
                  <c:v>44047</c:v>
                </c:pt>
                <c:pt idx="67">
                  <c:v>44048</c:v>
                </c:pt>
                <c:pt idx="68">
                  <c:v>44049</c:v>
                </c:pt>
                <c:pt idx="69">
                  <c:v>44050</c:v>
                </c:pt>
                <c:pt idx="70">
                  <c:v>44053</c:v>
                </c:pt>
                <c:pt idx="71">
                  <c:v>44054</c:v>
                </c:pt>
                <c:pt idx="72">
                  <c:v>44055</c:v>
                </c:pt>
                <c:pt idx="73">
                  <c:v>44056</c:v>
                </c:pt>
                <c:pt idx="74">
                  <c:v>44057</c:v>
                </c:pt>
                <c:pt idx="75">
                  <c:v>44060</c:v>
                </c:pt>
                <c:pt idx="76">
                  <c:v>44061</c:v>
                </c:pt>
                <c:pt idx="77">
                  <c:v>44062</c:v>
                </c:pt>
                <c:pt idx="78">
                  <c:v>44063</c:v>
                </c:pt>
                <c:pt idx="79">
                  <c:v>44064</c:v>
                </c:pt>
                <c:pt idx="80">
                  <c:v>44067</c:v>
                </c:pt>
                <c:pt idx="81">
                  <c:v>44068</c:v>
                </c:pt>
                <c:pt idx="82">
                  <c:v>44069</c:v>
                </c:pt>
                <c:pt idx="83">
                  <c:v>44070</c:v>
                </c:pt>
                <c:pt idx="84">
                  <c:v>44071</c:v>
                </c:pt>
                <c:pt idx="85">
                  <c:v>44074</c:v>
                </c:pt>
                <c:pt idx="86">
                  <c:v>44075</c:v>
                </c:pt>
                <c:pt idx="87">
                  <c:v>44076</c:v>
                </c:pt>
                <c:pt idx="88">
                  <c:v>44077</c:v>
                </c:pt>
                <c:pt idx="89">
                  <c:v>44078</c:v>
                </c:pt>
                <c:pt idx="90">
                  <c:v>44081</c:v>
                </c:pt>
                <c:pt idx="91">
                  <c:v>44082</c:v>
                </c:pt>
                <c:pt idx="92">
                  <c:v>44083</c:v>
                </c:pt>
                <c:pt idx="93">
                  <c:v>44084</c:v>
                </c:pt>
                <c:pt idx="94">
                  <c:v>44085</c:v>
                </c:pt>
                <c:pt idx="95">
                  <c:v>44088</c:v>
                </c:pt>
                <c:pt idx="96">
                  <c:v>44089</c:v>
                </c:pt>
                <c:pt idx="97">
                  <c:v>44090</c:v>
                </c:pt>
                <c:pt idx="98">
                  <c:v>44091</c:v>
                </c:pt>
                <c:pt idx="99">
                  <c:v>44092</c:v>
                </c:pt>
                <c:pt idx="100">
                  <c:v>44095</c:v>
                </c:pt>
                <c:pt idx="101">
                  <c:v>44096</c:v>
                </c:pt>
                <c:pt idx="102">
                  <c:v>44097</c:v>
                </c:pt>
                <c:pt idx="103">
                  <c:v>44098</c:v>
                </c:pt>
                <c:pt idx="104">
                  <c:v>44099</c:v>
                </c:pt>
                <c:pt idx="105">
                  <c:v>44102</c:v>
                </c:pt>
                <c:pt idx="106">
                  <c:v>44103</c:v>
                </c:pt>
                <c:pt idx="107">
                  <c:v>44104</c:v>
                </c:pt>
                <c:pt idx="108">
                  <c:v>44113</c:v>
                </c:pt>
                <c:pt idx="109">
                  <c:v>44116</c:v>
                </c:pt>
                <c:pt idx="110">
                  <c:v>44117</c:v>
                </c:pt>
                <c:pt idx="111">
                  <c:v>44118</c:v>
                </c:pt>
                <c:pt idx="112">
                  <c:v>44119</c:v>
                </c:pt>
                <c:pt idx="113">
                  <c:v>44120</c:v>
                </c:pt>
                <c:pt idx="114">
                  <c:v>44123</c:v>
                </c:pt>
                <c:pt idx="115">
                  <c:v>44124</c:v>
                </c:pt>
                <c:pt idx="116">
                  <c:v>44125</c:v>
                </c:pt>
                <c:pt idx="117">
                  <c:v>44126</c:v>
                </c:pt>
                <c:pt idx="118">
                  <c:v>44127</c:v>
                </c:pt>
                <c:pt idx="119">
                  <c:v>44130</c:v>
                </c:pt>
                <c:pt idx="120">
                  <c:v>44131</c:v>
                </c:pt>
                <c:pt idx="121">
                  <c:v>44132</c:v>
                </c:pt>
                <c:pt idx="122">
                  <c:v>44133</c:v>
                </c:pt>
                <c:pt idx="123">
                  <c:v>44134</c:v>
                </c:pt>
                <c:pt idx="124">
                  <c:v>44137</c:v>
                </c:pt>
                <c:pt idx="125">
                  <c:v>44138</c:v>
                </c:pt>
                <c:pt idx="126">
                  <c:v>44139</c:v>
                </c:pt>
                <c:pt idx="127">
                  <c:v>44140</c:v>
                </c:pt>
                <c:pt idx="128">
                  <c:v>44141</c:v>
                </c:pt>
                <c:pt idx="129">
                  <c:v>44144</c:v>
                </c:pt>
                <c:pt idx="130">
                  <c:v>44145</c:v>
                </c:pt>
                <c:pt idx="131">
                  <c:v>44146</c:v>
                </c:pt>
                <c:pt idx="132">
                  <c:v>44147</c:v>
                </c:pt>
                <c:pt idx="133">
                  <c:v>44148</c:v>
                </c:pt>
                <c:pt idx="134">
                  <c:v>44151</c:v>
                </c:pt>
                <c:pt idx="135">
                  <c:v>44152</c:v>
                </c:pt>
                <c:pt idx="136">
                  <c:v>44153</c:v>
                </c:pt>
                <c:pt idx="137">
                  <c:v>44154</c:v>
                </c:pt>
                <c:pt idx="138">
                  <c:v>44155</c:v>
                </c:pt>
                <c:pt idx="139">
                  <c:v>44158</c:v>
                </c:pt>
                <c:pt idx="140">
                  <c:v>44159</c:v>
                </c:pt>
                <c:pt idx="141">
                  <c:v>44160</c:v>
                </c:pt>
                <c:pt idx="142">
                  <c:v>44161</c:v>
                </c:pt>
                <c:pt idx="143">
                  <c:v>44162</c:v>
                </c:pt>
                <c:pt idx="144">
                  <c:v>44165</c:v>
                </c:pt>
                <c:pt idx="145">
                  <c:v>44166</c:v>
                </c:pt>
                <c:pt idx="146">
                  <c:v>44167</c:v>
                </c:pt>
                <c:pt idx="147">
                  <c:v>44168</c:v>
                </c:pt>
                <c:pt idx="148">
                  <c:v>44169</c:v>
                </c:pt>
                <c:pt idx="149">
                  <c:v>44172</c:v>
                </c:pt>
                <c:pt idx="150">
                  <c:v>44173</c:v>
                </c:pt>
                <c:pt idx="151">
                  <c:v>44174</c:v>
                </c:pt>
                <c:pt idx="152">
                  <c:v>44175</c:v>
                </c:pt>
                <c:pt idx="153">
                  <c:v>44176</c:v>
                </c:pt>
                <c:pt idx="154">
                  <c:v>44179</c:v>
                </c:pt>
                <c:pt idx="155">
                  <c:v>44180</c:v>
                </c:pt>
                <c:pt idx="156">
                  <c:v>44181</c:v>
                </c:pt>
                <c:pt idx="157">
                  <c:v>44182</c:v>
                </c:pt>
                <c:pt idx="158">
                  <c:v>44183</c:v>
                </c:pt>
                <c:pt idx="159">
                  <c:v>44186</c:v>
                </c:pt>
                <c:pt idx="160">
                  <c:v>44187</c:v>
                </c:pt>
                <c:pt idx="161">
                  <c:v>44188</c:v>
                </c:pt>
                <c:pt idx="162">
                  <c:v>44189</c:v>
                </c:pt>
                <c:pt idx="163">
                  <c:v>44190</c:v>
                </c:pt>
                <c:pt idx="164">
                  <c:v>44193</c:v>
                </c:pt>
                <c:pt idx="165">
                  <c:v>44194</c:v>
                </c:pt>
                <c:pt idx="166">
                  <c:v>44195</c:v>
                </c:pt>
                <c:pt idx="167">
                  <c:v>44196</c:v>
                </c:pt>
                <c:pt idx="168">
                  <c:v>44200</c:v>
                </c:pt>
                <c:pt idx="169">
                  <c:v>44201</c:v>
                </c:pt>
                <c:pt idx="170">
                  <c:v>44202</c:v>
                </c:pt>
                <c:pt idx="171">
                  <c:v>44203</c:v>
                </c:pt>
                <c:pt idx="172">
                  <c:v>44204</c:v>
                </c:pt>
                <c:pt idx="173">
                  <c:v>44207</c:v>
                </c:pt>
                <c:pt idx="174">
                  <c:v>44208</c:v>
                </c:pt>
                <c:pt idx="175">
                  <c:v>44209</c:v>
                </c:pt>
                <c:pt idx="176">
                  <c:v>44210</c:v>
                </c:pt>
                <c:pt idx="177">
                  <c:v>44211</c:v>
                </c:pt>
                <c:pt idx="178">
                  <c:v>44214</c:v>
                </c:pt>
                <c:pt idx="179">
                  <c:v>44215</c:v>
                </c:pt>
                <c:pt idx="180">
                  <c:v>44216</c:v>
                </c:pt>
                <c:pt idx="181">
                  <c:v>44217</c:v>
                </c:pt>
                <c:pt idx="182">
                  <c:v>44218</c:v>
                </c:pt>
                <c:pt idx="183">
                  <c:v>44221</c:v>
                </c:pt>
                <c:pt idx="184">
                  <c:v>44222</c:v>
                </c:pt>
                <c:pt idx="185">
                  <c:v>44223</c:v>
                </c:pt>
                <c:pt idx="186">
                  <c:v>44224</c:v>
                </c:pt>
                <c:pt idx="187">
                  <c:v>44225</c:v>
                </c:pt>
                <c:pt idx="188">
                  <c:v>44228</c:v>
                </c:pt>
                <c:pt idx="189">
                  <c:v>44229</c:v>
                </c:pt>
                <c:pt idx="190">
                  <c:v>44230</c:v>
                </c:pt>
                <c:pt idx="191">
                  <c:v>44231</c:v>
                </c:pt>
                <c:pt idx="192">
                  <c:v>44232</c:v>
                </c:pt>
                <c:pt idx="193">
                  <c:v>44235</c:v>
                </c:pt>
                <c:pt idx="194">
                  <c:v>44236</c:v>
                </c:pt>
                <c:pt idx="195">
                  <c:v>44237</c:v>
                </c:pt>
                <c:pt idx="196">
                  <c:v>44245</c:v>
                </c:pt>
                <c:pt idx="197">
                  <c:v>44246</c:v>
                </c:pt>
                <c:pt idx="198">
                  <c:v>44249</c:v>
                </c:pt>
                <c:pt idx="199">
                  <c:v>44250</c:v>
                </c:pt>
                <c:pt idx="200">
                  <c:v>44251</c:v>
                </c:pt>
                <c:pt idx="201">
                  <c:v>44252</c:v>
                </c:pt>
                <c:pt idx="202">
                  <c:v>44253</c:v>
                </c:pt>
                <c:pt idx="203">
                  <c:v>44256</c:v>
                </c:pt>
                <c:pt idx="204">
                  <c:v>44257</c:v>
                </c:pt>
                <c:pt idx="205">
                  <c:v>44258</c:v>
                </c:pt>
                <c:pt idx="206">
                  <c:v>44259</c:v>
                </c:pt>
                <c:pt idx="207">
                  <c:v>44260</c:v>
                </c:pt>
                <c:pt idx="208">
                  <c:v>44263</c:v>
                </c:pt>
                <c:pt idx="209">
                  <c:v>44264</c:v>
                </c:pt>
                <c:pt idx="210">
                  <c:v>44265</c:v>
                </c:pt>
                <c:pt idx="211">
                  <c:v>44266</c:v>
                </c:pt>
                <c:pt idx="212">
                  <c:v>44267</c:v>
                </c:pt>
                <c:pt idx="213">
                  <c:v>44270</c:v>
                </c:pt>
                <c:pt idx="214">
                  <c:v>44271</c:v>
                </c:pt>
                <c:pt idx="215">
                  <c:v>44272</c:v>
                </c:pt>
                <c:pt idx="216">
                  <c:v>44273</c:v>
                </c:pt>
                <c:pt idx="217">
                  <c:v>44274</c:v>
                </c:pt>
                <c:pt idx="218">
                  <c:v>44277</c:v>
                </c:pt>
                <c:pt idx="219">
                  <c:v>44278</c:v>
                </c:pt>
                <c:pt idx="220">
                  <c:v>44279</c:v>
                </c:pt>
                <c:pt idx="221">
                  <c:v>44280</c:v>
                </c:pt>
                <c:pt idx="222">
                  <c:v>44281</c:v>
                </c:pt>
                <c:pt idx="223">
                  <c:v>44284</c:v>
                </c:pt>
                <c:pt idx="224">
                  <c:v>44285</c:v>
                </c:pt>
                <c:pt idx="225">
                  <c:v>44286</c:v>
                </c:pt>
                <c:pt idx="226">
                  <c:v>44287</c:v>
                </c:pt>
                <c:pt idx="227">
                  <c:v>44288</c:v>
                </c:pt>
                <c:pt idx="228">
                  <c:v>44292</c:v>
                </c:pt>
                <c:pt idx="229">
                  <c:v>44293</c:v>
                </c:pt>
                <c:pt idx="230">
                  <c:v>44294</c:v>
                </c:pt>
                <c:pt idx="231">
                  <c:v>44295</c:v>
                </c:pt>
                <c:pt idx="232">
                  <c:v>44298</c:v>
                </c:pt>
                <c:pt idx="233">
                  <c:v>44299</c:v>
                </c:pt>
                <c:pt idx="234">
                  <c:v>44300</c:v>
                </c:pt>
                <c:pt idx="235">
                  <c:v>44301</c:v>
                </c:pt>
                <c:pt idx="236">
                  <c:v>44302</c:v>
                </c:pt>
                <c:pt idx="237">
                  <c:v>44305</c:v>
                </c:pt>
                <c:pt idx="238">
                  <c:v>44306</c:v>
                </c:pt>
                <c:pt idx="239">
                  <c:v>44307</c:v>
                </c:pt>
                <c:pt idx="240">
                  <c:v>44308</c:v>
                </c:pt>
                <c:pt idx="241">
                  <c:v>44309</c:v>
                </c:pt>
                <c:pt idx="242">
                  <c:v>44312</c:v>
                </c:pt>
                <c:pt idx="243">
                  <c:v>44313</c:v>
                </c:pt>
                <c:pt idx="244">
                  <c:v>44314</c:v>
                </c:pt>
                <c:pt idx="245">
                  <c:v>44315</c:v>
                </c:pt>
                <c:pt idx="246">
                  <c:v>44316</c:v>
                </c:pt>
                <c:pt idx="247">
                  <c:v>44322</c:v>
                </c:pt>
                <c:pt idx="248">
                  <c:v>44323</c:v>
                </c:pt>
                <c:pt idx="249">
                  <c:v>44326</c:v>
                </c:pt>
                <c:pt idx="250">
                  <c:v>44327</c:v>
                </c:pt>
                <c:pt idx="251">
                  <c:v>44328</c:v>
                </c:pt>
                <c:pt idx="252">
                  <c:v>44329</c:v>
                </c:pt>
                <c:pt idx="253">
                  <c:v>44330</c:v>
                </c:pt>
              </c:numCache>
            </c:numRef>
          </c:cat>
          <c:val>
            <c:numRef>
              <c:f>塑造者2号!$B$21:$B$274</c:f>
              <c:numCache>
                <c:formatCode>0.0000_ </c:formatCode>
                <c:ptCount val="254"/>
                <c:pt idx="0">
                  <c:v>1.2170000000000001</c:v>
                </c:pt>
                <c:pt idx="1">
                  <c:v>1.2190000000000001</c:v>
                </c:pt>
                <c:pt idx="2">
                  <c:v>1.218</c:v>
                </c:pt>
                <c:pt idx="3">
                  <c:v>1.216</c:v>
                </c:pt>
                <c:pt idx="4">
                  <c:v>1.218</c:v>
                </c:pt>
                <c:pt idx="5">
                  <c:v>1.222</c:v>
                </c:pt>
                <c:pt idx="6">
                  <c:v>1.224</c:v>
                </c:pt>
                <c:pt idx="7">
                  <c:v>1.226</c:v>
                </c:pt>
                <c:pt idx="8">
                  <c:v>1.2290000000000001</c:v>
                </c:pt>
                <c:pt idx="9">
                  <c:v>1.2290000000000001</c:v>
                </c:pt>
                <c:pt idx="10">
                  <c:v>1.2310000000000001</c:v>
                </c:pt>
                <c:pt idx="11">
                  <c:v>1.232</c:v>
                </c:pt>
                <c:pt idx="12">
                  <c:v>1.236</c:v>
                </c:pt>
                <c:pt idx="13">
                  <c:v>1.2370000000000001</c:v>
                </c:pt>
                <c:pt idx="14">
                  <c:v>1.24</c:v>
                </c:pt>
                <c:pt idx="15">
                  <c:v>1.24</c:v>
                </c:pt>
                <c:pt idx="16">
                  <c:v>1.242</c:v>
                </c:pt>
                <c:pt idx="17">
                  <c:v>1.2430000000000001</c:v>
                </c:pt>
                <c:pt idx="18">
                  <c:v>1.246</c:v>
                </c:pt>
                <c:pt idx="19">
                  <c:v>1.244</c:v>
                </c:pt>
                <c:pt idx="20">
                  <c:v>1.2450000000000001</c:v>
                </c:pt>
                <c:pt idx="21">
                  <c:v>1.246</c:v>
                </c:pt>
                <c:pt idx="22">
                  <c:v>1.252</c:v>
                </c:pt>
                <c:pt idx="23">
                  <c:v>1.256</c:v>
                </c:pt>
                <c:pt idx="24">
                  <c:v>1.2569999999999999</c:v>
                </c:pt>
                <c:pt idx="25">
                  <c:v>1.2569999999999999</c:v>
                </c:pt>
                <c:pt idx="26">
                  <c:v>1.258</c:v>
                </c:pt>
                <c:pt idx="27">
                  <c:v>1.26</c:v>
                </c:pt>
                <c:pt idx="28">
                  <c:v>1.262</c:v>
                </c:pt>
                <c:pt idx="29">
                  <c:v>1.2629999999999999</c:v>
                </c:pt>
                <c:pt idx="30">
                  <c:v>1.262</c:v>
                </c:pt>
                <c:pt idx="31">
                  <c:v>1.262</c:v>
                </c:pt>
                <c:pt idx="32">
                  <c:v>1.2649999999999999</c:v>
                </c:pt>
                <c:pt idx="33">
                  <c:v>1.2669999999999999</c:v>
                </c:pt>
                <c:pt idx="34">
                  <c:v>1.266</c:v>
                </c:pt>
                <c:pt idx="35">
                  <c:v>1.272</c:v>
                </c:pt>
                <c:pt idx="36">
                  <c:v>1.2709999999999999</c:v>
                </c:pt>
                <c:pt idx="37">
                  <c:v>1.274</c:v>
                </c:pt>
                <c:pt idx="38">
                  <c:v>1.2729999999999999</c:v>
                </c:pt>
                <c:pt idx="39">
                  <c:v>1.276</c:v>
                </c:pt>
                <c:pt idx="40">
                  <c:v>1.286</c:v>
                </c:pt>
                <c:pt idx="41">
                  <c:v>1.292</c:v>
                </c:pt>
                <c:pt idx="42">
                  <c:v>1.292</c:v>
                </c:pt>
                <c:pt idx="43">
                  <c:v>1.286</c:v>
                </c:pt>
                <c:pt idx="44">
                  <c:v>1.2869999999999999</c:v>
                </c:pt>
                <c:pt idx="45">
                  <c:v>1.28</c:v>
                </c:pt>
                <c:pt idx="46">
                  <c:v>1.3160000000000001</c:v>
                </c:pt>
                <c:pt idx="47">
                  <c:v>1.3240000000000001</c:v>
                </c:pt>
                <c:pt idx="48">
                  <c:v>1.3360000000000001</c:v>
                </c:pt>
                <c:pt idx="49">
                  <c:v>1.343</c:v>
                </c:pt>
                <c:pt idx="50">
                  <c:v>1.3540000000000001</c:v>
                </c:pt>
                <c:pt idx="51">
                  <c:v>1.3580000000000001</c:v>
                </c:pt>
                <c:pt idx="52">
                  <c:v>1.3620000000000001</c:v>
                </c:pt>
                <c:pt idx="53">
                  <c:v>1.363</c:v>
                </c:pt>
                <c:pt idx="54">
                  <c:v>1.377</c:v>
                </c:pt>
                <c:pt idx="55">
                  <c:v>1.383</c:v>
                </c:pt>
                <c:pt idx="56">
                  <c:v>1.385</c:v>
                </c:pt>
                <c:pt idx="57">
                  <c:v>1.39</c:v>
                </c:pt>
                <c:pt idx="58">
                  <c:v>1.3919999999999999</c:v>
                </c:pt>
                <c:pt idx="59">
                  <c:v>1.4019999999999999</c:v>
                </c:pt>
                <c:pt idx="60">
                  <c:v>1.4039999999999999</c:v>
                </c:pt>
                <c:pt idx="61">
                  <c:v>1.409</c:v>
                </c:pt>
                <c:pt idx="62">
                  <c:v>1.415</c:v>
                </c:pt>
                <c:pt idx="63">
                  <c:v>1.4159999999999999</c:v>
                </c:pt>
                <c:pt idx="64">
                  <c:v>1.42</c:v>
                </c:pt>
                <c:pt idx="65">
                  <c:v>1.423</c:v>
                </c:pt>
                <c:pt idx="66">
                  <c:v>1.429</c:v>
                </c:pt>
                <c:pt idx="67">
                  <c:v>1.431</c:v>
                </c:pt>
                <c:pt idx="68">
                  <c:v>1.431</c:v>
                </c:pt>
                <c:pt idx="69">
                  <c:v>1.4339999999999999</c:v>
                </c:pt>
                <c:pt idx="70">
                  <c:v>1.4390000000000001</c:v>
                </c:pt>
                <c:pt idx="71">
                  <c:v>1.4430000000000001</c:v>
                </c:pt>
                <c:pt idx="72">
                  <c:v>1.446</c:v>
                </c:pt>
                <c:pt idx="73">
                  <c:v>1.448</c:v>
                </c:pt>
                <c:pt idx="74">
                  <c:v>1.456</c:v>
                </c:pt>
                <c:pt idx="75">
                  <c:v>1.454</c:v>
                </c:pt>
                <c:pt idx="76">
                  <c:v>1.4570000000000001</c:v>
                </c:pt>
                <c:pt idx="77">
                  <c:v>1.4650000000000001</c:v>
                </c:pt>
                <c:pt idx="78">
                  <c:v>1.4650000000000001</c:v>
                </c:pt>
                <c:pt idx="79">
                  <c:v>1.4690000000000001</c:v>
                </c:pt>
                <c:pt idx="80">
                  <c:v>1.478</c:v>
                </c:pt>
                <c:pt idx="81">
                  <c:v>1.4810000000000001</c:v>
                </c:pt>
                <c:pt idx="82">
                  <c:v>1.484</c:v>
                </c:pt>
                <c:pt idx="83">
                  <c:v>1.4870000000000001</c:v>
                </c:pt>
                <c:pt idx="84">
                  <c:v>1.4930000000000001</c:v>
                </c:pt>
                <c:pt idx="85">
                  <c:v>1.4990000000000001</c:v>
                </c:pt>
                <c:pt idx="86">
                  <c:v>1.494</c:v>
                </c:pt>
                <c:pt idx="87">
                  <c:v>1.502</c:v>
                </c:pt>
                <c:pt idx="88">
                  <c:v>1.498</c:v>
                </c:pt>
                <c:pt idx="89">
                  <c:v>1.502</c:v>
                </c:pt>
                <c:pt idx="90">
                  <c:v>1.5069999999999999</c:v>
                </c:pt>
                <c:pt idx="91">
                  <c:v>1.506</c:v>
                </c:pt>
                <c:pt idx="92">
                  <c:v>1.5069999999999999</c:v>
                </c:pt>
                <c:pt idx="93">
                  <c:v>1.5129999999999999</c:v>
                </c:pt>
                <c:pt idx="94">
                  <c:v>1.5129999999999999</c:v>
                </c:pt>
                <c:pt idx="95">
                  <c:v>1.5189999999999999</c:v>
                </c:pt>
                <c:pt idx="96">
                  <c:v>1.522</c:v>
                </c:pt>
                <c:pt idx="97">
                  <c:v>1.5229999999999999</c:v>
                </c:pt>
                <c:pt idx="98">
                  <c:v>1.5289999999999999</c:v>
                </c:pt>
                <c:pt idx="99">
                  <c:v>1.5289999999999999</c:v>
                </c:pt>
                <c:pt idx="100">
                  <c:v>1.5309999999999999</c:v>
                </c:pt>
                <c:pt idx="101">
                  <c:v>1.5329999999999999</c:v>
                </c:pt>
                <c:pt idx="102">
                  <c:v>1.534</c:v>
                </c:pt>
                <c:pt idx="103">
                  <c:v>1.5369999999999999</c:v>
                </c:pt>
                <c:pt idx="104">
                  <c:v>1.5349999999999999</c:v>
                </c:pt>
                <c:pt idx="105">
                  <c:v>1.536</c:v>
                </c:pt>
                <c:pt idx="106">
                  <c:v>1.5369999999999999</c:v>
                </c:pt>
                <c:pt idx="107">
                  <c:v>1.538</c:v>
                </c:pt>
                <c:pt idx="108">
                  <c:v>1.554</c:v>
                </c:pt>
                <c:pt idx="109">
                  <c:v>1.5620000000000001</c:v>
                </c:pt>
                <c:pt idx="110">
                  <c:v>1.5649999999999999</c:v>
                </c:pt>
                <c:pt idx="111">
                  <c:v>1.5649999999999999</c:v>
                </c:pt>
                <c:pt idx="112">
                  <c:v>1.5649999999999999</c:v>
                </c:pt>
                <c:pt idx="113">
                  <c:v>1.5629999999999999</c:v>
                </c:pt>
                <c:pt idx="114">
                  <c:v>1.5580000000000001</c:v>
                </c:pt>
                <c:pt idx="115">
                  <c:v>1.5620000000000001</c:v>
                </c:pt>
                <c:pt idx="116">
                  <c:v>1.5640000000000001</c:v>
                </c:pt>
                <c:pt idx="117">
                  <c:v>1.5640000000000001</c:v>
                </c:pt>
                <c:pt idx="118">
                  <c:v>1.5640000000000001</c:v>
                </c:pt>
                <c:pt idx="119">
                  <c:v>1.5680000000000001</c:v>
                </c:pt>
                <c:pt idx="120">
                  <c:v>1.5720000000000001</c:v>
                </c:pt>
                <c:pt idx="121">
                  <c:v>1.5740000000000001</c:v>
                </c:pt>
                <c:pt idx="122">
                  <c:v>1.577</c:v>
                </c:pt>
                <c:pt idx="123">
                  <c:v>1.577</c:v>
                </c:pt>
                <c:pt idx="124">
                  <c:v>1.5740000000000001</c:v>
                </c:pt>
                <c:pt idx="125">
                  <c:v>1.577</c:v>
                </c:pt>
                <c:pt idx="126">
                  <c:v>1.5820000000000001</c:v>
                </c:pt>
                <c:pt idx="127">
                  <c:v>1.5860000000000001</c:v>
                </c:pt>
                <c:pt idx="128">
                  <c:v>1.585</c:v>
                </c:pt>
                <c:pt idx="129">
                  <c:v>1.583</c:v>
                </c:pt>
                <c:pt idx="130">
                  <c:v>1.587</c:v>
                </c:pt>
                <c:pt idx="131">
                  <c:v>1.589</c:v>
                </c:pt>
                <c:pt idx="132">
                  <c:v>1.59</c:v>
                </c:pt>
                <c:pt idx="133">
                  <c:v>1.5880000000000001</c:v>
                </c:pt>
                <c:pt idx="134">
                  <c:v>1.593</c:v>
                </c:pt>
                <c:pt idx="135">
                  <c:v>1.5940000000000001</c:v>
                </c:pt>
                <c:pt idx="136">
                  <c:v>1.591</c:v>
                </c:pt>
                <c:pt idx="137">
                  <c:v>1.59</c:v>
                </c:pt>
                <c:pt idx="138">
                  <c:v>1.5920000000000001</c:v>
                </c:pt>
                <c:pt idx="139">
                  <c:v>1.591</c:v>
                </c:pt>
                <c:pt idx="140">
                  <c:v>1.591</c:v>
                </c:pt>
                <c:pt idx="141">
                  <c:v>1.589</c:v>
                </c:pt>
                <c:pt idx="142">
                  <c:v>1.585</c:v>
                </c:pt>
                <c:pt idx="143">
                  <c:v>1.5860000000000001</c:v>
                </c:pt>
                <c:pt idx="144">
                  <c:v>1.591</c:v>
                </c:pt>
                <c:pt idx="145">
                  <c:v>1.591</c:v>
                </c:pt>
                <c:pt idx="146">
                  <c:v>1.593</c:v>
                </c:pt>
                <c:pt idx="147">
                  <c:v>1.593</c:v>
                </c:pt>
                <c:pt idx="148">
                  <c:v>1.597</c:v>
                </c:pt>
                <c:pt idx="149">
                  <c:v>1.6040000000000001</c:v>
                </c:pt>
                <c:pt idx="150">
                  <c:v>1.605</c:v>
                </c:pt>
                <c:pt idx="151">
                  <c:v>1.6080000000000001</c:v>
                </c:pt>
                <c:pt idx="152">
                  <c:v>1.605</c:v>
                </c:pt>
                <c:pt idx="153">
                  <c:v>1.601</c:v>
                </c:pt>
                <c:pt idx="154">
                  <c:v>1.605</c:v>
                </c:pt>
                <c:pt idx="155">
                  <c:v>1.605</c:v>
                </c:pt>
                <c:pt idx="156">
                  <c:v>1.6080000000000001</c:v>
                </c:pt>
                <c:pt idx="157">
                  <c:v>1.6080000000000001</c:v>
                </c:pt>
                <c:pt idx="158">
                  <c:v>1.611</c:v>
                </c:pt>
                <c:pt idx="159">
                  <c:v>1.611</c:v>
                </c:pt>
                <c:pt idx="160">
                  <c:v>1.6140000000000001</c:v>
                </c:pt>
                <c:pt idx="161">
                  <c:v>1.6120000000000001</c:v>
                </c:pt>
                <c:pt idx="162">
                  <c:v>1.6140000000000001</c:v>
                </c:pt>
                <c:pt idx="163">
                  <c:v>1.615</c:v>
                </c:pt>
                <c:pt idx="164">
                  <c:v>1.6140000000000001</c:v>
                </c:pt>
                <c:pt idx="165">
                  <c:v>1.615</c:v>
                </c:pt>
                <c:pt idx="166">
                  <c:v>1.617</c:v>
                </c:pt>
                <c:pt idx="167">
                  <c:v>1.615</c:v>
                </c:pt>
                <c:pt idx="168">
                  <c:v>1.62</c:v>
                </c:pt>
                <c:pt idx="169">
                  <c:v>1.625</c:v>
                </c:pt>
                <c:pt idx="170">
                  <c:v>1.631</c:v>
                </c:pt>
                <c:pt idx="171">
                  <c:v>1.6319999999999999</c:v>
                </c:pt>
                <c:pt idx="172">
                  <c:v>1.6259999999999999</c:v>
                </c:pt>
                <c:pt idx="173">
                  <c:v>1.637</c:v>
                </c:pt>
                <c:pt idx="174">
                  <c:v>1.6339999999999999</c:v>
                </c:pt>
                <c:pt idx="175">
                  <c:v>1.643</c:v>
                </c:pt>
                <c:pt idx="176">
                  <c:v>1.6459999999999999</c:v>
                </c:pt>
                <c:pt idx="177">
                  <c:v>1.6519999999999999</c:v>
                </c:pt>
                <c:pt idx="178">
                  <c:v>1.6579999999999999</c:v>
                </c:pt>
                <c:pt idx="179">
                  <c:v>1.6539999999999999</c:v>
                </c:pt>
                <c:pt idx="180">
                  <c:v>1.657</c:v>
                </c:pt>
                <c:pt idx="181">
                  <c:v>1.659</c:v>
                </c:pt>
                <c:pt idx="182">
                  <c:v>1.6639999999999999</c:v>
                </c:pt>
                <c:pt idx="183">
                  <c:v>1.671</c:v>
                </c:pt>
                <c:pt idx="184">
                  <c:v>1.67</c:v>
                </c:pt>
                <c:pt idx="185">
                  <c:v>1.671</c:v>
                </c:pt>
                <c:pt idx="186">
                  <c:v>1.665</c:v>
                </c:pt>
                <c:pt idx="187">
                  <c:v>1.6579999999999999</c:v>
                </c:pt>
                <c:pt idx="188">
                  <c:v>1.665</c:v>
                </c:pt>
                <c:pt idx="189">
                  <c:v>1.67</c:v>
                </c:pt>
                <c:pt idx="190">
                  <c:v>1.6759999999999999</c:v>
                </c:pt>
                <c:pt idx="191">
                  <c:v>1.675</c:v>
                </c:pt>
                <c:pt idx="192">
                  <c:v>1.681</c:v>
                </c:pt>
                <c:pt idx="193">
                  <c:v>1.679</c:v>
                </c:pt>
                <c:pt idx="194">
                  <c:v>1.6819999999999999</c:v>
                </c:pt>
                <c:pt idx="195">
                  <c:v>1.6839999999999999</c:v>
                </c:pt>
                <c:pt idx="196">
                  <c:v>1.6839999999999999</c:v>
                </c:pt>
                <c:pt idx="197">
                  <c:v>1.6950000000000001</c:v>
                </c:pt>
                <c:pt idx="198">
                  <c:v>1.6919999999999999</c:v>
                </c:pt>
                <c:pt idx="199">
                  <c:v>1.6930000000000001</c:v>
                </c:pt>
                <c:pt idx="200">
                  <c:v>1.6879999999999999</c:v>
                </c:pt>
                <c:pt idx="201">
                  <c:v>1.696</c:v>
                </c:pt>
                <c:pt idx="202">
                  <c:v>1.69</c:v>
                </c:pt>
                <c:pt idx="203">
                  <c:v>1.6950000000000001</c:v>
                </c:pt>
                <c:pt idx="204">
                  <c:v>1.696</c:v>
                </c:pt>
                <c:pt idx="205">
                  <c:v>1.7030000000000001</c:v>
                </c:pt>
                <c:pt idx="206">
                  <c:v>1.6970000000000001</c:v>
                </c:pt>
                <c:pt idx="207">
                  <c:v>1.698</c:v>
                </c:pt>
                <c:pt idx="208">
                  <c:v>1.6839999999999999</c:v>
                </c:pt>
                <c:pt idx="209">
                  <c:v>1.6919999999999999</c:v>
                </c:pt>
                <c:pt idx="210">
                  <c:v>1.6990000000000001</c:v>
                </c:pt>
                <c:pt idx="211">
                  <c:v>1.7070000000000001</c:v>
                </c:pt>
                <c:pt idx="212">
                  <c:v>1.71</c:v>
                </c:pt>
                <c:pt idx="213">
                  <c:v>1.708</c:v>
                </c:pt>
                <c:pt idx="214">
                  <c:v>1.712</c:v>
                </c:pt>
                <c:pt idx="215">
                  <c:v>1.714</c:v>
                </c:pt>
                <c:pt idx="216">
                  <c:v>1.7170000000000001</c:v>
                </c:pt>
                <c:pt idx="217">
                  <c:v>1.714</c:v>
                </c:pt>
                <c:pt idx="218">
                  <c:v>1.7170000000000001</c:v>
                </c:pt>
                <c:pt idx="219">
                  <c:v>1.718</c:v>
                </c:pt>
                <c:pt idx="220">
                  <c:v>1.716</c:v>
                </c:pt>
                <c:pt idx="221">
                  <c:v>1.718</c:v>
                </c:pt>
                <c:pt idx="222">
                  <c:v>1.724</c:v>
                </c:pt>
                <c:pt idx="223">
                  <c:v>1.724</c:v>
                </c:pt>
                <c:pt idx="224">
                  <c:v>1.726</c:v>
                </c:pt>
                <c:pt idx="225">
                  <c:v>1.7270000000000001</c:v>
                </c:pt>
                <c:pt idx="226">
                  <c:v>1.73</c:v>
                </c:pt>
                <c:pt idx="227">
                  <c:v>1.7330000000000001</c:v>
                </c:pt>
                <c:pt idx="228">
                  <c:v>1.732</c:v>
                </c:pt>
                <c:pt idx="229">
                  <c:v>1.7330000000000001</c:v>
                </c:pt>
                <c:pt idx="230">
                  <c:v>1.738</c:v>
                </c:pt>
                <c:pt idx="231">
                  <c:v>1.736</c:v>
                </c:pt>
                <c:pt idx="232">
                  <c:v>1.732</c:v>
                </c:pt>
                <c:pt idx="233">
                  <c:v>1.7330000000000001</c:v>
                </c:pt>
                <c:pt idx="234">
                  <c:v>1.7350000000000001</c:v>
                </c:pt>
                <c:pt idx="235">
                  <c:v>1.7330000000000001</c:v>
                </c:pt>
                <c:pt idx="236">
                  <c:v>1.74</c:v>
                </c:pt>
                <c:pt idx="237">
                  <c:v>1.744</c:v>
                </c:pt>
                <c:pt idx="238">
                  <c:v>1.7450000000000001</c:v>
                </c:pt>
                <c:pt idx="239">
                  <c:v>1.746</c:v>
                </c:pt>
                <c:pt idx="240">
                  <c:v>1.7470000000000001</c:v>
                </c:pt>
                <c:pt idx="241">
                  <c:v>1.75</c:v>
                </c:pt>
                <c:pt idx="242">
                  <c:v>1.7509999999999999</c:v>
                </c:pt>
                <c:pt idx="243">
                  <c:v>1.756</c:v>
                </c:pt>
                <c:pt idx="244">
                  <c:v>1.758</c:v>
                </c:pt>
                <c:pt idx="245">
                  <c:v>1.7589999999999999</c:v>
                </c:pt>
                <c:pt idx="246">
                  <c:v>1.7589999999999999</c:v>
                </c:pt>
                <c:pt idx="247">
                  <c:v>1.754</c:v>
                </c:pt>
                <c:pt idx="248">
                  <c:v>1.7490000000000001</c:v>
                </c:pt>
                <c:pt idx="249">
                  <c:v>1.7470000000000001</c:v>
                </c:pt>
                <c:pt idx="250">
                  <c:v>1.752</c:v>
                </c:pt>
                <c:pt idx="251">
                  <c:v>1.7569999999999999</c:v>
                </c:pt>
                <c:pt idx="252">
                  <c:v>1.7549999999999999</c:v>
                </c:pt>
                <c:pt idx="253">
                  <c:v>1.7609999999999999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40-481E-A2CB-E96CCFBCB7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099824"/>
        <c:axId val="545100384"/>
      </c:lineChart>
      <c:catAx>
        <c:axId val="54509982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crossAx val="545100384"/>
        <c:crosses val="autoZero"/>
        <c:auto val="0"/>
        <c:lblAlgn val="ctr"/>
        <c:lblOffset val="100"/>
        <c:noMultiLvlLbl val="1"/>
      </c:catAx>
      <c:valAx>
        <c:axId val="545100384"/>
        <c:scaling>
          <c:orientation val="minMax"/>
          <c:min val="1.2"/>
        </c:scaling>
        <c:delete val="0"/>
        <c:axPos val="l"/>
        <c:majorGridlines/>
        <c:numFmt formatCode="0.0000_ " sourceLinked="1"/>
        <c:majorTickMark val="none"/>
        <c:minorTickMark val="none"/>
        <c:tickLblPos val="nextTo"/>
        <c:spPr>
          <a:ln w="9525">
            <a:noFill/>
          </a:ln>
        </c:spPr>
        <c:crossAx val="54509982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4" l="0.70000000000000062" r="0.70000000000000062" t="0.750000000000004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 sz="1600"/>
              <a:t>爱凡哲八号</a:t>
            </a:r>
            <a:endParaRPr lang="en-US" altLang="zh-CN" sz="16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爱凡哲八号!$B$20</c:f>
              <c:strCache>
                <c:ptCount val="1"/>
                <c:pt idx="0">
                  <c:v>累计净值</c:v>
                </c:pt>
              </c:strCache>
            </c:strRef>
          </c:tx>
          <c:marker>
            <c:symbol val="none"/>
          </c:marker>
          <c:cat>
            <c:numRef>
              <c:f>爱凡哲八号!$A$21:$A$271</c:f>
              <c:numCache>
                <c:formatCode>m/d/yyyy</c:formatCode>
                <c:ptCount val="251"/>
                <c:pt idx="0">
                  <c:v>43951</c:v>
                </c:pt>
                <c:pt idx="1">
                  <c:v>43957</c:v>
                </c:pt>
                <c:pt idx="2">
                  <c:v>43958</c:v>
                </c:pt>
                <c:pt idx="3">
                  <c:v>43959</c:v>
                </c:pt>
                <c:pt idx="4">
                  <c:v>43962</c:v>
                </c:pt>
                <c:pt idx="5">
                  <c:v>43963</c:v>
                </c:pt>
                <c:pt idx="6">
                  <c:v>43964</c:v>
                </c:pt>
                <c:pt idx="7">
                  <c:v>43965</c:v>
                </c:pt>
                <c:pt idx="8">
                  <c:v>43966</c:v>
                </c:pt>
                <c:pt idx="9">
                  <c:v>43969</c:v>
                </c:pt>
                <c:pt idx="10">
                  <c:v>43970</c:v>
                </c:pt>
                <c:pt idx="11">
                  <c:v>43971</c:v>
                </c:pt>
                <c:pt idx="12">
                  <c:v>43972</c:v>
                </c:pt>
                <c:pt idx="13">
                  <c:v>43973</c:v>
                </c:pt>
                <c:pt idx="14">
                  <c:v>43976</c:v>
                </c:pt>
                <c:pt idx="15">
                  <c:v>43977</c:v>
                </c:pt>
                <c:pt idx="16">
                  <c:v>43978</c:v>
                </c:pt>
                <c:pt idx="17">
                  <c:v>43979</c:v>
                </c:pt>
                <c:pt idx="18">
                  <c:v>43980</c:v>
                </c:pt>
                <c:pt idx="19">
                  <c:v>43983</c:v>
                </c:pt>
                <c:pt idx="20">
                  <c:v>43984</c:v>
                </c:pt>
                <c:pt idx="21">
                  <c:v>43985</c:v>
                </c:pt>
                <c:pt idx="22">
                  <c:v>43986</c:v>
                </c:pt>
                <c:pt idx="23">
                  <c:v>43987</c:v>
                </c:pt>
                <c:pt idx="24">
                  <c:v>43990</c:v>
                </c:pt>
                <c:pt idx="25">
                  <c:v>43991</c:v>
                </c:pt>
                <c:pt idx="26">
                  <c:v>43992</c:v>
                </c:pt>
                <c:pt idx="27">
                  <c:v>43993</c:v>
                </c:pt>
                <c:pt idx="28">
                  <c:v>43994</c:v>
                </c:pt>
                <c:pt idx="29">
                  <c:v>43997</c:v>
                </c:pt>
                <c:pt idx="30">
                  <c:v>43998</c:v>
                </c:pt>
                <c:pt idx="31">
                  <c:v>43999</c:v>
                </c:pt>
                <c:pt idx="32">
                  <c:v>44000</c:v>
                </c:pt>
                <c:pt idx="33">
                  <c:v>44001</c:v>
                </c:pt>
                <c:pt idx="34">
                  <c:v>44004</c:v>
                </c:pt>
                <c:pt idx="35">
                  <c:v>44005</c:v>
                </c:pt>
                <c:pt idx="36">
                  <c:v>44006</c:v>
                </c:pt>
                <c:pt idx="37">
                  <c:v>44011</c:v>
                </c:pt>
                <c:pt idx="38">
                  <c:v>44012</c:v>
                </c:pt>
                <c:pt idx="39">
                  <c:v>44013</c:v>
                </c:pt>
                <c:pt idx="40">
                  <c:v>44014</c:v>
                </c:pt>
                <c:pt idx="41">
                  <c:v>44015</c:v>
                </c:pt>
                <c:pt idx="42">
                  <c:v>44018</c:v>
                </c:pt>
                <c:pt idx="43">
                  <c:v>44019</c:v>
                </c:pt>
                <c:pt idx="44">
                  <c:v>44020</c:v>
                </c:pt>
                <c:pt idx="45">
                  <c:v>44021</c:v>
                </c:pt>
                <c:pt idx="46">
                  <c:v>44022</c:v>
                </c:pt>
                <c:pt idx="47">
                  <c:v>44025</c:v>
                </c:pt>
                <c:pt idx="48">
                  <c:v>44026</c:v>
                </c:pt>
                <c:pt idx="49">
                  <c:v>44027</c:v>
                </c:pt>
                <c:pt idx="50">
                  <c:v>44028</c:v>
                </c:pt>
                <c:pt idx="51">
                  <c:v>44029</c:v>
                </c:pt>
                <c:pt idx="52">
                  <c:v>44032</c:v>
                </c:pt>
                <c:pt idx="53">
                  <c:v>44033</c:v>
                </c:pt>
                <c:pt idx="54">
                  <c:v>44034</c:v>
                </c:pt>
                <c:pt idx="55">
                  <c:v>44035</c:v>
                </c:pt>
                <c:pt idx="56">
                  <c:v>44036</c:v>
                </c:pt>
                <c:pt idx="57">
                  <c:v>44039</c:v>
                </c:pt>
                <c:pt idx="58">
                  <c:v>44040</c:v>
                </c:pt>
                <c:pt idx="59">
                  <c:v>44041</c:v>
                </c:pt>
                <c:pt idx="60">
                  <c:v>44042</c:v>
                </c:pt>
                <c:pt idx="61">
                  <c:v>44043</c:v>
                </c:pt>
                <c:pt idx="62">
                  <c:v>44046</c:v>
                </c:pt>
                <c:pt idx="63">
                  <c:v>44047</c:v>
                </c:pt>
                <c:pt idx="64">
                  <c:v>44048</c:v>
                </c:pt>
                <c:pt idx="65">
                  <c:v>44049</c:v>
                </c:pt>
                <c:pt idx="66">
                  <c:v>44050</c:v>
                </c:pt>
                <c:pt idx="67">
                  <c:v>44053</c:v>
                </c:pt>
                <c:pt idx="68">
                  <c:v>44054</c:v>
                </c:pt>
                <c:pt idx="69">
                  <c:v>44055</c:v>
                </c:pt>
                <c:pt idx="70">
                  <c:v>44056</c:v>
                </c:pt>
                <c:pt idx="71">
                  <c:v>44057</c:v>
                </c:pt>
                <c:pt idx="72">
                  <c:v>44060</c:v>
                </c:pt>
                <c:pt idx="73">
                  <c:v>44061</c:v>
                </c:pt>
                <c:pt idx="74">
                  <c:v>44062</c:v>
                </c:pt>
                <c:pt idx="75">
                  <c:v>44063</c:v>
                </c:pt>
                <c:pt idx="76">
                  <c:v>44064</c:v>
                </c:pt>
                <c:pt idx="77">
                  <c:v>44067</c:v>
                </c:pt>
                <c:pt idx="78">
                  <c:v>44068</c:v>
                </c:pt>
                <c:pt idx="79">
                  <c:v>44069</c:v>
                </c:pt>
                <c:pt idx="80">
                  <c:v>44070</c:v>
                </c:pt>
                <c:pt idx="81">
                  <c:v>44071</c:v>
                </c:pt>
                <c:pt idx="82">
                  <c:v>44074</c:v>
                </c:pt>
                <c:pt idx="83">
                  <c:v>44075</c:v>
                </c:pt>
                <c:pt idx="84">
                  <c:v>44076</c:v>
                </c:pt>
                <c:pt idx="85">
                  <c:v>44077</c:v>
                </c:pt>
                <c:pt idx="86">
                  <c:v>44078</c:v>
                </c:pt>
                <c:pt idx="87">
                  <c:v>44081</c:v>
                </c:pt>
                <c:pt idx="88">
                  <c:v>44082</c:v>
                </c:pt>
                <c:pt idx="89">
                  <c:v>44083</c:v>
                </c:pt>
                <c:pt idx="90">
                  <c:v>44084</c:v>
                </c:pt>
                <c:pt idx="91">
                  <c:v>44085</c:v>
                </c:pt>
                <c:pt idx="92">
                  <c:v>44088</c:v>
                </c:pt>
                <c:pt idx="93">
                  <c:v>44089</c:v>
                </c:pt>
                <c:pt idx="94">
                  <c:v>44090</c:v>
                </c:pt>
                <c:pt idx="95">
                  <c:v>44091</c:v>
                </c:pt>
                <c:pt idx="96">
                  <c:v>44092</c:v>
                </c:pt>
                <c:pt idx="97">
                  <c:v>44095</c:v>
                </c:pt>
                <c:pt idx="98">
                  <c:v>44096</c:v>
                </c:pt>
                <c:pt idx="99">
                  <c:v>44097</c:v>
                </c:pt>
                <c:pt idx="100">
                  <c:v>44098</c:v>
                </c:pt>
                <c:pt idx="101">
                  <c:v>44099</c:v>
                </c:pt>
                <c:pt idx="102">
                  <c:v>44102</c:v>
                </c:pt>
                <c:pt idx="103">
                  <c:v>44103</c:v>
                </c:pt>
                <c:pt idx="104">
                  <c:v>44104</c:v>
                </c:pt>
                <c:pt idx="105">
                  <c:v>44113</c:v>
                </c:pt>
                <c:pt idx="106">
                  <c:v>44116</c:v>
                </c:pt>
                <c:pt idx="107">
                  <c:v>44117</c:v>
                </c:pt>
                <c:pt idx="108">
                  <c:v>44118</c:v>
                </c:pt>
                <c:pt idx="109">
                  <c:v>44119</c:v>
                </c:pt>
                <c:pt idx="110">
                  <c:v>44120</c:v>
                </c:pt>
                <c:pt idx="111">
                  <c:v>44123</c:v>
                </c:pt>
                <c:pt idx="112">
                  <c:v>44124</c:v>
                </c:pt>
                <c:pt idx="113">
                  <c:v>44125</c:v>
                </c:pt>
                <c:pt idx="114">
                  <c:v>44126</c:v>
                </c:pt>
                <c:pt idx="115">
                  <c:v>44127</c:v>
                </c:pt>
                <c:pt idx="116">
                  <c:v>44130</c:v>
                </c:pt>
                <c:pt idx="117">
                  <c:v>44131</c:v>
                </c:pt>
                <c:pt idx="118">
                  <c:v>44132</c:v>
                </c:pt>
                <c:pt idx="119">
                  <c:v>44133</c:v>
                </c:pt>
                <c:pt idx="120">
                  <c:v>44134</c:v>
                </c:pt>
                <c:pt idx="121">
                  <c:v>44137</c:v>
                </c:pt>
                <c:pt idx="122">
                  <c:v>44138</c:v>
                </c:pt>
                <c:pt idx="123">
                  <c:v>44139</c:v>
                </c:pt>
                <c:pt idx="124">
                  <c:v>44140</c:v>
                </c:pt>
                <c:pt idx="125">
                  <c:v>44141</c:v>
                </c:pt>
                <c:pt idx="126">
                  <c:v>44144</c:v>
                </c:pt>
                <c:pt idx="127">
                  <c:v>44145</c:v>
                </c:pt>
                <c:pt idx="128">
                  <c:v>44146</c:v>
                </c:pt>
                <c:pt idx="129">
                  <c:v>44147</c:v>
                </c:pt>
                <c:pt idx="130">
                  <c:v>44148</c:v>
                </c:pt>
                <c:pt idx="131">
                  <c:v>44151</c:v>
                </c:pt>
                <c:pt idx="132">
                  <c:v>44152</c:v>
                </c:pt>
                <c:pt idx="133">
                  <c:v>44153</c:v>
                </c:pt>
                <c:pt idx="134">
                  <c:v>44154</c:v>
                </c:pt>
                <c:pt idx="135">
                  <c:v>44155</c:v>
                </c:pt>
                <c:pt idx="136">
                  <c:v>44158</c:v>
                </c:pt>
                <c:pt idx="137">
                  <c:v>44159</c:v>
                </c:pt>
                <c:pt idx="138">
                  <c:v>44160</c:v>
                </c:pt>
                <c:pt idx="139">
                  <c:v>44161</c:v>
                </c:pt>
                <c:pt idx="140">
                  <c:v>44162</c:v>
                </c:pt>
                <c:pt idx="141">
                  <c:v>44165</c:v>
                </c:pt>
                <c:pt idx="142">
                  <c:v>44166</c:v>
                </c:pt>
                <c:pt idx="143">
                  <c:v>44167</c:v>
                </c:pt>
                <c:pt idx="144">
                  <c:v>44168</c:v>
                </c:pt>
                <c:pt idx="145">
                  <c:v>44169</c:v>
                </c:pt>
                <c:pt idx="146">
                  <c:v>44172</c:v>
                </c:pt>
                <c:pt idx="147">
                  <c:v>44173</c:v>
                </c:pt>
                <c:pt idx="148">
                  <c:v>44174</c:v>
                </c:pt>
                <c:pt idx="149">
                  <c:v>44175</c:v>
                </c:pt>
                <c:pt idx="150">
                  <c:v>44176</c:v>
                </c:pt>
                <c:pt idx="151">
                  <c:v>44179</c:v>
                </c:pt>
                <c:pt idx="152">
                  <c:v>44180</c:v>
                </c:pt>
                <c:pt idx="153">
                  <c:v>44181</c:v>
                </c:pt>
                <c:pt idx="154">
                  <c:v>44182</c:v>
                </c:pt>
                <c:pt idx="155">
                  <c:v>44183</c:v>
                </c:pt>
                <c:pt idx="156">
                  <c:v>44186</c:v>
                </c:pt>
                <c:pt idx="157">
                  <c:v>44187</c:v>
                </c:pt>
                <c:pt idx="158">
                  <c:v>44188</c:v>
                </c:pt>
                <c:pt idx="159">
                  <c:v>44189</c:v>
                </c:pt>
                <c:pt idx="160">
                  <c:v>44190</c:v>
                </c:pt>
                <c:pt idx="161">
                  <c:v>44193</c:v>
                </c:pt>
                <c:pt idx="162">
                  <c:v>44194</c:v>
                </c:pt>
                <c:pt idx="163">
                  <c:v>44195</c:v>
                </c:pt>
                <c:pt idx="164">
                  <c:v>44196</c:v>
                </c:pt>
                <c:pt idx="165">
                  <c:v>44200</c:v>
                </c:pt>
                <c:pt idx="166">
                  <c:v>44201</c:v>
                </c:pt>
                <c:pt idx="167">
                  <c:v>44202</c:v>
                </c:pt>
                <c:pt idx="168">
                  <c:v>44203</c:v>
                </c:pt>
                <c:pt idx="169">
                  <c:v>44204</c:v>
                </c:pt>
                <c:pt idx="170">
                  <c:v>44207</c:v>
                </c:pt>
                <c:pt idx="171">
                  <c:v>44208</c:v>
                </c:pt>
                <c:pt idx="172">
                  <c:v>44209</c:v>
                </c:pt>
                <c:pt idx="173">
                  <c:v>44210</c:v>
                </c:pt>
                <c:pt idx="174">
                  <c:v>44211</c:v>
                </c:pt>
                <c:pt idx="175">
                  <c:v>44214</c:v>
                </c:pt>
                <c:pt idx="176">
                  <c:v>44215</c:v>
                </c:pt>
                <c:pt idx="177">
                  <c:v>44216</c:v>
                </c:pt>
                <c:pt idx="178">
                  <c:v>44217</c:v>
                </c:pt>
                <c:pt idx="179">
                  <c:v>44218</c:v>
                </c:pt>
                <c:pt idx="180">
                  <c:v>44221</c:v>
                </c:pt>
                <c:pt idx="181">
                  <c:v>44222</c:v>
                </c:pt>
                <c:pt idx="182">
                  <c:v>44223</c:v>
                </c:pt>
                <c:pt idx="183">
                  <c:v>44224</c:v>
                </c:pt>
                <c:pt idx="184">
                  <c:v>44225</c:v>
                </c:pt>
                <c:pt idx="185">
                  <c:v>44228</c:v>
                </c:pt>
                <c:pt idx="186">
                  <c:v>44229</c:v>
                </c:pt>
                <c:pt idx="187">
                  <c:v>44230</c:v>
                </c:pt>
                <c:pt idx="188">
                  <c:v>44231</c:v>
                </c:pt>
                <c:pt idx="189">
                  <c:v>44232</c:v>
                </c:pt>
                <c:pt idx="190">
                  <c:v>44235</c:v>
                </c:pt>
                <c:pt idx="191">
                  <c:v>44236</c:v>
                </c:pt>
                <c:pt idx="192">
                  <c:v>44237</c:v>
                </c:pt>
                <c:pt idx="193">
                  <c:v>44245</c:v>
                </c:pt>
                <c:pt idx="194">
                  <c:v>44246</c:v>
                </c:pt>
                <c:pt idx="195">
                  <c:v>44249</c:v>
                </c:pt>
                <c:pt idx="196">
                  <c:v>44250</c:v>
                </c:pt>
                <c:pt idx="197">
                  <c:v>44251</c:v>
                </c:pt>
                <c:pt idx="198">
                  <c:v>44252</c:v>
                </c:pt>
                <c:pt idx="199">
                  <c:v>44253</c:v>
                </c:pt>
                <c:pt idx="200">
                  <c:v>44256</c:v>
                </c:pt>
                <c:pt idx="201">
                  <c:v>44257</c:v>
                </c:pt>
                <c:pt idx="202">
                  <c:v>44258</c:v>
                </c:pt>
                <c:pt idx="203">
                  <c:v>44259</c:v>
                </c:pt>
                <c:pt idx="204">
                  <c:v>44260</c:v>
                </c:pt>
                <c:pt idx="205">
                  <c:v>44263</c:v>
                </c:pt>
                <c:pt idx="206">
                  <c:v>44264</c:v>
                </c:pt>
                <c:pt idx="207">
                  <c:v>44265</c:v>
                </c:pt>
                <c:pt idx="208">
                  <c:v>44266</c:v>
                </c:pt>
                <c:pt idx="209">
                  <c:v>44267</c:v>
                </c:pt>
                <c:pt idx="210">
                  <c:v>44270</c:v>
                </c:pt>
                <c:pt idx="211">
                  <c:v>44271</c:v>
                </c:pt>
                <c:pt idx="212">
                  <c:v>44272</c:v>
                </c:pt>
                <c:pt idx="213">
                  <c:v>44273</c:v>
                </c:pt>
                <c:pt idx="214">
                  <c:v>44274</c:v>
                </c:pt>
                <c:pt idx="215">
                  <c:v>44277</c:v>
                </c:pt>
                <c:pt idx="216">
                  <c:v>44278</c:v>
                </c:pt>
                <c:pt idx="217">
                  <c:v>44279</c:v>
                </c:pt>
                <c:pt idx="218">
                  <c:v>44280</c:v>
                </c:pt>
                <c:pt idx="219">
                  <c:v>44281</c:v>
                </c:pt>
                <c:pt idx="220">
                  <c:v>44284</c:v>
                </c:pt>
                <c:pt idx="221">
                  <c:v>44285</c:v>
                </c:pt>
                <c:pt idx="222">
                  <c:v>44286</c:v>
                </c:pt>
                <c:pt idx="223">
                  <c:v>44287</c:v>
                </c:pt>
                <c:pt idx="224">
                  <c:v>44288</c:v>
                </c:pt>
                <c:pt idx="225">
                  <c:v>44292</c:v>
                </c:pt>
                <c:pt idx="226">
                  <c:v>44293</c:v>
                </c:pt>
                <c:pt idx="227">
                  <c:v>44294</c:v>
                </c:pt>
                <c:pt idx="228">
                  <c:v>44295</c:v>
                </c:pt>
                <c:pt idx="229">
                  <c:v>44298</c:v>
                </c:pt>
                <c:pt idx="230">
                  <c:v>44299</c:v>
                </c:pt>
                <c:pt idx="231">
                  <c:v>44300</c:v>
                </c:pt>
                <c:pt idx="232">
                  <c:v>44301</c:v>
                </c:pt>
                <c:pt idx="233">
                  <c:v>44302</c:v>
                </c:pt>
                <c:pt idx="234">
                  <c:v>44305</c:v>
                </c:pt>
                <c:pt idx="235">
                  <c:v>44306</c:v>
                </c:pt>
                <c:pt idx="236">
                  <c:v>44307</c:v>
                </c:pt>
                <c:pt idx="237">
                  <c:v>44308</c:v>
                </c:pt>
                <c:pt idx="238">
                  <c:v>44309</c:v>
                </c:pt>
                <c:pt idx="239">
                  <c:v>44312</c:v>
                </c:pt>
                <c:pt idx="240">
                  <c:v>44313</c:v>
                </c:pt>
                <c:pt idx="241">
                  <c:v>44314</c:v>
                </c:pt>
                <c:pt idx="242">
                  <c:v>44315</c:v>
                </c:pt>
                <c:pt idx="243">
                  <c:v>44316</c:v>
                </c:pt>
                <c:pt idx="244">
                  <c:v>44322</c:v>
                </c:pt>
                <c:pt idx="245">
                  <c:v>44323</c:v>
                </c:pt>
                <c:pt idx="246">
                  <c:v>44326</c:v>
                </c:pt>
                <c:pt idx="247">
                  <c:v>44327</c:v>
                </c:pt>
                <c:pt idx="248">
                  <c:v>44328</c:v>
                </c:pt>
                <c:pt idx="249">
                  <c:v>44329</c:v>
                </c:pt>
                <c:pt idx="250">
                  <c:v>44330</c:v>
                </c:pt>
              </c:numCache>
            </c:numRef>
          </c:cat>
          <c:val>
            <c:numRef>
              <c:f>爱凡哲八号!$B$21:$B$271</c:f>
              <c:numCache>
                <c:formatCode>0.0000_ </c:formatCode>
                <c:ptCount val="251"/>
                <c:pt idx="0">
                  <c:v>0.99990000000000001</c:v>
                </c:pt>
                <c:pt idx="1">
                  <c:v>0.99990000000000001</c:v>
                </c:pt>
                <c:pt idx="2">
                  <c:v>0.99990000000000001</c:v>
                </c:pt>
                <c:pt idx="3">
                  <c:v>1</c:v>
                </c:pt>
                <c:pt idx="4">
                  <c:v>1.0005999999999999</c:v>
                </c:pt>
                <c:pt idx="5">
                  <c:v>1.0011000000000001</c:v>
                </c:pt>
                <c:pt idx="6">
                  <c:v>1.0013000000000001</c:v>
                </c:pt>
                <c:pt idx="7">
                  <c:v>1.0018</c:v>
                </c:pt>
                <c:pt idx="8">
                  <c:v>1.0036</c:v>
                </c:pt>
                <c:pt idx="9">
                  <c:v>1.0044999999999999</c:v>
                </c:pt>
                <c:pt idx="10">
                  <c:v>1.0032000000000001</c:v>
                </c:pt>
                <c:pt idx="11">
                  <c:v>1.0049999999999999</c:v>
                </c:pt>
                <c:pt idx="12">
                  <c:v>1.0044</c:v>
                </c:pt>
                <c:pt idx="13">
                  <c:v>1.0063</c:v>
                </c:pt>
                <c:pt idx="14">
                  <c:v>1.0051000000000001</c:v>
                </c:pt>
                <c:pt idx="15">
                  <c:v>1.0065999999999999</c:v>
                </c:pt>
                <c:pt idx="16">
                  <c:v>1.0068999999999999</c:v>
                </c:pt>
                <c:pt idx="17">
                  <c:v>1.008</c:v>
                </c:pt>
                <c:pt idx="18">
                  <c:v>1.0068999999999999</c:v>
                </c:pt>
                <c:pt idx="19">
                  <c:v>1.0106999999999999</c:v>
                </c:pt>
                <c:pt idx="20">
                  <c:v>1.0082</c:v>
                </c:pt>
                <c:pt idx="21">
                  <c:v>1.0065999999999999</c:v>
                </c:pt>
                <c:pt idx="22">
                  <c:v>1.0059</c:v>
                </c:pt>
                <c:pt idx="23">
                  <c:v>1.0067999999999999</c:v>
                </c:pt>
                <c:pt idx="24">
                  <c:v>1.0084</c:v>
                </c:pt>
                <c:pt idx="25">
                  <c:v>1.0086999999999999</c:v>
                </c:pt>
                <c:pt idx="26">
                  <c:v>1.0097</c:v>
                </c:pt>
                <c:pt idx="27">
                  <c:v>1.0099</c:v>
                </c:pt>
                <c:pt idx="28">
                  <c:v>1.0082</c:v>
                </c:pt>
                <c:pt idx="29">
                  <c:v>1.0107999999999999</c:v>
                </c:pt>
                <c:pt idx="30">
                  <c:v>1.0130999999999999</c:v>
                </c:pt>
                <c:pt idx="31">
                  <c:v>1.0137</c:v>
                </c:pt>
                <c:pt idx="32">
                  <c:v>1.0136000000000001</c:v>
                </c:pt>
                <c:pt idx="33">
                  <c:v>1.0105</c:v>
                </c:pt>
                <c:pt idx="34">
                  <c:v>1.0102</c:v>
                </c:pt>
                <c:pt idx="35">
                  <c:v>1.0133000000000001</c:v>
                </c:pt>
                <c:pt idx="36">
                  <c:v>1.0158</c:v>
                </c:pt>
                <c:pt idx="37">
                  <c:v>1.0158</c:v>
                </c:pt>
                <c:pt idx="38">
                  <c:v>1.0161</c:v>
                </c:pt>
                <c:pt idx="39">
                  <c:v>1.0161</c:v>
                </c:pt>
                <c:pt idx="40">
                  <c:v>1.0147999999999999</c:v>
                </c:pt>
                <c:pt idx="41">
                  <c:v>1.0159</c:v>
                </c:pt>
                <c:pt idx="42">
                  <c:v>1.0181</c:v>
                </c:pt>
                <c:pt idx="43">
                  <c:v>1.0258</c:v>
                </c:pt>
                <c:pt idx="44">
                  <c:v>1.0293000000000001</c:v>
                </c:pt>
                <c:pt idx="45">
                  <c:v>1.0301</c:v>
                </c:pt>
                <c:pt idx="46">
                  <c:v>1.0324</c:v>
                </c:pt>
                <c:pt idx="47">
                  <c:v>1.0327</c:v>
                </c:pt>
                <c:pt idx="48">
                  <c:v>1.0363</c:v>
                </c:pt>
                <c:pt idx="49">
                  <c:v>1.0376000000000001</c:v>
                </c:pt>
                <c:pt idx="50">
                  <c:v>1.0468999999999999</c:v>
                </c:pt>
                <c:pt idx="51">
                  <c:v>1.0504</c:v>
                </c:pt>
                <c:pt idx="52">
                  <c:v>1.0515000000000001</c:v>
                </c:pt>
                <c:pt idx="53">
                  <c:v>1.054</c:v>
                </c:pt>
                <c:pt idx="54">
                  <c:v>1.0551999999999999</c:v>
                </c:pt>
                <c:pt idx="55">
                  <c:v>1.0599000000000001</c:v>
                </c:pt>
                <c:pt idx="56">
                  <c:v>1.0636000000000001</c:v>
                </c:pt>
                <c:pt idx="57">
                  <c:v>1.0642</c:v>
                </c:pt>
                <c:pt idx="58">
                  <c:v>1.0634999999999999</c:v>
                </c:pt>
                <c:pt idx="59">
                  <c:v>1.0638000000000001</c:v>
                </c:pt>
                <c:pt idx="60">
                  <c:v>1.0645</c:v>
                </c:pt>
                <c:pt idx="61">
                  <c:v>1.0680000000000001</c:v>
                </c:pt>
                <c:pt idx="62">
                  <c:v>1.0680000000000001</c:v>
                </c:pt>
                <c:pt idx="63">
                  <c:v>1.0652999999999999</c:v>
                </c:pt>
                <c:pt idx="64">
                  <c:v>1.0662</c:v>
                </c:pt>
                <c:pt idx="65">
                  <c:v>1.0671999999999999</c:v>
                </c:pt>
                <c:pt idx="66">
                  <c:v>1.0650999999999999</c:v>
                </c:pt>
                <c:pt idx="67">
                  <c:v>1.0651999999999999</c:v>
                </c:pt>
                <c:pt idx="68">
                  <c:v>1.0632999999999999</c:v>
                </c:pt>
                <c:pt idx="69">
                  <c:v>1.0686</c:v>
                </c:pt>
                <c:pt idx="70">
                  <c:v>1.0690999999999999</c:v>
                </c:pt>
                <c:pt idx="71">
                  <c:v>1.0703</c:v>
                </c:pt>
                <c:pt idx="72">
                  <c:v>1.0653999999999999</c:v>
                </c:pt>
                <c:pt idx="73">
                  <c:v>1.0598000000000001</c:v>
                </c:pt>
                <c:pt idx="74">
                  <c:v>1.0593999999999999</c:v>
                </c:pt>
                <c:pt idx="75">
                  <c:v>1.0593999999999999</c:v>
                </c:pt>
                <c:pt idx="76">
                  <c:v>1.0609</c:v>
                </c:pt>
                <c:pt idx="77">
                  <c:v>1.0622</c:v>
                </c:pt>
                <c:pt idx="78">
                  <c:v>1.0629</c:v>
                </c:pt>
                <c:pt idx="79">
                  <c:v>1.0629999999999999</c:v>
                </c:pt>
                <c:pt idx="80">
                  <c:v>1.0629999999999999</c:v>
                </c:pt>
                <c:pt idx="81">
                  <c:v>1.0638000000000001</c:v>
                </c:pt>
                <c:pt idx="82">
                  <c:v>1.0636000000000001</c:v>
                </c:pt>
                <c:pt idx="83">
                  <c:v>1.0641</c:v>
                </c:pt>
                <c:pt idx="84">
                  <c:v>1.0629</c:v>
                </c:pt>
                <c:pt idx="85">
                  <c:v>1.0658000000000001</c:v>
                </c:pt>
                <c:pt idx="86">
                  <c:v>1.0666</c:v>
                </c:pt>
                <c:pt idx="87">
                  <c:v>1.0673999999999999</c:v>
                </c:pt>
                <c:pt idx="88">
                  <c:v>1.0663</c:v>
                </c:pt>
                <c:pt idx="89">
                  <c:v>1.0699000000000001</c:v>
                </c:pt>
                <c:pt idx="90">
                  <c:v>1.0676000000000001</c:v>
                </c:pt>
                <c:pt idx="91">
                  <c:v>1.0699000000000001</c:v>
                </c:pt>
                <c:pt idx="92">
                  <c:v>1.0703</c:v>
                </c:pt>
                <c:pt idx="93">
                  <c:v>1.0696000000000001</c:v>
                </c:pt>
                <c:pt idx="94">
                  <c:v>1.069</c:v>
                </c:pt>
                <c:pt idx="95">
                  <c:v>1.0710999999999999</c:v>
                </c:pt>
                <c:pt idx="96">
                  <c:v>1.0708</c:v>
                </c:pt>
                <c:pt idx="97">
                  <c:v>1.0710999999999999</c:v>
                </c:pt>
                <c:pt idx="98">
                  <c:v>1.0720000000000001</c:v>
                </c:pt>
                <c:pt idx="99">
                  <c:v>1.0720000000000001</c:v>
                </c:pt>
                <c:pt idx="100">
                  <c:v>1.0716000000000001</c:v>
                </c:pt>
                <c:pt idx="101">
                  <c:v>1.0709</c:v>
                </c:pt>
                <c:pt idx="102">
                  <c:v>1.0713999999999999</c:v>
                </c:pt>
                <c:pt idx="103">
                  <c:v>1.0719000000000001</c:v>
                </c:pt>
                <c:pt idx="104">
                  <c:v>1.0718000000000001</c:v>
                </c:pt>
                <c:pt idx="105">
                  <c:v>1.0729</c:v>
                </c:pt>
                <c:pt idx="106">
                  <c:v>1.0738000000000001</c:v>
                </c:pt>
                <c:pt idx="107">
                  <c:v>1.075</c:v>
                </c:pt>
                <c:pt idx="108">
                  <c:v>1.075</c:v>
                </c:pt>
                <c:pt idx="109">
                  <c:v>1.0755999999999999</c:v>
                </c:pt>
                <c:pt idx="110">
                  <c:v>1.0782</c:v>
                </c:pt>
                <c:pt idx="111">
                  <c:v>1.0769</c:v>
                </c:pt>
                <c:pt idx="112">
                  <c:v>1.0762</c:v>
                </c:pt>
                <c:pt idx="113">
                  <c:v>1.077</c:v>
                </c:pt>
                <c:pt idx="114">
                  <c:v>1.0786</c:v>
                </c:pt>
                <c:pt idx="115">
                  <c:v>1.0775999999999999</c:v>
                </c:pt>
                <c:pt idx="116">
                  <c:v>1.08</c:v>
                </c:pt>
                <c:pt idx="117">
                  <c:v>1.0808</c:v>
                </c:pt>
                <c:pt idx="118">
                  <c:v>1.0817000000000001</c:v>
                </c:pt>
                <c:pt idx="119">
                  <c:v>1.0853999999999999</c:v>
                </c:pt>
                <c:pt idx="120">
                  <c:v>1.0864</c:v>
                </c:pt>
                <c:pt idx="121">
                  <c:v>1.0867</c:v>
                </c:pt>
                <c:pt idx="122">
                  <c:v>1.0888</c:v>
                </c:pt>
                <c:pt idx="123">
                  <c:v>1.0893999999999999</c:v>
                </c:pt>
                <c:pt idx="124">
                  <c:v>1.0904</c:v>
                </c:pt>
                <c:pt idx="125">
                  <c:v>1.091</c:v>
                </c:pt>
                <c:pt idx="126">
                  <c:v>1.0940000000000001</c:v>
                </c:pt>
                <c:pt idx="127">
                  <c:v>1.097</c:v>
                </c:pt>
                <c:pt idx="128">
                  <c:v>1.0980000000000001</c:v>
                </c:pt>
                <c:pt idx="129">
                  <c:v>1.0975999999999999</c:v>
                </c:pt>
                <c:pt idx="130">
                  <c:v>1.0981000000000001</c:v>
                </c:pt>
                <c:pt idx="131">
                  <c:v>1.0972</c:v>
                </c:pt>
                <c:pt idx="132">
                  <c:v>1.1032999999999999</c:v>
                </c:pt>
                <c:pt idx="133">
                  <c:v>1.1004</c:v>
                </c:pt>
                <c:pt idx="134">
                  <c:v>1.1028</c:v>
                </c:pt>
                <c:pt idx="135">
                  <c:v>1.1028</c:v>
                </c:pt>
                <c:pt idx="136">
                  <c:v>1.0993999999999999</c:v>
                </c:pt>
                <c:pt idx="137">
                  <c:v>1.1017999999999999</c:v>
                </c:pt>
                <c:pt idx="138">
                  <c:v>1.0956999999999999</c:v>
                </c:pt>
                <c:pt idx="139">
                  <c:v>1.1032</c:v>
                </c:pt>
                <c:pt idx="140">
                  <c:v>1.1032999999999999</c:v>
                </c:pt>
                <c:pt idx="141">
                  <c:v>1.1104000000000001</c:v>
                </c:pt>
                <c:pt idx="142">
                  <c:v>1.1052</c:v>
                </c:pt>
                <c:pt idx="143">
                  <c:v>1.1007</c:v>
                </c:pt>
                <c:pt idx="144">
                  <c:v>1.1023000000000001</c:v>
                </c:pt>
                <c:pt idx="145">
                  <c:v>1.099</c:v>
                </c:pt>
                <c:pt idx="146">
                  <c:v>1.0942000000000001</c:v>
                </c:pt>
                <c:pt idx="147">
                  <c:v>1.0899000000000001</c:v>
                </c:pt>
                <c:pt idx="148">
                  <c:v>1.0908</c:v>
                </c:pt>
                <c:pt idx="149">
                  <c:v>1.0943000000000001</c:v>
                </c:pt>
                <c:pt idx="150">
                  <c:v>1.105</c:v>
                </c:pt>
                <c:pt idx="151">
                  <c:v>1.1015999999999999</c:v>
                </c:pt>
                <c:pt idx="152">
                  <c:v>1.1046</c:v>
                </c:pt>
                <c:pt idx="153">
                  <c:v>1.1077999999999999</c:v>
                </c:pt>
                <c:pt idx="154">
                  <c:v>1.1096999999999999</c:v>
                </c:pt>
                <c:pt idx="155">
                  <c:v>1.1117999999999999</c:v>
                </c:pt>
                <c:pt idx="156">
                  <c:v>1.1189</c:v>
                </c:pt>
                <c:pt idx="157">
                  <c:v>1.1243000000000001</c:v>
                </c:pt>
                <c:pt idx="158">
                  <c:v>1.1315</c:v>
                </c:pt>
                <c:pt idx="159">
                  <c:v>1.1308</c:v>
                </c:pt>
                <c:pt idx="160">
                  <c:v>1.1291</c:v>
                </c:pt>
                <c:pt idx="161">
                  <c:v>1.1304000000000001</c:v>
                </c:pt>
                <c:pt idx="162">
                  <c:v>1.1302000000000001</c:v>
                </c:pt>
                <c:pt idx="163">
                  <c:v>1.1317999999999999</c:v>
                </c:pt>
                <c:pt idx="164">
                  <c:v>1.1341000000000001</c:v>
                </c:pt>
                <c:pt idx="165">
                  <c:v>1.1318999999999999</c:v>
                </c:pt>
                <c:pt idx="166">
                  <c:v>1.1321000000000001</c:v>
                </c:pt>
                <c:pt idx="167">
                  <c:v>1.1344000000000001</c:v>
                </c:pt>
                <c:pt idx="168">
                  <c:v>1.1351</c:v>
                </c:pt>
                <c:pt idx="169">
                  <c:v>1.1279999999999999</c:v>
                </c:pt>
                <c:pt idx="170">
                  <c:v>1.1374</c:v>
                </c:pt>
                <c:pt idx="171">
                  <c:v>1.1419999999999999</c:v>
                </c:pt>
                <c:pt idx="172">
                  <c:v>1.137</c:v>
                </c:pt>
                <c:pt idx="173">
                  <c:v>1.1437999999999999</c:v>
                </c:pt>
                <c:pt idx="174">
                  <c:v>1.1493</c:v>
                </c:pt>
                <c:pt idx="175">
                  <c:v>1.1480999999999999</c:v>
                </c:pt>
                <c:pt idx="176">
                  <c:v>1.1456</c:v>
                </c:pt>
                <c:pt idx="177">
                  <c:v>1.1464000000000001</c:v>
                </c:pt>
                <c:pt idx="178">
                  <c:v>1.1484000000000001</c:v>
                </c:pt>
                <c:pt idx="179">
                  <c:v>1.1471</c:v>
                </c:pt>
                <c:pt idx="180">
                  <c:v>1.1569</c:v>
                </c:pt>
                <c:pt idx="181">
                  <c:v>1.1577</c:v>
                </c:pt>
                <c:pt idx="182">
                  <c:v>1.1586000000000001</c:v>
                </c:pt>
                <c:pt idx="183">
                  <c:v>1.1581999999999999</c:v>
                </c:pt>
                <c:pt idx="184">
                  <c:v>1.1597</c:v>
                </c:pt>
                <c:pt idx="185">
                  <c:v>1.1597</c:v>
                </c:pt>
                <c:pt idx="186">
                  <c:v>1.1597</c:v>
                </c:pt>
                <c:pt idx="187">
                  <c:v>1.1596</c:v>
                </c:pt>
                <c:pt idx="188">
                  <c:v>1.1595</c:v>
                </c:pt>
                <c:pt idx="189">
                  <c:v>1.1592</c:v>
                </c:pt>
                <c:pt idx="190">
                  <c:v>1.1588000000000001</c:v>
                </c:pt>
                <c:pt idx="191">
                  <c:v>1.1588000000000001</c:v>
                </c:pt>
                <c:pt idx="192">
                  <c:v>1.1587000000000001</c:v>
                </c:pt>
                <c:pt idx="193">
                  <c:v>1.1588000000000001</c:v>
                </c:pt>
                <c:pt idx="194">
                  <c:v>1.1597999999999999</c:v>
                </c:pt>
                <c:pt idx="195">
                  <c:v>1.1596</c:v>
                </c:pt>
                <c:pt idx="196">
                  <c:v>1.1651</c:v>
                </c:pt>
                <c:pt idx="197">
                  <c:v>1.1672</c:v>
                </c:pt>
                <c:pt idx="198">
                  <c:v>1.167</c:v>
                </c:pt>
                <c:pt idx="199">
                  <c:v>1.1716</c:v>
                </c:pt>
                <c:pt idx="200">
                  <c:v>1.1756</c:v>
                </c:pt>
                <c:pt idx="201">
                  <c:v>1.1737</c:v>
                </c:pt>
                <c:pt idx="202">
                  <c:v>1.1714</c:v>
                </c:pt>
                <c:pt idx="203">
                  <c:v>1.1718</c:v>
                </c:pt>
                <c:pt idx="204">
                  <c:v>1.1727000000000001</c:v>
                </c:pt>
                <c:pt idx="205">
                  <c:v>1.1751</c:v>
                </c:pt>
                <c:pt idx="206">
                  <c:v>1.177</c:v>
                </c:pt>
                <c:pt idx="207">
                  <c:v>1.1785000000000001</c:v>
                </c:pt>
                <c:pt idx="208">
                  <c:v>1.1773</c:v>
                </c:pt>
                <c:pt idx="209">
                  <c:v>1.1778</c:v>
                </c:pt>
                <c:pt idx="210">
                  <c:v>1.1818</c:v>
                </c:pt>
                <c:pt idx="211">
                  <c:v>1.1823999999999999</c:v>
                </c:pt>
                <c:pt idx="212">
                  <c:v>1.1837</c:v>
                </c:pt>
                <c:pt idx="213">
                  <c:v>1.1831</c:v>
                </c:pt>
                <c:pt idx="214">
                  <c:v>1.1851</c:v>
                </c:pt>
                <c:pt idx="215">
                  <c:v>1.1843999999999999</c:v>
                </c:pt>
                <c:pt idx="216">
                  <c:v>1.1839</c:v>
                </c:pt>
                <c:pt idx="217">
                  <c:v>1.1832</c:v>
                </c:pt>
                <c:pt idx="218">
                  <c:v>1.1875</c:v>
                </c:pt>
                <c:pt idx="219">
                  <c:v>1.19</c:v>
                </c:pt>
                <c:pt idx="220">
                  <c:v>1.1940999999999999</c:v>
                </c:pt>
                <c:pt idx="221">
                  <c:v>1.1952</c:v>
                </c:pt>
                <c:pt idx="222">
                  <c:v>1.1939</c:v>
                </c:pt>
                <c:pt idx="223">
                  <c:v>1.1953</c:v>
                </c:pt>
                <c:pt idx="224">
                  <c:v>1.1979</c:v>
                </c:pt>
                <c:pt idx="225">
                  <c:v>1.1987000000000001</c:v>
                </c:pt>
                <c:pt idx="226">
                  <c:v>1.1964999999999999</c:v>
                </c:pt>
                <c:pt idx="227">
                  <c:v>1.1990000000000001</c:v>
                </c:pt>
                <c:pt idx="228">
                  <c:v>1.1992</c:v>
                </c:pt>
                <c:pt idx="229">
                  <c:v>1.1983999999999999</c:v>
                </c:pt>
                <c:pt idx="230">
                  <c:v>1.1981999999999999</c:v>
                </c:pt>
                <c:pt idx="231">
                  <c:v>1.1939</c:v>
                </c:pt>
                <c:pt idx="232">
                  <c:v>1.2019</c:v>
                </c:pt>
                <c:pt idx="233">
                  <c:v>1.2048000000000001</c:v>
                </c:pt>
                <c:pt idx="234">
                  <c:v>1.2059</c:v>
                </c:pt>
                <c:pt idx="235">
                  <c:v>1.206</c:v>
                </c:pt>
                <c:pt idx="236">
                  <c:v>1.2054</c:v>
                </c:pt>
                <c:pt idx="237">
                  <c:v>1.2047000000000001</c:v>
                </c:pt>
                <c:pt idx="238">
                  <c:v>1.2056</c:v>
                </c:pt>
                <c:pt idx="239">
                  <c:v>1.2084999999999999</c:v>
                </c:pt>
                <c:pt idx="240">
                  <c:v>1.2076</c:v>
                </c:pt>
                <c:pt idx="241">
                  <c:v>1.2083999999999999</c:v>
                </c:pt>
                <c:pt idx="242">
                  <c:v>1.2085999999999999</c:v>
                </c:pt>
                <c:pt idx="243">
                  <c:v>1.206</c:v>
                </c:pt>
                <c:pt idx="244">
                  <c:v>1.2063999999999999</c:v>
                </c:pt>
                <c:pt idx="245">
                  <c:v>1.2074</c:v>
                </c:pt>
                <c:pt idx="246">
                  <c:v>1.2081</c:v>
                </c:pt>
                <c:pt idx="247">
                  <c:v>1.2093</c:v>
                </c:pt>
                <c:pt idx="248">
                  <c:v>1.2109000000000001</c:v>
                </c:pt>
                <c:pt idx="249">
                  <c:v>1.2129000000000001</c:v>
                </c:pt>
                <c:pt idx="250">
                  <c:v>1.2143999999999999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71-470B-ACF2-813EB56F00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099824"/>
        <c:axId val="545100384"/>
      </c:lineChart>
      <c:catAx>
        <c:axId val="54509982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crossAx val="545100384"/>
        <c:crosses val="autoZero"/>
        <c:auto val="0"/>
        <c:lblAlgn val="ctr"/>
        <c:lblOffset val="100"/>
        <c:noMultiLvlLbl val="1"/>
      </c:catAx>
      <c:valAx>
        <c:axId val="545100384"/>
        <c:scaling>
          <c:orientation val="minMax"/>
          <c:min val="0.995"/>
        </c:scaling>
        <c:delete val="0"/>
        <c:axPos val="l"/>
        <c:majorGridlines/>
        <c:numFmt formatCode="0.0000_ " sourceLinked="1"/>
        <c:majorTickMark val="none"/>
        <c:minorTickMark val="none"/>
        <c:tickLblPos val="nextTo"/>
        <c:spPr>
          <a:ln w="9525">
            <a:noFill/>
          </a:ln>
        </c:spPr>
        <c:crossAx val="54509982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4" l="0.70000000000000062" r="0.70000000000000062" t="0.750000000000004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爱凡哲九号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爱凡哲九号!$B$20</c:f>
              <c:strCache>
                <c:ptCount val="1"/>
                <c:pt idx="0">
                  <c:v>累计净值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爱凡哲九号!$A$21:$A$391</c:f>
              <c:numCache>
                <c:formatCode>m/d/yyyy</c:formatCode>
                <c:ptCount val="371"/>
                <c:pt idx="0">
                  <c:v>43774</c:v>
                </c:pt>
                <c:pt idx="1">
                  <c:v>43775</c:v>
                </c:pt>
                <c:pt idx="2">
                  <c:v>43776</c:v>
                </c:pt>
                <c:pt idx="3">
                  <c:v>43777</c:v>
                </c:pt>
                <c:pt idx="4">
                  <c:v>43780</c:v>
                </c:pt>
                <c:pt idx="5">
                  <c:v>43781</c:v>
                </c:pt>
                <c:pt idx="6">
                  <c:v>43782</c:v>
                </c:pt>
                <c:pt idx="7">
                  <c:v>43783</c:v>
                </c:pt>
                <c:pt idx="8">
                  <c:v>43784</c:v>
                </c:pt>
                <c:pt idx="9">
                  <c:v>43787</c:v>
                </c:pt>
                <c:pt idx="10">
                  <c:v>43788</c:v>
                </c:pt>
                <c:pt idx="11">
                  <c:v>43789</c:v>
                </c:pt>
                <c:pt idx="12">
                  <c:v>43790</c:v>
                </c:pt>
                <c:pt idx="13">
                  <c:v>43791</c:v>
                </c:pt>
                <c:pt idx="14">
                  <c:v>43794</c:v>
                </c:pt>
                <c:pt idx="15">
                  <c:v>43795</c:v>
                </c:pt>
                <c:pt idx="16">
                  <c:v>43796</c:v>
                </c:pt>
                <c:pt idx="17">
                  <c:v>43797</c:v>
                </c:pt>
                <c:pt idx="18">
                  <c:v>43798</c:v>
                </c:pt>
                <c:pt idx="19">
                  <c:v>43801</c:v>
                </c:pt>
                <c:pt idx="20">
                  <c:v>43802</c:v>
                </c:pt>
                <c:pt idx="21">
                  <c:v>43803</c:v>
                </c:pt>
                <c:pt idx="22">
                  <c:v>43804</c:v>
                </c:pt>
                <c:pt idx="23">
                  <c:v>43805</c:v>
                </c:pt>
                <c:pt idx="24">
                  <c:v>43808</c:v>
                </c:pt>
                <c:pt idx="25">
                  <c:v>43809</c:v>
                </c:pt>
                <c:pt idx="26">
                  <c:v>43810</c:v>
                </c:pt>
                <c:pt idx="27">
                  <c:v>43811</c:v>
                </c:pt>
                <c:pt idx="28">
                  <c:v>43812</c:v>
                </c:pt>
                <c:pt idx="29">
                  <c:v>43815</c:v>
                </c:pt>
                <c:pt idx="30">
                  <c:v>43816</c:v>
                </c:pt>
                <c:pt idx="31">
                  <c:v>43817</c:v>
                </c:pt>
                <c:pt idx="32">
                  <c:v>43818</c:v>
                </c:pt>
                <c:pt idx="33">
                  <c:v>43819</c:v>
                </c:pt>
                <c:pt idx="34">
                  <c:v>43822</c:v>
                </c:pt>
                <c:pt idx="35">
                  <c:v>43823</c:v>
                </c:pt>
                <c:pt idx="36">
                  <c:v>43824</c:v>
                </c:pt>
                <c:pt idx="37">
                  <c:v>43825</c:v>
                </c:pt>
                <c:pt idx="38">
                  <c:v>43826</c:v>
                </c:pt>
                <c:pt idx="39">
                  <c:v>43829</c:v>
                </c:pt>
                <c:pt idx="40">
                  <c:v>43830</c:v>
                </c:pt>
                <c:pt idx="41">
                  <c:v>43832</c:v>
                </c:pt>
                <c:pt idx="42">
                  <c:v>43833</c:v>
                </c:pt>
                <c:pt idx="43">
                  <c:v>43836</c:v>
                </c:pt>
                <c:pt idx="44">
                  <c:v>43837</c:v>
                </c:pt>
                <c:pt idx="45">
                  <c:v>43838</c:v>
                </c:pt>
                <c:pt idx="46">
                  <c:v>43839</c:v>
                </c:pt>
                <c:pt idx="47">
                  <c:v>43840</c:v>
                </c:pt>
                <c:pt idx="48">
                  <c:v>43843</c:v>
                </c:pt>
                <c:pt idx="49">
                  <c:v>43844</c:v>
                </c:pt>
                <c:pt idx="50">
                  <c:v>43845</c:v>
                </c:pt>
                <c:pt idx="51">
                  <c:v>43846</c:v>
                </c:pt>
                <c:pt idx="52">
                  <c:v>43847</c:v>
                </c:pt>
                <c:pt idx="53">
                  <c:v>43850</c:v>
                </c:pt>
                <c:pt idx="54">
                  <c:v>43851</c:v>
                </c:pt>
                <c:pt idx="55">
                  <c:v>43852</c:v>
                </c:pt>
                <c:pt idx="56">
                  <c:v>43853</c:v>
                </c:pt>
                <c:pt idx="57">
                  <c:v>43864</c:v>
                </c:pt>
                <c:pt idx="58">
                  <c:v>43865</c:v>
                </c:pt>
                <c:pt idx="59">
                  <c:v>43866</c:v>
                </c:pt>
                <c:pt idx="60">
                  <c:v>43867</c:v>
                </c:pt>
                <c:pt idx="61">
                  <c:v>43868</c:v>
                </c:pt>
                <c:pt idx="62">
                  <c:v>43871</c:v>
                </c:pt>
                <c:pt idx="63">
                  <c:v>43872</c:v>
                </c:pt>
                <c:pt idx="64">
                  <c:v>43873</c:v>
                </c:pt>
                <c:pt idx="65">
                  <c:v>43874</c:v>
                </c:pt>
                <c:pt idx="66">
                  <c:v>43875</c:v>
                </c:pt>
                <c:pt idx="67">
                  <c:v>43878</c:v>
                </c:pt>
                <c:pt idx="68">
                  <c:v>43879</c:v>
                </c:pt>
                <c:pt idx="69">
                  <c:v>43880</c:v>
                </c:pt>
                <c:pt idx="70">
                  <c:v>43881</c:v>
                </c:pt>
                <c:pt idx="71">
                  <c:v>43882</c:v>
                </c:pt>
                <c:pt idx="72">
                  <c:v>43885</c:v>
                </c:pt>
                <c:pt idx="73">
                  <c:v>43886</c:v>
                </c:pt>
                <c:pt idx="74">
                  <c:v>43887</c:v>
                </c:pt>
                <c:pt idx="75">
                  <c:v>43888</c:v>
                </c:pt>
                <c:pt idx="76">
                  <c:v>43889</c:v>
                </c:pt>
                <c:pt idx="77">
                  <c:v>43892</c:v>
                </c:pt>
                <c:pt idx="78">
                  <c:v>43893</c:v>
                </c:pt>
                <c:pt idx="79">
                  <c:v>43894</c:v>
                </c:pt>
                <c:pt idx="80">
                  <c:v>43895</c:v>
                </c:pt>
                <c:pt idx="81">
                  <c:v>43896</c:v>
                </c:pt>
                <c:pt idx="82">
                  <c:v>43899</c:v>
                </c:pt>
                <c:pt idx="83">
                  <c:v>43900</c:v>
                </c:pt>
                <c:pt idx="84">
                  <c:v>43901</c:v>
                </c:pt>
                <c:pt idx="85">
                  <c:v>43902</c:v>
                </c:pt>
                <c:pt idx="86">
                  <c:v>43903</c:v>
                </c:pt>
                <c:pt idx="87">
                  <c:v>43906</c:v>
                </c:pt>
                <c:pt idx="88">
                  <c:v>43907</c:v>
                </c:pt>
                <c:pt idx="89">
                  <c:v>43908</c:v>
                </c:pt>
                <c:pt idx="90">
                  <c:v>43909</c:v>
                </c:pt>
                <c:pt idx="91">
                  <c:v>43910</c:v>
                </c:pt>
                <c:pt idx="92">
                  <c:v>43913</c:v>
                </c:pt>
                <c:pt idx="93">
                  <c:v>43914</c:v>
                </c:pt>
                <c:pt idx="94">
                  <c:v>43915</c:v>
                </c:pt>
                <c:pt idx="95">
                  <c:v>43916</c:v>
                </c:pt>
                <c:pt idx="96">
                  <c:v>43917</c:v>
                </c:pt>
                <c:pt idx="97">
                  <c:v>43920</c:v>
                </c:pt>
                <c:pt idx="98">
                  <c:v>43921</c:v>
                </c:pt>
                <c:pt idx="99">
                  <c:v>43922</c:v>
                </c:pt>
                <c:pt idx="100">
                  <c:v>43923</c:v>
                </c:pt>
                <c:pt idx="101">
                  <c:v>43924</c:v>
                </c:pt>
                <c:pt idx="102">
                  <c:v>43928</c:v>
                </c:pt>
                <c:pt idx="103">
                  <c:v>43929</c:v>
                </c:pt>
                <c:pt idx="104">
                  <c:v>43930</c:v>
                </c:pt>
                <c:pt idx="105">
                  <c:v>43931</c:v>
                </c:pt>
                <c:pt idx="106">
                  <c:v>43934</c:v>
                </c:pt>
                <c:pt idx="107">
                  <c:v>43935</c:v>
                </c:pt>
                <c:pt idx="108">
                  <c:v>43936</c:v>
                </c:pt>
                <c:pt idx="109">
                  <c:v>43937</c:v>
                </c:pt>
                <c:pt idx="110">
                  <c:v>43938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43948</c:v>
                </c:pt>
                <c:pt idx="117">
                  <c:v>43949</c:v>
                </c:pt>
                <c:pt idx="118">
                  <c:v>43950</c:v>
                </c:pt>
                <c:pt idx="119">
                  <c:v>43951</c:v>
                </c:pt>
                <c:pt idx="120">
                  <c:v>43957</c:v>
                </c:pt>
                <c:pt idx="121">
                  <c:v>43958</c:v>
                </c:pt>
                <c:pt idx="122">
                  <c:v>43959</c:v>
                </c:pt>
                <c:pt idx="123">
                  <c:v>43962</c:v>
                </c:pt>
                <c:pt idx="124">
                  <c:v>43963</c:v>
                </c:pt>
                <c:pt idx="125">
                  <c:v>43964</c:v>
                </c:pt>
                <c:pt idx="126">
                  <c:v>43965</c:v>
                </c:pt>
                <c:pt idx="127">
                  <c:v>43966</c:v>
                </c:pt>
                <c:pt idx="128">
                  <c:v>43969</c:v>
                </c:pt>
                <c:pt idx="129">
                  <c:v>43970</c:v>
                </c:pt>
                <c:pt idx="130">
                  <c:v>43971</c:v>
                </c:pt>
                <c:pt idx="131">
                  <c:v>43972</c:v>
                </c:pt>
                <c:pt idx="132">
                  <c:v>43973</c:v>
                </c:pt>
                <c:pt idx="133">
                  <c:v>43976</c:v>
                </c:pt>
                <c:pt idx="134">
                  <c:v>43977</c:v>
                </c:pt>
                <c:pt idx="135">
                  <c:v>43978</c:v>
                </c:pt>
                <c:pt idx="136">
                  <c:v>43979</c:v>
                </c:pt>
                <c:pt idx="137">
                  <c:v>43980</c:v>
                </c:pt>
                <c:pt idx="138">
                  <c:v>43983</c:v>
                </c:pt>
                <c:pt idx="139">
                  <c:v>43984</c:v>
                </c:pt>
                <c:pt idx="140">
                  <c:v>43985</c:v>
                </c:pt>
                <c:pt idx="141">
                  <c:v>43986</c:v>
                </c:pt>
                <c:pt idx="142">
                  <c:v>43987</c:v>
                </c:pt>
                <c:pt idx="143">
                  <c:v>43990</c:v>
                </c:pt>
                <c:pt idx="144">
                  <c:v>43991</c:v>
                </c:pt>
                <c:pt idx="145">
                  <c:v>43992</c:v>
                </c:pt>
                <c:pt idx="146">
                  <c:v>43993</c:v>
                </c:pt>
                <c:pt idx="147">
                  <c:v>43994</c:v>
                </c:pt>
                <c:pt idx="148">
                  <c:v>43997</c:v>
                </c:pt>
                <c:pt idx="149">
                  <c:v>43998</c:v>
                </c:pt>
                <c:pt idx="150">
                  <c:v>43999</c:v>
                </c:pt>
                <c:pt idx="151">
                  <c:v>44000</c:v>
                </c:pt>
                <c:pt idx="152">
                  <c:v>44001</c:v>
                </c:pt>
                <c:pt idx="153">
                  <c:v>44004</c:v>
                </c:pt>
                <c:pt idx="154">
                  <c:v>44005</c:v>
                </c:pt>
                <c:pt idx="155">
                  <c:v>44006</c:v>
                </c:pt>
                <c:pt idx="156">
                  <c:v>44011</c:v>
                </c:pt>
                <c:pt idx="157">
                  <c:v>44012</c:v>
                </c:pt>
                <c:pt idx="158">
                  <c:v>44013</c:v>
                </c:pt>
                <c:pt idx="159">
                  <c:v>44014</c:v>
                </c:pt>
                <c:pt idx="160">
                  <c:v>44015</c:v>
                </c:pt>
                <c:pt idx="161">
                  <c:v>44018</c:v>
                </c:pt>
                <c:pt idx="162">
                  <c:v>44019</c:v>
                </c:pt>
                <c:pt idx="163">
                  <c:v>44020</c:v>
                </c:pt>
                <c:pt idx="164">
                  <c:v>44021</c:v>
                </c:pt>
                <c:pt idx="165">
                  <c:v>44022</c:v>
                </c:pt>
                <c:pt idx="166">
                  <c:v>44025</c:v>
                </c:pt>
                <c:pt idx="167">
                  <c:v>44026</c:v>
                </c:pt>
                <c:pt idx="168">
                  <c:v>44027</c:v>
                </c:pt>
                <c:pt idx="169">
                  <c:v>44028</c:v>
                </c:pt>
                <c:pt idx="170">
                  <c:v>44029</c:v>
                </c:pt>
                <c:pt idx="171">
                  <c:v>44032</c:v>
                </c:pt>
                <c:pt idx="172">
                  <c:v>44033</c:v>
                </c:pt>
                <c:pt idx="173">
                  <c:v>44034</c:v>
                </c:pt>
                <c:pt idx="174">
                  <c:v>44035</c:v>
                </c:pt>
                <c:pt idx="175">
                  <c:v>44036</c:v>
                </c:pt>
                <c:pt idx="176">
                  <c:v>44039</c:v>
                </c:pt>
                <c:pt idx="177">
                  <c:v>44040</c:v>
                </c:pt>
                <c:pt idx="178">
                  <c:v>44041</c:v>
                </c:pt>
                <c:pt idx="179">
                  <c:v>44042</c:v>
                </c:pt>
                <c:pt idx="180">
                  <c:v>44043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44053</c:v>
                </c:pt>
                <c:pt idx="187">
                  <c:v>44054</c:v>
                </c:pt>
                <c:pt idx="188">
                  <c:v>44055</c:v>
                </c:pt>
                <c:pt idx="189">
                  <c:v>44056</c:v>
                </c:pt>
                <c:pt idx="190">
                  <c:v>44057</c:v>
                </c:pt>
                <c:pt idx="191">
                  <c:v>44060</c:v>
                </c:pt>
                <c:pt idx="192">
                  <c:v>44061</c:v>
                </c:pt>
                <c:pt idx="193">
                  <c:v>44062</c:v>
                </c:pt>
                <c:pt idx="194">
                  <c:v>44063</c:v>
                </c:pt>
                <c:pt idx="195">
                  <c:v>44064</c:v>
                </c:pt>
                <c:pt idx="196">
                  <c:v>44067</c:v>
                </c:pt>
                <c:pt idx="197">
                  <c:v>44068</c:v>
                </c:pt>
                <c:pt idx="198">
                  <c:v>44069</c:v>
                </c:pt>
                <c:pt idx="199">
                  <c:v>44070</c:v>
                </c:pt>
                <c:pt idx="200">
                  <c:v>44071</c:v>
                </c:pt>
                <c:pt idx="201">
                  <c:v>44074</c:v>
                </c:pt>
                <c:pt idx="202">
                  <c:v>44075</c:v>
                </c:pt>
                <c:pt idx="203">
                  <c:v>44076</c:v>
                </c:pt>
                <c:pt idx="204">
                  <c:v>44077</c:v>
                </c:pt>
                <c:pt idx="205">
                  <c:v>44078</c:v>
                </c:pt>
                <c:pt idx="206">
                  <c:v>44081</c:v>
                </c:pt>
                <c:pt idx="207">
                  <c:v>44082</c:v>
                </c:pt>
                <c:pt idx="208">
                  <c:v>44083</c:v>
                </c:pt>
                <c:pt idx="209">
                  <c:v>44084</c:v>
                </c:pt>
                <c:pt idx="210">
                  <c:v>44085</c:v>
                </c:pt>
                <c:pt idx="211">
                  <c:v>44088</c:v>
                </c:pt>
                <c:pt idx="212">
                  <c:v>44089</c:v>
                </c:pt>
                <c:pt idx="213">
                  <c:v>44090</c:v>
                </c:pt>
                <c:pt idx="214">
                  <c:v>44091</c:v>
                </c:pt>
                <c:pt idx="215">
                  <c:v>44092</c:v>
                </c:pt>
                <c:pt idx="216">
                  <c:v>44095</c:v>
                </c:pt>
                <c:pt idx="217">
                  <c:v>44096</c:v>
                </c:pt>
                <c:pt idx="218">
                  <c:v>44097</c:v>
                </c:pt>
                <c:pt idx="219">
                  <c:v>44098</c:v>
                </c:pt>
                <c:pt idx="220">
                  <c:v>44099</c:v>
                </c:pt>
                <c:pt idx="221">
                  <c:v>44102</c:v>
                </c:pt>
                <c:pt idx="222">
                  <c:v>44103</c:v>
                </c:pt>
                <c:pt idx="223">
                  <c:v>44104</c:v>
                </c:pt>
                <c:pt idx="224">
                  <c:v>44113</c:v>
                </c:pt>
                <c:pt idx="225">
                  <c:v>44116</c:v>
                </c:pt>
                <c:pt idx="226">
                  <c:v>44117</c:v>
                </c:pt>
                <c:pt idx="227">
                  <c:v>44118</c:v>
                </c:pt>
                <c:pt idx="228">
                  <c:v>44119</c:v>
                </c:pt>
                <c:pt idx="229">
                  <c:v>44120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44130</c:v>
                </c:pt>
                <c:pt idx="236">
                  <c:v>44131</c:v>
                </c:pt>
                <c:pt idx="237">
                  <c:v>44132</c:v>
                </c:pt>
                <c:pt idx="238">
                  <c:v>44133</c:v>
                </c:pt>
                <c:pt idx="239">
                  <c:v>44134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44144</c:v>
                </c:pt>
                <c:pt idx="246">
                  <c:v>44145</c:v>
                </c:pt>
                <c:pt idx="247">
                  <c:v>44146</c:v>
                </c:pt>
                <c:pt idx="248">
                  <c:v>44147</c:v>
                </c:pt>
                <c:pt idx="249">
                  <c:v>44148</c:v>
                </c:pt>
                <c:pt idx="250">
                  <c:v>44151</c:v>
                </c:pt>
                <c:pt idx="251">
                  <c:v>44152</c:v>
                </c:pt>
                <c:pt idx="252">
                  <c:v>44153</c:v>
                </c:pt>
                <c:pt idx="253">
                  <c:v>44154</c:v>
                </c:pt>
                <c:pt idx="254">
                  <c:v>44155</c:v>
                </c:pt>
                <c:pt idx="255">
                  <c:v>44158</c:v>
                </c:pt>
                <c:pt idx="256">
                  <c:v>44159</c:v>
                </c:pt>
                <c:pt idx="257">
                  <c:v>44160</c:v>
                </c:pt>
                <c:pt idx="258">
                  <c:v>44161</c:v>
                </c:pt>
                <c:pt idx="259">
                  <c:v>44162</c:v>
                </c:pt>
                <c:pt idx="260">
                  <c:v>44165</c:v>
                </c:pt>
                <c:pt idx="261">
                  <c:v>44166</c:v>
                </c:pt>
                <c:pt idx="262">
                  <c:v>44167</c:v>
                </c:pt>
                <c:pt idx="263">
                  <c:v>44168</c:v>
                </c:pt>
                <c:pt idx="264">
                  <c:v>44169</c:v>
                </c:pt>
                <c:pt idx="265">
                  <c:v>44172</c:v>
                </c:pt>
                <c:pt idx="266">
                  <c:v>44173</c:v>
                </c:pt>
                <c:pt idx="267">
                  <c:v>44174</c:v>
                </c:pt>
                <c:pt idx="268">
                  <c:v>44175</c:v>
                </c:pt>
                <c:pt idx="269">
                  <c:v>44176</c:v>
                </c:pt>
                <c:pt idx="270">
                  <c:v>44179</c:v>
                </c:pt>
                <c:pt idx="271">
                  <c:v>44180</c:v>
                </c:pt>
                <c:pt idx="272">
                  <c:v>44181</c:v>
                </c:pt>
                <c:pt idx="273">
                  <c:v>44182</c:v>
                </c:pt>
                <c:pt idx="274">
                  <c:v>44183</c:v>
                </c:pt>
                <c:pt idx="275">
                  <c:v>44186</c:v>
                </c:pt>
                <c:pt idx="276">
                  <c:v>44187</c:v>
                </c:pt>
                <c:pt idx="277">
                  <c:v>44188</c:v>
                </c:pt>
                <c:pt idx="278">
                  <c:v>44189</c:v>
                </c:pt>
                <c:pt idx="279">
                  <c:v>44190</c:v>
                </c:pt>
                <c:pt idx="280">
                  <c:v>44193</c:v>
                </c:pt>
                <c:pt idx="281">
                  <c:v>44194</c:v>
                </c:pt>
                <c:pt idx="282">
                  <c:v>44195</c:v>
                </c:pt>
                <c:pt idx="283">
                  <c:v>44196</c:v>
                </c:pt>
                <c:pt idx="284">
                  <c:v>44200</c:v>
                </c:pt>
                <c:pt idx="285">
                  <c:v>44201</c:v>
                </c:pt>
                <c:pt idx="286">
                  <c:v>44202</c:v>
                </c:pt>
                <c:pt idx="287">
                  <c:v>44203</c:v>
                </c:pt>
                <c:pt idx="288">
                  <c:v>44204</c:v>
                </c:pt>
                <c:pt idx="289">
                  <c:v>44207</c:v>
                </c:pt>
                <c:pt idx="290">
                  <c:v>44208</c:v>
                </c:pt>
                <c:pt idx="291">
                  <c:v>44209</c:v>
                </c:pt>
                <c:pt idx="292">
                  <c:v>44210</c:v>
                </c:pt>
                <c:pt idx="293">
                  <c:v>44211</c:v>
                </c:pt>
                <c:pt idx="294">
                  <c:v>44214</c:v>
                </c:pt>
                <c:pt idx="295">
                  <c:v>44215</c:v>
                </c:pt>
                <c:pt idx="296">
                  <c:v>44216</c:v>
                </c:pt>
                <c:pt idx="297">
                  <c:v>44217</c:v>
                </c:pt>
                <c:pt idx="298">
                  <c:v>44218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44228</c:v>
                </c:pt>
                <c:pt idx="305">
                  <c:v>44229</c:v>
                </c:pt>
                <c:pt idx="306">
                  <c:v>44230</c:v>
                </c:pt>
                <c:pt idx="307">
                  <c:v>44231</c:v>
                </c:pt>
                <c:pt idx="308">
                  <c:v>44232</c:v>
                </c:pt>
                <c:pt idx="309">
                  <c:v>44235</c:v>
                </c:pt>
                <c:pt idx="310">
                  <c:v>44236</c:v>
                </c:pt>
                <c:pt idx="311">
                  <c:v>44237</c:v>
                </c:pt>
                <c:pt idx="312">
                  <c:v>44245</c:v>
                </c:pt>
                <c:pt idx="313">
                  <c:v>44246</c:v>
                </c:pt>
                <c:pt idx="314">
                  <c:v>44249</c:v>
                </c:pt>
                <c:pt idx="315">
                  <c:v>44250</c:v>
                </c:pt>
                <c:pt idx="316">
                  <c:v>44251</c:v>
                </c:pt>
                <c:pt idx="317">
                  <c:v>44252</c:v>
                </c:pt>
                <c:pt idx="318">
                  <c:v>44253</c:v>
                </c:pt>
                <c:pt idx="319">
                  <c:v>44256</c:v>
                </c:pt>
                <c:pt idx="320">
                  <c:v>44257</c:v>
                </c:pt>
                <c:pt idx="321">
                  <c:v>44258</c:v>
                </c:pt>
                <c:pt idx="322">
                  <c:v>44259</c:v>
                </c:pt>
                <c:pt idx="323">
                  <c:v>44260</c:v>
                </c:pt>
                <c:pt idx="324">
                  <c:v>44263</c:v>
                </c:pt>
                <c:pt idx="325">
                  <c:v>44264</c:v>
                </c:pt>
                <c:pt idx="326">
                  <c:v>44265</c:v>
                </c:pt>
                <c:pt idx="327">
                  <c:v>44266</c:v>
                </c:pt>
                <c:pt idx="328">
                  <c:v>44267</c:v>
                </c:pt>
                <c:pt idx="329">
                  <c:v>44270</c:v>
                </c:pt>
                <c:pt idx="330">
                  <c:v>44271</c:v>
                </c:pt>
                <c:pt idx="331">
                  <c:v>44272</c:v>
                </c:pt>
                <c:pt idx="332">
                  <c:v>44273</c:v>
                </c:pt>
                <c:pt idx="333">
                  <c:v>44274</c:v>
                </c:pt>
                <c:pt idx="334">
                  <c:v>44277</c:v>
                </c:pt>
                <c:pt idx="335">
                  <c:v>44278</c:v>
                </c:pt>
                <c:pt idx="336">
                  <c:v>44279</c:v>
                </c:pt>
                <c:pt idx="337">
                  <c:v>44280</c:v>
                </c:pt>
                <c:pt idx="338">
                  <c:v>44281</c:v>
                </c:pt>
                <c:pt idx="339">
                  <c:v>44284</c:v>
                </c:pt>
                <c:pt idx="340">
                  <c:v>44285</c:v>
                </c:pt>
                <c:pt idx="341">
                  <c:v>44286</c:v>
                </c:pt>
                <c:pt idx="342">
                  <c:v>44287</c:v>
                </c:pt>
                <c:pt idx="343">
                  <c:v>44288</c:v>
                </c:pt>
                <c:pt idx="344">
                  <c:v>44292</c:v>
                </c:pt>
                <c:pt idx="345">
                  <c:v>44293</c:v>
                </c:pt>
                <c:pt idx="346">
                  <c:v>44294</c:v>
                </c:pt>
                <c:pt idx="347">
                  <c:v>44295</c:v>
                </c:pt>
                <c:pt idx="348">
                  <c:v>44298</c:v>
                </c:pt>
                <c:pt idx="349">
                  <c:v>44299</c:v>
                </c:pt>
                <c:pt idx="350">
                  <c:v>44300</c:v>
                </c:pt>
                <c:pt idx="351">
                  <c:v>44301</c:v>
                </c:pt>
                <c:pt idx="352">
                  <c:v>44302</c:v>
                </c:pt>
                <c:pt idx="353">
                  <c:v>44305</c:v>
                </c:pt>
                <c:pt idx="354">
                  <c:v>44306</c:v>
                </c:pt>
                <c:pt idx="355">
                  <c:v>44307</c:v>
                </c:pt>
                <c:pt idx="356">
                  <c:v>44308</c:v>
                </c:pt>
                <c:pt idx="357">
                  <c:v>44309</c:v>
                </c:pt>
                <c:pt idx="358">
                  <c:v>44312</c:v>
                </c:pt>
                <c:pt idx="359">
                  <c:v>44313</c:v>
                </c:pt>
                <c:pt idx="360">
                  <c:v>44314</c:v>
                </c:pt>
                <c:pt idx="361">
                  <c:v>44315</c:v>
                </c:pt>
                <c:pt idx="362">
                  <c:v>44316</c:v>
                </c:pt>
                <c:pt idx="363">
                  <c:v>44322</c:v>
                </c:pt>
                <c:pt idx="364">
                  <c:v>44323</c:v>
                </c:pt>
                <c:pt idx="365">
                  <c:v>44326</c:v>
                </c:pt>
                <c:pt idx="366">
                  <c:v>44327</c:v>
                </c:pt>
                <c:pt idx="367">
                  <c:v>44328</c:v>
                </c:pt>
                <c:pt idx="368">
                  <c:v>44329</c:v>
                </c:pt>
                <c:pt idx="369">
                  <c:v>44330</c:v>
                </c:pt>
                <c:pt idx="370">
                  <c:v>44333</c:v>
                </c:pt>
              </c:numCache>
            </c:numRef>
          </c:cat>
          <c:val>
            <c:numRef>
              <c:f>爱凡哲九号!$B$21:$B$391</c:f>
              <c:numCache>
                <c:formatCode>0.0000_ </c:formatCode>
                <c:ptCount val="371"/>
                <c:pt idx="0">
                  <c:v>1.0049999999999999</c:v>
                </c:pt>
                <c:pt idx="1">
                  <c:v>1.0009999999999999</c:v>
                </c:pt>
                <c:pt idx="2">
                  <c:v>1</c:v>
                </c:pt>
                <c:pt idx="3">
                  <c:v>1</c:v>
                </c:pt>
                <c:pt idx="4">
                  <c:v>0.997</c:v>
                </c:pt>
                <c:pt idx="5">
                  <c:v>0.995</c:v>
                </c:pt>
                <c:pt idx="6">
                  <c:v>1.004</c:v>
                </c:pt>
                <c:pt idx="7">
                  <c:v>1.0029999999999999</c:v>
                </c:pt>
                <c:pt idx="8">
                  <c:v>1.0049999999999999</c:v>
                </c:pt>
                <c:pt idx="9">
                  <c:v>1.006</c:v>
                </c:pt>
                <c:pt idx="10">
                  <c:v>1.0069999999999999</c:v>
                </c:pt>
                <c:pt idx="11">
                  <c:v>1.008</c:v>
                </c:pt>
                <c:pt idx="12">
                  <c:v>1.008</c:v>
                </c:pt>
                <c:pt idx="13">
                  <c:v>1.0089999999999999</c:v>
                </c:pt>
                <c:pt idx="14">
                  <c:v>1.0109999999999999</c:v>
                </c:pt>
                <c:pt idx="15">
                  <c:v>1.01</c:v>
                </c:pt>
                <c:pt idx="16">
                  <c:v>1.01</c:v>
                </c:pt>
                <c:pt idx="17">
                  <c:v>1.0109999999999999</c:v>
                </c:pt>
                <c:pt idx="18">
                  <c:v>1.012</c:v>
                </c:pt>
                <c:pt idx="19">
                  <c:v>1.012</c:v>
                </c:pt>
                <c:pt idx="20">
                  <c:v>1.0109999999999999</c:v>
                </c:pt>
                <c:pt idx="21">
                  <c:v>1.01</c:v>
                </c:pt>
                <c:pt idx="22">
                  <c:v>1.0069999999999999</c:v>
                </c:pt>
                <c:pt idx="23">
                  <c:v>1.008</c:v>
                </c:pt>
                <c:pt idx="24">
                  <c:v>1.006</c:v>
                </c:pt>
                <c:pt idx="25">
                  <c:v>1.0049999999999999</c:v>
                </c:pt>
                <c:pt idx="26">
                  <c:v>1.0069999999999999</c:v>
                </c:pt>
                <c:pt idx="27">
                  <c:v>1.0089999999999999</c:v>
                </c:pt>
                <c:pt idx="28">
                  <c:v>1.012</c:v>
                </c:pt>
                <c:pt idx="29">
                  <c:v>1.0129999999999999</c:v>
                </c:pt>
                <c:pt idx="30">
                  <c:v>1.01</c:v>
                </c:pt>
                <c:pt idx="31">
                  <c:v>1.0109999999999999</c:v>
                </c:pt>
                <c:pt idx="32">
                  <c:v>1.01</c:v>
                </c:pt>
                <c:pt idx="33">
                  <c:v>1.0109999999999999</c:v>
                </c:pt>
                <c:pt idx="34">
                  <c:v>1.012</c:v>
                </c:pt>
                <c:pt idx="35">
                  <c:v>1.014</c:v>
                </c:pt>
                <c:pt idx="36">
                  <c:v>1.014</c:v>
                </c:pt>
                <c:pt idx="37">
                  <c:v>1.0149999999999999</c:v>
                </c:pt>
                <c:pt idx="38">
                  <c:v>1.014</c:v>
                </c:pt>
                <c:pt idx="39">
                  <c:v>1.0109999999999999</c:v>
                </c:pt>
                <c:pt idx="40">
                  <c:v>1.0109999999999999</c:v>
                </c:pt>
                <c:pt idx="41">
                  <c:v>1.0109999999999999</c:v>
                </c:pt>
                <c:pt idx="42">
                  <c:v>1.012</c:v>
                </c:pt>
                <c:pt idx="43">
                  <c:v>1.0129999999999999</c:v>
                </c:pt>
                <c:pt idx="44">
                  <c:v>1.0129999999999999</c:v>
                </c:pt>
                <c:pt idx="45">
                  <c:v>1.0149999999999999</c:v>
                </c:pt>
                <c:pt idx="46">
                  <c:v>1.012</c:v>
                </c:pt>
                <c:pt idx="47">
                  <c:v>1.0129999999999999</c:v>
                </c:pt>
                <c:pt idx="48">
                  <c:v>1.0149999999999999</c:v>
                </c:pt>
                <c:pt idx="49">
                  <c:v>1.0149999999999999</c:v>
                </c:pt>
                <c:pt idx="50">
                  <c:v>1.016</c:v>
                </c:pt>
                <c:pt idx="51">
                  <c:v>1.018</c:v>
                </c:pt>
                <c:pt idx="52">
                  <c:v>1.0169999999999999</c:v>
                </c:pt>
                <c:pt idx="53">
                  <c:v>1.0189999999999999</c:v>
                </c:pt>
                <c:pt idx="54">
                  <c:v>1.0189999999999999</c:v>
                </c:pt>
                <c:pt idx="55">
                  <c:v>1.02</c:v>
                </c:pt>
                <c:pt idx="56">
                  <c:v>1.022</c:v>
                </c:pt>
                <c:pt idx="57">
                  <c:v>1.022</c:v>
                </c:pt>
                <c:pt idx="58">
                  <c:v>1.022</c:v>
                </c:pt>
                <c:pt idx="59">
                  <c:v>1.022</c:v>
                </c:pt>
                <c:pt idx="60">
                  <c:v>1.0229999999999999</c:v>
                </c:pt>
                <c:pt idx="61">
                  <c:v>1.022</c:v>
                </c:pt>
                <c:pt idx="62">
                  <c:v>1.0209999999999999</c:v>
                </c:pt>
                <c:pt idx="63">
                  <c:v>1.024</c:v>
                </c:pt>
                <c:pt idx="64">
                  <c:v>1.026</c:v>
                </c:pt>
                <c:pt idx="65">
                  <c:v>1.0249999999999999</c:v>
                </c:pt>
                <c:pt idx="66">
                  <c:v>1.022</c:v>
                </c:pt>
                <c:pt idx="67">
                  <c:v>1.0209999999999999</c:v>
                </c:pt>
                <c:pt idx="68">
                  <c:v>1.0209999999999999</c:v>
                </c:pt>
                <c:pt idx="69">
                  <c:v>1.024</c:v>
                </c:pt>
                <c:pt idx="70">
                  <c:v>1.0249999999999999</c:v>
                </c:pt>
                <c:pt idx="71">
                  <c:v>1.028</c:v>
                </c:pt>
                <c:pt idx="72">
                  <c:v>1.0269999999999999</c:v>
                </c:pt>
                <c:pt idx="73">
                  <c:v>1.028</c:v>
                </c:pt>
                <c:pt idx="74">
                  <c:v>1.03</c:v>
                </c:pt>
                <c:pt idx="75">
                  <c:v>1.028</c:v>
                </c:pt>
                <c:pt idx="76">
                  <c:v>1.026</c:v>
                </c:pt>
                <c:pt idx="77">
                  <c:v>1.0269999999999999</c:v>
                </c:pt>
                <c:pt idx="78">
                  <c:v>1.026</c:v>
                </c:pt>
                <c:pt idx="79">
                  <c:v>1.0269999999999999</c:v>
                </c:pt>
                <c:pt idx="80">
                  <c:v>1.03</c:v>
                </c:pt>
                <c:pt idx="81">
                  <c:v>1.0309999999999999</c:v>
                </c:pt>
                <c:pt idx="82">
                  <c:v>1.0309999999999999</c:v>
                </c:pt>
                <c:pt idx="83">
                  <c:v>1.034</c:v>
                </c:pt>
                <c:pt idx="84">
                  <c:v>1.036</c:v>
                </c:pt>
                <c:pt idx="85">
                  <c:v>1.036</c:v>
                </c:pt>
                <c:pt idx="86">
                  <c:v>1.0369999999999999</c:v>
                </c:pt>
                <c:pt idx="87">
                  <c:v>1.04</c:v>
                </c:pt>
                <c:pt idx="88">
                  <c:v>1.0409999999999999</c:v>
                </c:pt>
                <c:pt idx="89">
                  <c:v>1.0429999999999999</c:v>
                </c:pt>
                <c:pt idx="90">
                  <c:v>1.0449999999999999</c:v>
                </c:pt>
                <c:pt idx="91">
                  <c:v>1.0449999999999999</c:v>
                </c:pt>
                <c:pt idx="92">
                  <c:v>1.0449999999999999</c:v>
                </c:pt>
                <c:pt idx="93">
                  <c:v>1.0449999999999999</c:v>
                </c:pt>
                <c:pt idx="94">
                  <c:v>1.046</c:v>
                </c:pt>
                <c:pt idx="95">
                  <c:v>1.046</c:v>
                </c:pt>
                <c:pt idx="96">
                  <c:v>1.046</c:v>
                </c:pt>
                <c:pt idx="97">
                  <c:v>1.046</c:v>
                </c:pt>
                <c:pt idx="98">
                  <c:v>1.046</c:v>
                </c:pt>
                <c:pt idx="99">
                  <c:v>1.046</c:v>
                </c:pt>
                <c:pt idx="100">
                  <c:v>1.048</c:v>
                </c:pt>
                <c:pt idx="101">
                  <c:v>1.048</c:v>
                </c:pt>
                <c:pt idx="102">
                  <c:v>1.05</c:v>
                </c:pt>
                <c:pt idx="103">
                  <c:v>1.0509999999999999</c:v>
                </c:pt>
                <c:pt idx="104">
                  <c:v>1.0509999999999999</c:v>
                </c:pt>
                <c:pt idx="105">
                  <c:v>1.052</c:v>
                </c:pt>
                <c:pt idx="106">
                  <c:v>1.052</c:v>
                </c:pt>
                <c:pt idx="107">
                  <c:v>1.056</c:v>
                </c:pt>
                <c:pt idx="108">
                  <c:v>1.0580000000000001</c:v>
                </c:pt>
                <c:pt idx="109">
                  <c:v>1.0589999999999999</c:v>
                </c:pt>
                <c:pt idx="110">
                  <c:v>1.0580000000000001</c:v>
                </c:pt>
                <c:pt idx="111">
                  <c:v>1.0580000000000001</c:v>
                </c:pt>
                <c:pt idx="112">
                  <c:v>1.06</c:v>
                </c:pt>
                <c:pt idx="113">
                  <c:v>1.0580000000000001</c:v>
                </c:pt>
                <c:pt idx="114">
                  <c:v>1.0580000000000001</c:v>
                </c:pt>
                <c:pt idx="115">
                  <c:v>1.06</c:v>
                </c:pt>
                <c:pt idx="116">
                  <c:v>1.06</c:v>
                </c:pt>
                <c:pt idx="117">
                  <c:v>1.0609999999999999</c:v>
                </c:pt>
                <c:pt idx="118">
                  <c:v>1.06</c:v>
                </c:pt>
                <c:pt idx="119">
                  <c:v>1.0569999999999999</c:v>
                </c:pt>
                <c:pt idx="120">
                  <c:v>1.0580000000000001</c:v>
                </c:pt>
                <c:pt idx="121">
                  <c:v>1.0589999999999999</c:v>
                </c:pt>
                <c:pt idx="122">
                  <c:v>1.06</c:v>
                </c:pt>
                <c:pt idx="123">
                  <c:v>1.06</c:v>
                </c:pt>
                <c:pt idx="124">
                  <c:v>1.0620000000000001</c:v>
                </c:pt>
                <c:pt idx="125">
                  <c:v>1.0629999999999999</c:v>
                </c:pt>
                <c:pt idx="126">
                  <c:v>1.0620000000000001</c:v>
                </c:pt>
                <c:pt idx="127">
                  <c:v>1.0620000000000001</c:v>
                </c:pt>
                <c:pt idx="128">
                  <c:v>1.0629999999999999</c:v>
                </c:pt>
                <c:pt idx="129">
                  <c:v>1.0660000000000001</c:v>
                </c:pt>
                <c:pt idx="130">
                  <c:v>1.0669999999999999</c:v>
                </c:pt>
                <c:pt idx="131">
                  <c:v>1.0660000000000001</c:v>
                </c:pt>
                <c:pt idx="132">
                  <c:v>1.0620000000000001</c:v>
                </c:pt>
                <c:pt idx="133">
                  <c:v>1.0680000000000001</c:v>
                </c:pt>
                <c:pt idx="134">
                  <c:v>1.069</c:v>
                </c:pt>
                <c:pt idx="135">
                  <c:v>1.069</c:v>
                </c:pt>
                <c:pt idx="136">
                  <c:v>1.07</c:v>
                </c:pt>
                <c:pt idx="137">
                  <c:v>1.071</c:v>
                </c:pt>
                <c:pt idx="138">
                  <c:v>1.075</c:v>
                </c:pt>
                <c:pt idx="139">
                  <c:v>1.071</c:v>
                </c:pt>
                <c:pt idx="140">
                  <c:v>1.071</c:v>
                </c:pt>
                <c:pt idx="141">
                  <c:v>1.07</c:v>
                </c:pt>
                <c:pt idx="142">
                  <c:v>1.07</c:v>
                </c:pt>
                <c:pt idx="143">
                  <c:v>1.07</c:v>
                </c:pt>
                <c:pt idx="144">
                  <c:v>1.073</c:v>
                </c:pt>
                <c:pt idx="145">
                  <c:v>1.071</c:v>
                </c:pt>
                <c:pt idx="146">
                  <c:v>1.0720000000000001</c:v>
                </c:pt>
                <c:pt idx="147">
                  <c:v>1.07</c:v>
                </c:pt>
                <c:pt idx="148">
                  <c:v>1.0720000000000001</c:v>
                </c:pt>
                <c:pt idx="149">
                  <c:v>1.077</c:v>
                </c:pt>
                <c:pt idx="150">
                  <c:v>1.0760000000000001</c:v>
                </c:pt>
                <c:pt idx="151">
                  <c:v>1.075</c:v>
                </c:pt>
                <c:pt idx="152">
                  <c:v>1.069</c:v>
                </c:pt>
                <c:pt idx="153">
                  <c:v>1.071</c:v>
                </c:pt>
                <c:pt idx="154">
                  <c:v>1.0720000000000001</c:v>
                </c:pt>
                <c:pt idx="155">
                  <c:v>1.073</c:v>
                </c:pt>
                <c:pt idx="156">
                  <c:v>1.0720000000000001</c:v>
                </c:pt>
                <c:pt idx="157">
                  <c:v>1.0720000000000001</c:v>
                </c:pt>
                <c:pt idx="158">
                  <c:v>1.0720000000000001</c:v>
                </c:pt>
                <c:pt idx="159">
                  <c:v>1.071</c:v>
                </c:pt>
                <c:pt idx="160">
                  <c:v>1.071</c:v>
                </c:pt>
                <c:pt idx="161">
                  <c:v>1.075</c:v>
                </c:pt>
                <c:pt idx="162">
                  <c:v>1.08</c:v>
                </c:pt>
                <c:pt idx="163">
                  <c:v>1.081</c:v>
                </c:pt>
                <c:pt idx="164">
                  <c:v>1.0820000000000001</c:v>
                </c:pt>
                <c:pt idx="165">
                  <c:v>1.085</c:v>
                </c:pt>
                <c:pt idx="166">
                  <c:v>1.087</c:v>
                </c:pt>
                <c:pt idx="167">
                  <c:v>1.089</c:v>
                </c:pt>
                <c:pt idx="168">
                  <c:v>1.0880000000000001</c:v>
                </c:pt>
                <c:pt idx="169">
                  <c:v>1.097</c:v>
                </c:pt>
                <c:pt idx="170">
                  <c:v>1.099</c:v>
                </c:pt>
                <c:pt idx="171">
                  <c:v>1.099</c:v>
                </c:pt>
                <c:pt idx="172">
                  <c:v>1.1000000000000001</c:v>
                </c:pt>
                <c:pt idx="173">
                  <c:v>1.1020000000000001</c:v>
                </c:pt>
                <c:pt idx="174">
                  <c:v>1.1020000000000001</c:v>
                </c:pt>
                <c:pt idx="175">
                  <c:v>1.103</c:v>
                </c:pt>
                <c:pt idx="176">
                  <c:v>1.1060000000000001</c:v>
                </c:pt>
                <c:pt idx="177">
                  <c:v>1.105</c:v>
                </c:pt>
                <c:pt idx="178">
                  <c:v>1.105</c:v>
                </c:pt>
                <c:pt idx="179">
                  <c:v>1.1060000000000001</c:v>
                </c:pt>
                <c:pt idx="180">
                  <c:v>1.1080000000000001</c:v>
                </c:pt>
                <c:pt idx="181">
                  <c:v>1.109</c:v>
                </c:pt>
                <c:pt idx="182">
                  <c:v>1.1060000000000001</c:v>
                </c:pt>
                <c:pt idx="183">
                  <c:v>1.1080000000000001</c:v>
                </c:pt>
                <c:pt idx="184">
                  <c:v>1.109</c:v>
                </c:pt>
                <c:pt idx="185">
                  <c:v>1.1080000000000001</c:v>
                </c:pt>
                <c:pt idx="186">
                  <c:v>1.1080000000000001</c:v>
                </c:pt>
                <c:pt idx="187">
                  <c:v>1.105</c:v>
                </c:pt>
                <c:pt idx="188">
                  <c:v>1.119</c:v>
                </c:pt>
                <c:pt idx="189">
                  <c:v>1.117</c:v>
                </c:pt>
                <c:pt idx="190">
                  <c:v>1.117</c:v>
                </c:pt>
                <c:pt idx="191">
                  <c:v>1.107</c:v>
                </c:pt>
                <c:pt idx="192">
                  <c:v>1.101</c:v>
                </c:pt>
                <c:pt idx="193">
                  <c:v>1.101</c:v>
                </c:pt>
                <c:pt idx="194">
                  <c:v>1.101</c:v>
                </c:pt>
                <c:pt idx="195">
                  <c:v>1.1020000000000001</c:v>
                </c:pt>
                <c:pt idx="196">
                  <c:v>1.105</c:v>
                </c:pt>
                <c:pt idx="197">
                  <c:v>1.1060000000000001</c:v>
                </c:pt>
                <c:pt idx="198">
                  <c:v>1.1040000000000001</c:v>
                </c:pt>
                <c:pt idx="199">
                  <c:v>1.105</c:v>
                </c:pt>
                <c:pt idx="200">
                  <c:v>1.1060000000000001</c:v>
                </c:pt>
                <c:pt idx="201">
                  <c:v>1.1060000000000001</c:v>
                </c:pt>
                <c:pt idx="202">
                  <c:v>1.1060000000000001</c:v>
                </c:pt>
                <c:pt idx="203">
                  <c:v>1.105</c:v>
                </c:pt>
                <c:pt idx="204">
                  <c:v>1.107</c:v>
                </c:pt>
                <c:pt idx="205">
                  <c:v>1.1080000000000001</c:v>
                </c:pt>
                <c:pt idx="206">
                  <c:v>1.1100000000000001</c:v>
                </c:pt>
                <c:pt idx="207">
                  <c:v>1.109</c:v>
                </c:pt>
                <c:pt idx="208">
                  <c:v>1.111</c:v>
                </c:pt>
                <c:pt idx="209">
                  <c:v>1.1100000000000001</c:v>
                </c:pt>
                <c:pt idx="210">
                  <c:v>1.113</c:v>
                </c:pt>
                <c:pt idx="211">
                  <c:v>1.1120000000000001</c:v>
                </c:pt>
                <c:pt idx="212">
                  <c:v>1.113</c:v>
                </c:pt>
                <c:pt idx="213">
                  <c:v>1.1140000000000001</c:v>
                </c:pt>
                <c:pt idx="214">
                  <c:v>1.115</c:v>
                </c:pt>
                <c:pt idx="215">
                  <c:v>1.113</c:v>
                </c:pt>
                <c:pt idx="216">
                  <c:v>1.1140000000000001</c:v>
                </c:pt>
                <c:pt idx="217">
                  <c:v>1.1140000000000001</c:v>
                </c:pt>
                <c:pt idx="218">
                  <c:v>1.113</c:v>
                </c:pt>
                <c:pt idx="219">
                  <c:v>1.113</c:v>
                </c:pt>
                <c:pt idx="220">
                  <c:v>1.113</c:v>
                </c:pt>
                <c:pt idx="221">
                  <c:v>1.1120000000000001</c:v>
                </c:pt>
                <c:pt idx="222">
                  <c:v>1.113</c:v>
                </c:pt>
                <c:pt idx="223">
                  <c:v>1.1120000000000001</c:v>
                </c:pt>
                <c:pt idx="224">
                  <c:v>1.113</c:v>
                </c:pt>
                <c:pt idx="225">
                  <c:v>1.115</c:v>
                </c:pt>
                <c:pt idx="226">
                  <c:v>1.115</c:v>
                </c:pt>
                <c:pt idx="227">
                  <c:v>1.1140000000000001</c:v>
                </c:pt>
                <c:pt idx="228">
                  <c:v>1.115</c:v>
                </c:pt>
                <c:pt idx="229">
                  <c:v>1.117</c:v>
                </c:pt>
                <c:pt idx="230">
                  <c:v>1.115</c:v>
                </c:pt>
                <c:pt idx="231">
                  <c:v>1.1160000000000001</c:v>
                </c:pt>
                <c:pt idx="232">
                  <c:v>1.115</c:v>
                </c:pt>
                <c:pt idx="233">
                  <c:v>1.117</c:v>
                </c:pt>
                <c:pt idx="234">
                  <c:v>1.117</c:v>
                </c:pt>
                <c:pt idx="235">
                  <c:v>1.1160000000000001</c:v>
                </c:pt>
                <c:pt idx="236">
                  <c:v>1.117</c:v>
                </c:pt>
                <c:pt idx="237">
                  <c:v>1.1160000000000001</c:v>
                </c:pt>
                <c:pt idx="238">
                  <c:v>1.1180000000000001</c:v>
                </c:pt>
                <c:pt idx="239">
                  <c:v>1.1180000000000001</c:v>
                </c:pt>
                <c:pt idx="240">
                  <c:v>1.1180000000000001</c:v>
                </c:pt>
                <c:pt idx="241">
                  <c:v>1.1200000000000001</c:v>
                </c:pt>
                <c:pt idx="242">
                  <c:v>1.119</c:v>
                </c:pt>
                <c:pt idx="243">
                  <c:v>1.121</c:v>
                </c:pt>
                <c:pt idx="244">
                  <c:v>1.121</c:v>
                </c:pt>
                <c:pt idx="245">
                  <c:v>1.1220000000000001</c:v>
                </c:pt>
                <c:pt idx="246">
                  <c:v>1.127</c:v>
                </c:pt>
                <c:pt idx="247">
                  <c:v>1.127</c:v>
                </c:pt>
                <c:pt idx="248">
                  <c:v>1.1279999999999999</c:v>
                </c:pt>
                <c:pt idx="249">
                  <c:v>1.129</c:v>
                </c:pt>
                <c:pt idx="250">
                  <c:v>1.1299999999999999</c:v>
                </c:pt>
                <c:pt idx="251">
                  <c:v>1.131</c:v>
                </c:pt>
                <c:pt idx="252">
                  <c:v>1.1339999999999999</c:v>
                </c:pt>
                <c:pt idx="253">
                  <c:v>1.1339999999999999</c:v>
                </c:pt>
                <c:pt idx="254">
                  <c:v>1.1339999999999999</c:v>
                </c:pt>
                <c:pt idx="255">
                  <c:v>1.1319999999999999</c:v>
                </c:pt>
                <c:pt idx="256">
                  <c:v>1.133</c:v>
                </c:pt>
                <c:pt idx="257">
                  <c:v>1.1279999999999999</c:v>
                </c:pt>
                <c:pt idx="258">
                  <c:v>1.1339999999999999</c:v>
                </c:pt>
                <c:pt idx="259">
                  <c:v>1.135</c:v>
                </c:pt>
                <c:pt idx="260">
                  <c:v>1.141</c:v>
                </c:pt>
                <c:pt idx="261">
                  <c:v>1.1419999999999999</c:v>
                </c:pt>
                <c:pt idx="262">
                  <c:v>1.1399999999999999</c:v>
                </c:pt>
                <c:pt idx="263">
                  <c:v>1.139</c:v>
                </c:pt>
                <c:pt idx="264">
                  <c:v>1.141</c:v>
                </c:pt>
                <c:pt idx="265">
                  <c:v>1.141</c:v>
                </c:pt>
                <c:pt idx="266">
                  <c:v>1.1419999999999999</c:v>
                </c:pt>
                <c:pt idx="267">
                  <c:v>1.145</c:v>
                </c:pt>
                <c:pt idx="268">
                  <c:v>1.1459999999999999</c:v>
                </c:pt>
                <c:pt idx="269">
                  <c:v>1.1519999999999999</c:v>
                </c:pt>
                <c:pt idx="270">
                  <c:v>1.149</c:v>
                </c:pt>
                <c:pt idx="271">
                  <c:v>1.1539999999999999</c:v>
                </c:pt>
                <c:pt idx="272">
                  <c:v>1.1559999999999999</c:v>
                </c:pt>
                <c:pt idx="273">
                  <c:v>1.153</c:v>
                </c:pt>
                <c:pt idx="274">
                  <c:v>1.155</c:v>
                </c:pt>
                <c:pt idx="275">
                  <c:v>1.1579999999999999</c:v>
                </c:pt>
                <c:pt idx="276">
                  <c:v>1.165</c:v>
                </c:pt>
                <c:pt idx="277">
                  <c:v>1.163</c:v>
                </c:pt>
                <c:pt idx="278">
                  <c:v>1.1639999999999999</c:v>
                </c:pt>
                <c:pt idx="279">
                  <c:v>1.163</c:v>
                </c:pt>
                <c:pt idx="280">
                  <c:v>1.1639999999999999</c:v>
                </c:pt>
                <c:pt idx="281">
                  <c:v>1.163</c:v>
                </c:pt>
                <c:pt idx="282">
                  <c:v>1.1639999999999999</c:v>
                </c:pt>
                <c:pt idx="283">
                  <c:v>1.165</c:v>
                </c:pt>
                <c:pt idx="284">
                  <c:v>1.165</c:v>
                </c:pt>
                <c:pt idx="285">
                  <c:v>1.1619999999999999</c:v>
                </c:pt>
                <c:pt idx="286">
                  <c:v>1.1619999999999999</c:v>
                </c:pt>
                <c:pt idx="287">
                  <c:v>1.1639999999999999</c:v>
                </c:pt>
                <c:pt idx="288">
                  <c:v>1.1619999999999999</c:v>
                </c:pt>
                <c:pt idx="289">
                  <c:v>1.167</c:v>
                </c:pt>
                <c:pt idx="290">
                  <c:v>1.1679999999999999</c:v>
                </c:pt>
                <c:pt idx="291">
                  <c:v>1.1639999999999999</c:v>
                </c:pt>
                <c:pt idx="292">
                  <c:v>1.167</c:v>
                </c:pt>
                <c:pt idx="293">
                  <c:v>1.175</c:v>
                </c:pt>
                <c:pt idx="294">
                  <c:v>1.173</c:v>
                </c:pt>
                <c:pt idx="295">
                  <c:v>1.173</c:v>
                </c:pt>
                <c:pt idx="296">
                  <c:v>1.1759999999999999</c:v>
                </c:pt>
                <c:pt idx="297">
                  <c:v>1.177</c:v>
                </c:pt>
                <c:pt idx="298">
                  <c:v>1.177</c:v>
                </c:pt>
                <c:pt idx="299">
                  <c:v>1.179</c:v>
                </c:pt>
                <c:pt idx="300">
                  <c:v>1.1779999999999999</c:v>
                </c:pt>
                <c:pt idx="301">
                  <c:v>1.181</c:v>
                </c:pt>
                <c:pt idx="302">
                  <c:v>1.181</c:v>
                </c:pt>
                <c:pt idx="303">
                  <c:v>1.1830000000000001</c:v>
                </c:pt>
                <c:pt idx="304">
                  <c:v>1.1819999999999999</c:v>
                </c:pt>
                <c:pt idx="305">
                  <c:v>1.1830000000000001</c:v>
                </c:pt>
                <c:pt idx="306">
                  <c:v>1.1839999999999999</c:v>
                </c:pt>
                <c:pt idx="307">
                  <c:v>1.1830000000000001</c:v>
                </c:pt>
                <c:pt idx="308">
                  <c:v>1.1830000000000001</c:v>
                </c:pt>
                <c:pt idx="309">
                  <c:v>1.1819999999999999</c:v>
                </c:pt>
                <c:pt idx="310">
                  <c:v>1.1819999999999999</c:v>
                </c:pt>
                <c:pt idx="311">
                  <c:v>1.181</c:v>
                </c:pt>
                <c:pt idx="312">
                  <c:v>1.1819999999999999</c:v>
                </c:pt>
                <c:pt idx="313">
                  <c:v>1.1819999999999999</c:v>
                </c:pt>
                <c:pt idx="314">
                  <c:v>1.1839999999999999</c:v>
                </c:pt>
                <c:pt idx="315">
                  <c:v>1.1830000000000001</c:v>
                </c:pt>
                <c:pt idx="316">
                  <c:v>1.1830000000000001</c:v>
                </c:pt>
                <c:pt idx="317">
                  <c:v>1.1850000000000001</c:v>
                </c:pt>
                <c:pt idx="318">
                  <c:v>1.1830000000000001</c:v>
                </c:pt>
                <c:pt idx="319">
                  <c:v>1.1879999999999999</c:v>
                </c:pt>
                <c:pt idx="320">
                  <c:v>1.1859999999999999</c:v>
                </c:pt>
                <c:pt idx="321">
                  <c:v>1.1850000000000001</c:v>
                </c:pt>
                <c:pt idx="322">
                  <c:v>1.1870000000000001</c:v>
                </c:pt>
                <c:pt idx="323">
                  <c:v>1.1850000000000001</c:v>
                </c:pt>
                <c:pt idx="324">
                  <c:v>1.1859999999999999</c:v>
                </c:pt>
                <c:pt idx="325">
                  <c:v>1.1890000000000001</c:v>
                </c:pt>
                <c:pt idx="326">
                  <c:v>1.19</c:v>
                </c:pt>
                <c:pt idx="327">
                  <c:v>1.1879999999999999</c:v>
                </c:pt>
                <c:pt idx="328">
                  <c:v>1.1910000000000001</c:v>
                </c:pt>
                <c:pt idx="329">
                  <c:v>1.194</c:v>
                </c:pt>
                <c:pt idx="330">
                  <c:v>1.1919999999999999</c:v>
                </c:pt>
                <c:pt idx="331">
                  <c:v>1.1919999999999999</c:v>
                </c:pt>
                <c:pt idx="332">
                  <c:v>1.1930000000000001</c:v>
                </c:pt>
                <c:pt idx="333">
                  <c:v>1.196</c:v>
                </c:pt>
                <c:pt idx="334">
                  <c:v>1.1950000000000001</c:v>
                </c:pt>
                <c:pt idx="335">
                  <c:v>1.196</c:v>
                </c:pt>
                <c:pt idx="336">
                  <c:v>1.1950000000000001</c:v>
                </c:pt>
                <c:pt idx="337">
                  <c:v>1.1970000000000001</c:v>
                </c:pt>
                <c:pt idx="338">
                  <c:v>1.198</c:v>
                </c:pt>
                <c:pt idx="339">
                  <c:v>1.2</c:v>
                </c:pt>
                <c:pt idx="340">
                  <c:v>1.204</c:v>
                </c:pt>
                <c:pt idx="341">
                  <c:v>1.202</c:v>
                </c:pt>
                <c:pt idx="342">
                  <c:v>1.2070000000000001</c:v>
                </c:pt>
                <c:pt idx="343">
                  <c:v>1.208</c:v>
                </c:pt>
                <c:pt idx="344">
                  <c:v>1.2090000000000001</c:v>
                </c:pt>
                <c:pt idx="345">
                  <c:v>1.208</c:v>
                </c:pt>
                <c:pt idx="346">
                  <c:v>1.208</c:v>
                </c:pt>
                <c:pt idx="347">
                  <c:v>1.208</c:v>
                </c:pt>
                <c:pt idx="348">
                  <c:v>1.2070000000000001</c:v>
                </c:pt>
                <c:pt idx="349">
                  <c:v>1.2070000000000001</c:v>
                </c:pt>
                <c:pt idx="350">
                  <c:v>1.208</c:v>
                </c:pt>
                <c:pt idx="351">
                  <c:v>1.21</c:v>
                </c:pt>
                <c:pt idx="352">
                  <c:v>1.21</c:v>
                </c:pt>
                <c:pt idx="353">
                  <c:v>1.2150000000000001</c:v>
                </c:pt>
                <c:pt idx="354">
                  <c:v>1.214</c:v>
                </c:pt>
                <c:pt idx="355">
                  <c:v>1.2130000000000001</c:v>
                </c:pt>
                <c:pt idx="356">
                  <c:v>1.214</c:v>
                </c:pt>
                <c:pt idx="357">
                  <c:v>1.214</c:v>
                </c:pt>
                <c:pt idx="358">
                  <c:v>1.216</c:v>
                </c:pt>
                <c:pt idx="359">
                  <c:v>1.214</c:v>
                </c:pt>
                <c:pt idx="360">
                  <c:v>1.214</c:v>
                </c:pt>
                <c:pt idx="361">
                  <c:v>1.214</c:v>
                </c:pt>
                <c:pt idx="362">
                  <c:v>1.2110000000000001</c:v>
                </c:pt>
                <c:pt idx="363">
                  <c:v>1.2110000000000001</c:v>
                </c:pt>
                <c:pt idx="364">
                  <c:v>1.2110000000000001</c:v>
                </c:pt>
                <c:pt idx="365">
                  <c:v>1.212</c:v>
                </c:pt>
                <c:pt idx="366">
                  <c:v>1.2130000000000001</c:v>
                </c:pt>
                <c:pt idx="367">
                  <c:v>1.2130000000000001</c:v>
                </c:pt>
                <c:pt idx="368">
                  <c:v>1.2130000000000001</c:v>
                </c:pt>
                <c:pt idx="369">
                  <c:v>1.2150000000000001</c:v>
                </c:pt>
                <c:pt idx="370">
                  <c:v>1.2150000000000001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1-45F8-9E70-F01C0C7F6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90971088"/>
        <c:axId val="-490970544"/>
      </c:lineChart>
      <c:catAx>
        <c:axId val="-49097108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90970544"/>
        <c:crosses val="autoZero"/>
        <c:auto val="0"/>
        <c:lblAlgn val="ctr"/>
        <c:lblOffset val="100"/>
        <c:noMultiLvlLbl val="1"/>
      </c:catAx>
      <c:valAx>
        <c:axId val="-490970544"/>
        <c:scaling>
          <c:orientation val="minMax"/>
          <c:min val="0.9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9097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4" l="0.70000000000000062" r="0.70000000000000062" t="0.750000000000004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 sz="1600"/>
              <a:t>琅玡一号</a:t>
            </a:r>
            <a:endParaRPr lang="en-US" altLang="zh-CN" sz="16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琅琊一号!$B$20</c:f>
              <c:strCache>
                <c:ptCount val="1"/>
                <c:pt idx="0">
                  <c:v>累计净值</c:v>
                </c:pt>
              </c:strCache>
            </c:strRef>
          </c:tx>
          <c:marker>
            <c:symbol val="none"/>
          </c:marker>
          <c:cat>
            <c:numRef>
              <c:f>琅琊一号!$A$21:$A$263</c:f>
              <c:numCache>
                <c:formatCode>m/d/yyyy</c:formatCode>
                <c:ptCount val="243"/>
                <c:pt idx="0">
                  <c:v>43966</c:v>
                </c:pt>
                <c:pt idx="1">
                  <c:v>43969</c:v>
                </c:pt>
                <c:pt idx="2">
                  <c:v>43970</c:v>
                </c:pt>
                <c:pt idx="3">
                  <c:v>43971</c:v>
                </c:pt>
                <c:pt idx="4">
                  <c:v>43972</c:v>
                </c:pt>
                <c:pt idx="5">
                  <c:v>43973</c:v>
                </c:pt>
                <c:pt idx="6">
                  <c:v>43976</c:v>
                </c:pt>
                <c:pt idx="7">
                  <c:v>43977</c:v>
                </c:pt>
                <c:pt idx="8">
                  <c:v>43978</c:v>
                </c:pt>
                <c:pt idx="9">
                  <c:v>43979</c:v>
                </c:pt>
                <c:pt idx="10">
                  <c:v>43980</c:v>
                </c:pt>
                <c:pt idx="11">
                  <c:v>43983</c:v>
                </c:pt>
                <c:pt idx="12">
                  <c:v>43984</c:v>
                </c:pt>
                <c:pt idx="13">
                  <c:v>43985</c:v>
                </c:pt>
                <c:pt idx="14">
                  <c:v>43986</c:v>
                </c:pt>
                <c:pt idx="15">
                  <c:v>43987</c:v>
                </c:pt>
                <c:pt idx="16">
                  <c:v>43990</c:v>
                </c:pt>
                <c:pt idx="17">
                  <c:v>43991</c:v>
                </c:pt>
                <c:pt idx="18">
                  <c:v>43992</c:v>
                </c:pt>
                <c:pt idx="19">
                  <c:v>43993</c:v>
                </c:pt>
                <c:pt idx="20">
                  <c:v>43994</c:v>
                </c:pt>
                <c:pt idx="21">
                  <c:v>43997</c:v>
                </c:pt>
                <c:pt idx="22">
                  <c:v>43998</c:v>
                </c:pt>
                <c:pt idx="23">
                  <c:v>43999</c:v>
                </c:pt>
                <c:pt idx="24">
                  <c:v>44000</c:v>
                </c:pt>
                <c:pt idx="25">
                  <c:v>44001</c:v>
                </c:pt>
                <c:pt idx="26">
                  <c:v>44004</c:v>
                </c:pt>
                <c:pt idx="27">
                  <c:v>44005</c:v>
                </c:pt>
                <c:pt idx="28">
                  <c:v>44006</c:v>
                </c:pt>
                <c:pt idx="29">
                  <c:v>44011</c:v>
                </c:pt>
                <c:pt idx="30">
                  <c:v>44012</c:v>
                </c:pt>
                <c:pt idx="31">
                  <c:v>44013</c:v>
                </c:pt>
                <c:pt idx="32">
                  <c:v>44014</c:v>
                </c:pt>
                <c:pt idx="33">
                  <c:v>44015</c:v>
                </c:pt>
                <c:pt idx="34">
                  <c:v>44018</c:v>
                </c:pt>
                <c:pt idx="35">
                  <c:v>44019</c:v>
                </c:pt>
                <c:pt idx="36">
                  <c:v>44020</c:v>
                </c:pt>
                <c:pt idx="37">
                  <c:v>44021</c:v>
                </c:pt>
                <c:pt idx="38">
                  <c:v>44022</c:v>
                </c:pt>
                <c:pt idx="39">
                  <c:v>44025</c:v>
                </c:pt>
                <c:pt idx="40">
                  <c:v>44026</c:v>
                </c:pt>
                <c:pt idx="41">
                  <c:v>44027</c:v>
                </c:pt>
                <c:pt idx="42">
                  <c:v>44028</c:v>
                </c:pt>
                <c:pt idx="43">
                  <c:v>44029</c:v>
                </c:pt>
                <c:pt idx="44">
                  <c:v>44032</c:v>
                </c:pt>
                <c:pt idx="45">
                  <c:v>44033</c:v>
                </c:pt>
                <c:pt idx="46">
                  <c:v>44034</c:v>
                </c:pt>
                <c:pt idx="47">
                  <c:v>44035</c:v>
                </c:pt>
                <c:pt idx="48">
                  <c:v>44036</c:v>
                </c:pt>
                <c:pt idx="49">
                  <c:v>44039</c:v>
                </c:pt>
                <c:pt idx="50">
                  <c:v>44040</c:v>
                </c:pt>
                <c:pt idx="51">
                  <c:v>44041</c:v>
                </c:pt>
                <c:pt idx="52">
                  <c:v>44042</c:v>
                </c:pt>
                <c:pt idx="53">
                  <c:v>44043</c:v>
                </c:pt>
                <c:pt idx="54">
                  <c:v>44046</c:v>
                </c:pt>
                <c:pt idx="55">
                  <c:v>44047</c:v>
                </c:pt>
                <c:pt idx="56">
                  <c:v>44048</c:v>
                </c:pt>
                <c:pt idx="57">
                  <c:v>44049</c:v>
                </c:pt>
                <c:pt idx="58">
                  <c:v>44050</c:v>
                </c:pt>
                <c:pt idx="59">
                  <c:v>44053</c:v>
                </c:pt>
                <c:pt idx="60">
                  <c:v>44054</c:v>
                </c:pt>
                <c:pt idx="61">
                  <c:v>44055</c:v>
                </c:pt>
                <c:pt idx="62">
                  <c:v>44056</c:v>
                </c:pt>
                <c:pt idx="63">
                  <c:v>44057</c:v>
                </c:pt>
                <c:pt idx="64">
                  <c:v>44060</c:v>
                </c:pt>
                <c:pt idx="65">
                  <c:v>44061</c:v>
                </c:pt>
                <c:pt idx="66">
                  <c:v>44062</c:v>
                </c:pt>
                <c:pt idx="67">
                  <c:v>44063</c:v>
                </c:pt>
                <c:pt idx="68">
                  <c:v>44064</c:v>
                </c:pt>
                <c:pt idx="69">
                  <c:v>44067</c:v>
                </c:pt>
                <c:pt idx="70">
                  <c:v>44068</c:v>
                </c:pt>
                <c:pt idx="71">
                  <c:v>44069</c:v>
                </c:pt>
                <c:pt idx="72">
                  <c:v>44070</c:v>
                </c:pt>
                <c:pt idx="73">
                  <c:v>44071</c:v>
                </c:pt>
                <c:pt idx="74">
                  <c:v>44074</c:v>
                </c:pt>
                <c:pt idx="75">
                  <c:v>44075</c:v>
                </c:pt>
                <c:pt idx="76">
                  <c:v>44076</c:v>
                </c:pt>
                <c:pt idx="77">
                  <c:v>44077</c:v>
                </c:pt>
                <c:pt idx="78">
                  <c:v>44078</c:v>
                </c:pt>
                <c:pt idx="79">
                  <c:v>44081</c:v>
                </c:pt>
                <c:pt idx="80">
                  <c:v>44082</c:v>
                </c:pt>
                <c:pt idx="81">
                  <c:v>44083</c:v>
                </c:pt>
                <c:pt idx="82">
                  <c:v>44084</c:v>
                </c:pt>
                <c:pt idx="83">
                  <c:v>44085</c:v>
                </c:pt>
                <c:pt idx="84">
                  <c:v>44088</c:v>
                </c:pt>
                <c:pt idx="85">
                  <c:v>44089</c:v>
                </c:pt>
                <c:pt idx="86">
                  <c:v>44090</c:v>
                </c:pt>
                <c:pt idx="87">
                  <c:v>44091</c:v>
                </c:pt>
                <c:pt idx="88">
                  <c:v>44092</c:v>
                </c:pt>
                <c:pt idx="89">
                  <c:v>44095</c:v>
                </c:pt>
                <c:pt idx="90">
                  <c:v>44096</c:v>
                </c:pt>
                <c:pt idx="91">
                  <c:v>44097</c:v>
                </c:pt>
                <c:pt idx="92">
                  <c:v>44098</c:v>
                </c:pt>
                <c:pt idx="93">
                  <c:v>44099</c:v>
                </c:pt>
                <c:pt idx="94">
                  <c:v>44102</c:v>
                </c:pt>
                <c:pt idx="95">
                  <c:v>44103</c:v>
                </c:pt>
                <c:pt idx="96">
                  <c:v>44104</c:v>
                </c:pt>
                <c:pt idx="97">
                  <c:v>44113</c:v>
                </c:pt>
                <c:pt idx="98">
                  <c:v>44116</c:v>
                </c:pt>
                <c:pt idx="99">
                  <c:v>44117</c:v>
                </c:pt>
                <c:pt idx="100">
                  <c:v>44118</c:v>
                </c:pt>
                <c:pt idx="101">
                  <c:v>44119</c:v>
                </c:pt>
                <c:pt idx="102">
                  <c:v>44120</c:v>
                </c:pt>
                <c:pt idx="103">
                  <c:v>44123</c:v>
                </c:pt>
                <c:pt idx="104">
                  <c:v>44124</c:v>
                </c:pt>
                <c:pt idx="105">
                  <c:v>44125</c:v>
                </c:pt>
                <c:pt idx="106">
                  <c:v>44126</c:v>
                </c:pt>
                <c:pt idx="107">
                  <c:v>44127</c:v>
                </c:pt>
                <c:pt idx="108">
                  <c:v>44130</c:v>
                </c:pt>
                <c:pt idx="109">
                  <c:v>44131</c:v>
                </c:pt>
                <c:pt idx="110">
                  <c:v>44132</c:v>
                </c:pt>
                <c:pt idx="111">
                  <c:v>44133</c:v>
                </c:pt>
                <c:pt idx="112">
                  <c:v>44134</c:v>
                </c:pt>
                <c:pt idx="113">
                  <c:v>44137</c:v>
                </c:pt>
                <c:pt idx="114">
                  <c:v>44138</c:v>
                </c:pt>
                <c:pt idx="115">
                  <c:v>44139</c:v>
                </c:pt>
                <c:pt idx="116">
                  <c:v>44140</c:v>
                </c:pt>
                <c:pt idx="117">
                  <c:v>44141</c:v>
                </c:pt>
                <c:pt idx="118">
                  <c:v>44144</c:v>
                </c:pt>
                <c:pt idx="119">
                  <c:v>44145</c:v>
                </c:pt>
                <c:pt idx="120">
                  <c:v>44146</c:v>
                </c:pt>
                <c:pt idx="121">
                  <c:v>44147</c:v>
                </c:pt>
                <c:pt idx="122">
                  <c:v>44148</c:v>
                </c:pt>
                <c:pt idx="123">
                  <c:v>44151</c:v>
                </c:pt>
                <c:pt idx="124">
                  <c:v>44152</c:v>
                </c:pt>
                <c:pt idx="125">
                  <c:v>44153</c:v>
                </c:pt>
                <c:pt idx="126">
                  <c:v>44154</c:v>
                </c:pt>
                <c:pt idx="127">
                  <c:v>44155</c:v>
                </c:pt>
                <c:pt idx="128">
                  <c:v>44158</c:v>
                </c:pt>
                <c:pt idx="129">
                  <c:v>44159</c:v>
                </c:pt>
                <c:pt idx="130">
                  <c:v>44160</c:v>
                </c:pt>
                <c:pt idx="131">
                  <c:v>44161</c:v>
                </c:pt>
                <c:pt idx="132">
                  <c:v>44162</c:v>
                </c:pt>
                <c:pt idx="133">
                  <c:v>44165</c:v>
                </c:pt>
                <c:pt idx="134">
                  <c:v>44166</c:v>
                </c:pt>
                <c:pt idx="135">
                  <c:v>44167</c:v>
                </c:pt>
                <c:pt idx="136">
                  <c:v>44168</c:v>
                </c:pt>
                <c:pt idx="137">
                  <c:v>44169</c:v>
                </c:pt>
                <c:pt idx="138">
                  <c:v>44172</c:v>
                </c:pt>
                <c:pt idx="139">
                  <c:v>44173</c:v>
                </c:pt>
                <c:pt idx="140">
                  <c:v>44174</c:v>
                </c:pt>
                <c:pt idx="141">
                  <c:v>44175</c:v>
                </c:pt>
                <c:pt idx="142">
                  <c:v>44176</c:v>
                </c:pt>
                <c:pt idx="143">
                  <c:v>44179</c:v>
                </c:pt>
                <c:pt idx="144">
                  <c:v>44180</c:v>
                </c:pt>
                <c:pt idx="145">
                  <c:v>44181</c:v>
                </c:pt>
                <c:pt idx="146">
                  <c:v>44182</c:v>
                </c:pt>
                <c:pt idx="147">
                  <c:v>44183</c:v>
                </c:pt>
                <c:pt idx="148">
                  <c:v>44186</c:v>
                </c:pt>
                <c:pt idx="149">
                  <c:v>44187</c:v>
                </c:pt>
                <c:pt idx="150">
                  <c:v>44188</c:v>
                </c:pt>
                <c:pt idx="151">
                  <c:v>44189</c:v>
                </c:pt>
                <c:pt idx="152">
                  <c:v>44190</c:v>
                </c:pt>
                <c:pt idx="153">
                  <c:v>44193</c:v>
                </c:pt>
                <c:pt idx="154">
                  <c:v>44194</c:v>
                </c:pt>
                <c:pt idx="155">
                  <c:v>44195</c:v>
                </c:pt>
                <c:pt idx="156">
                  <c:v>44196</c:v>
                </c:pt>
                <c:pt idx="157">
                  <c:v>44200</c:v>
                </c:pt>
                <c:pt idx="158">
                  <c:v>44201</c:v>
                </c:pt>
                <c:pt idx="159">
                  <c:v>44202</c:v>
                </c:pt>
                <c:pt idx="160">
                  <c:v>44203</c:v>
                </c:pt>
                <c:pt idx="161">
                  <c:v>44204</c:v>
                </c:pt>
                <c:pt idx="162">
                  <c:v>44207</c:v>
                </c:pt>
                <c:pt idx="163">
                  <c:v>44208</c:v>
                </c:pt>
                <c:pt idx="164">
                  <c:v>44209</c:v>
                </c:pt>
                <c:pt idx="165">
                  <c:v>44210</c:v>
                </c:pt>
                <c:pt idx="166">
                  <c:v>44211</c:v>
                </c:pt>
                <c:pt idx="167">
                  <c:v>44214</c:v>
                </c:pt>
                <c:pt idx="168">
                  <c:v>44215</c:v>
                </c:pt>
                <c:pt idx="169">
                  <c:v>44216</c:v>
                </c:pt>
                <c:pt idx="170">
                  <c:v>44217</c:v>
                </c:pt>
                <c:pt idx="171">
                  <c:v>44218</c:v>
                </c:pt>
                <c:pt idx="172">
                  <c:v>44221</c:v>
                </c:pt>
                <c:pt idx="173">
                  <c:v>44222</c:v>
                </c:pt>
                <c:pt idx="174">
                  <c:v>44223</c:v>
                </c:pt>
                <c:pt idx="175">
                  <c:v>44224</c:v>
                </c:pt>
                <c:pt idx="176">
                  <c:v>44225</c:v>
                </c:pt>
                <c:pt idx="177">
                  <c:v>44228</c:v>
                </c:pt>
                <c:pt idx="178">
                  <c:v>44229</c:v>
                </c:pt>
                <c:pt idx="179">
                  <c:v>44230</c:v>
                </c:pt>
                <c:pt idx="180">
                  <c:v>44231</c:v>
                </c:pt>
                <c:pt idx="181">
                  <c:v>44232</c:v>
                </c:pt>
                <c:pt idx="182">
                  <c:v>44235</c:v>
                </c:pt>
                <c:pt idx="183">
                  <c:v>44236</c:v>
                </c:pt>
                <c:pt idx="184">
                  <c:v>44237</c:v>
                </c:pt>
                <c:pt idx="185">
                  <c:v>44245</c:v>
                </c:pt>
                <c:pt idx="186">
                  <c:v>44246</c:v>
                </c:pt>
                <c:pt idx="187">
                  <c:v>44249</c:v>
                </c:pt>
                <c:pt idx="188">
                  <c:v>44250</c:v>
                </c:pt>
                <c:pt idx="189">
                  <c:v>44251</c:v>
                </c:pt>
                <c:pt idx="190">
                  <c:v>44252</c:v>
                </c:pt>
                <c:pt idx="191">
                  <c:v>44253</c:v>
                </c:pt>
                <c:pt idx="192">
                  <c:v>44256</c:v>
                </c:pt>
                <c:pt idx="193">
                  <c:v>44257</c:v>
                </c:pt>
                <c:pt idx="194">
                  <c:v>44258</c:v>
                </c:pt>
                <c:pt idx="195">
                  <c:v>44259</c:v>
                </c:pt>
                <c:pt idx="196">
                  <c:v>44260</c:v>
                </c:pt>
                <c:pt idx="197">
                  <c:v>44263</c:v>
                </c:pt>
                <c:pt idx="198">
                  <c:v>44264</c:v>
                </c:pt>
                <c:pt idx="199">
                  <c:v>44265</c:v>
                </c:pt>
                <c:pt idx="200">
                  <c:v>44266</c:v>
                </c:pt>
                <c:pt idx="201">
                  <c:v>44267</c:v>
                </c:pt>
                <c:pt idx="202">
                  <c:v>44270</c:v>
                </c:pt>
                <c:pt idx="203">
                  <c:v>44271</c:v>
                </c:pt>
                <c:pt idx="204">
                  <c:v>44272</c:v>
                </c:pt>
                <c:pt idx="205">
                  <c:v>44273</c:v>
                </c:pt>
                <c:pt idx="206">
                  <c:v>44274</c:v>
                </c:pt>
                <c:pt idx="207">
                  <c:v>44277</c:v>
                </c:pt>
                <c:pt idx="208">
                  <c:v>44278</c:v>
                </c:pt>
                <c:pt idx="209">
                  <c:v>44279</c:v>
                </c:pt>
                <c:pt idx="210">
                  <c:v>44280</c:v>
                </c:pt>
                <c:pt idx="211">
                  <c:v>44281</c:v>
                </c:pt>
                <c:pt idx="212">
                  <c:v>44284</c:v>
                </c:pt>
                <c:pt idx="213">
                  <c:v>44285</c:v>
                </c:pt>
                <c:pt idx="214">
                  <c:v>44286</c:v>
                </c:pt>
                <c:pt idx="215">
                  <c:v>44287</c:v>
                </c:pt>
                <c:pt idx="216">
                  <c:v>44288</c:v>
                </c:pt>
                <c:pt idx="217">
                  <c:v>44292</c:v>
                </c:pt>
                <c:pt idx="218">
                  <c:v>44293</c:v>
                </c:pt>
                <c:pt idx="219">
                  <c:v>44294</c:v>
                </c:pt>
                <c:pt idx="220">
                  <c:v>44295</c:v>
                </c:pt>
                <c:pt idx="221">
                  <c:v>44298</c:v>
                </c:pt>
                <c:pt idx="222">
                  <c:v>44299</c:v>
                </c:pt>
                <c:pt idx="223">
                  <c:v>44300</c:v>
                </c:pt>
                <c:pt idx="224">
                  <c:v>44301</c:v>
                </c:pt>
                <c:pt idx="225">
                  <c:v>44302</c:v>
                </c:pt>
                <c:pt idx="226">
                  <c:v>44305</c:v>
                </c:pt>
                <c:pt idx="227">
                  <c:v>44306</c:v>
                </c:pt>
                <c:pt idx="228">
                  <c:v>44307</c:v>
                </c:pt>
                <c:pt idx="229">
                  <c:v>44308</c:v>
                </c:pt>
                <c:pt idx="230">
                  <c:v>44309</c:v>
                </c:pt>
                <c:pt idx="231">
                  <c:v>44312</c:v>
                </c:pt>
                <c:pt idx="232">
                  <c:v>44313</c:v>
                </c:pt>
                <c:pt idx="233">
                  <c:v>44314</c:v>
                </c:pt>
                <c:pt idx="234">
                  <c:v>44315</c:v>
                </c:pt>
                <c:pt idx="235">
                  <c:v>44316</c:v>
                </c:pt>
                <c:pt idx="236">
                  <c:v>44322</c:v>
                </c:pt>
                <c:pt idx="237">
                  <c:v>44323</c:v>
                </c:pt>
                <c:pt idx="238">
                  <c:v>44326</c:v>
                </c:pt>
                <c:pt idx="239">
                  <c:v>44327</c:v>
                </c:pt>
                <c:pt idx="240">
                  <c:v>44328</c:v>
                </c:pt>
                <c:pt idx="241">
                  <c:v>44329</c:v>
                </c:pt>
                <c:pt idx="242">
                  <c:v>44330</c:v>
                </c:pt>
              </c:numCache>
            </c:numRef>
          </c:cat>
          <c:val>
            <c:numRef>
              <c:f>琅琊一号!$B$21:$B$263</c:f>
              <c:numCache>
                <c:formatCode>0.0000_ </c:formatCode>
                <c:ptCount val="243"/>
                <c:pt idx="0">
                  <c:v>1.0680000000000001</c:v>
                </c:pt>
                <c:pt idx="1">
                  <c:v>1.07</c:v>
                </c:pt>
                <c:pt idx="2">
                  <c:v>1.073</c:v>
                </c:pt>
                <c:pt idx="3">
                  <c:v>1.0780000000000001</c:v>
                </c:pt>
                <c:pt idx="4">
                  <c:v>1.075</c:v>
                </c:pt>
                <c:pt idx="5">
                  <c:v>1.0649999999999999</c:v>
                </c:pt>
                <c:pt idx="6">
                  <c:v>1.077</c:v>
                </c:pt>
                <c:pt idx="7">
                  <c:v>1.083</c:v>
                </c:pt>
                <c:pt idx="8">
                  <c:v>1.081</c:v>
                </c:pt>
                <c:pt idx="9">
                  <c:v>1.081</c:v>
                </c:pt>
                <c:pt idx="10">
                  <c:v>1.087</c:v>
                </c:pt>
                <c:pt idx="11">
                  <c:v>1.093</c:v>
                </c:pt>
                <c:pt idx="12">
                  <c:v>1.087</c:v>
                </c:pt>
                <c:pt idx="13">
                  <c:v>1.091</c:v>
                </c:pt>
                <c:pt idx="14">
                  <c:v>1.0940000000000001</c:v>
                </c:pt>
                <c:pt idx="15">
                  <c:v>1.0920000000000001</c:v>
                </c:pt>
                <c:pt idx="16">
                  <c:v>1.0900000000000001</c:v>
                </c:pt>
                <c:pt idx="17">
                  <c:v>1.0900000000000001</c:v>
                </c:pt>
                <c:pt idx="18">
                  <c:v>1.093</c:v>
                </c:pt>
                <c:pt idx="19">
                  <c:v>1.0940000000000001</c:v>
                </c:pt>
                <c:pt idx="20">
                  <c:v>1.095</c:v>
                </c:pt>
                <c:pt idx="21">
                  <c:v>1.091</c:v>
                </c:pt>
                <c:pt idx="22">
                  <c:v>1.0980000000000001</c:v>
                </c:pt>
                <c:pt idx="23">
                  <c:v>1.0980000000000001</c:v>
                </c:pt>
                <c:pt idx="24">
                  <c:v>1.095</c:v>
                </c:pt>
                <c:pt idx="25">
                  <c:v>1.089</c:v>
                </c:pt>
                <c:pt idx="26">
                  <c:v>1.0860000000000001</c:v>
                </c:pt>
                <c:pt idx="27">
                  <c:v>1.097</c:v>
                </c:pt>
                <c:pt idx="28">
                  <c:v>1.093</c:v>
                </c:pt>
                <c:pt idx="29">
                  <c:v>1.0940000000000001</c:v>
                </c:pt>
                <c:pt idx="30">
                  <c:v>1.095</c:v>
                </c:pt>
                <c:pt idx="31">
                  <c:v>1.0920000000000001</c:v>
                </c:pt>
                <c:pt idx="32">
                  <c:v>1.089</c:v>
                </c:pt>
                <c:pt idx="33">
                  <c:v>1.0920000000000001</c:v>
                </c:pt>
                <c:pt idx="34">
                  <c:v>1.0760000000000001</c:v>
                </c:pt>
                <c:pt idx="35">
                  <c:v>1.073</c:v>
                </c:pt>
                <c:pt idx="36">
                  <c:v>1.0860000000000001</c:v>
                </c:pt>
                <c:pt idx="37">
                  <c:v>1.093</c:v>
                </c:pt>
                <c:pt idx="38">
                  <c:v>1.087</c:v>
                </c:pt>
                <c:pt idx="39">
                  <c:v>1.0880000000000001</c:v>
                </c:pt>
                <c:pt idx="40">
                  <c:v>1.0860000000000001</c:v>
                </c:pt>
                <c:pt idx="41">
                  <c:v>1.093</c:v>
                </c:pt>
                <c:pt idx="42">
                  <c:v>1.0900000000000001</c:v>
                </c:pt>
                <c:pt idx="43">
                  <c:v>1.1000000000000001</c:v>
                </c:pt>
                <c:pt idx="44">
                  <c:v>1.1000000000000001</c:v>
                </c:pt>
                <c:pt idx="45">
                  <c:v>1.1040000000000001</c:v>
                </c:pt>
                <c:pt idx="46">
                  <c:v>1.0980000000000001</c:v>
                </c:pt>
                <c:pt idx="47">
                  <c:v>1.1040000000000001</c:v>
                </c:pt>
                <c:pt idx="48">
                  <c:v>1.1040000000000001</c:v>
                </c:pt>
                <c:pt idx="49">
                  <c:v>1.101</c:v>
                </c:pt>
                <c:pt idx="50">
                  <c:v>1.107</c:v>
                </c:pt>
                <c:pt idx="51">
                  <c:v>1.1000000000000001</c:v>
                </c:pt>
                <c:pt idx="52">
                  <c:v>1.1020000000000001</c:v>
                </c:pt>
                <c:pt idx="53">
                  <c:v>1.1020000000000001</c:v>
                </c:pt>
                <c:pt idx="54">
                  <c:v>1.1060000000000001</c:v>
                </c:pt>
                <c:pt idx="55">
                  <c:v>1.1080000000000001</c:v>
                </c:pt>
                <c:pt idx="56">
                  <c:v>1.1100000000000001</c:v>
                </c:pt>
                <c:pt idx="57">
                  <c:v>1.109</c:v>
                </c:pt>
                <c:pt idx="58">
                  <c:v>1.107</c:v>
                </c:pt>
                <c:pt idx="59">
                  <c:v>1.105</c:v>
                </c:pt>
                <c:pt idx="60">
                  <c:v>1.1080000000000001</c:v>
                </c:pt>
                <c:pt idx="61">
                  <c:v>1.1080000000000001</c:v>
                </c:pt>
                <c:pt idx="62">
                  <c:v>1.1080000000000001</c:v>
                </c:pt>
                <c:pt idx="63">
                  <c:v>1.109</c:v>
                </c:pt>
                <c:pt idx="64">
                  <c:v>1.101</c:v>
                </c:pt>
                <c:pt idx="65">
                  <c:v>1.103</c:v>
                </c:pt>
                <c:pt idx="66">
                  <c:v>1.1040000000000001</c:v>
                </c:pt>
                <c:pt idx="67">
                  <c:v>1.1060000000000001</c:v>
                </c:pt>
                <c:pt idx="68">
                  <c:v>1.109</c:v>
                </c:pt>
                <c:pt idx="69">
                  <c:v>1.115</c:v>
                </c:pt>
                <c:pt idx="70">
                  <c:v>1.1180000000000001</c:v>
                </c:pt>
                <c:pt idx="71">
                  <c:v>1.123</c:v>
                </c:pt>
                <c:pt idx="72">
                  <c:v>1.1240000000000001</c:v>
                </c:pt>
                <c:pt idx="73">
                  <c:v>1.1160000000000001</c:v>
                </c:pt>
                <c:pt idx="74">
                  <c:v>1.111</c:v>
                </c:pt>
                <c:pt idx="75">
                  <c:v>1.1160000000000001</c:v>
                </c:pt>
                <c:pt idx="76">
                  <c:v>1.1220000000000001</c:v>
                </c:pt>
                <c:pt idx="77">
                  <c:v>1.1180000000000001</c:v>
                </c:pt>
                <c:pt idx="78">
                  <c:v>1.1160000000000001</c:v>
                </c:pt>
                <c:pt idx="79">
                  <c:v>1.117</c:v>
                </c:pt>
                <c:pt idx="80">
                  <c:v>1.1120000000000001</c:v>
                </c:pt>
                <c:pt idx="81">
                  <c:v>1.1160000000000001</c:v>
                </c:pt>
                <c:pt idx="82">
                  <c:v>1.115</c:v>
                </c:pt>
                <c:pt idx="83">
                  <c:v>1.119</c:v>
                </c:pt>
                <c:pt idx="84">
                  <c:v>1.1200000000000001</c:v>
                </c:pt>
                <c:pt idx="85">
                  <c:v>1.121</c:v>
                </c:pt>
                <c:pt idx="86">
                  <c:v>1.1240000000000001</c:v>
                </c:pt>
                <c:pt idx="87">
                  <c:v>1.123</c:v>
                </c:pt>
                <c:pt idx="88">
                  <c:v>1.119</c:v>
                </c:pt>
                <c:pt idx="89">
                  <c:v>1.115</c:v>
                </c:pt>
                <c:pt idx="90">
                  <c:v>1.1200000000000001</c:v>
                </c:pt>
                <c:pt idx="91">
                  <c:v>1.1220000000000001</c:v>
                </c:pt>
                <c:pt idx="92">
                  <c:v>1.119</c:v>
                </c:pt>
                <c:pt idx="93">
                  <c:v>1.117</c:v>
                </c:pt>
                <c:pt idx="94">
                  <c:v>1.1220000000000001</c:v>
                </c:pt>
                <c:pt idx="95">
                  <c:v>1.119</c:v>
                </c:pt>
                <c:pt idx="96">
                  <c:v>1.123</c:v>
                </c:pt>
                <c:pt idx="97">
                  <c:v>1.1279999999999999</c:v>
                </c:pt>
                <c:pt idx="98">
                  <c:v>1.1259999999999999</c:v>
                </c:pt>
                <c:pt idx="99">
                  <c:v>1.1259999999999999</c:v>
                </c:pt>
                <c:pt idx="100">
                  <c:v>1.131</c:v>
                </c:pt>
                <c:pt idx="101">
                  <c:v>1.1259999999999999</c:v>
                </c:pt>
                <c:pt idx="102">
                  <c:v>1.129</c:v>
                </c:pt>
                <c:pt idx="103">
                  <c:v>1.127</c:v>
                </c:pt>
                <c:pt idx="104">
                  <c:v>1.1279999999999999</c:v>
                </c:pt>
                <c:pt idx="105">
                  <c:v>1.1279999999999999</c:v>
                </c:pt>
                <c:pt idx="106">
                  <c:v>1.1279999999999999</c:v>
                </c:pt>
                <c:pt idx="107">
                  <c:v>1.1279999999999999</c:v>
                </c:pt>
                <c:pt idx="108">
                  <c:v>1.127</c:v>
                </c:pt>
                <c:pt idx="109">
                  <c:v>1.1259999999999999</c:v>
                </c:pt>
                <c:pt idx="110">
                  <c:v>1.1259999999999999</c:v>
                </c:pt>
                <c:pt idx="111">
                  <c:v>1.1279999999999999</c:v>
                </c:pt>
                <c:pt idx="112">
                  <c:v>1.127</c:v>
                </c:pt>
                <c:pt idx="113">
                  <c:v>1.1259999999999999</c:v>
                </c:pt>
                <c:pt idx="114">
                  <c:v>1.1279999999999999</c:v>
                </c:pt>
                <c:pt idx="115">
                  <c:v>1.1279999999999999</c:v>
                </c:pt>
                <c:pt idx="116">
                  <c:v>1.1319999999999999</c:v>
                </c:pt>
                <c:pt idx="117">
                  <c:v>1.1279999999999999</c:v>
                </c:pt>
                <c:pt idx="118">
                  <c:v>1.129</c:v>
                </c:pt>
                <c:pt idx="119">
                  <c:v>1.1259999999999999</c:v>
                </c:pt>
                <c:pt idx="120">
                  <c:v>1.121</c:v>
                </c:pt>
                <c:pt idx="121">
                  <c:v>1.1259999999999999</c:v>
                </c:pt>
                <c:pt idx="122">
                  <c:v>1.131</c:v>
                </c:pt>
                <c:pt idx="123">
                  <c:v>1.1319999999999999</c:v>
                </c:pt>
                <c:pt idx="124">
                  <c:v>1.131</c:v>
                </c:pt>
                <c:pt idx="125">
                  <c:v>1.1319999999999999</c:v>
                </c:pt>
                <c:pt idx="126">
                  <c:v>1.1279999999999999</c:v>
                </c:pt>
                <c:pt idx="127">
                  <c:v>1.1299999999999999</c:v>
                </c:pt>
                <c:pt idx="128">
                  <c:v>1.1279999999999999</c:v>
                </c:pt>
                <c:pt idx="129">
                  <c:v>1.125</c:v>
                </c:pt>
                <c:pt idx="130">
                  <c:v>1.1220000000000001</c:v>
                </c:pt>
                <c:pt idx="131">
                  <c:v>1.133</c:v>
                </c:pt>
                <c:pt idx="132">
                  <c:v>1.1299999999999999</c:v>
                </c:pt>
                <c:pt idx="133">
                  <c:v>1.1299999999999999</c:v>
                </c:pt>
                <c:pt idx="134">
                  <c:v>1.127</c:v>
                </c:pt>
                <c:pt idx="135">
                  <c:v>1.125</c:v>
                </c:pt>
                <c:pt idx="136">
                  <c:v>1.1279999999999999</c:v>
                </c:pt>
                <c:pt idx="137">
                  <c:v>1.129</c:v>
                </c:pt>
                <c:pt idx="138">
                  <c:v>1.1299999999999999</c:v>
                </c:pt>
                <c:pt idx="139">
                  <c:v>1.133</c:v>
                </c:pt>
                <c:pt idx="140">
                  <c:v>1.1339999999999999</c:v>
                </c:pt>
                <c:pt idx="141">
                  <c:v>1.1339999999999999</c:v>
                </c:pt>
                <c:pt idx="142">
                  <c:v>1.139</c:v>
                </c:pt>
                <c:pt idx="143">
                  <c:v>1.135</c:v>
                </c:pt>
                <c:pt idx="144">
                  <c:v>1.131</c:v>
                </c:pt>
                <c:pt idx="145">
                  <c:v>1.133</c:v>
                </c:pt>
                <c:pt idx="146">
                  <c:v>1.1319999999999999</c:v>
                </c:pt>
                <c:pt idx="147">
                  <c:v>1.1279999999999999</c:v>
                </c:pt>
                <c:pt idx="148">
                  <c:v>1.1259999999999999</c:v>
                </c:pt>
                <c:pt idx="149">
                  <c:v>1.1319999999999999</c:v>
                </c:pt>
                <c:pt idx="150">
                  <c:v>1.131</c:v>
                </c:pt>
                <c:pt idx="151">
                  <c:v>1.1279999999999999</c:v>
                </c:pt>
                <c:pt idx="152">
                  <c:v>1.125</c:v>
                </c:pt>
                <c:pt idx="153">
                  <c:v>1.121</c:v>
                </c:pt>
                <c:pt idx="154">
                  <c:v>1.125</c:v>
                </c:pt>
                <c:pt idx="155">
                  <c:v>1.1279999999999999</c:v>
                </c:pt>
                <c:pt idx="156">
                  <c:v>1.129</c:v>
                </c:pt>
                <c:pt idx="157">
                  <c:v>1.1240000000000001</c:v>
                </c:pt>
                <c:pt idx="158">
                  <c:v>1.121</c:v>
                </c:pt>
                <c:pt idx="159">
                  <c:v>1.1220000000000001</c:v>
                </c:pt>
                <c:pt idx="160">
                  <c:v>1.1160000000000001</c:v>
                </c:pt>
                <c:pt idx="161">
                  <c:v>1.1140000000000001</c:v>
                </c:pt>
                <c:pt idx="162">
                  <c:v>1.1200000000000001</c:v>
                </c:pt>
                <c:pt idx="163">
                  <c:v>1.121</c:v>
                </c:pt>
                <c:pt idx="164">
                  <c:v>1.1180000000000001</c:v>
                </c:pt>
                <c:pt idx="165">
                  <c:v>1.125</c:v>
                </c:pt>
                <c:pt idx="166">
                  <c:v>1.1259999999999999</c:v>
                </c:pt>
                <c:pt idx="167">
                  <c:v>1.1259999999999999</c:v>
                </c:pt>
                <c:pt idx="168">
                  <c:v>1.1319999999999999</c:v>
                </c:pt>
                <c:pt idx="169">
                  <c:v>1.137</c:v>
                </c:pt>
                <c:pt idx="170">
                  <c:v>1.1299999999999999</c:v>
                </c:pt>
                <c:pt idx="171">
                  <c:v>1.1339999999999999</c:v>
                </c:pt>
                <c:pt idx="172">
                  <c:v>1.1479999999999999</c:v>
                </c:pt>
                <c:pt idx="173">
                  <c:v>1.1439999999999999</c:v>
                </c:pt>
                <c:pt idx="174">
                  <c:v>1.1379999999999999</c:v>
                </c:pt>
                <c:pt idx="175">
                  <c:v>1.1419999999999999</c:v>
                </c:pt>
                <c:pt idx="176">
                  <c:v>1.1419999999999999</c:v>
                </c:pt>
                <c:pt idx="177">
                  <c:v>1.149</c:v>
                </c:pt>
                <c:pt idx="178">
                  <c:v>1.1499999999999999</c:v>
                </c:pt>
                <c:pt idx="179">
                  <c:v>1.155</c:v>
                </c:pt>
                <c:pt idx="180">
                  <c:v>1.1619999999999999</c:v>
                </c:pt>
                <c:pt idx="181">
                  <c:v>1.161</c:v>
                </c:pt>
                <c:pt idx="182">
                  <c:v>1.1619999999999999</c:v>
                </c:pt>
                <c:pt idx="183">
                  <c:v>1.1539999999999999</c:v>
                </c:pt>
                <c:pt idx="184">
                  <c:v>1.157</c:v>
                </c:pt>
                <c:pt idx="185">
                  <c:v>1.157</c:v>
                </c:pt>
                <c:pt idx="186">
                  <c:v>1.163</c:v>
                </c:pt>
                <c:pt idx="187">
                  <c:v>1.1539999999999999</c:v>
                </c:pt>
                <c:pt idx="188">
                  <c:v>1.1579999999999999</c:v>
                </c:pt>
                <c:pt idx="189">
                  <c:v>1.157</c:v>
                </c:pt>
                <c:pt idx="190">
                  <c:v>1.1579999999999999</c:v>
                </c:pt>
                <c:pt idx="191">
                  <c:v>1.1559999999999999</c:v>
                </c:pt>
                <c:pt idx="192">
                  <c:v>1.161</c:v>
                </c:pt>
                <c:pt idx="193">
                  <c:v>1.1599999999999999</c:v>
                </c:pt>
                <c:pt idx="194">
                  <c:v>1.165</c:v>
                </c:pt>
                <c:pt idx="195">
                  <c:v>1.1619999999999999</c:v>
                </c:pt>
                <c:pt idx="196">
                  <c:v>1.159</c:v>
                </c:pt>
                <c:pt idx="197">
                  <c:v>1.1619999999999999</c:v>
                </c:pt>
                <c:pt idx="198">
                  <c:v>1.1719999999999999</c:v>
                </c:pt>
                <c:pt idx="199">
                  <c:v>1.173</c:v>
                </c:pt>
                <c:pt idx="200">
                  <c:v>1.1759999999999999</c:v>
                </c:pt>
                <c:pt idx="201">
                  <c:v>1.169</c:v>
                </c:pt>
                <c:pt idx="202">
                  <c:v>1.17</c:v>
                </c:pt>
                <c:pt idx="203">
                  <c:v>1.175</c:v>
                </c:pt>
                <c:pt idx="204">
                  <c:v>1.1739999999999999</c:v>
                </c:pt>
                <c:pt idx="205">
                  <c:v>1.177</c:v>
                </c:pt>
                <c:pt idx="206">
                  <c:v>1.18</c:v>
                </c:pt>
                <c:pt idx="207">
                  <c:v>1.18</c:v>
                </c:pt>
                <c:pt idx="208">
                  <c:v>1.175</c:v>
                </c:pt>
                <c:pt idx="209">
                  <c:v>1.175</c:v>
                </c:pt>
                <c:pt idx="210">
                  <c:v>1.17</c:v>
                </c:pt>
                <c:pt idx="211">
                  <c:v>1.17</c:v>
                </c:pt>
                <c:pt idx="212">
                  <c:v>1.167</c:v>
                </c:pt>
                <c:pt idx="213">
                  <c:v>1.17</c:v>
                </c:pt>
                <c:pt idx="214">
                  <c:v>1.169</c:v>
                </c:pt>
                <c:pt idx="215">
                  <c:v>1.1759999999999999</c:v>
                </c:pt>
                <c:pt idx="216">
                  <c:v>1.1779999999999999</c:v>
                </c:pt>
                <c:pt idx="217">
                  <c:v>1.1779999999999999</c:v>
                </c:pt>
                <c:pt idx="218">
                  <c:v>1.17</c:v>
                </c:pt>
                <c:pt idx="219">
                  <c:v>1.169</c:v>
                </c:pt>
                <c:pt idx="220">
                  <c:v>1.1679999999999999</c:v>
                </c:pt>
                <c:pt idx="221">
                  <c:v>1.1719999999999999</c:v>
                </c:pt>
                <c:pt idx="222">
                  <c:v>1.1659999999999999</c:v>
                </c:pt>
                <c:pt idx="223">
                  <c:v>1.17</c:v>
                </c:pt>
                <c:pt idx="224">
                  <c:v>1.17</c:v>
                </c:pt>
                <c:pt idx="225">
                  <c:v>1.173</c:v>
                </c:pt>
                <c:pt idx="226">
                  <c:v>1.167</c:v>
                </c:pt>
                <c:pt idx="227">
                  <c:v>1.167</c:v>
                </c:pt>
                <c:pt idx="228">
                  <c:v>1.159</c:v>
                </c:pt>
                <c:pt idx="229">
                  <c:v>1.1619999999999999</c:v>
                </c:pt>
                <c:pt idx="230">
                  <c:v>1.1619999999999999</c:v>
                </c:pt>
                <c:pt idx="231">
                  <c:v>1.161</c:v>
                </c:pt>
                <c:pt idx="232">
                  <c:v>1.1599999999999999</c:v>
                </c:pt>
                <c:pt idx="233">
                  <c:v>1.157</c:v>
                </c:pt>
                <c:pt idx="234">
                  <c:v>1.155</c:v>
                </c:pt>
                <c:pt idx="235">
                  <c:v>1.1519999999999999</c:v>
                </c:pt>
                <c:pt idx="236">
                  <c:v>1.1499999999999999</c:v>
                </c:pt>
                <c:pt idx="237">
                  <c:v>1.1499999999999999</c:v>
                </c:pt>
                <c:pt idx="238">
                  <c:v>1.147</c:v>
                </c:pt>
                <c:pt idx="239">
                  <c:v>1.147</c:v>
                </c:pt>
                <c:pt idx="240">
                  <c:v>1.1479999999999999</c:v>
                </c:pt>
                <c:pt idx="241">
                  <c:v>1.147</c:v>
                </c:pt>
                <c:pt idx="242">
                  <c:v>1.1419999999999999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27-4A66-9609-25DADF80C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099824"/>
        <c:axId val="545100384"/>
      </c:lineChart>
      <c:catAx>
        <c:axId val="54509982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crossAx val="545100384"/>
        <c:crosses val="autoZero"/>
        <c:auto val="0"/>
        <c:lblAlgn val="ctr"/>
        <c:lblOffset val="100"/>
        <c:noMultiLvlLbl val="1"/>
      </c:catAx>
      <c:valAx>
        <c:axId val="545100384"/>
        <c:scaling>
          <c:orientation val="minMax"/>
          <c:min val="1.06"/>
        </c:scaling>
        <c:delete val="0"/>
        <c:axPos val="l"/>
        <c:majorGridlines/>
        <c:numFmt formatCode="0.0000_ " sourceLinked="1"/>
        <c:majorTickMark val="none"/>
        <c:minorTickMark val="none"/>
        <c:tickLblPos val="nextTo"/>
        <c:spPr>
          <a:ln w="9525">
            <a:noFill/>
          </a:ln>
        </c:spPr>
        <c:crossAx val="54509982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4" l="0.70000000000000062" r="0.70000000000000062" t="0.750000000000004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 sz="1600"/>
              <a:t>琅琊二号</a:t>
            </a:r>
            <a:endParaRPr lang="en-US" altLang="zh-CN" sz="16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琅琊二号!$B$20</c:f>
              <c:strCache>
                <c:ptCount val="1"/>
                <c:pt idx="0">
                  <c:v>累计净值</c:v>
                </c:pt>
              </c:strCache>
            </c:strRef>
          </c:tx>
          <c:marker>
            <c:symbol val="none"/>
          </c:marker>
          <c:cat>
            <c:numRef>
              <c:f>琅琊二号!$A$21:$A$324</c:f>
              <c:numCache>
                <c:formatCode>m/d/yyyy</c:formatCode>
                <c:ptCount val="304"/>
                <c:pt idx="0">
                  <c:v>43878</c:v>
                </c:pt>
                <c:pt idx="1">
                  <c:v>43879</c:v>
                </c:pt>
                <c:pt idx="2">
                  <c:v>43880</c:v>
                </c:pt>
                <c:pt idx="3">
                  <c:v>43881</c:v>
                </c:pt>
                <c:pt idx="4">
                  <c:v>43882</c:v>
                </c:pt>
                <c:pt idx="5">
                  <c:v>43885</c:v>
                </c:pt>
                <c:pt idx="6">
                  <c:v>43886</c:v>
                </c:pt>
                <c:pt idx="7">
                  <c:v>43887</c:v>
                </c:pt>
                <c:pt idx="8">
                  <c:v>43888</c:v>
                </c:pt>
                <c:pt idx="9">
                  <c:v>43889</c:v>
                </c:pt>
                <c:pt idx="10">
                  <c:v>43892</c:v>
                </c:pt>
                <c:pt idx="11">
                  <c:v>43893</c:v>
                </c:pt>
                <c:pt idx="12">
                  <c:v>43894</c:v>
                </c:pt>
                <c:pt idx="13">
                  <c:v>43895</c:v>
                </c:pt>
                <c:pt idx="14">
                  <c:v>43896</c:v>
                </c:pt>
                <c:pt idx="15">
                  <c:v>43899</c:v>
                </c:pt>
                <c:pt idx="16">
                  <c:v>43900</c:v>
                </c:pt>
                <c:pt idx="17">
                  <c:v>43901</c:v>
                </c:pt>
                <c:pt idx="18">
                  <c:v>43902</c:v>
                </c:pt>
                <c:pt idx="19">
                  <c:v>43903</c:v>
                </c:pt>
                <c:pt idx="20">
                  <c:v>43906</c:v>
                </c:pt>
                <c:pt idx="21">
                  <c:v>43907</c:v>
                </c:pt>
                <c:pt idx="22">
                  <c:v>43908</c:v>
                </c:pt>
                <c:pt idx="23">
                  <c:v>43909</c:v>
                </c:pt>
                <c:pt idx="24">
                  <c:v>43910</c:v>
                </c:pt>
                <c:pt idx="25">
                  <c:v>43913</c:v>
                </c:pt>
                <c:pt idx="26">
                  <c:v>43914</c:v>
                </c:pt>
                <c:pt idx="27">
                  <c:v>43915</c:v>
                </c:pt>
                <c:pt idx="28">
                  <c:v>43916</c:v>
                </c:pt>
                <c:pt idx="29">
                  <c:v>43917</c:v>
                </c:pt>
                <c:pt idx="30">
                  <c:v>43920</c:v>
                </c:pt>
                <c:pt idx="31">
                  <c:v>43921</c:v>
                </c:pt>
                <c:pt idx="32">
                  <c:v>43922</c:v>
                </c:pt>
                <c:pt idx="33">
                  <c:v>43923</c:v>
                </c:pt>
                <c:pt idx="34">
                  <c:v>43924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43934</c:v>
                </c:pt>
                <c:pt idx="40">
                  <c:v>43935</c:v>
                </c:pt>
                <c:pt idx="41">
                  <c:v>43936</c:v>
                </c:pt>
                <c:pt idx="42">
                  <c:v>43937</c:v>
                </c:pt>
                <c:pt idx="43">
                  <c:v>43938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43948</c:v>
                </c:pt>
                <c:pt idx="50">
                  <c:v>43949</c:v>
                </c:pt>
                <c:pt idx="51">
                  <c:v>43950</c:v>
                </c:pt>
                <c:pt idx="52">
                  <c:v>43951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43962</c:v>
                </c:pt>
                <c:pt idx="57">
                  <c:v>43963</c:v>
                </c:pt>
                <c:pt idx="58">
                  <c:v>43964</c:v>
                </c:pt>
                <c:pt idx="59">
                  <c:v>43965</c:v>
                </c:pt>
                <c:pt idx="60">
                  <c:v>43966</c:v>
                </c:pt>
                <c:pt idx="61">
                  <c:v>43969</c:v>
                </c:pt>
                <c:pt idx="62">
                  <c:v>43970</c:v>
                </c:pt>
                <c:pt idx="63">
                  <c:v>43971</c:v>
                </c:pt>
                <c:pt idx="64">
                  <c:v>43972</c:v>
                </c:pt>
                <c:pt idx="65">
                  <c:v>43973</c:v>
                </c:pt>
                <c:pt idx="66">
                  <c:v>43976</c:v>
                </c:pt>
                <c:pt idx="67">
                  <c:v>43977</c:v>
                </c:pt>
                <c:pt idx="68">
                  <c:v>43978</c:v>
                </c:pt>
                <c:pt idx="69">
                  <c:v>43979</c:v>
                </c:pt>
                <c:pt idx="70">
                  <c:v>43980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43990</c:v>
                </c:pt>
                <c:pt idx="77">
                  <c:v>43991</c:v>
                </c:pt>
                <c:pt idx="78">
                  <c:v>43992</c:v>
                </c:pt>
                <c:pt idx="79">
                  <c:v>43993</c:v>
                </c:pt>
                <c:pt idx="80">
                  <c:v>43994</c:v>
                </c:pt>
                <c:pt idx="81">
                  <c:v>43997</c:v>
                </c:pt>
                <c:pt idx="82">
                  <c:v>43998</c:v>
                </c:pt>
                <c:pt idx="83">
                  <c:v>43999</c:v>
                </c:pt>
                <c:pt idx="84">
                  <c:v>44000</c:v>
                </c:pt>
                <c:pt idx="85">
                  <c:v>44001</c:v>
                </c:pt>
                <c:pt idx="86">
                  <c:v>44004</c:v>
                </c:pt>
                <c:pt idx="87">
                  <c:v>44005</c:v>
                </c:pt>
                <c:pt idx="88">
                  <c:v>44006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44018</c:v>
                </c:pt>
                <c:pt idx="95">
                  <c:v>44019</c:v>
                </c:pt>
                <c:pt idx="96">
                  <c:v>44020</c:v>
                </c:pt>
                <c:pt idx="97">
                  <c:v>44021</c:v>
                </c:pt>
                <c:pt idx="98">
                  <c:v>44022</c:v>
                </c:pt>
                <c:pt idx="99">
                  <c:v>44025</c:v>
                </c:pt>
                <c:pt idx="100">
                  <c:v>44026</c:v>
                </c:pt>
                <c:pt idx="101">
                  <c:v>44027</c:v>
                </c:pt>
                <c:pt idx="102">
                  <c:v>44028</c:v>
                </c:pt>
                <c:pt idx="103">
                  <c:v>44029</c:v>
                </c:pt>
                <c:pt idx="104">
                  <c:v>44032</c:v>
                </c:pt>
                <c:pt idx="105">
                  <c:v>44033</c:v>
                </c:pt>
                <c:pt idx="106">
                  <c:v>44034</c:v>
                </c:pt>
                <c:pt idx="107">
                  <c:v>44035</c:v>
                </c:pt>
                <c:pt idx="108">
                  <c:v>44036</c:v>
                </c:pt>
                <c:pt idx="109">
                  <c:v>44039</c:v>
                </c:pt>
                <c:pt idx="110">
                  <c:v>44040</c:v>
                </c:pt>
                <c:pt idx="111">
                  <c:v>44041</c:v>
                </c:pt>
                <c:pt idx="112">
                  <c:v>44042</c:v>
                </c:pt>
                <c:pt idx="113">
                  <c:v>44043</c:v>
                </c:pt>
                <c:pt idx="114">
                  <c:v>44046</c:v>
                </c:pt>
                <c:pt idx="115">
                  <c:v>44047</c:v>
                </c:pt>
                <c:pt idx="116">
                  <c:v>44048</c:v>
                </c:pt>
                <c:pt idx="117">
                  <c:v>44049</c:v>
                </c:pt>
                <c:pt idx="118">
                  <c:v>44050</c:v>
                </c:pt>
                <c:pt idx="119">
                  <c:v>44053</c:v>
                </c:pt>
                <c:pt idx="120">
                  <c:v>44054</c:v>
                </c:pt>
                <c:pt idx="121">
                  <c:v>44055</c:v>
                </c:pt>
                <c:pt idx="122">
                  <c:v>44056</c:v>
                </c:pt>
                <c:pt idx="123">
                  <c:v>44057</c:v>
                </c:pt>
                <c:pt idx="124">
                  <c:v>44060</c:v>
                </c:pt>
                <c:pt idx="125">
                  <c:v>44061</c:v>
                </c:pt>
                <c:pt idx="126">
                  <c:v>44062</c:v>
                </c:pt>
                <c:pt idx="127">
                  <c:v>44063</c:v>
                </c:pt>
                <c:pt idx="128">
                  <c:v>44064</c:v>
                </c:pt>
                <c:pt idx="129">
                  <c:v>44067</c:v>
                </c:pt>
                <c:pt idx="130">
                  <c:v>44068</c:v>
                </c:pt>
                <c:pt idx="131">
                  <c:v>44069</c:v>
                </c:pt>
                <c:pt idx="132">
                  <c:v>44070</c:v>
                </c:pt>
                <c:pt idx="133">
                  <c:v>44071</c:v>
                </c:pt>
                <c:pt idx="134">
                  <c:v>44074</c:v>
                </c:pt>
                <c:pt idx="135">
                  <c:v>44075</c:v>
                </c:pt>
                <c:pt idx="136">
                  <c:v>44076</c:v>
                </c:pt>
                <c:pt idx="137">
                  <c:v>44077</c:v>
                </c:pt>
                <c:pt idx="138">
                  <c:v>44078</c:v>
                </c:pt>
                <c:pt idx="139">
                  <c:v>44081</c:v>
                </c:pt>
                <c:pt idx="140">
                  <c:v>44082</c:v>
                </c:pt>
                <c:pt idx="141">
                  <c:v>44083</c:v>
                </c:pt>
                <c:pt idx="142">
                  <c:v>44084</c:v>
                </c:pt>
                <c:pt idx="143">
                  <c:v>44085</c:v>
                </c:pt>
                <c:pt idx="144">
                  <c:v>44088</c:v>
                </c:pt>
                <c:pt idx="145">
                  <c:v>44089</c:v>
                </c:pt>
                <c:pt idx="146">
                  <c:v>44090</c:v>
                </c:pt>
                <c:pt idx="147">
                  <c:v>44091</c:v>
                </c:pt>
                <c:pt idx="148">
                  <c:v>44092</c:v>
                </c:pt>
                <c:pt idx="149">
                  <c:v>44095</c:v>
                </c:pt>
                <c:pt idx="150">
                  <c:v>44096</c:v>
                </c:pt>
                <c:pt idx="151">
                  <c:v>44097</c:v>
                </c:pt>
                <c:pt idx="152">
                  <c:v>44098</c:v>
                </c:pt>
                <c:pt idx="153">
                  <c:v>44099</c:v>
                </c:pt>
                <c:pt idx="154">
                  <c:v>44102</c:v>
                </c:pt>
                <c:pt idx="155">
                  <c:v>44103</c:v>
                </c:pt>
                <c:pt idx="156">
                  <c:v>44104</c:v>
                </c:pt>
                <c:pt idx="157">
                  <c:v>44113</c:v>
                </c:pt>
                <c:pt idx="158">
                  <c:v>44116</c:v>
                </c:pt>
                <c:pt idx="159">
                  <c:v>44117</c:v>
                </c:pt>
                <c:pt idx="160">
                  <c:v>44118</c:v>
                </c:pt>
                <c:pt idx="161">
                  <c:v>44119</c:v>
                </c:pt>
                <c:pt idx="162">
                  <c:v>44120</c:v>
                </c:pt>
                <c:pt idx="163">
                  <c:v>44123</c:v>
                </c:pt>
                <c:pt idx="164">
                  <c:v>44124</c:v>
                </c:pt>
                <c:pt idx="165">
                  <c:v>44125</c:v>
                </c:pt>
                <c:pt idx="166">
                  <c:v>44126</c:v>
                </c:pt>
                <c:pt idx="167">
                  <c:v>44127</c:v>
                </c:pt>
                <c:pt idx="168">
                  <c:v>44130</c:v>
                </c:pt>
                <c:pt idx="169">
                  <c:v>44131</c:v>
                </c:pt>
                <c:pt idx="170">
                  <c:v>44132</c:v>
                </c:pt>
                <c:pt idx="171">
                  <c:v>44133</c:v>
                </c:pt>
                <c:pt idx="172">
                  <c:v>44134</c:v>
                </c:pt>
                <c:pt idx="173">
                  <c:v>44137</c:v>
                </c:pt>
                <c:pt idx="174">
                  <c:v>44138</c:v>
                </c:pt>
                <c:pt idx="175">
                  <c:v>44139</c:v>
                </c:pt>
                <c:pt idx="176">
                  <c:v>44140</c:v>
                </c:pt>
                <c:pt idx="177">
                  <c:v>44141</c:v>
                </c:pt>
                <c:pt idx="178">
                  <c:v>44144</c:v>
                </c:pt>
                <c:pt idx="179">
                  <c:v>44145</c:v>
                </c:pt>
                <c:pt idx="180">
                  <c:v>44146</c:v>
                </c:pt>
                <c:pt idx="181">
                  <c:v>44147</c:v>
                </c:pt>
                <c:pt idx="182">
                  <c:v>44148</c:v>
                </c:pt>
                <c:pt idx="183">
                  <c:v>44151</c:v>
                </c:pt>
                <c:pt idx="184">
                  <c:v>44152</c:v>
                </c:pt>
                <c:pt idx="185">
                  <c:v>44153</c:v>
                </c:pt>
                <c:pt idx="186">
                  <c:v>44154</c:v>
                </c:pt>
                <c:pt idx="187">
                  <c:v>44155</c:v>
                </c:pt>
                <c:pt idx="188">
                  <c:v>44158</c:v>
                </c:pt>
                <c:pt idx="189">
                  <c:v>44159</c:v>
                </c:pt>
                <c:pt idx="190">
                  <c:v>44160</c:v>
                </c:pt>
                <c:pt idx="191">
                  <c:v>44161</c:v>
                </c:pt>
                <c:pt idx="192">
                  <c:v>44162</c:v>
                </c:pt>
                <c:pt idx="193">
                  <c:v>44165</c:v>
                </c:pt>
                <c:pt idx="194">
                  <c:v>44166</c:v>
                </c:pt>
                <c:pt idx="195">
                  <c:v>44167</c:v>
                </c:pt>
                <c:pt idx="196">
                  <c:v>44168</c:v>
                </c:pt>
                <c:pt idx="197">
                  <c:v>44169</c:v>
                </c:pt>
                <c:pt idx="198">
                  <c:v>44172</c:v>
                </c:pt>
                <c:pt idx="199">
                  <c:v>44173</c:v>
                </c:pt>
                <c:pt idx="200">
                  <c:v>44174</c:v>
                </c:pt>
                <c:pt idx="201">
                  <c:v>44175</c:v>
                </c:pt>
                <c:pt idx="202">
                  <c:v>44176</c:v>
                </c:pt>
                <c:pt idx="203">
                  <c:v>44179</c:v>
                </c:pt>
                <c:pt idx="204">
                  <c:v>44180</c:v>
                </c:pt>
                <c:pt idx="205">
                  <c:v>44181</c:v>
                </c:pt>
                <c:pt idx="206">
                  <c:v>44182</c:v>
                </c:pt>
                <c:pt idx="207">
                  <c:v>44183</c:v>
                </c:pt>
                <c:pt idx="208">
                  <c:v>44186</c:v>
                </c:pt>
                <c:pt idx="209">
                  <c:v>44187</c:v>
                </c:pt>
                <c:pt idx="210">
                  <c:v>44188</c:v>
                </c:pt>
                <c:pt idx="211">
                  <c:v>44189</c:v>
                </c:pt>
                <c:pt idx="212">
                  <c:v>44190</c:v>
                </c:pt>
                <c:pt idx="213">
                  <c:v>44193</c:v>
                </c:pt>
                <c:pt idx="214">
                  <c:v>44194</c:v>
                </c:pt>
                <c:pt idx="215">
                  <c:v>44195</c:v>
                </c:pt>
                <c:pt idx="216">
                  <c:v>44196</c:v>
                </c:pt>
                <c:pt idx="217">
                  <c:v>44200</c:v>
                </c:pt>
                <c:pt idx="218">
                  <c:v>44201</c:v>
                </c:pt>
                <c:pt idx="219">
                  <c:v>44202</c:v>
                </c:pt>
                <c:pt idx="220">
                  <c:v>44203</c:v>
                </c:pt>
                <c:pt idx="221">
                  <c:v>44204</c:v>
                </c:pt>
                <c:pt idx="222">
                  <c:v>44207</c:v>
                </c:pt>
                <c:pt idx="223">
                  <c:v>44208</c:v>
                </c:pt>
                <c:pt idx="224">
                  <c:v>44209</c:v>
                </c:pt>
                <c:pt idx="225">
                  <c:v>44210</c:v>
                </c:pt>
                <c:pt idx="226">
                  <c:v>44211</c:v>
                </c:pt>
                <c:pt idx="227">
                  <c:v>44214</c:v>
                </c:pt>
                <c:pt idx="228">
                  <c:v>44215</c:v>
                </c:pt>
                <c:pt idx="229">
                  <c:v>44216</c:v>
                </c:pt>
                <c:pt idx="230">
                  <c:v>44217</c:v>
                </c:pt>
                <c:pt idx="231">
                  <c:v>44218</c:v>
                </c:pt>
                <c:pt idx="232">
                  <c:v>44221</c:v>
                </c:pt>
                <c:pt idx="233">
                  <c:v>44222</c:v>
                </c:pt>
                <c:pt idx="234">
                  <c:v>44223</c:v>
                </c:pt>
                <c:pt idx="235">
                  <c:v>44224</c:v>
                </c:pt>
                <c:pt idx="236">
                  <c:v>44225</c:v>
                </c:pt>
                <c:pt idx="237">
                  <c:v>44228</c:v>
                </c:pt>
                <c:pt idx="238">
                  <c:v>44229</c:v>
                </c:pt>
                <c:pt idx="239">
                  <c:v>44230</c:v>
                </c:pt>
                <c:pt idx="240">
                  <c:v>44231</c:v>
                </c:pt>
                <c:pt idx="241">
                  <c:v>44232</c:v>
                </c:pt>
                <c:pt idx="242">
                  <c:v>44235</c:v>
                </c:pt>
                <c:pt idx="243">
                  <c:v>44236</c:v>
                </c:pt>
                <c:pt idx="244">
                  <c:v>44237</c:v>
                </c:pt>
                <c:pt idx="245">
                  <c:v>44245</c:v>
                </c:pt>
                <c:pt idx="246">
                  <c:v>44246</c:v>
                </c:pt>
                <c:pt idx="247">
                  <c:v>44249</c:v>
                </c:pt>
                <c:pt idx="248">
                  <c:v>44250</c:v>
                </c:pt>
                <c:pt idx="249">
                  <c:v>44251</c:v>
                </c:pt>
                <c:pt idx="250">
                  <c:v>44252</c:v>
                </c:pt>
                <c:pt idx="251">
                  <c:v>44253</c:v>
                </c:pt>
                <c:pt idx="252">
                  <c:v>44256</c:v>
                </c:pt>
                <c:pt idx="253">
                  <c:v>44257</c:v>
                </c:pt>
                <c:pt idx="254">
                  <c:v>44258</c:v>
                </c:pt>
                <c:pt idx="255">
                  <c:v>44259</c:v>
                </c:pt>
                <c:pt idx="256">
                  <c:v>44260</c:v>
                </c:pt>
                <c:pt idx="257">
                  <c:v>44263</c:v>
                </c:pt>
                <c:pt idx="258">
                  <c:v>44264</c:v>
                </c:pt>
                <c:pt idx="259">
                  <c:v>44265</c:v>
                </c:pt>
                <c:pt idx="260">
                  <c:v>44266</c:v>
                </c:pt>
                <c:pt idx="261">
                  <c:v>44267</c:v>
                </c:pt>
                <c:pt idx="262">
                  <c:v>44270</c:v>
                </c:pt>
                <c:pt idx="263">
                  <c:v>44271</c:v>
                </c:pt>
                <c:pt idx="264">
                  <c:v>44272</c:v>
                </c:pt>
                <c:pt idx="265">
                  <c:v>44273</c:v>
                </c:pt>
                <c:pt idx="266">
                  <c:v>44274</c:v>
                </c:pt>
                <c:pt idx="267">
                  <c:v>44277</c:v>
                </c:pt>
                <c:pt idx="268">
                  <c:v>44278</c:v>
                </c:pt>
                <c:pt idx="269">
                  <c:v>44279</c:v>
                </c:pt>
                <c:pt idx="270">
                  <c:v>44280</c:v>
                </c:pt>
                <c:pt idx="271">
                  <c:v>44281</c:v>
                </c:pt>
                <c:pt idx="272">
                  <c:v>44284</c:v>
                </c:pt>
                <c:pt idx="273">
                  <c:v>44285</c:v>
                </c:pt>
                <c:pt idx="274">
                  <c:v>44286</c:v>
                </c:pt>
                <c:pt idx="275">
                  <c:v>44287</c:v>
                </c:pt>
                <c:pt idx="276">
                  <c:v>44288</c:v>
                </c:pt>
                <c:pt idx="277">
                  <c:v>44292</c:v>
                </c:pt>
                <c:pt idx="278">
                  <c:v>44293</c:v>
                </c:pt>
                <c:pt idx="279">
                  <c:v>44294</c:v>
                </c:pt>
                <c:pt idx="280">
                  <c:v>44295</c:v>
                </c:pt>
                <c:pt idx="281">
                  <c:v>44298</c:v>
                </c:pt>
                <c:pt idx="282">
                  <c:v>44299</c:v>
                </c:pt>
                <c:pt idx="283">
                  <c:v>44300</c:v>
                </c:pt>
                <c:pt idx="284">
                  <c:v>44301</c:v>
                </c:pt>
                <c:pt idx="285">
                  <c:v>44302</c:v>
                </c:pt>
                <c:pt idx="286">
                  <c:v>44305</c:v>
                </c:pt>
                <c:pt idx="287">
                  <c:v>44306</c:v>
                </c:pt>
                <c:pt idx="288">
                  <c:v>44307</c:v>
                </c:pt>
                <c:pt idx="289">
                  <c:v>44308</c:v>
                </c:pt>
                <c:pt idx="290">
                  <c:v>44309</c:v>
                </c:pt>
                <c:pt idx="291">
                  <c:v>44312</c:v>
                </c:pt>
                <c:pt idx="292">
                  <c:v>44313</c:v>
                </c:pt>
                <c:pt idx="293">
                  <c:v>44314</c:v>
                </c:pt>
                <c:pt idx="294">
                  <c:v>44315</c:v>
                </c:pt>
                <c:pt idx="295">
                  <c:v>44316</c:v>
                </c:pt>
                <c:pt idx="296">
                  <c:v>44322</c:v>
                </c:pt>
                <c:pt idx="297">
                  <c:v>44323</c:v>
                </c:pt>
                <c:pt idx="298">
                  <c:v>44326</c:v>
                </c:pt>
                <c:pt idx="299">
                  <c:v>44327</c:v>
                </c:pt>
                <c:pt idx="300">
                  <c:v>44328</c:v>
                </c:pt>
                <c:pt idx="301">
                  <c:v>44329</c:v>
                </c:pt>
                <c:pt idx="302">
                  <c:v>44330</c:v>
                </c:pt>
                <c:pt idx="303">
                  <c:v>44333</c:v>
                </c:pt>
              </c:numCache>
            </c:numRef>
          </c:cat>
          <c:val>
            <c:numRef>
              <c:f>琅琊二号!$B$21:$B$324</c:f>
              <c:numCache>
                <c:formatCode>0.0000_ </c:formatCode>
                <c:ptCount val="304"/>
                <c:pt idx="0">
                  <c:v>1.0029999999999999</c:v>
                </c:pt>
                <c:pt idx="1">
                  <c:v>1.004</c:v>
                </c:pt>
                <c:pt idx="2">
                  <c:v>1.004</c:v>
                </c:pt>
                <c:pt idx="3">
                  <c:v>1.0049999999999999</c:v>
                </c:pt>
                <c:pt idx="4">
                  <c:v>1.0069999999999999</c:v>
                </c:pt>
                <c:pt idx="5">
                  <c:v>1.006</c:v>
                </c:pt>
                <c:pt idx="6">
                  <c:v>1.008</c:v>
                </c:pt>
                <c:pt idx="7">
                  <c:v>1.008</c:v>
                </c:pt>
                <c:pt idx="8">
                  <c:v>1.008</c:v>
                </c:pt>
                <c:pt idx="9">
                  <c:v>1.01</c:v>
                </c:pt>
                <c:pt idx="10">
                  <c:v>1.0089999999999999</c:v>
                </c:pt>
                <c:pt idx="11">
                  <c:v>1.01</c:v>
                </c:pt>
                <c:pt idx="12">
                  <c:v>1.01</c:v>
                </c:pt>
                <c:pt idx="13">
                  <c:v>1.01</c:v>
                </c:pt>
                <c:pt idx="14">
                  <c:v>1.0109999999999999</c:v>
                </c:pt>
                <c:pt idx="15">
                  <c:v>1.012</c:v>
                </c:pt>
                <c:pt idx="16">
                  <c:v>1.01</c:v>
                </c:pt>
                <c:pt idx="17">
                  <c:v>1.014</c:v>
                </c:pt>
                <c:pt idx="18">
                  <c:v>1.014</c:v>
                </c:pt>
                <c:pt idx="19">
                  <c:v>1.016</c:v>
                </c:pt>
                <c:pt idx="20">
                  <c:v>1.0169999999999999</c:v>
                </c:pt>
                <c:pt idx="21">
                  <c:v>1.018</c:v>
                </c:pt>
                <c:pt idx="22">
                  <c:v>1.0189999999999999</c:v>
                </c:pt>
                <c:pt idx="23">
                  <c:v>1.0209999999999999</c:v>
                </c:pt>
                <c:pt idx="24">
                  <c:v>1.0209999999999999</c:v>
                </c:pt>
                <c:pt idx="25">
                  <c:v>1.0229999999999999</c:v>
                </c:pt>
                <c:pt idx="26">
                  <c:v>1.022</c:v>
                </c:pt>
                <c:pt idx="27">
                  <c:v>1.0229999999999999</c:v>
                </c:pt>
                <c:pt idx="28">
                  <c:v>1.0229999999999999</c:v>
                </c:pt>
                <c:pt idx="29">
                  <c:v>1.022</c:v>
                </c:pt>
                <c:pt idx="30">
                  <c:v>1.022</c:v>
                </c:pt>
                <c:pt idx="31">
                  <c:v>1.022</c:v>
                </c:pt>
                <c:pt idx="32">
                  <c:v>1.022</c:v>
                </c:pt>
                <c:pt idx="33">
                  <c:v>1.024</c:v>
                </c:pt>
                <c:pt idx="34">
                  <c:v>1.0229999999999999</c:v>
                </c:pt>
                <c:pt idx="35">
                  <c:v>1.0249999999999999</c:v>
                </c:pt>
                <c:pt idx="36">
                  <c:v>1.026</c:v>
                </c:pt>
                <c:pt idx="37">
                  <c:v>1.026</c:v>
                </c:pt>
                <c:pt idx="38">
                  <c:v>1.0269999999999999</c:v>
                </c:pt>
                <c:pt idx="39">
                  <c:v>1.0269999999999999</c:v>
                </c:pt>
                <c:pt idx="40">
                  <c:v>1.028</c:v>
                </c:pt>
                <c:pt idx="41">
                  <c:v>1.0289999999999999</c:v>
                </c:pt>
                <c:pt idx="42">
                  <c:v>1.03</c:v>
                </c:pt>
                <c:pt idx="43">
                  <c:v>1.03</c:v>
                </c:pt>
                <c:pt idx="44">
                  <c:v>1.0309999999999999</c:v>
                </c:pt>
                <c:pt idx="45">
                  <c:v>1.032</c:v>
                </c:pt>
                <c:pt idx="46">
                  <c:v>1.03</c:v>
                </c:pt>
                <c:pt idx="47">
                  <c:v>1.032</c:v>
                </c:pt>
                <c:pt idx="48">
                  <c:v>1.032</c:v>
                </c:pt>
                <c:pt idx="49">
                  <c:v>1.032</c:v>
                </c:pt>
                <c:pt idx="50">
                  <c:v>1.0329999999999999</c:v>
                </c:pt>
                <c:pt idx="51">
                  <c:v>1.0329999999999999</c:v>
                </c:pt>
                <c:pt idx="52">
                  <c:v>1.03</c:v>
                </c:pt>
                <c:pt idx="53">
                  <c:v>1.03</c:v>
                </c:pt>
                <c:pt idx="54">
                  <c:v>1.032</c:v>
                </c:pt>
                <c:pt idx="55">
                  <c:v>1.0329999999999999</c:v>
                </c:pt>
                <c:pt idx="56">
                  <c:v>1.0329999999999999</c:v>
                </c:pt>
                <c:pt idx="57">
                  <c:v>1.0349999999999999</c:v>
                </c:pt>
                <c:pt idx="58">
                  <c:v>1.0349999999999999</c:v>
                </c:pt>
                <c:pt idx="59">
                  <c:v>1.0349999999999999</c:v>
                </c:pt>
                <c:pt idx="60">
                  <c:v>1.032</c:v>
                </c:pt>
                <c:pt idx="61">
                  <c:v>1.0309999999999999</c:v>
                </c:pt>
                <c:pt idx="62">
                  <c:v>1.0329999999999999</c:v>
                </c:pt>
                <c:pt idx="63">
                  <c:v>1.0349999999999999</c:v>
                </c:pt>
                <c:pt idx="64">
                  <c:v>1.0329999999999999</c:v>
                </c:pt>
                <c:pt idx="65">
                  <c:v>1.03</c:v>
                </c:pt>
                <c:pt idx="66">
                  <c:v>1.0369999999999999</c:v>
                </c:pt>
                <c:pt idx="67">
                  <c:v>1.0369999999999999</c:v>
                </c:pt>
                <c:pt idx="68">
                  <c:v>1.0349999999999999</c:v>
                </c:pt>
                <c:pt idx="69">
                  <c:v>1.0329999999999999</c:v>
                </c:pt>
                <c:pt idx="70">
                  <c:v>1.0309999999999999</c:v>
                </c:pt>
                <c:pt idx="71">
                  <c:v>1.0349999999999999</c:v>
                </c:pt>
                <c:pt idx="72">
                  <c:v>1.0329999999999999</c:v>
                </c:pt>
                <c:pt idx="73">
                  <c:v>1.0349999999999999</c:v>
                </c:pt>
                <c:pt idx="74">
                  <c:v>1.0349999999999999</c:v>
                </c:pt>
                <c:pt idx="75">
                  <c:v>1.0349999999999999</c:v>
                </c:pt>
                <c:pt idx="76">
                  <c:v>1.0349999999999999</c:v>
                </c:pt>
                <c:pt idx="77">
                  <c:v>1.038</c:v>
                </c:pt>
                <c:pt idx="78">
                  <c:v>1.036</c:v>
                </c:pt>
                <c:pt idx="79">
                  <c:v>1.0369999999999999</c:v>
                </c:pt>
                <c:pt idx="80">
                  <c:v>1.0329999999999999</c:v>
                </c:pt>
                <c:pt idx="81">
                  <c:v>1.036</c:v>
                </c:pt>
                <c:pt idx="82">
                  <c:v>1.0409999999999999</c:v>
                </c:pt>
                <c:pt idx="83">
                  <c:v>1.0409999999999999</c:v>
                </c:pt>
                <c:pt idx="84">
                  <c:v>1.04</c:v>
                </c:pt>
                <c:pt idx="85">
                  <c:v>1.0369999999999999</c:v>
                </c:pt>
                <c:pt idx="86">
                  <c:v>1.0389999999999999</c:v>
                </c:pt>
                <c:pt idx="87">
                  <c:v>1.038</c:v>
                </c:pt>
                <c:pt idx="88">
                  <c:v>1.0389999999999999</c:v>
                </c:pt>
                <c:pt idx="89">
                  <c:v>1.038</c:v>
                </c:pt>
                <c:pt idx="90">
                  <c:v>1.0389999999999999</c:v>
                </c:pt>
                <c:pt idx="91">
                  <c:v>1.038</c:v>
                </c:pt>
                <c:pt idx="92">
                  <c:v>1.036</c:v>
                </c:pt>
                <c:pt idx="93">
                  <c:v>1.036</c:v>
                </c:pt>
                <c:pt idx="94">
                  <c:v>1.0409999999999999</c:v>
                </c:pt>
                <c:pt idx="95">
                  <c:v>1.048</c:v>
                </c:pt>
                <c:pt idx="96">
                  <c:v>1.0509999999999999</c:v>
                </c:pt>
                <c:pt idx="97">
                  <c:v>1.052</c:v>
                </c:pt>
                <c:pt idx="98">
                  <c:v>1.0549999999999999</c:v>
                </c:pt>
                <c:pt idx="99">
                  <c:v>1.056</c:v>
                </c:pt>
                <c:pt idx="100">
                  <c:v>1.0549999999999999</c:v>
                </c:pt>
                <c:pt idx="101">
                  <c:v>1.0549999999999999</c:v>
                </c:pt>
                <c:pt idx="102">
                  <c:v>1.0660000000000001</c:v>
                </c:pt>
                <c:pt idx="103">
                  <c:v>1.0680000000000001</c:v>
                </c:pt>
                <c:pt idx="104">
                  <c:v>1.07</c:v>
                </c:pt>
                <c:pt idx="105">
                  <c:v>1.071</c:v>
                </c:pt>
                <c:pt idx="106">
                  <c:v>1.071</c:v>
                </c:pt>
                <c:pt idx="107">
                  <c:v>1.0720000000000001</c:v>
                </c:pt>
                <c:pt idx="108">
                  <c:v>1.0720000000000001</c:v>
                </c:pt>
                <c:pt idx="109">
                  <c:v>1.075</c:v>
                </c:pt>
                <c:pt idx="110">
                  <c:v>1.073</c:v>
                </c:pt>
                <c:pt idx="111">
                  <c:v>1.073</c:v>
                </c:pt>
                <c:pt idx="112">
                  <c:v>1.073</c:v>
                </c:pt>
                <c:pt idx="113">
                  <c:v>1.075</c:v>
                </c:pt>
                <c:pt idx="114">
                  <c:v>1.0760000000000001</c:v>
                </c:pt>
                <c:pt idx="115">
                  <c:v>1.073</c:v>
                </c:pt>
                <c:pt idx="116">
                  <c:v>1.075</c:v>
                </c:pt>
                <c:pt idx="117">
                  <c:v>1.075</c:v>
                </c:pt>
                <c:pt idx="118">
                  <c:v>1.0740000000000001</c:v>
                </c:pt>
                <c:pt idx="119">
                  <c:v>1.0740000000000001</c:v>
                </c:pt>
                <c:pt idx="120">
                  <c:v>1.073</c:v>
                </c:pt>
                <c:pt idx="121">
                  <c:v>1.079</c:v>
                </c:pt>
                <c:pt idx="122">
                  <c:v>1.08</c:v>
                </c:pt>
                <c:pt idx="123">
                  <c:v>1.081</c:v>
                </c:pt>
                <c:pt idx="124">
                  <c:v>1.0740000000000001</c:v>
                </c:pt>
                <c:pt idx="125">
                  <c:v>1.069</c:v>
                </c:pt>
                <c:pt idx="126">
                  <c:v>1.0669999999999999</c:v>
                </c:pt>
                <c:pt idx="127">
                  <c:v>1.0669999999999999</c:v>
                </c:pt>
                <c:pt idx="128">
                  <c:v>1.0669999999999999</c:v>
                </c:pt>
                <c:pt idx="129">
                  <c:v>1.071</c:v>
                </c:pt>
                <c:pt idx="130">
                  <c:v>1.071</c:v>
                </c:pt>
                <c:pt idx="131">
                  <c:v>1.069</c:v>
                </c:pt>
                <c:pt idx="132">
                  <c:v>1.07</c:v>
                </c:pt>
                <c:pt idx="133">
                  <c:v>1.071</c:v>
                </c:pt>
                <c:pt idx="134">
                  <c:v>1.071</c:v>
                </c:pt>
                <c:pt idx="135">
                  <c:v>1.0720000000000001</c:v>
                </c:pt>
                <c:pt idx="136">
                  <c:v>1.071</c:v>
                </c:pt>
                <c:pt idx="137">
                  <c:v>1.0720000000000001</c:v>
                </c:pt>
                <c:pt idx="138">
                  <c:v>1.075</c:v>
                </c:pt>
                <c:pt idx="139">
                  <c:v>1.075</c:v>
                </c:pt>
                <c:pt idx="140">
                  <c:v>1.0740000000000001</c:v>
                </c:pt>
                <c:pt idx="141">
                  <c:v>1.0760000000000001</c:v>
                </c:pt>
                <c:pt idx="142">
                  <c:v>1.0740000000000001</c:v>
                </c:pt>
                <c:pt idx="143">
                  <c:v>1.077</c:v>
                </c:pt>
                <c:pt idx="144">
                  <c:v>1.0760000000000001</c:v>
                </c:pt>
                <c:pt idx="145">
                  <c:v>1.077</c:v>
                </c:pt>
                <c:pt idx="146">
                  <c:v>1.077</c:v>
                </c:pt>
                <c:pt idx="147">
                  <c:v>1.0780000000000001</c:v>
                </c:pt>
                <c:pt idx="148">
                  <c:v>1.0760000000000001</c:v>
                </c:pt>
                <c:pt idx="149">
                  <c:v>1.0780000000000001</c:v>
                </c:pt>
                <c:pt idx="150">
                  <c:v>1.0780000000000001</c:v>
                </c:pt>
                <c:pt idx="151">
                  <c:v>1.077</c:v>
                </c:pt>
                <c:pt idx="152">
                  <c:v>1.077</c:v>
                </c:pt>
                <c:pt idx="153">
                  <c:v>1.0760000000000001</c:v>
                </c:pt>
                <c:pt idx="154">
                  <c:v>1.075</c:v>
                </c:pt>
                <c:pt idx="155">
                  <c:v>1.0760000000000001</c:v>
                </c:pt>
                <c:pt idx="156">
                  <c:v>1.0760000000000001</c:v>
                </c:pt>
                <c:pt idx="157">
                  <c:v>1.077</c:v>
                </c:pt>
                <c:pt idx="158">
                  <c:v>1.079</c:v>
                </c:pt>
                <c:pt idx="159">
                  <c:v>1.079</c:v>
                </c:pt>
                <c:pt idx="160">
                  <c:v>1.0780000000000001</c:v>
                </c:pt>
                <c:pt idx="161">
                  <c:v>1.0820000000000001</c:v>
                </c:pt>
                <c:pt idx="162">
                  <c:v>1.08</c:v>
                </c:pt>
                <c:pt idx="163">
                  <c:v>1.08</c:v>
                </c:pt>
                <c:pt idx="164">
                  <c:v>1.081</c:v>
                </c:pt>
                <c:pt idx="165">
                  <c:v>1.081</c:v>
                </c:pt>
                <c:pt idx="166">
                  <c:v>1.083</c:v>
                </c:pt>
                <c:pt idx="167">
                  <c:v>1.0820000000000001</c:v>
                </c:pt>
                <c:pt idx="168">
                  <c:v>1.081</c:v>
                </c:pt>
                <c:pt idx="169">
                  <c:v>1.081</c:v>
                </c:pt>
                <c:pt idx="170">
                  <c:v>1.08</c:v>
                </c:pt>
                <c:pt idx="171">
                  <c:v>1.0820000000000001</c:v>
                </c:pt>
                <c:pt idx="172">
                  <c:v>1.081</c:v>
                </c:pt>
                <c:pt idx="173">
                  <c:v>1.0820000000000001</c:v>
                </c:pt>
                <c:pt idx="174">
                  <c:v>1.0820000000000001</c:v>
                </c:pt>
                <c:pt idx="175">
                  <c:v>1.0820000000000001</c:v>
                </c:pt>
                <c:pt idx="176">
                  <c:v>1.0840000000000001</c:v>
                </c:pt>
                <c:pt idx="177">
                  <c:v>1.0840000000000001</c:v>
                </c:pt>
                <c:pt idx="178">
                  <c:v>1.085</c:v>
                </c:pt>
                <c:pt idx="179">
                  <c:v>1.0900000000000001</c:v>
                </c:pt>
                <c:pt idx="180">
                  <c:v>1.0900000000000001</c:v>
                </c:pt>
                <c:pt idx="181">
                  <c:v>1.091</c:v>
                </c:pt>
                <c:pt idx="182">
                  <c:v>1.0920000000000001</c:v>
                </c:pt>
                <c:pt idx="183">
                  <c:v>1.093</c:v>
                </c:pt>
                <c:pt idx="184">
                  <c:v>1.097</c:v>
                </c:pt>
                <c:pt idx="185">
                  <c:v>1.097</c:v>
                </c:pt>
                <c:pt idx="186">
                  <c:v>1.097</c:v>
                </c:pt>
                <c:pt idx="187">
                  <c:v>1.097</c:v>
                </c:pt>
                <c:pt idx="188">
                  <c:v>1.095</c:v>
                </c:pt>
                <c:pt idx="189">
                  <c:v>1.0960000000000001</c:v>
                </c:pt>
                <c:pt idx="190">
                  <c:v>1.0900000000000001</c:v>
                </c:pt>
                <c:pt idx="191">
                  <c:v>1.097</c:v>
                </c:pt>
                <c:pt idx="192">
                  <c:v>1.0980000000000001</c:v>
                </c:pt>
                <c:pt idx="193">
                  <c:v>1.105</c:v>
                </c:pt>
                <c:pt idx="194">
                  <c:v>1.101</c:v>
                </c:pt>
                <c:pt idx="195">
                  <c:v>1.103</c:v>
                </c:pt>
                <c:pt idx="196">
                  <c:v>1.105</c:v>
                </c:pt>
                <c:pt idx="197">
                  <c:v>1.1020000000000001</c:v>
                </c:pt>
                <c:pt idx="198">
                  <c:v>1.101</c:v>
                </c:pt>
                <c:pt idx="199">
                  <c:v>1.103</c:v>
                </c:pt>
                <c:pt idx="200">
                  <c:v>1.103</c:v>
                </c:pt>
                <c:pt idx="201">
                  <c:v>1.1080000000000001</c:v>
                </c:pt>
                <c:pt idx="202">
                  <c:v>1.1120000000000001</c:v>
                </c:pt>
                <c:pt idx="203">
                  <c:v>1.1100000000000001</c:v>
                </c:pt>
                <c:pt idx="204">
                  <c:v>1.1140000000000001</c:v>
                </c:pt>
                <c:pt idx="205">
                  <c:v>1.1140000000000001</c:v>
                </c:pt>
                <c:pt idx="206">
                  <c:v>1.1120000000000001</c:v>
                </c:pt>
                <c:pt idx="207">
                  <c:v>1.1140000000000001</c:v>
                </c:pt>
                <c:pt idx="208">
                  <c:v>1.117</c:v>
                </c:pt>
                <c:pt idx="209">
                  <c:v>1.1240000000000001</c:v>
                </c:pt>
                <c:pt idx="210">
                  <c:v>1.1220000000000001</c:v>
                </c:pt>
                <c:pt idx="211">
                  <c:v>1.1220000000000001</c:v>
                </c:pt>
                <c:pt idx="212">
                  <c:v>1.123</c:v>
                </c:pt>
                <c:pt idx="213">
                  <c:v>1.123</c:v>
                </c:pt>
                <c:pt idx="214">
                  <c:v>1.1220000000000001</c:v>
                </c:pt>
                <c:pt idx="215">
                  <c:v>1.121</c:v>
                </c:pt>
                <c:pt idx="216">
                  <c:v>1.1220000000000001</c:v>
                </c:pt>
                <c:pt idx="217">
                  <c:v>1.1220000000000001</c:v>
                </c:pt>
                <c:pt idx="218">
                  <c:v>1.1220000000000001</c:v>
                </c:pt>
                <c:pt idx="219">
                  <c:v>1.1220000000000001</c:v>
                </c:pt>
                <c:pt idx="220">
                  <c:v>1.1220000000000001</c:v>
                </c:pt>
                <c:pt idx="221">
                  <c:v>1.121</c:v>
                </c:pt>
                <c:pt idx="222">
                  <c:v>1.127</c:v>
                </c:pt>
                <c:pt idx="223">
                  <c:v>1.1259999999999999</c:v>
                </c:pt>
                <c:pt idx="224">
                  <c:v>1.1240000000000001</c:v>
                </c:pt>
                <c:pt idx="225">
                  <c:v>1.125</c:v>
                </c:pt>
                <c:pt idx="226">
                  <c:v>1.127</c:v>
                </c:pt>
                <c:pt idx="227">
                  <c:v>1.1279999999999999</c:v>
                </c:pt>
                <c:pt idx="228">
                  <c:v>1.1299999999999999</c:v>
                </c:pt>
                <c:pt idx="229">
                  <c:v>1.131</c:v>
                </c:pt>
                <c:pt idx="230">
                  <c:v>1.1319999999999999</c:v>
                </c:pt>
                <c:pt idx="231">
                  <c:v>1.1299999999999999</c:v>
                </c:pt>
                <c:pt idx="232">
                  <c:v>1.1319999999999999</c:v>
                </c:pt>
                <c:pt idx="233">
                  <c:v>1.133</c:v>
                </c:pt>
                <c:pt idx="234">
                  <c:v>1.133</c:v>
                </c:pt>
                <c:pt idx="235">
                  <c:v>1.133</c:v>
                </c:pt>
                <c:pt idx="236">
                  <c:v>1.133</c:v>
                </c:pt>
                <c:pt idx="237">
                  <c:v>1.1339999999999999</c:v>
                </c:pt>
                <c:pt idx="238">
                  <c:v>1.133</c:v>
                </c:pt>
                <c:pt idx="239">
                  <c:v>1.1339999999999999</c:v>
                </c:pt>
                <c:pt idx="240">
                  <c:v>1.1339999999999999</c:v>
                </c:pt>
                <c:pt idx="241">
                  <c:v>1.133</c:v>
                </c:pt>
                <c:pt idx="242">
                  <c:v>1.1319999999999999</c:v>
                </c:pt>
                <c:pt idx="243">
                  <c:v>1.131</c:v>
                </c:pt>
                <c:pt idx="244">
                  <c:v>1.1299999999999999</c:v>
                </c:pt>
                <c:pt idx="245">
                  <c:v>1.1299999999999999</c:v>
                </c:pt>
                <c:pt idx="246">
                  <c:v>1.131</c:v>
                </c:pt>
                <c:pt idx="247">
                  <c:v>1.131</c:v>
                </c:pt>
                <c:pt idx="248">
                  <c:v>1.1339999999999999</c:v>
                </c:pt>
                <c:pt idx="249">
                  <c:v>1.1339999999999999</c:v>
                </c:pt>
                <c:pt idx="250">
                  <c:v>1.135</c:v>
                </c:pt>
                <c:pt idx="251">
                  <c:v>1.137</c:v>
                </c:pt>
                <c:pt idx="252">
                  <c:v>1.137</c:v>
                </c:pt>
                <c:pt idx="253">
                  <c:v>1.137</c:v>
                </c:pt>
                <c:pt idx="254">
                  <c:v>1.135</c:v>
                </c:pt>
                <c:pt idx="255">
                  <c:v>1.1379999999999999</c:v>
                </c:pt>
                <c:pt idx="256">
                  <c:v>1.135</c:v>
                </c:pt>
                <c:pt idx="257">
                  <c:v>1.139</c:v>
                </c:pt>
                <c:pt idx="258">
                  <c:v>1.1419999999999999</c:v>
                </c:pt>
                <c:pt idx="259">
                  <c:v>1.143</c:v>
                </c:pt>
                <c:pt idx="260">
                  <c:v>1.1419999999999999</c:v>
                </c:pt>
                <c:pt idx="261">
                  <c:v>1.1439999999999999</c:v>
                </c:pt>
                <c:pt idx="262">
                  <c:v>1.149</c:v>
                </c:pt>
                <c:pt idx="263">
                  <c:v>1.147</c:v>
                </c:pt>
                <c:pt idx="264">
                  <c:v>1.1479999999999999</c:v>
                </c:pt>
                <c:pt idx="265">
                  <c:v>1.149</c:v>
                </c:pt>
                <c:pt idx="266">
                  <c:v>1.153</c:v>
                </c:pt>
                <c:pt idx="267">
                  <c:v>1.1499999999999999</c:v>
                </c:pt>
                <c:pt idx="268">
                  <c:v>1.1499999999999999</c:v>
                </c:pt>
                <c:pt idx="269">
                  <c:v>1.1479999999999999</c:v>
                </c:pt>
                <c:pt idx="270">
                  <c:v>1.151</c:v>
                </c:pt>
                <c:pt idx="271">
                  <c:v>1.151</c:v>
                </c:pt>
                <c:pt idx="272">
                  <c:v>1.1519999999999999</c:v>
                </c:pt>
                <c:pt idx="273">
                  <c:v>1.155</c:v>
                </c:pt>
                <c:pt idx="274">
                  <c:v>1.1539999999999999</c:v>
                </c:pt>
                <c:pt idx="275">
                  <c:v>1.157</c:v>
                </c:pt>
                <c:pt idx="276">
                  <c:v>1.157</c:v>
                </c:pt>
                <c:pt idx="277">
                  <c:v>1.157</c:v>
                </c:pt>
                <c:pt idx="278">
                  <c:v>1.1559999999999999</c:v>
                </c:pt>
                <c:pt idx="279">
                  <c:v>1.1559999999999999</c:v>
                </c:pt>
                <c:pt idx="280">
                  <c:v>1.1559999999999999</c:v>
                </c:pt>
                <c:pt idx="281">
                  <c:v>1.155</c:v>
                </c:pt>
                <c:pt idx="282">
                  <c:v>1.1559999999999999</c:v>
                </c:pt>
                <c:pt idx="283">
                  <c:v>1.157</c:v>
                </c:pt>
                <c:pt idx="284">
                  <c:v>1.1579999999999999</c:v>
                </c:pt>
                <c:pt idx="285">
                  <c:v>1.159</c:v>
                </c:pt>
                <c:pt idx="286">
                  <c:v>1.165</c:v>
                </c:pt>
                <c:pt idx="287">
                  <c:v>1.165</c:v>
                </c:pt>
                <c:pt idx="288">
                  <c:v>1.163</c:v>
                </c:pt>
                <c:pt idx="289">
                  <c:v>1.1659999999999999</c:v>
                </c:pt>
                <c:pt idx="290">
                  <c:v>1.165</c:v>
                </c:pt>
                <c:pt idx="291">
                  <c:v>1.167</c:v>
                </c:pt>
                <c:pt idx="292">
                  <c:v>1.1659999999999999</c:v>
                </c:pt>
                <c:pt idx="293">
                  <c:v>1.1659999999999999</c:v>
                </c:pt>
                <c:pt idx="294">
                  <c:v>1.1659999999999999</c:v>
                </c:pt>
                <c:pt idx="295">
                  <c:v>1.1639999999999999</c:v>
                </c:pt>
                <c:pt idx="296">
                  <c:v>1.163</c:v>
                </c:pt>
                <c:pt idx="297">
                  <c:v>1.165</c:v>
                </c:pt>
                <c:pt idx="298">
                  <c:v>1.165</c:v>
                </c:pt>
                <c:pt idx="299">
                  <c:v>1.1659999999999999</c:v>
                </c:pt>
                <c:pt idx="300">
                  <c:v>1.1679999999999999</c:v>
                </c:pt>
                <c:pt idx="301">
                  <c:v>1.1679999999999999</c:v>
                </c:pt>
                <c:pt idx="302">
                  <c:v>1.17</c:v>
                </c:pt>
                <c:pt idx="303">
                  <c:v>1.17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6D-430E-9173-B351145FB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099824"/>
        <c:axId val="545100384"/>
      </c:lineChart>
      <c:catAx>
        <c:axId val="54509982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crossAx val="545100384"/>
        <c:crosses val="autoZero"/>
        <c:auto val="0"/>
        <c:lblAlgn val="ctr"/>
        <c:lblOffset val="100"/>
        <c:noMultiLvlLbl val="1"/>
      </c:catAx>
      <c:valAx>
        <c:axId val="545100384"/>
        <c:scaling>
          <c:orientation val="minMax"/>
          <c:min val="0.99"/>
        </c:scaling>
        <c:delete val="0"/>
        <c:axPos val="l"/>
        <c:majorGridlines/>
        <c:numFmt formatCode="0.0000_ " sourceLinked="1"/>
        <c:majorTickMark val="none"/>
        <c:minorTickMark val="none"/>
        <c:tickLblPos val="nextTo"/>
        <c:spPr>
          <a:ln w="9525">
            <a:noFill/>
          </a:ln>
        </c:spPr>
        <c:crossAx val="54509982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4" l="0.70000000000000062" r="0.70000000000000062" t="0.750000000000004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 sz="1600"/>
              <a:t>海纳一号</a:t>
            </a:r>
            <a:endParaRPr lang="en-US" altLang="zh-CN" sz="16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海纳一号!$B$20</c:f>
              <c:strCache>
                <c:ptCount val="1"/>
                <c:pt idx="0">
                  <c:v>累计净值</c:v>
                </c:pt>
              </c:strCache>
            </c:strRef>
          </c:tx>
          <c:marker>
            <c:symbol val="none"/>
          </c:marker>
          <c:cat>
            <c:numRef>
              <c:f>海纳一号!$A$21:$A$340</c:f>
              <c:numCache>
                <c:formatCode>m/d/yyyy</c:formatCode>
                <c:ptCount val="320"/>
                <c:pt idx="0">
                  <c:v>43846</c:v>
                </c:pt>
                <c:pt idx="1">
                  <c:v>43847</c:v>
                </c:pt>
                <c:pt idx="2">
                  <c:v>43850</c:v>
                </c:pt>
                <c:pt idx="3">
                  <c:v>43851</c:v>
                </c:pt>
                <c:pt idx="4">
                  <c:v>43852</c:v>
                </c:pt>
                <c:pt idx="5">
                  <c:v>43853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43871</c:v>
                </c:pt>
                <c:pt idx="12">
                  <c:v>43872</c:v>
                </c:pt>
                <c:pt idx="13">
                  <c:v>43873</c:v>
                </c:pt>
                <c:pt idx="14">
                  <c:v>43874</c:v>
                </c:pt>
                <c:pt idx="15">
                  <c:v>43875</c:v>
                </c:pt>
                <c:pt idx="16">
                  <c:v>43878</c:v>
                </c:pt>
                <c:pt idx="17">
                  <c:v>43879</c:v>
                </c:pt>
                <c:pt idx="18">
                  <c:v>43880</c:v>
                </c:pt>
                <c:pt idx="19">
                  <c:v>43881</c:v>
                </c:pt>
                <c:pt idx="20">
                  <c:v>43882</c:v>
                </c:pt>
                <c:pt idx="21">
                  <c:v>43885</c:v>
                </c:pt>
                <c:pt idx="22">
                  <c:v>43886</c:v>
                </c:pt>
                <c:pt idx="23">
                  <c:v>43887</c:v>
                </c:pt>
                <c:pt idx="24">
                  <c:v>43888</c:v>
                </c:pt>
                <c:pt idx="25">
                  <c:v>43889</c:v>
                </c:pt>
                <c:pt idx="26">
                  <c:v>43892</c:v>
                </c:pt>
                <c:pt idx="27">
                  <c:v>43893</c:v>
                </c:pt>
                <c:pt idx="28">
                  <c:v>43894</c:v>
                </c:pt>
                <c:pt idx="29">
                  <c:v>43895</c:v>
                </c:pt>
                <c:pt idx="30">
                  <c:v>43896</c:v>
                </c:pt>
                <c:pt idx="31">
                  <c:v>43899</c:v>
                </c:pt>
                <c:pt idx="32">
                  <c:v>43900</c:v>
                </c:pt>
                <c:pt idx="33">
                  <c:v>43901</c:v>
                </c:pt>
                <c:pt idx="34">
                  <c:v>43902</c:v>
                </c:pt>
                <c:pt idx="35">
                  <c:v>43903</c:v>
                </c:pt>
                <c:pt idx="36">
                  <c:v>43906</c:v>
                </c:pt>
                <c:pt idx="37">
                  <c:v>43907</c:v>
                </c:pt>
                <c:pt idx="38">
                  <c:v>43908</c:v>
                </c:pt>
                <c:pt idx="39">
                  <c:v>43909</c:v>
                </c:pt>
                <c:pt idx="40">
                  <c:v>43910</c:v>
                </c:pt>
                <c:pt idx="41">
                  <c:v>43913</c:v>
                </c:pt>
                <c:pt idx="42">
                  <c:v>43914</c:v>
                </c:pt>
                <c:pt idx="43">
                  <c:v>43915</c:v>
                </c:pt>
                <c:pt idx="44">
                  <c:v>43916</c:v>
                </c:pt>
                <c:pt idx="45">
                  <c:v>43917</c:v>
                </c:pt>
                <c:pt idx="46">
                  <c:v>43920</c:v>
                </c:pt>
                <c:pt idx="47">
                  <c:v>43921</c:v>
                </c:pt>
                <c:pt idx="48">
                  <c:v>43922</c:v>
                </c:pt>
                <c:pt idx="49">
                  <c:v>43923</c:v>
                </c:pt>
                <c:pt idx="50">
                  <c:v>43924</c:v>
                </c:pt>
                <c:pt idx="51">
                  <c:v>43928</c:v>
                </c:pt>
                <c:pt idx="52">
                  <c:v>43929</c:v>
                </c:pt>
                <c:pt idx="53">
                  <c:v>43930</c:v>
                </c:pt>
                <c:pt idx="54">
                  <c:v>43931</c:v>
                </c:pt>
                <c:pt idx="55">
                  <c:v>43934</c:v>
                </c:pt>
                <c:pt idx="56">
                  <c:v>43935</c:v>
                </c:pt>
                <c:pt idx="57">
                  <c:v>43936</c:v>
                </c:pt>
                <c:pt idx="58">
                  <c:v>43937</c:v>
                </c:pt>
                <c:pt idx="59">
                  <c:v>43938</c:v>
                </c:pt>
                <c:pt idx="60">
                  <c:v>43941</c:v>
                </c:pt>
                <c:pt idx="61">
                  <c:v>43942</c:v>
                </c:pt>
                <c:pt idx="62">
                  <c:v>43943</c:v>
                </c:pt>
                <c:pt idx="63">
                  <c:v>43944</c:v>
                </c:pt>
                <c:pt idx="64">
                  <c:v>43945</c:v>
                </c:pt>
                <c:pt idx="65">
                  <c:v>43948</c:v>
                </c:pt>
                <c:pt idx="66">
                  <c:v>43949</c:v>
                </c:pt>
                <c:pt idx="67">
                  <c:v>43950</c:v>
                </c:pt>
                <c:pt idx="68">
                  <c:v>43951</c:v>
                </c:pt>
                <c:pt idx="69">
                  <c:v>43957</c:v>
                </c:pt>
                <c:pt idx="70">
                  <c:v>43958</c:v>
                </c:pt>
                <c:pt idx="71">
                  <c:v>43959</c:v>
                </c:pt>
                <c:pt idx="72">
                  <c:v>43962</c:v>
                </c:pt>
                <c:pt idx="73">
                  <c:v>43963</c:v>
                </c:pt>
                <c:pt idx="74">
                  <c:v>43964</c:v>
                </c:pt>
                <c:pt idx="75">
                  <c:v>43965</c:v>
                </c:pt>
                <c:pt idx="76">
                  <c:v>43966</c:v>
                </c:pt>
                <c:pt idx="77">
                  <c:v>43969</c:v>
                </c:pt>
                <c:pt idx="78">
                  <c:v>43970</c:v>
                </c:pt>
                <c:pt idx="79">
                  <c:v>43971</c:v>
                </c:pt>
                <c:pt idx="80">
                  <c:v>43972</c:v>
                </c:pt>
                <c:pt idx="81">
                  <c:v>43973</c:v>
                </c:pt>
                <c:pt idx="82">
                  <c:v>43976</c:v>
                </c:pt>
                <c:pt idx="83">
                  <c:v>43977</c:v>
                </c:pt>
                <c:pt idx="84">
                  <c:v>43978</c:v>
                </c:pt>
                <c:pt idx="85">
                  <c:v>43979</c:v>
                </c:pt>
                <c:pt idx="86">
                  <c:v>43980</c:v>
                </c:pt>
                <c:pt idx="87">
                  <c:v>43983</c:v>
                </c:pt>
                <c:pt idx="88">
                  <c:v>43984</c:v>
                </c:pt>
                <c:pt idx="89">
                  <c:v>43985</c:v>
                </c:pt>
                <c:pt idx="90">
                  <c:v>43986</c:v>
                </c:pt>
                <c:pt idx="91">
                  <c:v>43987</c:v>
                </c:pt>
                <c:pt idx="92">
                  <c:v>43990</c:v>
                </c:pt>
                <c:pt idx="93">
                  <c:v>43991</c:v>
                </c:pt>
                <c:pt idx="94">
                  <c:v>43992</c:v>
                </c:pt>
                <c:pt idx="95">
                  <c:v>43993</c:v>
                </c:pt>
                <c:pt idx="96">
                  <c:v>43994</c:v>
                </c:pt>
                <c:pt idx="97">
                  <c:v>43997</c:v>
                </c:pt>
                <c:pt idx="98">
                  <c:v>43998</c:v>
                </c:pt>
                <c:pt idx="99">
                  <c:v>43999</c:v>
                </c:pt>
                <c:pt idx="100">
                  <c:v>44000</c:v>
                </c:pt>
                <c:pt idx="101">
                  <c:v>44001</c:v>
                </c:pt>
                <c:pt idx="102">
                  <c:v>44004</c:v>
                </c:pt>
                <c:pt idx="103">
                  <c:v>44005</c:v>
                </c:pt>
                <c:pt idx="104">
                  <c:v>44006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44018</c:v>
                </c:pt>
                <c:pt idx="111">
                  <c:v>44019</c:v>
                </c:pt>
                <c:pt idx="112">
                  <c:v>44020</c:v>
                </c:pt>
                <c:pt idx="113">
                  <c:v>44021</c:v>
                </c:pt>
                <c:pt idx="114">
                  <c:v>44022</c:v>
                </c:pt>
                <c:pt idx="115">
                  <c:v>44025</c:v>
                </c:pt>
                <c:pt idx="116">
                  <c:v>44026</c:v>
                </c:pt>
                <c:pt idx="117">
                  <c:v>44027</c:v>
                </c:pt>
                <c:pt idx="118">
                  <c:v>44028</c:v>
                </c:pt>
                <c:pt idx="119">
                  <c:v>44029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44039</c:v>
                </c:pt>
                <c:pt idx="126">
                  <c:v>44040</c:v>
                </c:pt>
                <c:pt idx="127">
                  <c:v>44041</c:v>
                </c:pt>
                <c:pt idx="128">
                  <c:v>44042</c:v>
                </c:pt>
                <c:pt idx="129">
                  <c:v>44043</c:v>
                </c:pt>
                <c:pt idx="130">
                  <c:v>44046</c:v>
                </c:pt>
                <c:pt idx="131">
                  <c:v>44047</c:v>
                </c:pt>
                <c:pt idx="132">
                  <c:v>44048</c:v>
                </c:pt>
                <c:pt idx="133">
                  <c:v>44049</c:v>
                </c:pt>
                <c:pt idx="134">
                  <c:v>44050</c:v>
                </c:pt>
                <c:pt idx="135">
                  <c:v>44053</c:v>
                </c:pt>
                <c:pt idx="136">
                  <c:v>44054</c:v>
                </c:pt>
                <c:pt idx="137">
                  <c:v>44055</c:v>
                </c:pt>
                <c:pt idx="138">
                  <c:v>44056</c:v>
                </c:pt>
                <c:pt idx="139">
                  <c:v>44057</c:v>
                </c:pt>
                <c:pt idx="140">
                  <c:v>44060</c:v>
                </c:pt>
                <c:pt idx="141">
                  <c:v>44061</c:v>
                </c:pt>
                <c:pt idx="142">
                  <c:v>44062</c:v>
                </c:pt>
                <c:pt idx="143">
                  <c:v>44063</c:v>
                </c:pt>
                <c:pt idx="144">
                  <c:v>44064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44074</c:v>
                </c:pt>
                <c:pt idx="151">
                  <c:v>44075</c:v>
                </c:pt>
                <c:pt idx="152">
                  <c:v>44076</c:v>
                </c:pt>
                <c:pt idx="153">
                  <c:v>44077</c:v>
                </c:pt>
                <c:pt idx="154">
                  <c:v>44078</c:v>
                </c:pt>
                <c:pt idx="155">
                  <c:v>44081</c:v>
                </c:pt>
                <c:pt idx="156">
                  <c:v>44082</c:v>
                </c:pt>
                <c:pt idx="157">
                  <c:v>44083</c:v>
                </c:pt>
                <c:pt idx="158">
                  <c:v>44084</c:v>
                </c:pt>
                <c:pt idx="159">
                  <c:v>44085</c:v>
                </c:pt>
                <c:pt idx="160">
                  <c:v>44088</c:v>
                </c:pt>
                <c:pt idx="161">
                  <c:v>44089</c:v>
                </c:pt>
                <c:pt idx="162">
                  <c:v>44090</c:v>
                </c:pt>
                <c:pt idx="163">
                  <c:v>44091</c:v>
                </c:pt>
                <c:pt idx="164">
                  <c:v>44092</c:v>
                </c:pt>
                <c:pt idx="165">
                  <c:v>44095</c:v>
                </c:pt>
                <c:pt idx="166">
                  <c:v>44096</c:v>
                </c:pt>
                <c:pt idx="167">
                  <c:v>44097</c:v>
                </c:pt>
                <c:pt idx="168">
                  <c:v>44098</c:v>
                </c:pt>
                <c:pt idx="169">
                  <c:v>44099</c:v>
                </c:pt>
                <c:pt idx="170">
                  <c:v>44102</c:v>
                </c:pt>
                <c:pt idx="171">
                  <c:v>44103</c:v>
                </c:pt>
                <c:pt idx="172">
                  <c:v>44104</c:v>
                </c:pt>
                <c:pt idx="173">
                  <c:v>44113</c:v>
                </c:pt>
                <c:pt idx="174">
                  <c:v>44116</c:v>
                </c:pt>
                <c:pt idx="175">
                  <c:v>44117</c:v>
                </c:pt>
                <c:pt idx="176">
                  <c:v>44118</c:v>
                </c:pt>
                <c:pt idx="177">
                  <c:v>44119</c:v>
                </c:pt>
                <c:pt idx="178">
                  <c:v>44120</c:v>
                </c:pt>
                <c:pt idx="179">
                  <c:v>44123</c:v>
                </c:pt>
                <c:pt idx="180">
                  <c:v>44124</c:v>
                </c:pt>
                <c:pt idx="181">
                  <c:v>44125</c:v>
                </c:pt>
                <c:pt idx="182">
                  <c:v>44126</c:v>
                </c:pt>
                <c:pt idx="183">
                  <c:v>44127</c:v>
                </c:pt>
                <c:pt idx="184">
                  <c:v>44130</c:v>
                </c:pt>
                <c:pt idx="185">
                  <c:v>44131</c:v>
                </c:pt>
                <c:pt idx="186">
                  <c:v>44132</c:v>
                </c:pt>
                <c:pt idx="187">
                  <c:v>44133</c:v>
                </c:pt>
                <c:pt idx="188">
                  <c:v>44134</c:v>
                </c:pt>
                <c:pt idx="189">
                  <c:v>44137</c:v>
                </c:pt>
                <c:pt idx="190">
                  <c:v>44138</c:v>
                </c:pt>
                <c:pt idx="191">
                  <c:v>44139</c:v>
                </c:pt>
                <c:pt idx="192">
                  <c:v>44140</c:v>
                </c:pt>
                <c:pt idx="193">
                  <c:v>44141</c:v>
                </c:pt>
                <c:pt idx="194">
                  <c:v>44144</c:v>
                </c:pt>
                <c:pt idx="195">
                  <c:v>44145</c:v>
                </c:pt>
                <c:pt idx="196">
                  <c:v>44146</c:v>
                </c:pt>
                <c:pt idx="197">
                  <c:v>44147</c:v>
                </c:pt>
                <c:pt idx="198">
                  <c:v>44148</c:v>
                </c:pt>
                <c:pt idx="199">
                  <c:v>44151</c:v>
                </c:pt>
                <c:pt idx="200">
                  <c:v>44152</c:v>
                </c:pt>
                <c:pt idx="201">
                  <c:v>44153</c:v>
                </c:pt>
                <c:pt idx="202">
                  <c:v>44154</c:v>
                </c:pt>
                <c:pt idx="203">
                  <c:v>44155</c:v>
                </c:pt>
                <c:pt idx="204">
                  <c:v>44158</c:v>
                </c:pt>
                <c:pt idx="205">
                  <c:v>44159</c:v>
                </c:pt>
                <c:pt idx="206">
                  <c:v>44160</c:v>
                </c:pt>
                <c:pt idx="207">
                  <c:v>44161</c:v>
                </c:pt>
                <c:pt idx="208">
                  <c:v>44162</c:v>
                </c:pt>
                <c:pt idx="209">
                  <c:v>44165</c:v>
                </c:pt>
                <c:pt idx="210">
                  <c:v>44166</c:v>
                </c:pt>
                <c:pt idx="211">
                  <c:v>44167</c:v>
                </c:pt>
                <c:pt idx="212">
                  <c:v>44168</c:v>
                </c:pt>
                <c:pt idx="213">
                  <c:v>44169</c:v>
                </c:pt>
                <c:pt idx="214">
                  <c:v>44172</c:v>
                </c:pt>
                <c:pt idx="215">
                  <c:v>44173</c:v>
                </c:pt>
                <c:pt idx="216">
                  <c:v>44174</c:v>
                </c:pt>
                <c:pt idx="217">
                  <c:v>44175</c:v>
                </c:pt>
                <c:pt idx="218">
                  <c:v>44176</c:v>
                </c:pt>
                <c:pt idx="219">
                  <c:v>44179</c:v>
                </c:pt>
                <c:pt idx="220">
                  <c:v>44180</c:v>
                </c:pt>
                <c:pt idx="221">
                  <c:v>44181</c:v>
                </c:pt>
                <c:pt idx="222">
                  <c:v>44182</c:v>
                </c:pt>
                <c:pt idx="223">
                  <c:v>44183</c:v>
                </c:pt>
                <c:pt idx="224">
                  <c:v>44186</c:v>
                </c:pt>
                <c:pt idx="225">
                  <c:v>44187</c:v>
                </c:pt>
                <c:pt idx="226">
                  <c:v>44188</c:v>
                </c:pt>
                <c:pt idx="227">
                  <c:v>44189</c:v>
                </c:pt>
                <c:pt idx="228">
                  <c:v>44190</c:v>
                </c:pt>
                <c:pt idx="229">
                  <c:v>44193</c:v>
                </c:pt>
                <c:pt idx="230">
                  <c:v>44194</c:v>
                </c:pt>
                <c:pt idx="231">
                  <c:v>44195</c:v>
                </c:pt>
                <c:pt idx="232">
                  <c:v>44196</c:v>
                </c:pt>
                <c:pt idx="233">
                  <c:v>44200</c:v>
                </c:pt>
                <c:pt idx="234">
                  <c:v>44201</c:v>
                </c:pt>
                <c:pt idx="235">
                  <c:v>44202</c:v>
                </c:pt>
                <c:pt idx="236">
                  <c:v>44203</c:v>
                </c:pt>
                <c:pt idx="237">
                  <c:v>44204</c:v>
                </c:pt>
                <c:pt idx="238">
                  <c:v>44207</c:v>
                </c:pt>
                <c:pt idx="239">
                  <c:v>44208</c:v>
                </c:pt>
                <c:pt idx="240">
                  <c:v>44209</c:v>
                </c:pt>
                <c:pt idx="241">
                  <c:v>44210</c:v>
                </c:pt>
                <c:pt idx="242">
                  <c:v>44211</c:v>
                </c:pt>
                <c:pt idx="243">
                  <c:v>44214</c:v>
                </c:pt>
                <c:pt idx="244">
                  <c:v>44215</c:v>
                </c:pt>
                <c:pt idx="245">
                  <c:v>44216</c:v>
                </c:pt>
                <c:pt idx="246">
                  <c:v>44217</c:v>
                </c:pt>
                <c:pt idx="247">
                  <c:v>44218</c:v>
                </c:pt>
                <c:pt idx="248">
                  <c:v>44221</c:v>
                </c:pt>
                <c:pt idx="249">
                  <c:v>44222</c:v>
                </c:pt>
                <c:pt idx="250">
                  <c:v>44223</c:v>
                </c:pt>
                <c:pt idx="251">
                  <c:v>44224</c:v>
                </c:pt>
                <c:pt idx="252">
                  <c:v>44225</c:v>
                </c:pt>
                <c:pt idx="253">
                  <c:v>44228</c:v>
                </c:pt>
                <c:pt idx="254">
                  <c:v>44229</c:v>
                </c:pt>
                <c:pt idx="255">
                  <c:v>44230</c:v>
                </c:pt>
                <c:pt idx="256">
                  <c:v>44231</c:v>
                </c:pt>
                <c:pt idx="257">
                  <c:v>44232</c:v>
                </c:pt>
                <c:pt idx="258">
                  <c:v>44235</c:v>
                </c:pt>
                <c:pt idx="259">
                  <c:v>44236</c:v>
                </c:pt>
                <c:pt idx="260">
                  <c:v>44237</c:v>
                </c:pt>
                <c:pt idx="261">
                  <c:v>44245</c:v>
                </c:pt>
                <c:pt idx="262">
                  <c:v>44246</c:v>
                </c:pt>
                <c:pt idx="263">
                  <c:v>44249</c:v>
                </c:pt>
                <c:pt idx="264">
                  <c:v>44250</c:v>
                </c:pt>
                <c:pt idx="265">
                  <c:v>44251</c:v>
                </c:pt>
                <c:pt idx="266">
                  <c:v>44252</c:v>
                </c:pt>
                <c:pt idx="267">
                  <c:v>44253</c:v>
                </c:pt>
                <c:pt idx="268">
                  <c:v>44256</c:v>
                </c:pt>
                <c:pt idx="269">
                  <c:v>44257</c:v>
                </c:pt>
                <c:pt idx="270">
                  <c:v>44258</c:v>
                </c:pt>
                <c:pt idx="271">
                  <c:v>44259</c:v>
                </c:pt>
                <c:pt idx="272">
                  <c:v>44260</c:v>
                </c:pt>
                <c:pt idx="273">
                  <c:v>44263</c:v>
                </c:pt>
                <c:pt idx="274">
                  <c:v>44264</c:v>
                </c:pt>
                <c:pt idx="275">
                  <c:v>44265</c:v>
                </c:pt>
                <c:pt idx="276">
                  <c:v>44266</c:v>
                </c:pt>
                <c:pt idx="277">
                  <c:v>44267</c:v>
                </c:pt>
                <c:pt idx="278">
                  <c:v>44270</c:v>
                </c:pt>
                <c:pt idx="279">
                  <c:v>44271</c:v>
                </c:pt>
                <c:pt idx="280">
                  <c:v>44272</c:v>
                </c:pt>
                <c:pt idx="281">
                  <c:v>44273</c:v>
                </c:pt>
                <c:pt idx="282">
                  <c:v>44274</c:v>
                </c:pt>
                <c:pt idx="283">
                  <c:v>44277</c:v>
                </c:pt>
                <c:pt idx="284">
                  <c:v>44278</c:v>
                </c:pt>
                <c:pt idx="285">
                  <c:v>44279</c:v>
                </c:pt>
                <c:pt idx="286">
                  <c:v>44280</c:v>
                </c:pt>
                <c:pt idx="287">
                  <c:v>44281</c:v>
                </c:pt>
                <c:pt idx="288">
                  <c:v>44284</c:v>
                </c:pt>
                <c:pt idx="289">
                  <c:v>44285</c:v>
                </c:pt>
                <c:pt idx="290">
                  <c:v>44286</c:v>
                </c:pt>
                <c:pt idx="291">
                  <c:v>44287</c:v>
                </c:pt>
                <c:pt idx="292">
                  <c:v>44288</c:v>
                </c:pt>
                <c:pt idx="293">
                  <c:v>44292</c:v>
                </c:pt>
                <c:pt idx="294">
                  <c:v>44293</c:v>
                </c:pt>
                <c:pt idx="295">
                  <c:v>44294</c:v>
                </c:pt>
                <c:pt idx="296">
                  <c:v>44295</c:v>
                </c:pt>
                <c:pt idx="297">
                  <c:v>44298</c:v>
                </c:pt>
                <c:pt idx="298">
                  <c:v>44299</c:v>
                </c:pt>
                <c:pt idx="299">
                  <c:v>44300</c:v>
                </c:pt>
                <c:pt idx="300">
                  <c:v>44301</c:v>
                </c:pt>
                <c:pt idx="301">
                  <c:v>44302</c:v>
                </c:pt>
                <c:pt idx="302">
                  <c:v>44305</c:v>
                </c:pt>
                <c:pt idx="303">
                  <c:v>44306</c:v>
                </c:pt>
                <c:pt idx="304">
                  <c:v>44307</c:v>
                </c:pt>
                <c:pt idx="305">
                  <c:v>44308</c:v>
                </c:pt>
                <c:pt idx="306">
                  <c:v>44309</c:v>
                </c:pt>
                <c:pt idx="307">
                  <c:v>44312</c:v>
                </c:pt>
                <c:pt idx="308">
                  <c:v>44313</c:v>
                </c:pt>
                <c:pt idx="309">
                  <c:v>44314</c:v>
                </c:pt>
                <c:pt idx="310">
                  <c:v>44315</c:v>
                </c:pt>
                <c:pt idx="311">
                  <c:v>44316</c:v>
                </c:pt>
                <c:pt idx="312">
                  <c:v>44322</c:v>
                </c:pt>
                <c:pt idx="313">
                  <c:v>44323</c:v>
                </c:pt>
                <c:pt idx="314">
                  <c:v>44326</c:v>
                </c:pt>
                <c:pt idx="315">
                  <c:v>44327</c:v>
                </c:pt>
                <c:pt idx="316">
                  <c:v>44328</c:v>
                </c:pt>
                <c:pt idx="317">
                  <c:v>44329</c:v>
                </c:pt>
                <c:pt idx="318">
                  <c:v>44330</c:v>
                </c:pt>
                <c:pt idx="319">
                  <c:v>44333</c:v>
                </c:pt>
              </c:numCache>
            </c:numRef>
          </c:cat>
          <c:val>
            <c:numRef>
              <c:f>海纳一号!$B$21:$B$340</c:f>
              <c:numCache>
                <c:formatCode>0.0000_ </c:formatCode>
                <c:ptCount val="320"/>
                <c:pt idx="0">
                  <c:v>1.0609999999999999</c:v>
                </c:pt>
                <c:pt idx="1">
                  <c:v>1.0609999999999999</c:v>
                </c:pt>
                <c:pt idx="2">
                  <c:v>1.0609999999999999</c:v>
                </c:pt>
                <c:pt idx="3">
                  <c:v>1.06</c:v>
                </c:pt>
                <c:pt idx="4">
                  <c:v>1.0640000000000001</c:v>
                </c:pt>
                <c:pt idx="5">
                  <c:v>1.0660000000000001</c:v>
                </c:pt>
                <c:pt idx="6">
                  <c:v>1.0740000000000001</c:v>
                </c:pt>
                <c:pt idx="7">
                  <c:v>1.075</c:v>
                </c:pt>
                <c:pt idx="8">
                  <c:v>1.0780000000000001</c:v>
                </c:pt>
                <c:pt idx="9">
                  <c:v>1.079</c:v>
                </c:pt>
                <c:pt idx="10">
                  <c:v>1.081</c:v>
                </c:pt>
                <c:pt idx="11">
                  <c:v>1.081</c:v>
                </c:pt>
                <c:pt idx="12">
                  <c:v>1.0820000000000001</c:v>
                </c:pt>
                <c:pt idx="13">
                  <c:v>1.085</c:v>
                </c:pt>
                <c:pt idx="14">
                  <c:v>1.0840000000000001</c:v>
                </c:pt>
                <c:pt idx="15">
                  <c:v>1.085</c:v>
                </c:pt>
                <c:pt idx="16">
                  <c:v>1.085</c:v>
                </c:pt>
                <c:pt idx="17">
                  <c:v>1.0880000000000001</c:v>
                </c:pt>
                <c:pt idx="18">
                  <c:v>1.0860000000000001</c:v>
                </c:pt>
                <c:pt idx="19">
                  <c:v>1.0860000000000001</c:v>
                </c:pt>
                <c:pt idx="20">
                  <c:v>1.087</c:v>
                </c:pt>
                <c:pt idx="21">
                  <c:v>1.091</c:v>
                </c:pt>
                <c:pt idx="22">
                  <c:v>1.0920000000000001</c:v>
                </c:pt>
                <c:pt idx="23">
                  <c:v>1.087</c:v>
                </c:pt>
                <c:pt idx="24">
                  <c:v>1.0900000000000001</c:v>
                </c:pt>
                <c:pt idx="25">
                  <c:v>1.089</c:v>
                </c:pt>
                <c:pt idx="26">
                  <c:v>1.089</c:v>
                </c:pt>
                <c:pt idx="27">
                  <c:v>1.093</c:v>
                </c:pt>
                <c:pt idx="28">
                  <c:v>1.0940000000000001</c:v>
                </c:pt>
                <c:pt idx="29">
                  <c:v>1.095</c:v>
                </c:pt>
                <c:pt idx="30">
                  <c:v>1.095</c:v>
                </c:pt>
                <c:pt idx="31">
                  <c:v>1.089</c:v>
                </c:pt>
                <c:pt idx="32">
                  <c:v>1.0880000000000001</c:v>
                </c:pt>
                <c:pt idx="33">
                  <c:v>1.0900000000000001</c:v>
                </c:pt>
                <c:pt idx="34">
                  <c:v>1.085</c:v>
                </c:pt>
                <c:pt idx="35">
                  <c:v>1.0860000000000001</c:v>
                </c:pt>
                <c:pt idx="36">
                  <c:v>1.08</c:v>
                </c:pt>
                <c:pt idx="37">
                  <c:v>1.0840000000000001</c:v>
                </c:pt>
                <c:pt idx="38">
                  <c:v>1.0780000000000001</c:v>
                </c:pt>
                <c:pt idx="39">
                  <c:v>1.081</c:v>
                </c:pt>
                <c:pt idx="40">
                  <c:v>1.0900000000000001</c:v>
                </c:pt>
                <c:pt idx="41">
                  <c:v>1.083</c:v>
                </c:pt>
                <c:pt idx="42">
                  <c:v>1.0900000000000001</c:v>
                </c:pt>
                <c:pt idx="43">
                  <c:v>1.0960000000000001</c:v>
                </c:pt>
                <c:pt idx="44">
                  <c:v>1.099</c:v>
                </c:pt>
                <c:pt idx="45">
                  <c:v>1.097</c:v>
                </c:pt>
                <c:pt idx="46">
                  <c:v>1.093</c:v>
                </c:pt>
                <c:pt idx="47">
                  <c:v>1.097</c:v>
                </c:pt>
                <c:pt idx="48">
                  <c:v>1.095</c:v>
                </c:pt>
                <c:pt idx="49">
                  <c:v>1.0980000000000001</c:v>
                </c:pt>
                <c:pt idx="50">
                  <c:v>1.0960000000000001</c:v>
                </c:pt>
                <c:pt idx="51">
                  <c:v>1.099</c:v>
                </c:pt>
                <c:pt idx="52">
                  <c:v>1.0980000000000001</c:v>
                </c:pt>
                <c:pt idx="53">
                  <c:v>1.103</c:v>
                </c:pt>
                <c:pt idx="54">
                  <c:v>1.1040000000000001</c:v>
                </c:pt>
                <c:pt idx="55">
                  <c:v>1.105</c:v>
                </c:pt>
                <c:pt idx="56">
                  <c:v>1.107</c:v>
                </c:pt>
                <c:pt idx="57">
                  <c:v>1.1080000000000001</c:v>
                </c:pt>
                <c:pt idx="58">
                  <c:v>1.111</c:v>
                </c:pt>
                <c:pt idx="59">
                  <c:v>1.1140000000000001</c:v>
                </c:pt>
                <c:pt idx="60">
                  <c:v>1.119</c:v>
                </c:pt>
                <c:pt idx="61">
                  <c:v>1.1160000000000001</c:v>
                </c:pt>
                <c:pt idx="62">
                  <c:v>1.1220000000000001</c:v>
                </c:pt>
                <c:pt idx="63">
                  <c:v>1.1200000000000001</c:v>
                </c:pt>
                <c:pt idx="64">
                  <c:v>1.1160000000000001</c:v>
                </c:pt>
                <c:pt idx="65">
                  <c:v>1.1160000000000001</c:v>
                </c:pt>
                <c:pt idx="66">
                  <c:v>1.119</c:v>
                </c:pt>
                <c:pt idx="67">
                  <c:v>1.1180000000000001</c:v>
                </c:pt>
                <c:pt idx="68">
                  <c:v>1.1120000000000001</c:v>
                </c:pt>
                <c:pt idx="69">
                  <c:v>1.115</c:v>
                </c:pt>
                <c:pt idx="70">
                  <c:v>1.115</c:v>
                </c:pt>
                <c:pt idx="71">
                  <c:v>1.1200000000000001</c:v>
                </c:pt>
                <c:pt idx="72">
                  <c:v>1.1240000000000001</c:v>
                </c:pt>
                <c:pt idx="73">
                  <c:v>1.1279999999999999</c:v>
                </c:pt>
                <c:pt idx="74">
                  <c:v>1.1319999999999999</c:v>
                </c:pt>
                <c:pt idx="75">
                  <c:v>1.135</c:v>
                </c:pt>
                <c:pt idx="76">
                  <c:v>1.1319999999999999</c:v>
                </c:pt>
                <c:pt idx="77">
                  <c:v>1.135</c:v>
                </c:pt>
                <c:pt idx="78">
                  <c:v>1.1399999999999999</c:v>
                </c:pt>
                <c:pt idx="79">
                  <c:v>1.1419999999999999</c:v>
                </c:pt>
                <c:pt idx="80">
                  <c:v>1.1379999999999999</c:v>
                </c:pt>
                <c:pt idx="81">
                  <c:v>1.1279999999999999</c:v>
                </c:pt>
                <c:pt idx="82">
                  <c:v>1.1359999999999999</c:v>
                </c:pt>
                <c:pt idx="83">
                  <c:v>1.147</c:v>
                </c:pt>
                <c:pt idx="84">
                  <c:v>1.145</c:v>
                </c:pt>
                <c:pt idx="85">
                  <c:v>1.1439999999999999</c:v>
                </c:pt>
                <c:pt idx="86">
                  <c:v>1.151</c:v>
                </c:pt>
                <c:pt idx="87">
                  <c:v>1.151</c:v>
                </c:pt>
                <c:pt idx="88">
                  <c:v>1.1459999999999999</c:v>
                </c:pt>
                <c:pt idx="89">
                  <c:v>1.1499999999999999</c:v>
                </c:pt>
                <c:pt idx="90">
                  <c:v>1.157</c:v>
                </c:pt>
                <c:pt idx="91">
                  <c:v>1.1559999999999999</c:v>
                </c:pt>
                <c:pt idx="92">
                  <c:v>1.1539999999999999</c:v>
                </c:pt>
                <c:pt idx="93">
                  <c:v>1.153</c:v>
                </c:pt>
                <c:pt idx="94">
                  <c:v>1.1599999999999999</c:v>
                </c:pt>
                <c:pt idx="95">
                  <c:v>1.159</c:v>
                </c:pt>
                <c:pt idx="96">
                  <c:v>1.163</c:v>
                </c:pt>
                <c:pt idx="97">
                  <c:v>1.157</c:v>
                </c:pt>
                <c:pt idx="98">
                  <c:v>1.1659999999999999</c:v>
                </c:pt>
                <c:pt idx="99">
                  <c:v>1.165</c:v>
                </c:pt>
                <c:pt idx="100">
                  <c:v>1.159</c:v>
                </c:pt>
                <c:pt idx="101">
                  <c:v>1.1539999999999999</c:v>
                </c:pt>
                <c:pt idx="102">
                  <c:v>1.151</c:v>
                </c:pt>
                <c:pt idx="103">
                  <c:v>1.163</c:v>
                </c:pt>
                <c:pt idx="104">
                  <c:v>1.159</c:v>
                </c:pt>
                <c:pt idx="105">
                  <c:v>1.1619999999999999</c:v>
                </c:pt>
                <c:pt idx="106">
                  <c:v>1.1659999999999999</c:v>
                </c:pt>
                <c:pt idx="107">
                  <c:v>1.165</c:v>
                </c:pt>
                <c:pt idx="108">
                  <c:v>1.161</c:v>
                </c:pt>
                <c:pt idx="109">
                  <c:v>1.1639999999999999</c:v>
                </c:pt>
                <c:pt idx="110">
                  <c:v>1.1439999999999999</c:v>
                </c:pt>
                <c:pt idx="111">
                  <c:v>1.1419999999999999</c:v>
                </c:pt>
                <c:pt idx="112">
                  <c:v>1.1539999999999999</c:v>
                </c:pt>
                <c:pt idx="113">
                  <c:v>1.161</c:v>
                </c:pt>
                <c:pt idx="114">
                  <c:v>1.157</c:v>
                </c:pt>
                <c:pt idx="115">
                  <c:v>1.159</c:v>
                </c:pt>
                <c:pt idx="116">
                  <c:v>1.155</c:v>
                </c:pt>
                <c:pt idx="117">
                  <c:v>1.157</c:v>
                </c:pt>
                <c:pt idx="118">
                  <c:v>1.145</c:v>
                </c:pt>
                <c:pt idx="119">
                  <c:v>1.155</c:v>
                </c:pt>
                <c:pt idx="120">
                  <c:v>1.1579999999999999</c:v>
                </c:pt>
                <c:pt idx="121">
                  <c:v>1.1659999999999999</c:v>
                </c:pt>
                <c:pt idx="122">
                  <c:v>1.163</c:v>
                </c:pt>
                <c:pt idx="123">
                  <c:v>1.167</c:v>
                </c:pt>
                <c:pt idx="124">
                  <c:v>1.1619999999999999</c:v>
                </c:pt>
                <c:pt idx="125">
                  <c:v>1.1599999999999999</c:v>
                </c:pt>
                <c:pt idx="126">
                  <c:v>1.1659999999999999</c:v>
                </c:pt>
                <c:pt idx="127">
                  <c:v>1.161</c:v>
                </c:pt>
                <c:pt idx="128">
                  <c:v>1.161</c:v>
                </c:pt>
                <c:pt idx="129">
                  <c:v>1.163</c:v>
                </c:pt>
                <c:pt idx="130">
                  <c:v>1.1659999999999999</c:v>
                </c:pt>
                <c:pt idx="131">
                  <c:v>1.1659999999999999</c:v>
                </c:pt>
                <c:pt idx="132">
                  <c:v>1.1659999999999999</c:v>
                </c:pt>
                <c:pt idx="133">
                  <c:v>1.1619999999999999</c:v>
                </c:pt>
                <c:pt idx="134">
                  <c:v>1.1599999999999999</c:v>
                </c:pt>
                <c:pt idx="135">
                  <c:v>1.1579999999999999</c:v>
                </c:pt>
                <c:pt idx="136">
                  <c:v>1.159</c:v>
                </c:pt>
                <c:pt idx="137">
                  <c:v>1.157</c:v>
                </c:pt>
                <c:pt idx="138">
                  <c:v>1.157</c:v>
                </c:pt>
                <c:pt idx="139">
                  <c:v>1.159</c:v>
                </c:pt>
                <c:pt idx="140">
                  <c:v>1.1559999999999999</c:v>
                </c:pt>
                <c:pt idx="141">
                  <c:v>1.159</c:v>
                </c:pt>
                <c:pt idx="142">
                  <c:v>1.157</c:v>
                </c:pt>
                <c:pt idx="143">
                  <c:v>1.155</c:v>
                </c:pt>
                <c:pt idx="144">
                  <c:v>1.1579999999999999</c:v>
                </c:pt>
                <c:pt idx="145">
                  <c:v>1.1619999999999999</c:v>
                </c:pt>
                <c:pt idx="146">
                  <c:v>1.1639999999999999</c:v>
                </c:pt>
                <c:pt idx="147">
                  <c:v>1.1639999999999999</c:v>
                </c:pt>
                <c:pt idx="148">
                  <c:v>1.1659999999999999</c:v>
                </c:pt>
                <c:pt idx="149">
                  <c:v>1.163</c:v>
                </c:pt>
                <c:pt idx="150">
                  <c:v>1.1619999999999999</c:v>
                </c:pt>
                <c:pt idx="151">
                  <c:v>1.165</c:v>
                </c:pt>
                <c:pt idx="152">
                  <c:v>1.167</c:v>
                </c:pt>
                <c:pt idx="153">
                  <c:v>1.1639999999999999</c:v>
                </c:pt>
                <c:pt idx="154">
                  <c:v>1.165</c:v>
                </c:pt>
                <c:pt idx="155">
                  <c:v>1.163</c:v>
                </c:pt>
                <c:pt idx="156">
                  <c:v>1.1619999999999999</c:v>
                </c:pt>
                <c:pt idx="157">
                  <c:v>1.1619999999999999</c:v>
                </c:pt>
                <c:pt idx="158">
                  <c:v>1.161</c:v>
                </c:pt>
                <c:pt idx="159">
                  <c:v>1.1659999999999999</c:v>
                </c:pt>
                <c:pt idx="160">
                  <c:v>1.17</c:v>
                </c:pt>
                <c:pt idx="161">
                  <c:v>1.173</c:v>
                </c:pt>
                <c:pt idx="162">
                  <c:v>1.171</c:v>
                </c:pt>
                <c:pt idx="163">
                  <c:v>1.17</c:v>
                </c:pt>
                <c:pt idx="164">
                  <c:v>1.171</c:v>
                </c:pt>
                <c:pt idx="165">
                  <c:v>1.1679999999999999</c:v>
                </c:pt>
                <c:pt idx="166">
                  <c:v>1.17</c:v>
                </c:pt>
                <c:pt idx="167">
                  <c:v>1.1679999999999999</c:v>
                </c:pt>
                <c:pt idx="168">
                  <c:v>1.1659999999999999</c:v>
                </c:pt>
                <c:pt idx="169">
                  <c:v>1.1639999999999999</c:v>
                </c:pt>
                <c:pt idx="170">
                  <c:v>1.1659999999999999</c:v>
                </c:pt>
                <c:pt idx="171">
                  <c:v>1.1599999999999999</c:v>
                </c:pt>
                <c:pt idx="172">
                  <c:v>1.1639999999999999</c:v>
                </c:pt>
                <c:pt idx="173">
                  <c:v>1.169</c:v>
                </c:pt>
                <c:pt idx="174">
                  <c:v>1.167</c:v>
                </c:pt>
                <c:pt idx="175">
                  <c:v>1.167</c:v>
                </c:pt>
                <c:pt idx="176">
                  <c:v>1.171</c:v>
                </c:pt>
                <c:pt idx="177">
                  <c:v>1.167</c:v>
                </c:pt>
                <c:pt idx="178">
                  <c:v>1.167</c:v>
                </c:pt>
                <c:pt idx="179">
                  <c:v>1.165</c:v>
                </c:pt>
                <c:pt idx="180">
                  <c:v>1.1659999999999999</c:v>
                </c:pt>
                <c:pt idx="181">
                  <c:v>1.1679999999999999</c:v>
                </c:pt>
                <c:pt idx="182">
                  <c:v>1.17</c:v>
                </c:pt>
                <c:pt idx="183">
                  <c:v>1.173</c:v>
                </c:pt>
                <c:pt idx="184">
                  <c:v>1.167</c:v>
                </c:pt>
                <c:pt idx="185">
                  <c:v>1.163</c:v>
                </c:pt>
                <c:pt idx="186">
                  <c:v>1.163</c:v>
                </c:pt>
                <c:pt idx="187">
                  <c:v>1.1599999999999999</c:v>
                </c:pt>
                <c:pt idx="188">
                  <c:v>1.159</c:v>
                </c:pt>
                <c:pt idx="189">
                  <c:v>1.157</c:v>
                </c:pt>
                <c:pt idx="190">
                  <c:v>1.159</c:v>
                </c:pt>
                <c:pt idx="191">
                  <c:v>1.161</c:v>
                </c:pt>
                <c:pt idx="192">
                  <c:v>1.167</c:v>
                </c:pt>
                <c:pt idx="193">
                  <c:v>1.1639999999999999</c:v>
                </c:pt>
                <c:pt idx="194">
                  <c:v>1.165</c:v>
                </c:pt>
                <c:pt idx="195">
                  <c:v>1.163</c:v>
                </c:pt>
                <c:pt idx="196">
                  <c:v>1.159</c:v>
                </c:pt>
                <c:pt idx="197">
                  <c:v>1.165</c:v>
                </c:pt>
                <c:pt idx="198">
                  <c:v>1.1659999999999999</c:v>
                </c:pt>
                <c:pt idx="199">
                  <c:v>1.169</c:v>
                </c:pt>
                <c:pt idx="200">
                  <c:v>1.17</c:v>
                </c:pt>
                <c:pt idx="201">
                  <c:v>1.167</c:v>
                </c:pt>
                <c:pt idx="202">
                  <c:v>1.1639999999999999</c:v>
                </c:pt>
                <c:pt idx="203">
                  <c:v>1.165</c:v>
                </c:pt>
                <c:pt idx="204">
                  <c:v>1.163</c:v>
                </c:pt>
                <c:pt idx="205">
                  <c:v>1.155</c:v>
                </c:pt>
                <c:pt idx="206">
                  <c:v>1.1579999999999999</c:v>
                </c:pt>
                <c:pt idx="207">
                  <c:v>1.17</c:v>
                </c:pt>
                <c:pt idx="208">
                  <c:v>1.165</c:v>
                </c:pt>
                <c:pt idx="209">
                  <c:v>1.163</c:v>
                </c:pt>
                <c:pt idx="210">
                  <c:v>1.163</c:v>
                </c:pt>
                <c:pt idx="211">
                  <c:v>1.161</c:v>
                </c:pt>
                <c:pt idx="212">
                  <c:v>1.1639999999999999</c:v>
                </c:pt>
                <c:pt idx="213">
                  <c:v>1.165</c:v>
                </c:pt>
                <c:pt idx="214">
                  <c:v>1.17</c:v>
                </c:pt>
                <c:pt idx="215">
                  <c:v>1.1659999999999999</c:v>
                </c:pt>
                <c:pt idx="216">
                  <c:v>1.167</c:v>
                </c:pt>
                <c:pt idx="217">
                  <c:v>1.169</c:v>
                </c:pt>
                <c:pt idx="218">
                  <c:v>1.17</c:v>
                </c:pt>
                <c:pt idx="219">
                  <c:v>1.1679999999999999</c:v>
                </c:pt>
                <c:pt idx="220">
                  <c:v>1.169</c:v>
                </c:pt>
                <c:pt idx="221">
                  <c:v>1.1719999999999999</c:v>
                </c:pt>
                <c:pt idx="222">
                  <c:v>1.1719999999999999</c:v>
                </c:pt>
                <c:pt idx="223">
                  <c:v>1.175</c:v>
                </c:pt>
                <c:pt idx="224">
                  <c:v>1.1759999999999999</c:v>
                </c:pt>
                <c:pt idx="225">
                  <c:v>1.1819999999999999</c:v>
                </c:pt>
                <c:pt idx="226">
                  <c:v>1.1850000000000001</c:v>
                </c:pt>
                <c:pt idx="227">
                  <c:v>1.1850000000000001</c:v>
                </c:pt>
                <c:pt idx="228">
                  <c:v>1.181</c:v>
                </c:pt>
                <c:pt idx="229">
                  <c:v>1.175</c:v>
                </c:pt>
                <c:pt idx="230">
                  <c:v>1.177</c:v>
                </c:pt>
                <c:pt idx="231">
                  <c:v>1.1830000000000001</c:v>
                </c:pt>
                <c:pt idx="232">
                  <c:v>1.1819999999999999</c:v>
                </c:pt>
                <c:pt idx="233">
                  <c:v>1.1779999999999999</c:v>
                </c:pt>
                <c:pt idx="234">
                  <c:v>1.1759999999999999</c:v>
                </c:pt>
                <c:pt idx="235">
                  <c:v>1.177</c:v>
                </c:pt>
                <c:pt idx="236">
                  <c:v>1.1639999999999999</c:v>
                </c:pt>
                <c:pt idx="237">
                  <c:v>1.161</c:v>
                </c:pt>
                <c:pt idx="238">
                  <c:v>1.1719999999999999</c:v>
                </c:pt>
                <c:pt idx="239">
                  <c:v>1.1659999999999999</c:v>
                </c:pt>
                <c:pt idx="240">
                  <c:v>1.1639999999999999</c:v>
                </c:pt>
                <c:pt idx="241">
                  <c:v>1.1739999999999999</c:v>
                </c:pt>
                <c:pt idx="242">
                  <c:v>1.18</c:v>
                </c:pt>
                <c:pt idx="243">
                  <c:v>1.1830000000000001</c:v>
                </c:pt>
                <c:pt idx="244">
                  <c:v>1.1890000000000001</c:v>
                </c:pt>
                <c:pt idx="245">
                  <c:v>1.2010000000000001</c:v>
                </c:pt>
                <c:pt idx="246">
                  <c:v>1.1970000000000001</c:v>
                </c:pt>
                <c:pt idx="247">
                  <c:v>1.204</c:v>
                </c:pt>
                <c:pt idx="248">
                  <c:v>1.22</c:v>
                </c:pt>
                <c:pt idx="249">
                  <c:v>1.21</c:v>
                </c:pt>
                <c:pt idx="250">
                  <c:v>1.2030000000000001</c:v>
                </c:pt>
                <c:pt idx="251">
                  <c:v>1.202</c:v>
                </c:pt>
                <c:pt idx="252">
                  <c:v>1.208</c:v>
                </c:pt>
                <c:pt idx="253">
                  <c:v>1.2130000000000001</c:v>
                </c:pt>
                <c:pt idx="254">
                  <c:v>1.214</c:v>
                </c:pt>
                <c:pt idx="255">
                  <c:v>1.2190000000000001</c:v>
                </c:pt>
                <c:pt idx="256">
                  <c:v>1.224</c:v>
                </c:pt>
                <c:pt idx="257">
                  <c:v>1.2230000000000001</c:v>
                </c:pt>
                <c:pt idx="258">
                  <c:v>1.2250000000000001</c:v>
                </c:pt>
                <c:pt idx="259">
                  <c:v>1.2190000000000001</c:v>
                </c:pt>
                <c:pt idx="260">
                  <c:v>1.2230000000000001</c:v>
                </c:pt>
                <c:pt idx="261">
                  <c:v>1.2210000000000001</c:v>
                </c:pt>
                <c:pt idx="262">
                  <c:v>1.2230000000000001</c:v>
                </c:pt>
                <c:pt idx="263">
                  <c:v>1.2130000000000001</c:v>
                </c:pt>
                <c:pt idx="264">
                  <c:v>1.2190000000000001</c:v>
                </c:pt>
                <c:pt idx="265">
                  <c:v>1.2170000000000001</c:v>
                </c:pt>
                <c:pt idx="266">
                  <c:v>1.2190000000000001</c:v>
                </c:pt>
                <c:pt idx="267">
                  <c:v>1.214</c:v>
                </c:pt>
                <c:pt idx="268">
                  <c:v>1.222</c:v>
                </c:pt>
                <c:pt idx="269">
                  <c:v>1.222</c:v>
                </c:pt>
                <c:pt idx="270">
                  <c:v>1.2270000000000001</c:v>
                </c:pt>
                <c:pt idx="271">
                  <c:v>1.224</c:v>
                </c:pt>
                <c:pt idx="272">
                  <c:v>1.218</c:v>
                </c:pt>
                <c:pt idx="273">
                  <c:v>1.2190000000000001</c:v>
                </c:pt>
                <c:pt idx="274">
                  <c:v>1.2290000000000001</c:v>
                </c:pt>
                <c:pt idx="275">
                  <c:v>1.2310000000000001</c:v>
                </c:pt>
                <c:pt idx="276">
                  <c:v>1.2350000000000001</c:v>
                </c:pt>
                <c:pt idx="277">
                  <c:v>1.2310000000000001</c:v>
                </c:pt>
                <c:pt idx="278">
                  <c:v>1.232</c:v>
                </c:pt>
                <c:pt idx="279">
                  <c:v>1.234</c:v>
                </c:pt>
                <c:pt idx="280">
                  <c:v>1.2330000000000001</c:v>
                </c:pt>
                <c:pt idx="281">
                  <c:v>1.2350000000000001</c:v>
                </c:pt>
                <c:pt idx="282">
                  <c:v>1.236</c:v>
                </c:pt>
                <c:pt idx="283">
                  <c:v>1.232</c:v>
                </c:pt>
                <c:pt idx="284">
                  <c:v>1.2250000000000001</c:v>
                </c:pt>
                <c:pt idx="285">
                  <c:v>1.224</c:v>
                </c:pt>
                <c:pt idx="286">
                  <c:v>1.226</c:v>
                </c:pt>
                <c:pt idx="287">
                  <c:v>1.2270000000000001</c:v>
                </c:pt>
                <c:pt idx="288">
                  <c:v>1.2270000000000001</c:v>
                </c:pt>
                <c:pt idx="289">
                  <c:v>1.23</c:v>
                </c:pt>
                <c:pt idx="290">
                  <c:v>1.23</c:v>
                </c:pt>
                <c:pt idx="291">
                  <c:v>1.238</c:v>
                </c:pt>
                <c:pt idx="292">
                  <c:v>1.242</c:v>
                </c:pt>
                <c:pt idx="293">
                  <c:v>1.2390000000000001</c:v>
                </c:pt>
                <c:pt idx="294">
                  <c:v>1.232</c:v>
                </c:pt>
                <c:pt idx="295">
                  <c:v>1.2310000000000001</c:v>
                </c:pt>
                <c:pt idx="296">
                  <c:v>1.232</c:v>
                </c:pt>
                <c:pt idx="297">
                  <c:v>1.234</c:v>
                </c:pt>
                <c:pt idx="298">
                  <c:v>1.2310000000000001</c:v>
                </c:pt>
                <c:pt idx="299">
                  <c:v>1.2310000000000001</c:v>
                </c:pt>
                <c:pt idx="300">
                  <c:v>1.2330000000000001</c:v>
                </c:pt>
                <c:pt idx="301">
                  <c:v>1.2350000000000001</c:v>
                </c:pt>
                <c:pt idx="302">
                  <c:v>1.2330000000000001</c:v>
                </c:pt>
                <c:pt idx="303">
                  <c:v>1.2350000000000001</c:v>
                </c:pt>
                <c:pt idx="304">
                  <c:v>1.232</c:v>
                </c:pt>
                <c:pt idx="305">
                  <c:v>1.2350000000000001</c:v>
                </c:pt>
                <c:pt idx="306">
                  <c:v>1.236</c:v>
                </c:pt>
                <c:pt idx="307">
                  <c:v>1.236</c:v>
                </c:pt>
                <c:pt idx="308">
                  <c:v>1.232</c:v>
                </c:pt>
                <c:pt idx="309">
                  <c:v>1.2350000000000001</c:v>
                </c:pt>
                <c:pt idx="310">
                  <c:v>1.234</c:v>
                </c:pt>
                <c:pt idx="311">
                  <c:v>1.2290000000000001</c:v>
                </c:pt>
                <c:pt idx="312">
                  <c:v>1.2270000000000001</c:v>
                </c:pt>
                <c:pt idx="313">
                  <c:v>1.226</c:v>
                </c:pt>
                <c:pt idx="314">
                  <c:v>1.222</c:v>
                </c:pt>
                <c:pt idx="315">
                  <c:v>1.2190000000000001</c:v>
                </c:pt>
                <c:pt idx="316">
                  <c:v>1.222</c:v>
                </c:pt>
                <c:pt idx="317">
                  <c:v>1.22</c:v>
                </c:pt>
                <c:pt idx="318">
                  <c:v>1.2190000000000001</c:v>
                </c:pt>
                <c:pt idx="319">
                  <c:v>1.2210000000000001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7D-4EF1-82E2-85004395E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099824"/>
        <c:axId val="545100384"/>
      </c:lineChart>
      <c:catAx>
        <c:axId val="54509982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crossAx val="545100384"/>
        <c:crosses val="autoZero"/>
        <c:auto val="0"/>
        <c:lblAlgn val="ctr"/>
        <c:lblOffset val="100"/>
        <c:noMultiLvlLbl val="1"/>
      </c:catAx>
      <c:valAx>
        <c:axId val="545100384"/>
        <c:scaling>
          <c:orientation val="minMax"/>
          <c:min val="1.05"/>
        </c:scaling>
        <c:delete val="0"/>
        <c:axPos val="l"/>
        <c:majorGridlines/>
        <c:numFmt formatCode="0.0000_ " sourceLinked="1"/>
        <c:majorTickMark val="none"/>
        <c:minorTickMark val="none"/>
        <c:tickLblPos val="nextTo"/>
        <c:spPr>
          <a:ln w="9525">
            <a:noFill/>
          </a:ln>
        </c:spPr>
        <c:crossAx val="54509982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4" l="0.70000000000000062" r="0.70000000000000062" t="0.750000000000004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 sz="1600"/>
              <a:t>分形</a:t>
            </a:r>
            <a:r>
              <a:rPr lang="en-US" altLang="zh-CN" sz="1600"/>
              <a:t>3</a:t>
            </a:r>
            <a:r>
              <a:rPr lang="zh-CN" altLang="en-US" sz="1600"/>
              <a:t>号</a:t>
            </a:r>
            <a:endParaRPr lang="en-US" altLang="zh-CN" sz="16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蒙玺分形3号!$B$20</c:f>
              <c:strCache>
                <c:ptCount val="1"/>
                <c:pt idx="0">
                  <c:v>累计净值</c:v>
                </c:pt>
              </c:strCache>
            </c:strRef>
          </c:tx>
          <c:marker>
            <c:symbol val="none"/>
          </c:marker>
          <c:cat>
            <c:numRef>
              <c:f>蒙玺分形3号!$A$21:$A$224</c:f>
              <c:numCache>
                <c:formatCode>m/d/yyyy</c:formatCode>
                <c:ptCount val="204"/>
                <c:pt idx="0">
                  <c:v>44026</c:v>
                </c:pt>
                <c:pt idx="1">
                  <c:v>44027</c:v>
                </c:pt>
                <c:pt idx="2">
                  <c:v>44028</c:v>
                </c:pt>
                <c:pt idx="3">
                  <c:v>44029</c:v>
                </c:pt>
                <c:pt idx="4">
                  <c:v>44032</c:v>
                </c:pt>
                <c:pt idx="5">
                  <c:v>44033</c:v>
                </c:pt>
                <c:pt idx="6">
                  <c:v>44034</c:v>
                </c:pt>
                <c:pt idx="7">
                  <c:v>44035</c:v>
                </c:pt>
                <c:pt idx="8">
                  <c:v>44036</c:v>
                </c:pt>
                <c:pt idx="9">
                  <c:v>44039</c:v>
                </c:pt>
                <c:pt idx="10">
                  <c:v>44040</c:v>
                </c:pt>
                <c:pt idx="11">
                  <c:v>44041</c:v>
                </c:pt>
                <c:pt idx="12">
                  <c:v>44042</c:v>
                </c:pt>
                <c:pt idx="13">
                  <c:v>44043</c:v>
                </c:pt>
                <c:pt idx="14">
                  <c:v>44046</c:v>
                </c:pt>
                <c:pt idx="15">
                  <c:v>44047</c:v>
                </c:pt>
                <c:pt idx="16">
                  <c:v>44048</c:v>
                </c:pt>
                <c:pt idx="17">
                  <c:v>44049</c:v>
                </c:pt>
                <c:pt idx="18">
                  <c:v>44050</c:v>
                </c:pt>
                <c:pt idx="19">
                  <c:v>44053</c:v>
                </c:pt>
                <c:pt idx="20">
                  <c:v>44054</c:v>
                </c:pt>
                <c:pt idx="21">
                  <c:v>44055</c:v>
                </c:pt>
                <c:pt idx="22">
                  <c:v>44056</c:v>
                </c:pt>
                <c:pt idx="23">
                  <c:v>44057</c:v>
                </c:pt>
                <c:pt idx="24">
                  <c:v>44060</c:v>
                </c:pt>
                <c:pt idx="25">
                  <c:v>44061</c:v>
                </c:pt>
                <c:pt idx="26">
                  <c:v>44062</c:v>
                </c:pt>
                <c:pt idx="27">
                  <c:v>44063</c:v>
                </c:pt>
                <c:pt idx="28">
                  <c:v>44064</c:v>
                </c:pt>
                <c:pt idx="29">
                  <c:v>44067</c:v>
                </c:pt>
                <c:pt idx="30">
                  <c:v>44068</c:v>
                </c:pt>
                <c:pt idx="31">
                  <c:v>44069</c:v>
                </c:pt>
                <c:pt idx="32">
                  <c:v>44070</c:v>
                </c:pt>
                <c:pt idx="33">
                  <c:v>44071</c:v>
                </c:pt>
                <c:pt idx="34">
                  <c:v>44074</c:v>
                </c:pt>
                <c:pt idx="35">
                  <c:v>44075</c:v>
                </c:pt>
                <c:pt idx="36">
                  <c:v>44076</c:v>
                </c:pt>
                <c:pt idx="37">
                  <c:v>44077</c:v>
                </c:pt>
                <c:pt idx="38">
                  <c:v>44078</c:v>
                </c:pt>
                <c:pt idx="39">
                  <c:v>44081</c:v>
                </c:pt>
                <c:pt idx="40">
                  <c:v>44082</c:v>
                </c:pt>
                <c:pt idx="41">
                  <c:v>44083</c:v>
                </c:pt>
                <c:pt idx="42">
                  <c:v>44084</c:v>
                </c:pt>
                <c:pt idx="43">
                  <c:v>44085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44095</c:v>
                </c:pt>
                <c:pt idx="50">
                  <c:v>44096</c:v>
                </c:pt>
                <c:pt idx="51">
                  <c:v>44097</c:v>
                </c:pt>
                <c:pt idx="52">
                  <c:v>44098</c:v>
                </c:pt>
                <c:pt idx="53">
                  <c:v>44099</c:v>
                </c:pt>
                <c:pt idx="54">
                  <c:v>44102</c:v>
                </c:pt>
                <c:pt idx="55">
                  <c:v>44103</c:v>
                </c:pt>
                <c:pt idx="56">
                  <c:v>44104</c:v>
                </c:pt>
                <c:pt idx="57">
                  <c:v>44113</c:v>
                </c:pt>
                <c:pt idx="58">
                  <c:v>44116</c:v>
                </c:pt>
                <c:pt idx="59">
                  <c:v>44117</c:v>
                </c:pt>
                <c:pt idx="60">
                  <c:v>44118</c:v>
                </c:pt>
                <c:pt idx="61">
                  <c:v>44119</c:v>
                </c:pt>
                <c:pt idx="62">
                  <c:v>44120</c:v>
                </c:pt>
                <c:pt idx="63">
                  <c:v>44123</c:v>
                </c:pt>
                <c:pt idx="64">
                  <c:v>44124</c:v>
                </c:pt>
                <c:pt idx="65">
                  <c:v>44125</c:v>
                </c:pt>
                <c:pt idx="66">
                  <c:v>44126</c:v>
                </c:pt>
                <c:pt idx="67">
                  <c:v>44127</c:v>
                </c:pt>
                <c:pt idx="68">
                  <c:v>44130</c:v>
                </c:pt>
                <c:pt idx="69">
                  <c:v>44131</c:v>
                </c:pt>
                <c:pt idx="70">
                  <c:v>44132</c:v>
                </c:pt>
                <c:pt idx="71">
                  <c:v>44133</c:v>
                </c:pt>
                <c:pt idx="72">
                  <c:v>44134</c:v>
                </c:pt>
                <c:pt idx="73">
                  <c:v>44137</c:v>
                </c:pt>
                <c:pt idx="74">
                  <c:v>44138</c:v>
                </c:pt>
                <c:pt idx="75">
                  <c:v>44139</c:v>
                </c:pt>
                <c:pt idx="76">
                  <c:v>44140</c:v>
                </c:pt>
                <c:pt idx="77">
                  <c:v>44141</c:v>
                </c:pt>
                <c:pt idx="78">
                  <c:v>44144</c:v>
                </c:pt>
                <c:pt idx="79">
                  <c:v>44145</c:v>
                </c:pt>
                <c:pt idx="80">
                  <c:v>44146</c:v>
                </c:pt>
                <c:pt idx="81">
                  <c:v>44147</c:v>
                </c:pt>
                <c:pt idx="82">
                  <c:v>44148</c:v>
                </c:pt>
                <c:pt idx="83">
                  <c:v>44151</c:v>
                </c:pt>
                <c:pt idx="84">
                  <c:v>44152</c:v>
                </c:pt>
                <c:pt idx="85">
                  <c:v>44153</c:v>
                </c:pt>
                <c:pt idx="86">
                  <c:v>44154</c:v>
                </c:pt>
                <c:pt idx="87">
                  <c:v>44155</c:v>
                </c:pt>
                <c:pt idx="88">
                  <c:v>44158</c:v>
                </c:pt>
                <c:pt idx="89">
                  <c:v>44159</c:v>
                </c:pt>
                <c:pt idx="90">
                  <c:v>44160</c:v>
                </c:pt>
                <c:pt idx="91">
                  <c:v>44161</c:v>
                </c:pt>
                <c:pt idx="92">
                  <c:v>44162</c:v>
                </c:pt>
                <c:pt idx="93">
                  <c:v>44165</c:v>
                </c:pt>
                <c:pt idx="94">
                  <c:v>44166</c:v>
                </c:pt>
                <c:pt idx="95">
                  <c:v>44167</c:v>
                </c:pt>
                <c:pt idx="96">
                  <c:v>44168</c:v>
                </c:pt>
                <c:pt idx="97">
                  <c:v>44169</c:v>
                </c:pt>
                <c:pt idx="98">
                  <c:v>44172</c:v>
                </c:pt>
                <c:pt idx="99">
                  <c:v>44173</c:v>
                </c:pt>
                <c:pt idx="100">
                  <c:v>44174</c:v>
                </c:pt>
                <c:pt idx="101">
                  <c:v>44175</c:v>
                </c:pt>
                <c:pt idx="102">
                  <c:v>44176</c:v>
                </c:pt>
                <c:pt idx="103">
                  <c:v>44179</c:v>
                </c:pt>
                <c:pt idx="104">
                  <c:v>44180</c:v>
                </c:pt>
                <c:pt idx="105">
                  <c:v>44181</c:v>
                </c:pt>
                <c:pt idx="106">
                  <c:v>44182</c:v>
                </c:pt>
                <c:pt idx="107">
                  <c:v>44183</c:v>
                </c:pt>
                <c:pt idx="108">
                  <c:v>44186</c:v>
                </c:pt>
                <c:pt idx="109">
                  <c:v>44187</c:v>
                </c:pt>
                <c:pt idx="110">
                  <c:v>44188</c:v>
                </c:pt>
                <c:pt idx="111">
                  <c:v>44189</c:v>
                </c:pt>
                <c:pt idx="112">
                  <c:v>44190</c:v>
                </c:pt>
                <c:pt idx="113">
                  <c:v>44193</c:v>
                </c:pt>
                <c:pt idx="114">
                  <c:v>44194</c:v>
                </c:pt>
                <c:pt idx="115">
                  <c:v>44195</c:v>
                </c:pt>
                <c:pt idx="116">
                  <c:v>44196</c:v>
                </c:pt>
                <c:pt idx="117">
                  <c:v>44200</c:v>
                </c:pt>
                <c:pt idx="118">
                  <c:v>44201</c:v>
                </c:pt>
                <c:pt idx="119">
                  <c:v>44202</c:v>
                </c:pt>
                <c:pt idx="120">
                  <c:v>44203</c:v>
                </c:pt>
                <c:pt idx="121">
                  <c:v>44204</c:v>
                </c:pt>
                <c:pt idx="122">
                  <c:v>44207</c:v>
                </c:pt>
                <c:pt idx="123">
                  <c:v>44208</c:v>
                </c:pt>
                <c:pt idx="124">
                  <c:v>44209</c:v>
                </c:pt>
                <c:pt idx="125">
                  <c:v>44210</c:v>
                </c:pt>
                <c:pt idx="126">
                  <c:v>44211</c:v>
                </c:pt>
                <c:pt idx="127">
                  <c:v>44214</c:v>
                </c:pt>
                <c:pt idx="128">
                  <c:v>44215</c:v>
                </c:pt>
                <c:pt idx="129">
                  <c:v>44216</c:v>
                </c:pt>
                <c:pt idx="130">
                  <c:v>44217</c:v>
                </c:pt>
                <c:pt idx="131">
                  <c:v>44218</c:v>
                </c:pt>
                <c:pt idx="132">
                  <c:v>44221</c:v>
                </c:pt>
                <c:pt idx="133">
                  <c:v>44222</c:v>
                </c:pt>
                <c:pt idx="134">
                  <c:v>44223</c:v>
                </c:pt>
                <c:pt idx="135">
                  <c:v>44224</c:v>
                </c:pt>
                <c:pt idx="136">
                  <c:v>44225</c:v>
                </c:pt>
                <c:pt idx="137">
                  <c:v>44228</c:v>
                </c:pt>
                <c:pt idx="138">
                  <c:v>44229</c:v>
                </c:pt>
                <c:pt idx="139">
                  <c:v>44230</c:v>
                </c:pt>
                <c:pt idx="140">
                  <c:v>44231</c:v>
                </c:pt>
                <c:pt idx="141">
                  <c:v>44232</c:v>
                </c:pt>
                <c:pt idx="142">
                  <c:v>44235</c:v>
                </c:pt>
                <c:pt idx="143">
                  <c:v>44236</c:v>
                </c:pt>
                <c:pt idx="144">
                  <c:v>44237</c:v>
                </c:pt>
                <c:pt idx="145">
                  <c:v>44245</c:v>
                </c:pt>
                <c:pt idx="146">
                  <c:v>44246</c:v>
                </c:pt>
                <c:pt idx="147">
                  <c:v>44249</c:v>
                </c:pt>
                <c:pt idx="148">
                  <c:v>44250</c:v>
                </c:pt>
                <c:pt idx="149">
                  <c:v>44251</c:v>
                </c:pt>
                <c:pt idx="150">
                  <c:v>44252</c:v>
                </c:pt>
                <c:pt idx="151">
                  <c:v>44253</c:v>
                </c:pt>
                <c:pt idx="152">
                  <c:v>44256</c:v>
                </c:pt>
                <c:pt idx="153">
                  <c:v>44257</c:v>
                </c:pt>
                <c:pt idx="154">
                  <c:v>44258</c:v>
                </c:pt>
                <c:pt idx="155">
                  <c:v>44259</c:v>
                </c:pt>
                <c:pt idx="156">
                  <c:v>44260</c:v>
                </c:pt>
                <c:pt idx="157">
                  <c:v>44263</c:v>
                </c:pt>
                <c:pt idx="158">
                  <c:v>44264</c:v>
                </c:pt>
                <c:pt idx="159">
                  <c:v>44265</c:v>
                </c:pt>
                <c:pt idx="160">
                  <c:v>44266</c:v>
                </c:pt>
                <c:pt idx="161">
                  <c:v>44267</c:v>
                </c:pt>
                <c:pt idx="162">
                  <c:v>44270</c:v>
                </c:pt>
                <c:pt idx="163">
                  <c:v>44271</c:v>
                </c:pt>
                <c:pt idx="164">
                  <c:v>44272</c:v>
                </c:pt>
                <c:pt idx="165">
                  <c:v>44273</c:v>
                </c:pt>
                <c:pt idx="166">
                  <c:v>44274</c:v>
                </c:pt>
                <c:pt idx="167">
                  <c:v>44277</c:v>
                </c:pt>
                <c:pt idx="168">
                  <c:v>44278</c:v>
                </c:pt>
                <c:pt idx="169">
                  <c:v>44279</c:v>
                </c:pt>
                <c:pt idx="170">
                  <c:v>44280</c:v>
                </c:pt>
                <c:pt idx="171">
                  <c:v>44281</c:v>
                </c:pt>
                <c:pt idx="172">
                  <c:v>44284</c:v>
                </c:pt>
                <c:pt idx="173">
                  <c:v>44285</c:v>
                </c:pt>
                <c:pt idx="174">
                  <c:v>44286</c:v>
                </c:pt>
                <c:pt idx="175">
                  <c:v>44287</c:v>
                </c:pt>
                <c:pt idx="176">
                  <c:v>44288</c:v>
                </c:pt>
                <c:pt idx="177">
                  <c:v>44292</c:v>
                </c:pt>
                <c:pt idx="178">
                  <c:v>44293</c:v>
                </c:pt>
                <c:pt idx="179">
                  <c:v>44294</c:v>
                </c:pt>
                <c:pt idx="180">
                  <c:v>44295</c:v>
                </c:pt>
                <c:pt idx="181">
                  <c:v>44298</c:v>
                </c:pt>
                <c:pt idx="182">
                  <c:v>44299</c:v>
                </c:pt>
                <c:pt idx="183">
                  <c:v>44300</c:v>
                </c:pt>
                <c:pt idx="184">
                  <c:v>44301</c:v>
                </c:pt>
                <c:pt idx="185">
                  <c:v>44302</c:v>
                </c:pt>
                <c:pt idx="186">
                  <c:v>44305</c:v>
                </c:pt>
                <c:pt idx="187">
                  <c:v>44306</c:v>
                </c:pt>
                <c:pt idx="188">
                  <c:v>44307</c:v>
                </c:pt>
                <c:pt idx="189">
                  <c:v>44308</c:v>
                </c:pt>
                <c:pt idx="190">
                  <c:v>44309</c:v>
                </c:pt>
                <c:pt idx="191">
                  <c:v>44312</c:v>
                </c:pt>
                <c:pt idx="192">
                  <c:v>44313</c:v>
                </c:pt>
                <c:pt idx="193">
                  <c:v>44314</c:v>
                </c:pt>
                <c:pt idx="194">
                  <c:v>44315</c:v>
                </c:pt>
                <c:pt idx="195">
                  <c:v>44316</c:v>
                </c:pt>
                <c:pt idx="196">
                  <c:v>44322</c:v>
                </c:pt>
                <c:pt idx="197">
                  <c:v>44323</c:v>
                </c:pt>
                <c:pt idx="198">
                  <c:v>44326</c:v>
                </c:pt>
                <c:pt idx="199">
                  <c:v>44327</c:v>
                </c:pt>
                <c:pt idx="200">
                  <c:v>44328</c:v>
                </c:pt>
                <c:pt idx="201">
                  <c:v>44329</c:v>
                </c:pt>
                <c:pt idx="202">
                  <c:v>44330</c:v>
                </c:pt>
                <c:pt idx="203">
                  <c:v>44333</c:v>
                </c:pt>
              </c:numCache>
            </c:numRef>
          </c:cat>
          <c:val>
            <c:numRef>
              <c:f>蒙玺分形3号!$B$21:$B$224</c:f>
              <c:numCache>
                <c:formatCode>0.0000_ </c:formatCode>
                <c:ptCount val="204"/>
                <c:pt idx="0">
                  <c:v>1.0216000000000001</c:v>
                </c:pt>
                <c:pt idx="1">
                  <c:v>1.0165</c:v>
                </c:pt>
                <c:pt idx="2">
                  <c:v>1.0127999999999999</c:v>
                </c:pt>
                <c:pt idx="3">
                  <c:v>1.0152000000000001</c:v>
                </c:pt>
                <c:pt idx="4">
                  <c:v>1.0181</c:v>
                </c:pt>
                <c:pt idx="5">
                  <c:v>1.0203</c:v>
                </c:pt>
                <c:pt idx="6">
                  <c:v>1.0206999999999999</c:v>
                </c:pt>
                <c:pt idx="7">
                  <c:v>1.0203</c:v>
                </c:pt>
                <c:pt idx="8">
                  <c:v>1.0175000000000001</c:v>
                </c:pt>
                <c:pt idx="9">
                  <c:v>1.0199</c:v>
                </c:pt>
                <c:pt idx="10">
                  <c:v>1.0215000000000001</c:v>
                </c:pt>
                <c:pt idx="11">
                  <c:v>1.0206999999999999</c:v>
                </c:pt>
                <c:pt idx="12">
                  <c:v>1.0217000000000001</c:v>
                </c:pt>
                <c:pt idx="13">
                  <c:v>1.0248999999999999</c:v>
                </c:pt>
                <c:pt idx="14">
                  <c:v>1.0266999999999999</c:v>
                </c:pt>
                <c:pt idx="15">
                  <c:v>1.0258</c:v>
                </c:pt>
                <c:pt idx="16">
                  <c:v>1.0309999999999999</c:v>
                </c:pt>
                <c:pt idx="17">
                  <c:v>1.0314000000000001</c:v>
                </c:pt>
                <c:pt idx="18">
                  <c:v>1.0310999999999999</c:v>
                </c:pt>
                <c:pt idx="19">
                  <c:v>1.0303</c:v>
                </c:pt>
                <c:pt idx="20">
                  <c:v>1.0253000000000001</c:v>
                </c:pt>
                <c:pt idx="21">
                  <c:v>1.0279</c:v>
                </c:pt>
                <c:pt idx="22">
                  <c:v>1.0254000000000001</c:v>
                </c:pt>
                <c:pt idx="23">
                  <c:v>1.0294000000000001</c:v>
                </c:pt>
                <c:pt idx="24">
                  <c:v>1.0271999999999999</c:v>
                </c:pt>
                <c:pt idx="25">
                  <c:v>1.0290999999999999</c:v>
                </c:pt>
                <c:pt idx="26">
                  <c:v>1.0314000000000001</c:v>
                </c:pt>
                <c:pt idx="27">
                  <c:v>1.0291999999999999</c:v>
                </c:pt>
                <c:pt idx="28">
                  <c:v>1.0336000000000001</c:v>
                </c:pt>
                <c:pt idx="29">
                  <c:v>1.0310999999999999</c:v>
                </c:pt>
                <c:pt idx="30">
                  <c:v>1.0323</c:v>
                </c:pt>
                <c:pt idx="31">
                  <c:v>1.0282</c:v>
                </c:pt>
                <c:pt idx="32">
                  <c:v>1.0322</c:v>
                </c:pt>
                <c:pt idx="33">
                  <c:v>1.0351999999999999</c:v>
                </c:pt>
                <c:pt idx="34">
                  <c:v>1.0304</c:v>
                </c:pt>
                <c:pt idx="35">
                  <c:v>1.0317000000000001</c:v>
                </c:pt>
                <c:pt idx="36">
                  <c:v>1.0289999999999999</c:v>
                </c:pt>
                <c:pt idx="37">
                  <c:v>1.0265</c:v>
                </c:pt>
                <c:pt idx="38">
                  <c:v>1.0275000000000001</c:v>
                </c:pt>
                <c:pt idx="39">
                  <c:v>1.0232000000000001</c:v>
                </c:pt>
                <c:pt idx="40">
                  <c:v>1.0215000000000001</c:v>
                </c:pt>
                <c:pt idx="41">
                  <c:v>1.0165</c:v>
                </c:pt>
                <c:pt idx="42">
                  <c:v>1.016</c:v>
                </c:pt>
                <c:pt idx="43">
                  <c:v>1.0204</c:v>
                </c:pt>
                <c:pt idx="44">
                  <c:v>1.0213000000000001</c:v>
                </c:pt>
                <c:pt idx="45">
                  <c:v>1.0207999999999999</c:v>
                </c:pt>
                <c:pt idx="46">
                  <c:v>1.0221</c:v>
                </c:pt>
                <c:pt idx="47">
                  <c:v>1.0185</c:v>
                </c:pt>
                <c:pt idx="48">
                  <c:v>1.0203</c:v>
                </c:pt>
                <c:pt idx="49">
                  <c:v>1.018</c:v>
                </c:pt>
                <c:pt idx="50">
                  <c:v>1.0177</c:v>
                </c:pt>
                <c:pt idx="51">
                  <c:v>1.0193000000000001</c:v>
                </c:pt>
                <c:pt idx="52">
                  <c:v>1.0165</c:v>
                </c:pt>
                <c:pt idx="53">
                  <c:v>1.0146999999999999</c:v>
                </c:pt>
                <c:pt idx="54">
                  <c:v>1.0135000000000001</c:v>
                </c:pt>
                <c:pt idx="55">
                  <c:v>1.0115000000000001</c:v>
                </c:pt>
                <c:pt idx="56">
                  <c:v>1.0145</c:v>
                </c:pt>
                <c:pt idx="57">
                  <c:v>1.014</c:v>
                </c:pt>
                <c:pt idx="58">
                  <c:v>1.0154000000000001</c:v>
                </c:pt>
                <c:pt idx="59">
                  <c:v>1.0150999999999999</c:v>
                </c:pt>
                <c:pt idx="60">
                  <c:v>1.0130999999999999</c:v>
                </c:pt>
                <c:pt idx="61">
                  <c:v>1.0116000000000001</c:v>
                </c:pt>
                <c:pt idx="62">
                  <c:v>1.0112000000000001</c:v>
                </c:pt>
                <c:pt idx="63">
                  <c:v>1.0105999999999999</c:v>
                </c:pt>
                <c:pt idx="64">
                  <c:v>1.0128999999999999</c:v>
                </c:pt>
                <c:pt idx="65">
                  <c:v>1.0119</c:v>
                </c:pt>
                <c:pt idx="66">
                  <c:v>1.0104</c:v>
                </c:pt>
                <c:pt idx="67">
                  <c:v>1.0063</c:v>
                </c:pt>
                <c:pt idx="68">
                  <c:v>1.0065</c:v>
                </c:pt>
                <c:pt idx="69">
                  <c:v>1.0083</c:v>
                </c:pt>
                <c:pt idx="70">
                  <c:v>1.0077</c:v>
                </c:pt>
                <c:pt idx="71">
                  <c:v>1.0078</c:v>
                </c:pt>
                <c:pt idx="72">
                  <c:v>1.0076000000000001</c:v>
                </c:pt>
                <c:pt idx="73">
                  <c:v>1.008</c:v>
                </c:pt>
                <c:pt idx="74">
                  <c:v>1.0112000000000001</c:v>
                </c:pt>
                <c:pt idx="75">
                  <c:v>1.0135000000000001</c:v>
                </c:pt>
                <c:pt idx="76">
                  <c:v>1.0138</c:v>
                </c:pt>
                <c:pt idx="77">
                  <c:v>1.0133000000000001</c:v>
                </c:pt>
                <c:pt idx="78">
                  <c:v>1.0149999999999999</c:v>
                </c:pt>
                <c:pt idx="79">
                  <c:v>1.0181</c:v>
                </c:pt>
                <c:pt idx="80">
                  <c:v>1.014</c:v>
                </c:pt>
                <c:pt idx="81">
                  <c:v>1.0181</c:v>
                </c:pt>
                <c:pt idx="82">
                  <c:v>1.0179</c:v>
                </c:pt>
                <c:pt idx="83">
                  <c:v>1.0181</c:v>
                </c:pt>
                <c:pt idx="84">
                  <c:v>1.0192000000000001</c:v>
                </c:pt>
                <c:pt idx="85">
                  <c:v>1.0193000000000001</c:v>
                </c:pt>
                <c:pt idx="86">
                  <c:v>1.018</c:v>
                </c:pt>
                <c:pt idx="87">
                  <c:v>1.0189999999999999</c:v>
                </c:pt>
                <c:pt idx="88">
                  <c:v>1.0184</c:v>
                </c:pt>
                <c:pt idx="89">
                  <c:v>1.0187999999999999</c:v>
                </c:pt>
                <c:pt idx="90">
                  <c:v>1.0157</c:v>
                </c:pt>
                <c:pt idx="91">
                  <c:v>1.018</c:v>
                </c:pt>
                <c:pt idx="92">
                  <c:v>1.0194000000000001</c:v>
                </c:pt>
                <c:pt idx="93">
                  <c:v>1.0143</c:v>
                </c:pt>
                <c:pt idx="94">
                  <c:v>1.0165999999999999</c:v>
                </c:pt>
                <c:pt idx="95">
                  <c:v>1.0165</c:v>
                </c:pt>
                <c:pt idx="96">
                  <c:v>1.0165</c:v>
                </c:pt>
                <c:pt idx="97">
                  <c:v>1.0182</c:v>
                </c:pt>
                <c:pt idx="98">
                  <c:v>1.0165</c:v>
                </c:pt>
                <c:pt idx="99">
                  <c:v>1.0165</c:v>
                </c:pt>
                <c:pt idx="100">
                  <c:v>1.0129999999999999</c:v>
                </c:pt>
                <c:pt idx="101">
                  <c:v>1.0163</c:v>
                </c:pt>
                <c:pt idx="102">
                  <c:v>1.0192000000000001</c:v>
                </c:pt>
                <c:pt idx="103">
                  <c:v>1.0192000000000001</c:v>
                </c:pt>
                <c:pt idx="104">
                  <c:v>1.018</c:v>
                </c:pt>
                <c:pt idx="105">
                  <c:v>1.0165</c:v>
                </c:pt>
                <c:pt idx="106">
                  <c:v>1.0182</c:v>
                </c:pt>
                <c:pt idx="107">
                  <c:v>1.0185</c:v>
                </c:pt>
                <c:pt idx="108">
                  <c:v>1.0189999999999999</c:v>
                </c:pt>
                <c:pt idx="109">
                  <c:v>1.0146999999999999</c:v>
                </c:pt>
                <c:pt idx="110">
                  <c:v>1.0174000000000001</c:v>
                </c:pt>
                <c:pt idx="111">
                  <c:v>1.0153000000000001</c:v>
                </c:pt>
                <c:pt idx="112">
                  <c:v>1.0156000000000001</c:v>
                </c:pt>
                <c:pt idx="113">
                  <c:v>1.0178</c:v>
                </c:pt>
                <c:pt idx="114">
                  <c:v>1.0148999999999999</c:v>
                </c:pt>
                <c:pt idx="115">
                  <c:v>1.016</c:v>
                </c:pt>
                <c:pt idx="116">
                  <c:v>1.0182</c:v>
                </c:pt>
                <c:pt idx="117">
                  <c:v>1.0189999999999999</c:v>
                </c:pt>
                <c:pt idx="118">
                  <c:v>1.0246999999999999</c:v>
                </c:pt>
                <c:pt idx="119">
                  <c:v>1.0241</c:v>
                </c:pt>
                <c:pt idx="120">
                  <c:v>1.0251999999999999</c:v>
                </c:pt>
                <c:pt idx="121">
                  <c:v>1.0217000000000001</c:v>
                </c:pt>
                <c:pt idx="122">
                  <c:v>1.0215000000000001</c:v>
                </c:pt>
                <c:pt idx="123">
                  <c:v>1.0262</c:v>
                </c:pt>
                <c:pt idx="124">
                  <c:v>1.0236000000000001</c:v>
                </c:pt>
                <c:pt idx="125">
                  <c:v>1.0177</c:v>
                </c:pt>
                <c:pt idx="126">
                  <c:v>1.0187999999999999</c:v>
                </c:pt>
                <c:pt idx="127">
                  <c:v>1.0219</c:v>
                </c:pt>
                <c:pt idx="128">
                  <c:v>1.0217000000000001</c:v>
                </c:pt>
                <c:pt idx="129">
                  <c:v>1.0223</c:v>
                </c:pt>
                <c:pt idx="130">
                  <c:v>1.0208999999999999</c:v>
                </c:pt>
                <c:pt idx="131">
                  <c:v>1.0253000000000001</c:v>
                </c:pt>
                <c:pt idx="132">
                  <c:v>1.0259</c:v>
                </c:pt>
                <c:pt idx="133">
                  <c:v>1.0250999999999999</c:v>
                </c:pt>
                <c:pt idx="134">
                  <c:v>1.0248999999999999</c:v>
                </c:pt>
                <c:pt idx="135">
                  <c:v>1.0245</c:v>
                </c:pt>
                <c:pt idx="136">
                  <c:v>1.0278</c:v>
                </c:pt>
                <c:pt idx="137">
                  <c:v>1.0263</c:v>
                </c:pt>
                <c:pt idx="138">
                  <c:v>1.0273000000000001</c:v>
                </c:pt>
                <c:pt idx="139">
                  <c:v>1.0242</c:v>
                </c:pt>
                <c:pt idx="140">
                  <c:v>1.0248999999999999</c:v>
                </c:pt>
                <c:pt idx="141">
                  <c:v>1.0222</c:v>
                </c:pt>
                <c:pt idx="142">
                  <c:v>1.0245</c:v>
                </c:pt>
                <c:pt idx="143">
                  <c:v>1.0271999999999999</c:v>
                </c:pt>
                <c:pt idx="144">
                  <c:v>1.0298</c:v>
                </c:pt>
                <c:pt idx="145">
                  <c:v>1.0329999999999999</c:v>
                </c:pt>
                <c:pt idx="146">
                  <c:v>1.0311999999999999</c:v>
                </c:pt>
                <c:pt idx="147">
                  <c:v>1.0307999999999999</c:v>
                </c:pt>
                <c:pt idx="148">
                  <c:v>1.0318000000000001</c:v>
                </c:pt>
                <c:pt idx="149">
                  <c:v>1.0314000000000001</c:v>
                </c:pt>
                <c:pt idx="150">
                  <c:v>1.0321</c:v>
                </c:pt>
                <c:pt idx="151">
                  <c:v>1.0304</c:v>
                </c:pt>
                <c:pt idx="152">
                  <c:v>1.0367</c:v>
                </c:pt>
                <c:pt idx="153">
                  <c:v>1.036</c:v>
                </c:pt>
                <c:pt idx="154">
                  <c:v>1.0367</c:v>
                </c:pt>
                <c:pt idx="155">
                  <c:v>1.0334000000000001</c:v>
                </c:pt>
                <c:pt idx="156">
                  <c:v>1.0290999999999999</c:v>
                </c:pt>
                <c:pt idx="157">
                  <c:v>1.0256000000000001</c:v>
                </c:pt>
                <c:pt idx="158">
                  <c:v>1.0232000000000001</c:v>
                </c:pt>
                <c:pt idx="159">
                  <c:v>1.0261</c:v>
                </c:pt>
                <c:pt idx="160">
                  <c:v>1.0327999999999999</c:v>
                </c:pt>
                <c:pt idx="161">
                  <c:v>1.0327999999999999</c:v>
                </c:pt>
                <c:pt idx="162">
                  <c:v>1.0329999999999999</c:v>
                </c:pt>
                <c:pt idx="163">
                  <c:v>1.0325</c:v>
                </c:pt>
                <c:pt idx="164">
                  <c:v>1.0310999999999999</c:v>
                </c:pt>
                <c:pt idx="165">
                  <c:v>1.0316000000000001</c:v>
                </c:pt>
                <c:pt idx="166">
                  <c:v>1.0301</c:v>
                </c:pt>
                <c:pt idx="167">
                  <c:v>1.0301</c:v>
                </c:pt>
                <c:pt idx="168">
                  <c:v>1.0285</c:v>
                </c:pt>
                <c:pt idx="169">
                  <c:v>1.0241</c:v>
                </c:pt>
                <c:pt idx="170">
                  <c:v>1.0230999999999999</c:v>
                </c:pt>
                <c:pt idx="171">
                  <c:v>1.0242</c:v>
                </c:pt>
                <c:pt idx="172">
                  <c:v>1.0255000000000001</c:v>
                </c:pt>
                <c:pt idx="173">
                  <c:v>1.0271999999999999</c:v>
                </c:pt>
                <c:pt idx="174">
                  <c:v>1.0266999999999999</c:v>
                </c:pt>
                <c:pt idx="175">
                  <c:v>1.0268999999999999</c:v>
                </c:pt>
                <c:pt idx="176">
                  <c:v>1.0270999999999999</c:v>
                </c:pt>
                <c:pt idx="177">
                  <c:v>1.0274000000000001</c:v>
                </c:pt>
                <c:pt idx="178">
                  <c:v>1.0295000000000001</c:v>
                </c:pt>
                <c:pt idx="179">
                  <c:v>1.0283</c:v>
                </c:pt>
                <c:pt idx="180">
                  <c:v>1.0284</c:v>
                </c:pt>
                <c:pt idx="181">
                  <c:v>1.0261</c:v>
                </c:pt>
                <c:pt idx="182">
                  <c:v>1.024</c:v>
                </c:pt>
                <c:pt idx="183">
                  <c:v>1.0249999999999999</c:v>
                </c:pt>
                <c:pt idx="184">
                  <c:v>1.0235000000000001</c:v>
                </c:pt>
                <c:pt idx="185">
                  <c:v>1.0212000000000001</c:v>
                </c:pt>
                <c:pt idx="186">
                  <c:v>1.0218</c:v>
                </c:pt>
                <c:pt idx="187">
                  <c:v>1.0202</c:v>
                </c:pt>
                <c:pt idx="188">
                  <c:v>1.0206</c:v>
                </c:pt>
                <c:pt idx="189">
                  <c:v>1.0228999999999999</c:v>
                </c:pt>
                <c:pt idx="190">
                  <c:v>1.0209999999999999</c:v>
                </c:pt>
                <c:pt idx="191">
                  <c:v>1.0199</c:v>
                </c:pt>
                <c:pt idx="192">
                  <c:v>1.0209999999999999</c:v>
                </c:pt>
                <c:pt idx="193">
                  <c:v>1.0213000000000001</c:v>
                </c:pt>
                <c:pt idx="194">
                  <c:v>1.0206999999999999</c:v>
                </c:pt>
                <c:pt idx="195">
                  <c:v>1.0206</c:v>
                </c:pt>
                <c:pt idx="196">
                  <c:v>1.0201</c:v>
                </c:pt>
                <c:pt idx="197">
                  <c:v>1.0185999999999999</c:v>
                </c:pt>
                <c:pt idx="198">
                  <c:v>1.0214000000000001</c:v>
                </c:pt>
                <c:pt idx="199">
                  <c:v>1.0209999999999999</c:v>
                </c:pt>
                <c:pt idx="200">
                  <c:v>1.0216000000000001</c:v>
                </c:pt>
                <c:pt idx="201">
                  <c:v>1.0212000000000001</c:v>
                </c:pt>
                <c:pt idx="202">
                  <c:v>1.0205</c:v>
                </c:pt>
                <c:pt idx="203">
                  <c:v>1.0199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33-478C-9134-7CFA81360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099824"/>
        <c:axId val="545100384"/>
      </c:lineChart>
      <c:catAx>
        <c:axId val="54509982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crossAx val="545100384"/>
        <c:crosses val="autoZero"/>
        <c:auto val="0"/>
        <c:lblAlgn val="ctr"/>
        <c:lblOffset val="100"/>
        <c:noMultiLvlLbl val="1"/>
      </c:catAx>
      <c:valAx>
        <c:axId val="545100384"/>
        <c:scaling>
          <c:orientation val="minMax"/>
          <c:min val="1"/>
        </c:scaling>
        <c:delete val="0"/>
        <c:axPos val="l"/>
        <c:majorGridlines/>
        <c:numFmt formatCode="0.0000_ " sourceLinked="1"/>
        <c:majorTickMark val="none"/>
        <c:minorTickMark val="none"/>
        <c:tickLblPos val="nextTo"/>
        <c:spPr>
          <a:ln w="9525">
            <a:noFill/>
          </a:ln>
        </c:spPr>
        <c:crossAx val="54509982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4" l="0.70000000000000062" r="0.70000000000000062" t="0.750000000000004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 sz="1600"/>
              <a:t>蒙玺中证</a:t>
            </a:r>
            <a:r>
              <a:rPr lang="en-US" altLang="zh-CN" sz="1600"/>
              <a:t>500</a:t>
            </a:r>
            <a:r>
              <a:rPr lang="zh-CN" altLang="en-US" sz="1600"/>
              <a:t>指增</a:t>
            </a:r>
            <a:endParaRPr lang="en-US" altLang="zh-CN" sz="16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蒙玺中证500指增!$B$20</c:f>
              <c:strCache>
                <c:ptCount val="1"/>
                <c:pt idx="0">
                  <c:v>累计净值</c:v>
                </c:pt>
              </c:strCache>
            </c:strRef>
          </c:tx>
          <c:marker>
            <c:symbol val="none"/>
          </c:marker>
          <c:cat>
            <c:numRef>
              <c:f>蒙玺中证500指增!$A$21:$A$224</c:f>
              <c:numCache>
                <c:formatCode>m/d/yyyy</c:formatCode>
                <c:ptCount val="204"/>
                <c:pt idx="0">
                  <c:v>44026</c:v>
                </c:pt>
                <c:pt idx="1">
                  <c:v>44027</c:v>
                </c:pt>
                <c:pt idx="2">
                  <c:v>44028</c:v>
                </c:pt>
                <c:pt idx="3">
                  <c:v>44029</c:v>
                </c:pt>
                <c:pt idx="4">
                  <c:v>44032</c:v>
                </c:pt>
                <c:pt idx="5">
                  <c:v>44033</c:v>
                </c:pt>
                <c:pt idx="6">
                  <c:v>44034</c:v>
                </c:pt>
                <c:pt idx="7">
                  <c:v>44035</c:v>
                </c:pt>
                <c:pt idx="8">
                  <c:v>44036</c:v>
                </c:pt>
                <c:pt idx="9">
                  <c:v>44039</c:v>
                </c:pt>
                <c:pt idx="10">
                  <c:v>44040</c:v>
                </c:pt>
                <c:pt idx="11">
                  <c:v>44041</c:v>
                </c:pt>
                <c:pt idx="12">
                  <c:v>44042</c:v>
                </c:pt>
                <c:pt idx="13">
                  <c:v>44043</c:v>
                </c:pt>
                <c:pt idx="14">
                  <c:v>44046</c:v>
                </c:pt>
                <c:pt idx="15">
                  <c:v>44047</c:v>
                </c:pt>
                <c:pt idx="16">
                  <c:v>44048</c:v>
                </c:pt>
                <c:pt idx="17">
                  <c:v>44049</c:v>
                </c:pt>
                <c:pt idx="18">
                  <c:v>44050</c:v>
                </c:pt>
                <c:pt idx="19">
                  <c:v>44053</c:v>
                </c:pt>
                <c:pt idx="20">
                  <c:v>44054</c:v>
                </c:pt>
                <c:pt idx="21">
                  <c:v>44055</c:v>
                </c:pt>
                <c:pt idx="22">
                  <c:v>44056</c:v>
                </c:pt>
                <c:pt idx="23">
                  <c:v>44057</c:v>
                </c:pt>
                <c:pt idx="24">
                  <c:v>44060</c:v>
                </c:pt>
                <c:pt idx="25">
                  <c:v>44061</c:v>
                </c:pt>
                <c:pt idx="26">
                  <c:v>44062</c:v>
                </c:pt>
                <c:pt idx="27">
                  <c:v>44063</c:v>
                </c:pt>
                <c:pt idx="28">
                  <c:v>44064</c:v>
                </c:pt>
                <c:pt idx="29">
                  <c:v>44067</c:v>
                </c:pt>
                <c:pt idx="30">
                  <c:v>44068</c:v>
                </c:pt>
                <c:pt idx="31">
                  <c:v>44069</c:v>
                </c:pt>
                <c:pt idx="32">
                  <c:v>44070</c:v>
                </c:pt>
                <c:pt idx="33">
                  <c:v>44071</c:v>
                </c:pt>
                <c:pt idx="34">
                  <c:v>44074</c:v>
                </c:pt>
                <c:pt idx="35">
                  <c:v>44075</c:v>
                </c:pt>
                <c:pt idx="36">
                  <c:v>44076</c:v>
                </c:pt>
                <c:pt idx="37">
                  <c:v>44077</c:v>
                </c:pt>
                <c:pt idx="38">
                  <c:v>44078</c:v>
                </c:pt>
                <c:pt idx="39">
                  <c:v>44081</c:v>
                </c:pt>
                <c:pt idx="40">
                  <c:v>44082</c:v>
                </c:pt>
                <c:pt idx="41">
                  <c:v>44083</c:v>
                </c:pt>
                <c:pt idx="42">
                  <c:v>44084</c:v>
                </c:pt>
                <c:pt idx="43">
                  <c:v>44085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44095</c:v>
                </c:pt>
                <c:pt idx="50">
                  <c:v>44096</c:v>
                </c:pt>
                <c:pt idx="51">
                  <c:v>44097</c:v>
                </c:pt>
                <c:pt idx="52">
                  <c:v>44098</c:v>
                </c:pt>
                <c:pt idx="53">
                  <c:v>44099</c:v>
                </c:pt>
                <c:pt idx="54">
                  <c:v>44102</c:v>
                </c:pt>
                <c:pt idx="55">
                  <c:v>44103</c:v>
                </c:pt>
                <c:pt idx="56">
                  <c:v>44104</c:v>
                </c:pt>
                <c:pt idx="57">
                  <c:v>44113</c:v>
                </c:pt>
                <c:pt idx="58">
                  <c:v>44116</c:v>
                </c:pt>
                <c:pt idx="59">
                  <c:v>44117</c:v>
                </c:pt>
                <c:pt idx="60">
                  <c:v>44118</c:v>
                </c:pt>
                <c:pt idx="61">
                  <c:v>44119</c:v>
                </c:pt>
                <c:pt idx="62">
                  <c:v>44120</c:v>
                </c:pt>
                <c:pt idx="63">
                  <c:v>44123</c:v>
                </c:pt>
                <c:pt idx="64">
                  <c:v>44124</c:v>
                </c:pt>
                <c:pt idx="65">
                  <c:v>44125</c:v>
                </c:pt>
                <c:pt idx="66">
                  <c:v>44126</c:v>
                </c:pt>
                <c:pt idx="67">
                  <c:v>44127</c:v>
                </c:pt>
                <c:pt idx="68">
                  <c:v>44130</c:v>
                </c:pt>
                <c:pt idx="69">
                  <c:v>44131</c:v>
                </c:pt>
                <c:pt idx="70">
                  <c:v>44132</c:v>
                </c:pt>
                <c:pt idx="71">
                  <c:v>44133</c:v>
                </c:pt>
                <c:pt idx="72">
                  <c:v>44134</c:v>
                </c:pt>
                <c:pt idx="73">
                  <c:v>44137</c:v>
                </c:pt>
                <c:pt idx="74">
                  <c:v>44138</c:v>
                </c:pt>
                <c:pt idx="75">
                  <c:v>44139</c:v>
                </c:pt>
                <c:pt idx="76">
                  <c:v>44140</c:v>
                </c:pt>
                <c:pt idx="77">
                  <c:v>44141</c:v>
                </c:pt>
                <c:pt idx="78">
                  <c:v>44144</c:v>
                </c:pt>
                <c:pt idx="79">
                  <c:v>44145</c:v>
                </c:pt>
                <c:pt idx="80">
                  <c:v>44146</c:v>
                </c:pt>
                <c:pt idx="81">
                  <c:v>44147</c:v>
                </c:pt>
                <c:pt idx="82">
                  <c:v>44148</c:v>
                </c:pt>
                <c:pt idx="83">
                  <c:v>44151</c:v>
                </c:pt>
                <c:pt idx="84">
                  <c:v>44152</c:v>
                </c:pt>
                <c:pt idx="85">
                  <c:v>44153</c:v>
                </c:pt>
                <c:pt idx="86">
                  <c:v>44154</c:v>
                </c:pt>
                <c:pt idx="87">
                  <c:v>44155</c:v>
                </c:pt>
                <c:pt idx="88">
                  <c:v>44158</c:v>
                </c:pt>
                <c:pt idx="89">
                  <c:v>44159</c:v>
                </c:pt>
                <c:pt idx="90">
                  <c:v>44160</c:v>
                </c:pt>
                <c:pt idx="91">
                  <c:v>44161</c:v>
                </c:pt>
                <c:pt idx="92">
                  <c:v>44162</c:v>
                </c:pt>
                <c:pt idx="93">
                  <c:v>44165</c:v>
                </c:pt>
                <c:pt idx="94">
                  <c:v>44166</c:v>
                </c:pt>
                <c:pt idx="95">
                  <c:v>44167</c:v>
                </c:pt>
                <c:pt idx="96">
                  <c:v>44168</c:v>
                </c:pt>
                <c:pt idx="97">
                  <c:v>44169</c:v>
                </c:pt>
                <c:pt idx="98">
                  <c:v>44172</c:v>
                </c:pt>
                <c:pt idx="99">
                  <c:v>44173</c:v>
                </c:pt>
                <c:pt idx="100">
                  <c:v>44174</c:v>
                </c:pt>
                <c:pt idx="101">
                  <c:v>44175</c:v>
                </c:pt>
                <c:pt idx="102">
                  <c:v>44176</c:v>
                </c:pt>
                <c:pt idx="103">
                  <c:v>44179</c:v>
                </c:pt>
                <c:pt idx="104">
                  <c:v>44180</c:v>
                </c:pt>
                <c:pt idx="105">
                  <c:v>44181</c:v>
                </c:pt>
                <c:pt idx="106">
                  <c:v>44182</c:v>
                </c:pt>
                <c:pt idx="107">
                  <c:v>44183</c:v>
                </c:pt>
                <c:pt idx="108">
                  <c:v>44186</c:v>
                </c:pt>
                <c:pt idx="109">
                  <c:v>44187</c:v>
                </c:pt>
                <c:pt idx="110">
                  <c:v>44188</c:v>
                </c:pt>
                <c:pt idx="111">
                  <c:v>44189</c:v>
                </c:pt>
                <c:pt idx="112">
                  <c:v>44190</c:v>
                </c:pt>
                <c:pt idx="113">
                  <c:v>44193</c:v>
                </c:pt>
                <c:pt idx="114">
                  <c:v>44194</c:v>
                </c:pt>
                <c:pt idx="115">
                  <c:v>44195</c:v>
                </c:pt>
                <c:pt idx="116">
                  <c:v>44196</c:v>
                </c:pt>
                <c:pt idx="117">
                  <c:v>44200</c:v>
                </c:pt>
                <c:pt idx="118">
                  <c:v>44201</c:v>
                </c:pt>
                <c:pt idx="119">
                  <c:v>44202</c:v>
                </c:pt>
                <c:pt idx="120">
                  <c:v>44203</c:v>
                </c:pt>
                <c:pt idx="121">
                  <c:v>44204</c:v>
                </c:pt>
                <c:pt idx="122">
                  <c:v>44207</c:v>
                </c:pt>
                <c:pt idx="123">
                  <c:v>44208</c:v>
                </c:pt>
                <c:pt idx="124">
                  <c:v>44209</c:v>
                </c:pt>
                <c:pt idx="125">
                  <c:v>44210</c:v>
                </c:pt>
                <c:pt idx="126">
                  <c:v>44211</c:v>
                </c:pt>
                <c:pt idx="127">
                  <c:v>44214</c:v>
                </c:pt>
                <c:pt idx="128">
                  <c:v>44215</c:v>
                </c:pt>
                <c:pt idx="129">
                  <c:v>44216</c:v>
                </c:pt>
                <c:pt idx="130">
                  <c:v>44217</c:v>
                </c:pt>
                <c:pt idx="131">
                  <c:v>44218</c:v>
                </c:pt>
                <c:pt idx="132">
                  <c:v>44221</c:v>
                </c:pt>
                <c:pt idx="133">
                  <c:v>44222</c:v>
                </c:pt>
                <c:pt idx="134">
                  <c:v>44223</c:v>
                </c:pt>
                <c:pt idx="135">
                  <c:v>44224</c:v>
                </c:pt>
                <c:pt idx="136">
                  <c:v>44225</c:v>
                </c:pt>
                <c:pt idx="137">
                  <c:v>44228</c:v>
                </c:pt>
                <c:pt idx="138">
                  <c:v>44229</c:v>
                </c:pt>
                <c:pt idx="139">
                  <c:v>44230</c:v>
                </c:pt>
                <c:pt idx="140">
                  <c:v>44231</c:v>
                </c:pt>
                <c:pt idx="141">
                  <c:v>44232</c:v>
                </c:pt>
                <c:pt idx="142">
                  <c:v>44235</c:v>
                </c:pt>
                <c:pt idx="143">
                  <c:v>44236</c:v>
                </c:pt>
                <c:pt idx="144">
                  <c:v>44237</c:v>
                </c:pt>
                <c:pt idx="145">
                  <c:v>44245</c:v>
                </c:pt>
                <c:pt idx="146">
                  <c:v>44246</c:v>
                </c:pt>
                <c:pt idx="147">
                  <c:v>44249</c:v>
                </c:pt>
                <c:pt idx="148">
                  <c:v>44250</c:v>
                </c:pt>
                <c:pt idx="149">
                  <c:v>44251</c:v>
                </c:pt>
                <c:pt idx="150">
                  <c:v>44252</c:v>
                </c:pt>
                <c:pt idx="151">
                  <c:v>44253</c:v>
                </c:pt>
                <c:pt idx="152">
                  <c:v>44256</c:v>
                </c:pt>
                <c:pt idx="153">
                  <c:v>44257</c:v>
                </c:pt>
                <c:pt idx="154">
                  <c:v>44258</c:v>
                </c:pt>
                <c:pt idx="155">
                  <c:v>44259</c:v>
                </c:pt>
                <c:pt idx="156">
                  <c:v>44260</c:v>
                </c:pt>
                <c:pt idx="157">
                  <c:v>44263</c:v>
                </c:pt>
                <c:pt idx="158">
                  <c:v>44264</c:v>
                </c:pt>
                <c:pt idx="159">
                  <c:v>44265</c:v>
                </c:pt>
                <c:pt idx="160">
                  <c:v>44266</c:v>
                </c:pt>
                <c:pt idx="161">
                  <c:v>44267</c:v>
                </c:pt>
                <c:pt idx="162">
                  <c:v>44270</c:v>
                </c:pt>
                <c:pt idx="163">
                  <c:v>44271</c:v>
                </c:pt>
                <c:pt idx="164">
                  <c:v>44272</c:v>
                </c:pt>
                <c:pt idx="165">
                  <c:v>44273</c:v>
                </c:pt>
                <c:pt idx="166">
                  <c:v>44274</c:v>
                </c:pt>
                <c:pt idx="167">
                  <c:v>44277</c:v>
                </c:pt>
                <c:pt idx="168">
                  <c:v>44278</c:v>
                </c:pt>
                <c:pt idx="169">
                  <c:v>44279</c:v>
                </c:pt>
                <c:pt idx="170">
                  <c:v>44280</c:v>
                </c:pt>
                <c:pt idx="171">
                  <c:v>44281</c:v>
                </c:pt>
                <c:pt idx="172">
                  <c:v>44284</c:v>
                </c:pt>
                <c:pt idx="173">
                  <c:v>44285</c:v>
                </c:pt>
                <c:pt idx="174">
                  <c:v>44286</c:v>
                </c:pt>
                <c:pt idx="175">
                  <c:v>44287</c:v>
                </c:pt>
                <c:pt idx="176">
                  <c:v>44288</c:v>
                </c:pt>
                <c:pt idx="177">
                  <c:v>44292</c:v>
                </c:pt>
                <c:pt idx="178">
                  <c:v>44293</c:v>
                </c:pt>
                <c:pt idx="179">
                  <c:v>44294</c:v>
                </c:pt>
                <c:pt idx="180">
                  <c:v>44295</c:v>
                </c:pt>
                <c:pt idx="181">
                  <c:v>44298</c:v>
                </c:pt>
                <c:pt idx="182">
                  <c:v>44299</c:v>
                </c:pt>
                <c:pt idx="183">
                  <c:v>44300</c:v>
                </c:pt>
                <c:pt idx="184">
                  <c:v>44301</c:v>
                </c:pt>
                <c:pt idx="185">
                  <c:v>44302</c:v>
                </c:pt>
                <c:pt idx="186">
                  <c:v>44305</c:v>
                </c:pt>
                <c:pt idx="187">
                  <c:v>44306</c:v>
                </c:pt>
                <c:pt idx="188">
                  <c:v>44307</c:v>
                </c:pt>
                <c:pt idx="189">
                  <c:v>44308</c:v>
                </c:pt>
                <c:pt idx="190">
                  <c:v>44309</c:v>
                </c:pt>
                <c:pt idx="191">
                  <c:v>44312</c:v>
                </c:pt>
                <c:pt idx="192">
                  <c:v>44313</c:v>
                </c:pt>
                <c:pt idx="193">
                  <c:v>44314</c:v>
                </c:pt>
                <c:pt idx="194">
                  <c:v>44315</c:v>
                </c:pt>
                <c:pt idx="195">
                  <c:v>44316</c:v>
                </c:pt>
                <c:pt idx="196">
                  <c:v>44322</c:v>
                </c:pt>
                <c:pt idx="197">
                  <c:v>44323</c:v>
                </c:pt>
                <c:pt idx="198">
                  <c:v>44326</c:v>
                </c:pt>
                <c:pt idx="199">
                  <c:v>44327</c:v>
                </c:pt>
                <c:pt idx="200">
                  <c:v>44328</c:v>
                </c:pt>
                <c:pt idx="201">
                  <c:v>44329</c:v>
                </c:pt>
                <c:pt idx="202">
                  <c:v>44330</c:v>
                </c:pt>
                <c:pt idx="203">
                  <c:v>44333</c:v>
                </c:pt>
              </c:numCache>
            </c:numRef>
          </c:cat>
          <c:val>
            <c:numRef>
              <c:f>蒙玺中证500指增!$B$21:$B$224</c:f>
              <c:numCache>
                <c:formatCode>0.0000_ </c:formatCode>
                <c:ptCount val="204"/>
                <c:pt idx="0">
                  <c:v>1.1439999999999999</c:v>
                </c:pt>
                <c:pt idx="1">
                  <c:v>1.117</c:v>
                </c:pt>
                <c:pt idx="2">
                  <c:v>1.0649999999999999</c:v>
                </c:pt>
                <c:pt idx="3">
                  <c:v>1.0740000000000001</c:v>
                </c:pt>
                <c:pt idx="4">
                  <c:v>1.103</c:v>
                </c:pt>
                <c:pt idx="5">
                  <c:v>1.1140000000000001</c:v>
                </c:pt>
                <c:pt idx="6">
                  <c:v>1.1220000000000001</c:v>
                </c:pt>
                <c:pt idx="7">
                  <c:v>1.1200000000000001</c:v>
                </c:pt>
                <c:pt idx="8">
                  <c:v>1.0609999999999999</c:v>
                </c:pt>
                <c:pt idx="9">
                  <c:v>1.0649999999999999</c:v>
                </c:pt>
                <c:pt idx="10">
                  <c:v>1.0780000000000001</c:v>
                </c:pt>
                <c:pt idx="11">
                  <c:v>1.109</c:v>
                </c:pt>
                <c:pt idx="12">
                  <c:v>1.107</c:v>
                </c:pt>
                <c:pt idx="13">
                  <c:v>1.117</c:v>
                </c:pt>
                <c:pt idx="14">
                  <c:v>1.1419999999999999</c:v>
                </c:pt>
                <c:pt idx="15">
                  <c:v>1.1359999999999999</c:v>
                </c:pt>
                <c:pt idx="16">
                  <c:v>1.1479999999999999</c:v>
                </c:pt>
                <c:pt idx="17">
                  <c:v>1.143</c:v>
                </c:pt>
                <c:pt idx="18">
                  <c:v>1.1279999999999999</c:v>
                </c:pt>
                <c:pt idx="19">
                  <c:v>1.1299999999999999</c:v>
                </c:pt>
                <c:pt idx="20">
                  <c:v>1.1100000000000001</c:v>
                </c:pt>
                <c:pt idx="21">
                  <c:v>1.0920000000000001</c:v>
                </c:pt>
                <c:pt idx="22">
                  <c:v>1.0960000000000001</c:v>
                </c:pt>
                <c:pt idx="23">
                  <c:v>1.1140000000000001</c:v>
                </c:pt>
                <c:pt idx="24">
                  <c:v>1.135</c:v>
                </c:pt>
                <c:pt idx="25">
                  <c:v>1.1419999999999999</c:v>
                </c:pt>
                <c:pt idx="26">
                  <c:v>1.1279999999999999</c:v>
                </c:pt>
                <c:pt idx="27">
                  <c:v>1.1140000000000001</c:v>
                </c:pt>
                <c:pt idx="28">
                  <c:v>1.1240000000000001</c:v>
                </c:pt>
                <c:pt idx="29">
                  <c:v>1.133</c:v>
                </c:pt>
                <c:pt idx="30">
                  <c:v>1.1279999999999999</c:v>
                </c:pt>
                <c:pt idx="31">
                  <c:v>1.107</c:v>
                </c:pt>
                <c:pt idx="32">
                  <c:v>1.1200000000000001</c:v>
                </c:pt>
                <c:pt idx="33">
                  <c:v>1.1399999999999999</c:v>
                </c:pt>
                <c:pt idx="34">
                  <c:v>1.139</c:v>
                </c:pt>
                <c:pt idx="35">
                  <c:v>1.147</c:v>
                </c:pt>
                <c:pt idx="36">
                  <c:v>1.1439999999999999</c:v>
                </c:pt>
                <c:pt idx="37">
                  <c:v>1.137</c:v>
                </c:pt>
                <c:pt idx="38">
                  <c:v>1.127</c:v>
                </c:pt>
                <c:pt idx="39">
                  <c:v>1.093</c:v>
                </c:pt>
                <c:pt idx="40">
                  <c:v>1.0920000000000001</c:v>
                </c:pt>
                <c:pt idx="41">
                  <c:v>1.06</c:v>
                </c:pt>
                <c:pt idx="42">
                  <c:v>1.0449999999999999</c:v>
                </c:pt>
                <c:pt idx="43">
                  <c:v>1.0620000000000001</c:v>
                </c:pt>
                <c:pt idx="44">
                  <c:v>1.0680000000000001</c:v>
                </c:pt>
                <c:pt idx="45">
                  <c:v>1.0760000000000001</c:v>
                </c:pt>
                <c:pt idx="46">
                  <c:v>1.0720000000000001</c:v>
                </c:pt>
                <c:pt idx="47">
                  <c:v>1.079</c:v>
                </c:pt>
                <c:pt idx="48">
                  <c:v>1.097</c:v>
                </c:pt>
                <c:pt idx="49">
                  <c:v>1.0940000000000001</c:v>
                </c:pt>
                <c:pt idx="50">
                  <c:v>1.0780000000000001</c:v>
                </c:pt>
                <c:pt idx="51">
                  <c:v>1.087</c:v>
                </c:pt>
                <c:pt idx="52">
                  <c:v>1.0609999999999999</c:v>
                </c:pt>
                <c:pt idx="53">
                  <c:v>1.056</c:v>
                </c:pt>
                <c:pt idx="54">
                  <c:v>1.048</c:v>
                </c:pt>
                <c:pt idx="55">
                  <c:v>1.0569999999999999</c:v>
                </c:pt>
                <c:pt idx="56">
                  <c:v>1.054</c:v>
                </c:pt>
                <c:pt idx="57">
                  <c:v>1.083</c:v>
                </c:pt>
                <c:pt idx="58">
                  <c:v>1.1120000000000001</c:v>
                </c:pt>
                <c:pt idx="59">
                  <c:v>1.119</c:v>
                </c:pt>
                <c:pt idx="60">
                  <c:v>1.1120000000000001</c:v>
                </c:pt>
                <c:pt idx="61">
                  <c:v>1.103</c:v>
                </c:pt>
                <c:pt idx="62">
                  <c:v>1.099</c:v>
                </c:pt>
                <c:pt idx="63">
                  <c:v>1.085</c:v>
                </c:pt>
                <c:pt idx="64">
                  <c:v>1.095</c:v>
                </c:pt>
                <c:pt idx="65">
                  <c:v>1.081</c:v>
                </c:pt>
                <c:pt idx="66">
                  <c:v>1.0720000000000001</c:v>
                </c:pt>
                <c:pt idx="67">
                  <c:v>1.046</c:v>
                </c:pt>
                <c:pt idx="68">
                  <c:v>1.05</c:v>
                </c:pt>
                <c:pt idx="69">
                  <c:v>1.054</c:v>
                </c:pt>
                <c:pt idx="70">
                  <c:v>1.0620000000000001</c:v>
                </c:pt>
                <c:pt idx="71">
                  <c:v>1.0640000000000001</c:v>
                </c:pt>
                <c:pt idx="72">
                  <c:v>1.042</c:v>
                </c:pt>
                <c:pt idx="73">
                  <c:v>1.048</c:v>
                </c:pt>
                <c:pt idx="74">
                  <c:v>1.0620000000000001</c:v>
                </c:pt>
                <c:pt idx="75">
                  <c:v>1.0629999999999999</c:v>
                </c:pt>
                <c:pt idx="76">
                  <c:v>1.0840000000000001</c:v>
                </c:pt>
                <c:pt idx="77">
                  <c:v>1.0740000000000001</c:v>
                </c:pt>
                <c:pt idx="78">
                  <c:v>1.097</c:v>
                </c:pt>
                <c:pt idx="79">
                  <c:v>1.0860000000000001</c:v>
                </c:pt>
                <c:pt idx="80">
                  <c:v>1.07</c:v>
                </c:pt>
                <c:pt idx="81">
                  <c:v>1.0740000000000001</c:v>
                </c:pt>
                <c:pt idx="82">
                  <c:v>1.0720000000000001</c:v>
                </c:pt>
                <c:pt idx="83">
                  <c:v>1.079</c:v>
                </c:pt>
                <c:pt idx="84">
                  <c:v>1.071</c:v>
                </c:pt>
                <c:pt idx="85">
                  <c:v>1.0720000000000001</c:v>
                </c:pt>
                <c:pt idx="86">
                  <c:v>1.0780000000000001</c:v>
                </c:pt>
                <c:pt idx="87">
                  <c:v>1.0860000000000001</c:v>
                </c:pt>
                <c:pt idx="88">
                  <c:v>1.095</c:v>
                </c:pt>
                <c:pt idx="89">
                  <c:v>1.095</c:v>
                </c:pt>
                <c:pt idx="90">
                  <c:v>1.077</c:v>
                </c:pt>
                <c:pt idx="91">
                  <c:v>1.0720000000000001</c:v>
                </c:pt>
                <c:pt idx="92">
                  <c:v>1.069</c:v>
                </c:pt>
                <c:pt idx="93">
                  <c:v>1.0620000000000001</c:v>
                </c:pt>
                <c:pt idx="94">
                  <c:v>1.0760000000000001</c:v>
                </c:pt>
                <c:pt idx="95">
                  <c:v>1.0820000000000001</c:v>
                </c:pt>
                <c:pt idx="96">
                  <c:v>1.081</c:v>
                </c:pt>
                <c:pt idx="97">
                  <c:v>1.0920000000000001</c:v>
                </c:pt>
                <c:pt idx="98">
                  <c:v>1.0960000000000001</c:v>
                </c:pt>
                <c:pt idx="99">
                  <c:v>1.0900000000000001</c:v>
                </c:pt>
                <c:pt idx="100">
                  <c:v>1.08</c:v>
                </c:pt>
                <c:pt idx="101">
                  <c:v>1.091</c:v>
                </c:pt>
                <c:pt idx="102">
                  <c:v>1.0820000000000001</c:v>
                </c:pt>
                <c:pt idx="103">
                  <c:v>1.0820000000000001</c:v>
                </c:pt>
                <c:pt idx="104">
                  <c:v>1.079</c:v>
                </c:pt>
                <c:pt idx="105">
                  <c:v>1.0780000000000001</c:v>
                </c:pt>
                <c:pt idx="106">
                  <c:v>1.083</c:v>
                </c:pt>
                <c:pt idx="107">
                  <c:v>1.085</c:v>
                </c:pt>
                <c:pt idx="108">
                  <c:v>1.1100000000000001</c:v>
                </c:pt>
                <c:pt idx="109">
                  <c:v>1.0900000000000001</c:v>
                </c:pt>
                <c:pt idx="110">
                  <c:v>1.095</c:v>
                </c:pt>
                <c:pt idx="111">
                  <c:v>1.0820000000000001</c:v>
                </c:pt>
                <c:pt idx="112">
                  <c:v>1.093</c:v>
                </c:pt>
                <c:pt idx="113">
                  <c:v>1.0880000000000001</c:v>
                </c:pt>
                <c:pt idx="114">
                  <c:v>1.0780000000000001</c:v>
                </c:pt>
                <c:pt idx="115">
                  <c:v>1.091</c:v>
                </c:pt>
                <c:pt idx="116">
                  <c:v>1.1120000000000001</c:v>
                </c:pt>
                <c:pt idx="117">
                  <c:v>1.135</c:v>
                </c:pt>
                <c:pt idx="118">
                  <c:v>1.145</c:v>
                </c:pt>
                <c:pt idx="119">
                  <c:v>1.135</c:v>
                </c:pt>
                <c:pt idx="120">
                  <c:v>1.127</c:v>
                </c:pt>
                <c:pt idx="121">
                  <c:v>1.1259999999999999</c:v>
                </c:pt>
                <c:pt idx="122">
                  <c:v>1.123</c:v>
                </c:pt>
                <c:pt idx="123">
                  <c:v>1.145</c:v>
                </c:pt>
                <c:pt idx="124">
                  <c:v>1.1439999999999999</c:v>
                </c:pt>
                <c:pt idx="125">
                  <c:v>1.125</c:v>
                </c:pt>
                <c:pt idx="126">
                  <c:v>1.1319999999999999</c:v>
                </c:pt>
                <c:pt idx="127">
                  <c:v>1.1519999999999999</c:v>
                </c:pt>
                <c:pt idx="128">
                  <c:v>1.1319999999999999</c:v>
                </c:pt>
                <c:pt idx="129">
                  <c:v>1.143</c:v>
                </c:pt>
                <c:pt idx="130">
                  <c:v>1.157</c:v>
                </c:pt>
                <c:pt idx="131">
                  <c:v>1.1659999999999999</c:v>
                </c:pt>
                <c:pt idx="132">
                  <c:v>1.1719999999999999</c:v>
                </c:pt>
                <c:pt idx="133">
                  <c:v>1.1639999999999999</c:v>
                </c:pt>
                <c:pt idx="134">
                  <c:v>1.17</c:v>
                </c:pt>
                <c:pt idx="135">
                  <c:v>1.1359999999999999</c:v>
                </c:pt>
                <c:pt idx="136">
                  <c:v>1.1160000000000001</c:v>
                </c:pt>
                <c:pt idx="137">
                  <c:v>1.133</c:v>
                </c:pt>
                <c:pt idx="138">
                  <c:v>1.141</c:v>
                </c:pt>
                <c:pt idx="139">
                  <c:v>1.129</c:v>
                </c:pt>
                <c:pt idx="140">
                  <c:v>1.1160000000000001</c:v>
                </c:pt>
                <c:pt idx="141">
                  <c:v>1.101</c:v>
                </c:pt>
                <c:pt idx="142">
                  <c:v>1.125</c:v>
                </c:pt>
                <c:pt idx="143">
                  <c:v>1.1519999999999999</c:v>
                </c:pt>
                <c:pt idx="144">
                  <c:v>1.167</c:v>
                </c:pt>
                <c:pt idx="145">
                  <c:v>1.1850000000000001</c:v>
                </c:pt>
                <c:pt idx="146">
                  <c:v>1.204</c:v>
                </c:pt>
                <c:pt idx="147">
                  <c:v>1.206</c:v>
                </c:pt>
                <c:pt idx="148">
                  <c:v>1.2010000000000001</c:v>
                </c:pt>
                <c:pt idx="149">
                  <c:v>1.1779999999999999</c:v>
                </c:pt>
                <c:pt idx="150">
                  <c:v>1.18</c:v>
                </c:pt>
                <c:pt idx="151">
                  <c:v>1.159</c:v>
                </c:pt>
                <c:pt idx="152">
                  <c:v>1.1879999999999999</c:v>
                </c:pt>
                <c:pt idx="153">
                  <c:v>1.173</c:v>
                </c:pt>
                <c:pt idx="154">
                  <c:v>1.196</c:v>
                </c:pt>
                <c:pt idx="155">
                  <c:v>1.1739999999999999</c:v>
                </c:pt>
                <c:pt idx="156">
                  <c:v>1.167</c:v>
                </c:pt>
                <c:pt idx="157">
                  <c:v>1.153</c:v>
                </c:pt>
                <c:pt idx="158">
                  <c:v>1.1299999999999999</c:v>
                </c:pt>
                <c:pt idx="159">
                  <c:v>1.1180000000000001</c:v>
                </c:pt>
                <c:pt idx="160">
                  <c:v>1.151</c:v>
                </c:pt>
                <c:pt idx="161">
                  <c:v>1.163</c:v>
                </c:pt>
                <c:pt idx="162">
                  <c:v>1.1559999999999999</c:v>
                </c:pt>
                <c:pt idx="163">
                  <c:v>1.1599999999999999</c:v>
                </c:pt>
                <c:pt idx="164">
                  <c:v>1.163</c:v>
                </c:pt>
                <c:pt idx="165">
                  <c:v>1.169</c:v>
                </c:pt>
                <c:pt idx="166">
                  <c:v>1.157</c:v>
                </c:pt>
                <c:pt idx="167">
                  <c:v>1.173</c:v>
                </c:pt>
                <c:pt idx="168">
                  <c:v>1.145</c:v>
                </c:pt>
                <c:pt idx="169">
                  <c:v>1.1200000000000001</c:v>
                </c:pt>
                <c:pt idx="170">
                  <c:v>1.119</c:v>
                </c:pt>
                <c:pt idx="171">
                  <c:v>1.135</c:v>
                </c:pt>
                <c:pt idx="172">
                  <c:v>1.137</c:v>
                </c:pt>
                <c:pt idx="173">
                  <c:v>1.135</c:v>
                </c:pt>
                <c:pt idx="174">
                  <c:v>1.135</c:v>
                </c:pt>
                <c:pt idx="175">
                  <c:v>1.143</c:v>
                </c:pt>
                <c:pt idx="176">
                  <c:v>1.1479999999999999</c:v>
                </c:pt>
                <c:pt idx="177">
                  <c:v>1.157</c:v>
                </c:pt>
                <c:pt idx="178">
                  <c:v>1.1579999999999999</c:v>
                </c:pt>
                <c:pt idx="179">
                  <c:v>1.157</c:v>
                </c:pt>
                <c:pt idx="180">
                  <c:v>1.1539999999999999</c:v>
                </c:pt>
                <c:pt idx="181">
                  <c:v>1.127</c:v>
                </c:pt>
                <c:pt idx="182">
                  <c:v>1.123</c:v>
                </c:pt>
                <c:pt idx="183">
                  <c:v>1.135</c:v>
                </c:pt>
                <c:pt idx="184">
                  <c:v>1.1319999999999999</c:v>
                </c:pt>
                <c:pt idx="185">
                  <c:v>1.143</c:v>
                </c:pt>
                <c:pt idx="186">
                  <c:v>1.155</c:v>
                </c:pt>
                <c:pt idx="187">
                  <c:v>1.1559999999999999</c:v>
                </c:pt>
                <c:pt idx="188">
                  <c:v>1.1539999999999999</c:v>
                </c:pt>
                <c:pt idx="189">
                  <c:v>1.159</c:v>
                </c:pt>
                <c:pt idx="190">
                  <c:v>1.165</c:v>
                </c:pt>
                <c:pt idx="191">
                  <c:v>1.1679999999999999</c:v>
                </c:pt>
                <c:pt idx="192">
                  <c:v>1.1659999999999999</c:v>
                </c:pt>
                <c:pt idx="193">
                  <c:v>1.175</c:v>
                </c:pt>
                <c:pt idx="194">
                  <c:v>1.175</c:v>
                </c:pt>
                <c:pt idx="195">
                  <c:v>1.1659999999999999</c:v>
                </c:pt>
                <c:pt idx="196">
                  <c:v>1.1879999999999999</c:v>
                </c:pt>
                <c:pt idx="197">
                  <c:v>1.179</c:v>
                </c:pt>
                <c:pt idx="198">
                  <c:v>1.1830000000000001</c:v>
                </c:pt>
                <c:pt idx="199">
                  <c:v>1.179</c:v>
                </c:pt>
                <c:pt idx="200">
                  <c:v>1.1970000000000001</c:v>
                </c:pt>
                <c:pt idx="201">
                  <c:v>1.1839999999999999</c:v>
                </c:pt>
                <c:pt idx="202">
                  <c:v>1.1919999999999999</c:v>
                </c:pt>
                <c:pt idx="203">
                  <c:v>1.2010000000000001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7E-477A-9529-81B4CAA71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099824"/>
        <c:axId val="545100384"/>
      </c:lineChart>
      <c:catAx>
        <c:axId val="54509982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crossAx val="545100384"/>
        <c:crosses val="autoZero"/>
        <c:auto val="0"/>
        <c:lblAlgn val="ctr"/>
        <c:lblOffset val="100"/>
        <c:noMultiLvlLbl val="1"/>
      </c:catAx>
      <c:valAx>
        <c:axId val="545100384"/>
        <c:scaling>
          <c:orientation val="minMax"/>
          <c:min val="0.95000000000000007"/>
        </c:scaling>
        <c:delete val="0"/>
        <c:axPos val="l"/>
        <c:majorGridlines/>
        <c:numFmt formatCode="0.0000_ " sourceLinked="1"/>
        <c:majorTickMark val="none"/>
        <c:minorTickMark val="none"/>
        <c:tickLblPos val="nextTo"/>
        <c:spPr>
          <a:ln w="9525">
            <a:noFill/>
          </a:ln>
        </c:spPr>
        <c:crossAx val="54509982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4" l="0.70000000000000062" r="0.70000000000000062" t="0.750000000000004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 sz="1600"/>
              <a:t>爱凡哲英安一号</a:t>
            </a:r>
            <a:endParaRPr lang="en-US" altLang="zh-CN" sz="16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爱凡哲英安一号!$B$20</c:f>
              <c:strCache>
                <c:ptCount val="1"/>
                <c:pt idx="0">
                  <c:v>累计净值</c:v>
                </c:pt>
              </c:strCache>
            </c:strRef>
          </c:tx>
          <c:marker>
            <c:symbol val="none"/>
          </c:marker>
          <c:cat>
            <c:numRef>
              <c:f>爱凡哲英安一号!$A$21:$A$221</c:f>
              <c:numCache>
                <c:formatCode>m/d/yyyy</c:formatCode>
                <c:ptCount val="201"/>
                <c:pt idx="0">
                  <c:v>44029</c:v>
                </c:pt>
                <c:pt idx="1">
                  <c:v>44032</c:v>
                </c:pt>
                <c:pt idx="2">
                  <c:v>44033</c:v>
                </c:pt>
                <c:pt idx="3">
                  <c:v>44034</c:v>
                </c:pt>
                <c:pt idx="4">
                  <c:v>44035</c:v>
                </c:pt>
                <c:pt idx="5">
                  <c:v>44036</c:v>
                </c:pt>
                <c:pt idx="6">
                  <c:v>44039</c:v>
                </c:pt>
                <c:pt idx="7">
                  <c:v>44040</c:v>
                </c:pt>
                <c:pt idx="8">
                  <c:v>44041</c:v>
                </c:pt>
                <c:pt idx="9">
                  <c:v>44042</c:v>
                </c:pt>
                <c:pt idx="10">
                  <c:v>44043</c:v>
                </c:pt>
                <c:pt idx="11">
                  <c:v>44046</c:v>
                </c:pt>
                <c:pt idx="12">
                  <c:v>44047</c:v>
                </c:pt>
                <c:pt idx="13">
                  <c:v>44048</c:v>
                </c:pt>
                <c:pt idx="14">
                  <c:v>44049</c:v>
                </c:pt>
                <c:pt idx="15">
                  <c:v>44050</c:v>
                </c:pt>
                <c:pt idx="16">
                  <c:v>44053</c:v>
                </c:pt>
                <c:pt idx="17">
                  <c:v>44054</c:v>
                </c:pt>
                <c:pt idx="18">
                  <c:v>44055</c:v>
                </c:pt>
                <c:pt idx="19">
                  <c:v>44056</c:v>
                </c:pt>
                <c:pt idx="20">
                  <c:v>44057</c:v>
                </c:pt>
                <c:pt idx="21">
                  <c:v>44060</c:v>
                </c:pt>
                <c:pt idx="22">
                  <c:v>44061</c:v>
                </c:pt>
                <c:pt idx="23">
                  <c:v>44062</c:v>
                </c:pt>
                <c:pt idx="24">
                  <c:v>44063</c:v>
                </c:pt>
                <c:pt idx="25">
                  <c:v>44064</c:v>
                </c:pt>
                <c:pt idx="26">
                  <c:v>44067</c:v>
                </c:pt>
                <c:pt idx="27">
                  <c:v>44068</c:v>
                </c:pt>
                <c:pt idx="28">
                  <c:v>44069</c:v>
                </c:pt>
                <c:pt idx="29">
                  <c:v>44070</c:v>
                </c:pt>
                <c:pt idx="30">
                  <c:v>44071</c:v>
                </c:pt>
                <c:pt idx="31">
                  <c:v>44074</c:v>
                </c:pt>
                <c:pt idx="32">
                  <c:v>44075</c:v>
                </c:pt>
                <c:pt idx="33">
                  <c:v>44076</c:v>
                </c:pt>
                <c:pt idx="34">
                  <c:v>44077</c:v>
                </c:pt>
                <c:pt idx="35">
                  <c:v>44078</c:v>
                </c:pt>
                <c:pt idx="36">
                  <c:v>44081</c:v>
                </c:pt>
                <c:pt idx="37">
                  <c:v>44082</c:v>
                </c:pt>
                <c:pt idx="38">
                  <c:v>44083</c:v>
                </c:pt>
                <c:pt idx="39">
                  <c:v>44084</c:v>
                </c:pt>
                <c:pt idx="40">
                  <c:v>44085</c:v>
                </c:pt>
                <c:pt idx="41">
                  <c:v>44088</c:v>
                </c:pt>
                <c:pt idx="42">
                  <c:v>44089</c:v>
                </c:pt>
                <c:pt idx="43">
                  <c:v>44090</c:v>
                </c:pt>
                <c:pt idx="44">
                  <c:v>44091</c:v>
                </c:pt>
                <c:pt idx="45">
                  <c:v>44092</c:v>
                </c:pt>
                <c:pt idx="46">
                  <c:v>44095</c:v>
                </c:pt>
                <c:pt idx="47">
                  <c:v>44096</c:v>
                </c:pt>
                <c:pt idx="48">
                  <c:v>44097</c:v>
                </c:pt>
                <c:pt idx="49">
                  <c:v>44098</c:v>
                </c:pt>
                <c:pt idx="50">
                  <c:v>44099</c:v>
                </c:pt>
                <c:pt idx="51">
                  <c:v>44102</c:v>
                </c:pt>
                <c:pt idx="52">
                  <c:v>44103</c:v>
                </c:pt>
                <c:pt idx="53">
                  <c:v>44104</c:v>
                </c:pt>
                <c:pt idx="54">
                  <c:v>44113</c:v>
                </c:pt>
                <c:pt idx="55">
                  <c:v>44116</c:v>
                </c:pt>
                <c:pt idx="56">
                  <c:v>44117</c:v>
                </c:pt>
                <c:pt idx="57">
                  <c:v>44118</c:v>
                </c:pt>
                <c:pt idx="58">
                  <c:v>44119</c:v>
                </c:pt>
                <c:pt idx="59">
                  <c:v>44120</c:v>
                </c:pt>
                <c:pt idx="60">
                  <c:v>44123</c:v>
                </c:pt>
                <c:pt idx="61">
                  <c:v>44124</c:v>
                </c:pt>
                <c:pt idx="62">
                  <c:v>44125</c:v>
                </c:pt>
                <c:pt idx="63">
                  <c:v>44126</c:v>
                </c:pt>
                <c:pt idx="64">
                  <c:v>44127</c:v>
                </c:pt>
                <c:pt idx="65">
                  <c:v>44130</c:v>
                </c:pt>
                <c:pt idx="66">
                  <c:v>44131</c:v>
                </c:pt>
                <c:pt idx="67">
                  <c:v>44132</c:v>
                </c:pt>
                <c:pt idx="68">
                  <c:v>44133</c:v>
                </c:pt>
                <c:pt idx="69">
                  <c:v>44134</c:v>
                </c:pt>
                <c:pt idx="70">
                  <c:v>44137</c:v>
                </c:pt>
                <c:pt idx="71">
                  <c:v>44138</c:v>
                </c:pt>
                <c:pt idx="72">
                  <c:v>44139</c:v>
                </c:pt>
                <c:pt idx="73">
                  <c:v>44140</c:v>
                </c:pt>
                <c:pt idx="74">
                  <c:v>44141</c:v>
                </c:pt>
                <c:pt idx="75">
                  <c:v>44144</c:v>
                </c:pt>
                <c:pt idx="76">
                  <c:v>44145</c:v>
                </c:pt>
                <c:pt idx="77">
                  <c:v>44146</c:v>
                </c:pt>
                <c:pt idx="78">
                  <c:v>44147</c:v>
                </c:pt>
                <c:pt idx="79">
                  <c:v>44148</c:v>
                </c:pt>
                <c:pt idx="80">
                  <c:v>44151</c:v>
                </c:pt>
                <c:pt idx="81">
                  <c:v>44152</c:v>
                </c:pt>
                <c:pt idx="82">
                  <c:v>44153</c:v>
                </c:pt>
                <c:pt idx="83">
                  <c:v>44154</c:v>
                </c:pt>
                <c:pt idx="84">
                  <c:v>44155</c:v>
                </c:pt>
                <c:pt idx="85">
                  <c:v>44158</c:v>
                </c:pt>
                <c:pt idx="86">
                  <c:v>44159</c:v>
                </c:pt>
                <c:pt idx="87">
                  <c:v>44160</c:v>
                </c:pt>
                <c:pt idx="88">
                  <c:v>44161</c:v>
                </c:pt>
                <c:pt idx="89">
                  <c:v>44162</c:v>
                </c:pt>
                <c:pt idx="90">
                  <c:v>44165</c:v>
                </c:pt>
                <c:pt idx="91">
                  <c:v>44166</c:v>
                </c:pt>
                <c:pt idx="92">
                  <c:v>44167</c:v>
                </c:pt>
                <c:pt idx="93">
                  <c:v>44168</c:v>
                </c:pt>
                <c:pt idx="94">
                  <c:v>44169</c:v>
                </c:pt>
                <c:pt idx="95">
                  <c:v>44172</c:v>
                </c:pt>
                <c:pt idx="96">
                  <c:v>44173</c:v>
                </c:pt>
                <c:pt idx="97">
                  <c:v>44174</c:v>
                </c:pt>
                <c:pt idx="98">
                  <c:v>44175</c:v>
                </c:pt>
                <c:pt idx="99">
                  <c:v>44176</c:v>
                </c:pt>
                <c:pt idx="100">
                  <c:v>44179</c:v>
                </c:pt>
                <c:pt idx="101">
                  <c:v>44180</c:v>
                </c:pt>
                <c:pt idx="102">
                  <c:v>44181</c:v>
                </c:pt>
                <c:pt idx="103">
                  <c:v>44182</c:v>
                </c:pt>
                <c:pt idx="104">
                  <c:v>44183</c:v>
                </c:pt>
                <c:pt idx="105">
                  <c:v>44186</c:v>
                </c:pt>
                <c:pt idx="106">
                  <c:v>44187</c:v>
                </c:pt>
                <c:pt idx="107">
                  <c:v>44188</c:v>
                </c:pt>
                <c:pt idx="108">
                  <c:v>44189</c:v>
                </c:pt>
                <c:pt idx="109">
                  <c:v>44190</c:v>
                </c:pt>
                <c:pt idx="110">
                  <c:v>44193</c:v>
                </c:pt>
                <c:pt idx="111">
                  <c:v>44194</c:v>
                </c:pt>
                <c:pt idx="112">
                  <c:v>44195</c:v>
                </c:pt>
                <c:pt idx="113">
                  <c:v>44196</c:v>
                </c:pt>
                <c:pt idx="114">
                  <c:v>44200</c:v>
                </c:pt>
                <c:pt idx="115">
                  <c:v>44201</c:v>
                </c:pt>
                <c:pt idx="116">
                  <c:v>44202</c:v>
                </c:pt>
                <c:pt idx="117">
                  <c:v>44203</c:v>
                </c:pt>
                <c:pt idx="118">
                  <c:v>44204</c:v>
                </c:pt>
                <c:pt idx="119">
                  <c:v>44207</c:v>
                </c:pt>
                <c:pt idx="120">
                  <c:v>44208</c:v>
                </c:pt>
                <c:pt idx="121">
                  <c:v>44209</c:v>
                </c:pt>
                <c:pt idx="122">
                  <c:v>44210</c:v>
                </c:pt>
                <c:pt idx="123">
                  <c:v>44211</c:v>
                </c:pt>
                <c:pt idx="124">
                  <c:v>44214</c:v>
                </c:pt>
                <c:pt idx="125">
                  <c:v>44215</c:v>
                </c:pt>
                <c:pt idx="126">
                  <c:v>44216</c:v>
                </c:pt>
                <c:pt idx="127">
                  <c:v>44217</c:v>
                </c:pt>
                <c:pt idx="128">
                  <c:v>44218</c:v>
                </c:pt>
                <c:pt idx="129">
                  <c:v>44221</c:v>
                </c:pt>
                <c:pt idx="130">
                  <c:v>44222</c:v>
                </c:pt>
                <c:pt idx="131">
                  <c:v>44223</c:v>
                </c:pt>
                <c:pt idx="132">
                  <c:v>44224</c:v>
                </c:pt>
                <c:pt idx="133">
                  <c:v>44225</c:v>
                </c:pt>
                <c:pt idx="134">
                  <c:v>44228</c:v>
                </c:pt>
                <c:pt idx="135">
                  <c:v>44229</c:v>
                </c:pt>
                <c:pt idx="136">
                  <c:v>44230</c:v>
                </c:pt>
                <c:pt idx="137">
                  <c:v>44231</c:v>
                </c:pt>
                <c:pt idx="138">
                  <c:v>44232</c:v>
                </c:pt>
                <c:pt idx="139">
                  <c:v>44235</c:v>
                </c:pt>
                <c:pt idx="140">
                  <c:v>44236</c:v>
                </c:pt>
                <c:pt idx="141">
                  <c:v>44237</c:v>
                </c:pt>
                <c:pt idx="142">
                  <c:v>44245</c:v>
                </c:pt>
                <c:pt idx="143">
                  <c:v>44246</c:v>
                </c:pt>
                <c:pt idx="144">
                  <c:v>44249</c:v>
                </c:pt>
                <c:pt idx="145">
                  <c:v>44250</c:v>
                </c:pt>
                <c:pt idx="146">
                  <c:v>44251</c:v>
                </c:pt>
                <c:pt idx="147">
                  <c:v>44252</c:v>
                </c:pt>
                <c:pt idx="148">
                  <c:v>44253</c:v>
                </c:pt>
                <c:pt idx="149">
                  <c:v>44256</c:v>
                </c:pt>
                <c:pt idx="150">
                  <c:v>44257</c:v>
                </c:pt>
                <c:pt idx="151">
                  <c:v>44258</c:v>
                </c:pt>
                <c:pt idx="152">
                  <c:v>44259</c:v>
                </c:pt>
                <c:pt idx="153">
                  <c:v>44260</c:v>
                </c:pt>
                <c:pt idx="154">
                  <c:v>44263</c:v>
                </c:pt>
                <c:pt idx="155">
                  <c:v>44264</c:v>
                </c:pt>
                <c:pt idx="156">
                  <c:v>44265</c:v>
                </c:pt>
                <c:pt idx="157">
                  <c:v>44266</c:v>
                </c:pt>
                <c:pt idx="158">
                  <c:v>44267</c:v>
                </c:pt>
                <c:pt idx="159">
                  <c:v>44270</c:v>
                </c:pt>
                <c:pt idx="160">
                  <c:v>44271</c:v>
                </c:pt>
                <c:pt idx="161">
                  <c:v>44272</c:v>
                </c:pt>
                <c:pt idx="162">
                  <c:v>44273</c:v>
                </c:pt>
                <c:pt idx="163">
                  <c:v>44274</c:v>
                </c:pt>
                <c:pt idx="164">
                  <c:v>44277</c:v>
                </c:pt>
                <c:pt idx="165">
                  <c:v>44278</c:v>
                </c:pt>
                <c:pt idx="166">
                  <c:v>44279</c:v>
                </c:pt>
                <c:pt idx="167">
                  <c:v>44280</c:v>
                </c:pt>
                <c:pt idx="168">
                  <c:v>44281</c:v>
                </c:pt>
                <c:pt idx="169">
                  <c:v>44284</c:v>
                </c:pt>
                <c:pt idx="170">
                  <c:v>44285</c:v>
                </c:pt>
                <c:pt idx="171">
                  <c:v>44286</c:v>
                </c:pt>
                <c:pt idx="172">
                  <c:v>44287</c:v>
                </c:pt>
                <c:pt idx="173">
                  <c:v>44288</c:v>
                </c:pt>
                <c:pt idx="174">
                  <c:v>44292</c:v>
                </c:pt>
                <c:pt idx="175">
                  <c:v>44293</c:v>
                </c:pt>
                <c:pt idx="176">
                  <c:v>44294</c:v>
                </c:pt>
                <c:pt idx="177">
                  <c:v>44295</c:v>
                </c:pt>
                <c:pt idx="178">
                  <c:v>44298</c:v>
                </c:pt>
                <c:pt idx="179">
                  <c:v>44299</c:v>
                </c:pt>
                <c:pt idx="180">
                  <c:v>44300</c:v>
                </c:pt>
                <c:pt idx="181">
                  <c:v>44301</c:v>
                </c:pt>
                <c:pt idx="182">
                  <c:v>44302</c:v>
                </c:pt>
                <c:pt idx="183">
                  <c:v>44305</c:v>
                </c:pt>
                <c:pt idx="184">
                  <c:v>44306</c:v>
                </c:pt>
                <c:pt idx="185">
                  <c:v>44307</c:v>
                </c:pt>
                <c:pt idx="186">
                  <c:v>44308</c:v>
                </c:pt>
                <c:pt idx="187">
                  <c:v>44309</c:v>
                </c:pt>
                <c:pt idx="188">
                  <c:v>44312</c:v>
                </c:pt>
                <c:pt idx="189">
                  <c:v>44313</c:v>
                </c:pt>
                <c:pt idx="190">
                  <c:v>44314</c:v>
                </c:pt>
                <c:pt idx="191">
                  <c:v>44315</c:v>
                </c:pt>
                <c:pt idx="192">
                  <c:v>44316</c:v>
                </c:pt>
                <c:pt idx="193">
                  <c:v>44322</c:v>
                </c:pt>
                <c:pt idx="194">
                  <c:v>44323</c:v>
                </c:pt>
                <c:pt idx="195">
                  <c:v>44326</c:v>
                </c:pt>
                <c:pt idx="196">
                  <c:v>44327</c:v>
                </c:pt>
                <c:pt idx="197">
                  <c:v>44328</c:v>
                </c:pt>
                <c:pt idx="198">
                  <c:v>44329</c:v>
                </c:pt>
                <c:pt idx="199">
                  <c:v>44330</c:v>
                </c:pt>
                <c:pt idx="200">
                  <c:v>44333</c:v>
                </c:pt>
              </c:numCache>
            </c:numRef>
          </c:cat>
          <c:val>
            <c:numRef>
              <c:f>爱凡哲英安一号!$B$21:$B$221</c:f>
              <c:numCache>
                <c:formatCode>0.0000_ </c:formatCode>
                <c:ptCount val="201"/>
                <c:pt idx="0">
                  <c:v>1.21</c:v>
                </c:pt>
                <c:pt idx="1">
                  <c:v>1.2270000000000001</c:v>
                </c:pt>
                <c:pt idx="2">
                  <c:v>1.258</c:v>
                </c:pt>
                <c:pt idx="3">
                  <c:v>1.2330000000000001</c:v>
                </c:pt>
                <c:pt idx="4">
                  <c:v>1.258</c:v>
                </c:pt>
                <c:pt idx="5">
                  <c:v>1.202</c:v>
                </c:pt>
                <c:pt idx="6">
                  <c:v>1.198</c:v>
                </c:pt>
                <c:pt idx="7">
                  <c:v>1.2230000000000001</c:v>
                </c:pt>
                <c:pt idx="8">
                  <c:v>1.23</c:v>
                </c:pt>
                <c:pt idx="9">
                  <c:v>1.2310000000000001</c:v>
                </c:pt>
                <c:pt idx="10">
                  <c:v>1.2330000000000001</c:v>
                </c:pt>
                <c:pt idx="11">
                  <c:v>1.252</c:v>
                </c:pt>
                <c:pt idx="12">
                  <c:v>1.2729999999999999</c:v>
                </c:pt>
                <c:pt idx="13">
                  <c:v>1.2769999999999999</c:v>
                </c:pt>
                <c:pt idx="14">
                  <c:v>1.2669999999999999</c:v>
                </c:pt>
                <c:pt idx="15">
                  <c:v>1.25</c:v>
                </c:pt>
                <c:pt idx="16">
                  <c:v>1.242</c:v>
                </c:pt>
                <c:pt idx="17">
                  <c:v>1.2470000000000001</c:v>
                </c:pt>
                <c:pt idx="18">
                  <c:v>1.23</c:v>
                </c:pt>
                <c:pt idx="19">
                  <c:v>1.228</c:v>
                </c:pt>
                <c:pt idx="20">
                  <c:v>1.248</c:v>
                </c:pt>
                <c:pt idx="21">
                  <c:v>1.2529999999999999</c:v>
                </c:pt>
                <c:pt idx="22">
                  <c:v>1.2669999999999999</c:v>
                </c:pt>
                <c:pt idx="23">
                  <c:v>1.248</c:v>
                </c:pt>
                <c:pt idx="24">
                  <c:v>1.2370000000000001</c:v>
                </c:pt>
                <c:pt idx="25">
                  <c:v>1.258</c:v>
                </c:pt>
                <c:pt idx="26">
                  <c:v>1.2949999999999999</c:v>
                </c:pt>
                <c:pt idx="27">
                  <c:v>1.294</c:v>
                </c:pt>
                <c:pt idx="28">
                  <c:v>1.2969999999999999</c:v>
                </c:pt>
                <c:pt idx="29">
                  <c:v>1.3109999999999999</c:v>
                </c:pt>
                <c:pt idx="30">
                  <c:v>1.3149999999999999</c:v>
                </c:pt>
                <c:pt idx="31">
                  <c:v>1.294</c:v>
                </c:pt>
                <c:pt idx="32">
                  <c:v>1.3089999999999999</c:v>
                </c:pt>
                <c:pt idx="33">
                  <c:v>1.321</c:v>
                </c:pt>
                <c:pt idx="34">
                  <c:v>1.2969999999999999</c:v>
                </c:pt>
                <c:pt idx="35">
                  <c:v>1.28</c:v>
                </c:pt>
                <c:pt idx="36">
                  <c:v>1.2569999999999999</c:v>
                </c:pt>
                <c:pt idx="37">
                  <c:v>1.252</c:v>
                </c:pt>
                <c:pt idx="38">
                  <c:v>1.234</c:v>
                </c:pt>
                <c:pt idx="39">
                  <c:v>1.2370000000000001</c:v>
                </c:pt>
                <c:pt idx="40">
                  <c:v>1.256</c:v>
                </c:pt>
                <c:pt idx="41">
                  <c:v>1.268</c:v>
                </c:pt>
                <c:pt idx="42">
                  <c:v>1.274</c:v>
                </c:pt>
                <c:pt idx="43">
                  <c:v>1.2749999999999999</c:v>
                </c:pt>
                <c:pt idx="44">
                  <c:v>1.26</c:v>
                </c:pt>
                <c:pt idx="45">
                  <c:v>1.2789999999999999</c:v>
                </c:pt>
                <c:pt idx="46">
                  <c:v>1.2629999999999999</c:v>
                </c:pt>
                <c:pt idx="47">
                  <c:v>1.256</c:v>
                </c:pt>
                <c:pt idx="48">
                  <c:v>1.262</c:v>
                </c:pt>
                <c:pt idx="49">
                  <c:v>1.236</c:v>
                </c:pt>
                <c:pt idx="50">
                  <c:v>1.236</c:v>
                </c:pt>
                <c:pt idx="51">
                  <c:v>1.2509999999999999</c:v>
                </c:pt>
                <c:pt idx="52">
                  <c:v>1.246</c:v>
                </c:pt>
                <c:pt idx="53">
                  <c:v>1.252</c:v>
                </c:pt>
                <c:pt idx="54">
                  <c:v>1.288</c:v>
                </c:pt>
                <c:pt idx="55">
                  <c:v>1.3069999999999999</c:v>
                </c:pt>
                <c:pt idx="56">
                  <c:v>1.3129999999999999</c:v>
                </c:pt>
                <c:pt idx="57">
                  <c:v>1.3169999999999999</c:v>
                </c:pt>
                <c:pt idx="58">
                  <c:v>1.2969999999999999</c:v>
                </c:pt>
                <c:pt idx="59">
                  <c:v>1.3029999999999999</c:v>
                </c:pt>
                <c:pt idx="60">
                  <c:v>1.2889999999999999</c:v>
                </c:pt>
                <c:pt idx="61">
                  <c:v>1.2969999999999999</c:v>
                </c:pt>
                <c:pt idx="62">
                  <c:v>1.2969999999999999</c:v>
                </c:pt>
                <c:pt idx="63">
                  <c:v>1.2929999999999999</c:v>
                </c:pt>
                <c:pt idx="64">
                  <c:v>1.2889999999999999</c:v>
                </c:pt>
                <c:pt idx="65">
                  <c:v>1.278</c:v>
                </c:pt>
                <c:pt idx="66">
                  <c:v>1.28</c:v>
                </c:pt>
                <c:pt idx="67">
                  <c:v>1.2969999999999999</c:v>
                </c:pt>
                <c:pt idx="68">
                  <c:v>1.3129999999999999</c:v>
                </c:pt>
                <c:pt idx="69">
                  <c:v>1.288</c:v>
                </c:pt>
                <c:pt idx="70">
                  <c:v>1.2889999999999999</c:v>
                </c:pt>
                <c:pt idx="71">
                  <c:v>1.3</c:v>
                </c:pt>
                <c:pt idx="72">
                  <c:v>1.31</c:v>
                </c:pt>
                <c:pt idx="73">
                  <c:v>1.349</c:v>
                </c:pt>
                <c:pt idx="74">
                  <c:v>1.3260000000000001</c:v>
                </c:pt>
                <c:pt idx="75">
                  <c:v>1.347</c:v>
                </c:pt>
                <c:pt idx="76">
                  <c:v>1.3140000000000001</c:v>
                </c:pt>
                <c:pt idx="77">
                  <c:v>1.2769999999999999</c:v>
                </c:pt>
                <c:pt idx="78">
                  <c:v>1.302</c:v>
                </c:pt>
                <c:pt idx="79">
                  <c:v>1.3169999999999999</c:v>
                </c:pt>
                <c:pt idx="80">
                  <c:v>1.331</c:v>
                </c:pt>
                <c:pt idx="81">
                  <c:v>1.3120000000000001</c:v>
                </c:pt>
                <c:pt idx="82">
                  <c:v>1.3120000000000001</c:v>
                </c:pt>
                <c:pt idx="83">
                  <c:v>1.3080000000000001</c:v>
                </c:pt>
                <c:pt idx="84">
                  <c:v>1.325</c:v>
                </c:pt>
                <c:pt idx="85">
                  <c:v>1.3280000000000001</c:v>
                </c:pt>
                <c:pt idx="86">
                  <c:v>1.3160000000000001</c:v>
                </c:pt>
                <c:pt idx="87">
                  <c:v>1.3</c:v>
                </c:pt>
                <c:pt idx="88">
                  <c:v>1.323</c:v>
                </c:pt>
                <c:pt idx="89">
                  <c:v>1.327</c:v>
                </c:pt>
                <c:pt idx="90">
                  <c:v>1.3080000000000001</c:v>
                </c:pt>
                <c:pt idx="91">
                  <c:v>1.323</c:v>
                </c:pt>
                <c:pt idx="92">
                  <c:v>1.3169999999999999</c:v>
                </c:pt>
                <c:pt idx="93">
                  <c:v>1.3260000000000001</c:v>
                </c:pt>
                <c:pt idx="94">
                  <c:v>1.3440000000000001</c:v>
                </c:pt>
                <c:pt idx="95">
                  <c:v>1.33</c:v>
                </c:pt>
                <c:pt idx="96">
                  <c:v>1.3280000000000001</c:v>
                </c:pt>
                <c:pt idx="97">
                  <c:v>1.32</c:v>
                </c:pt>
                <c:pt idx="98">
                  <c:v>1.3160000000000001</c:v>
                </c:pt>
                <c:pt idx="99">
                  <c:v>1.321</c:v>
                </c:pt>
                <c:pt idx="100">
                  <c:v>1.3129999999999999</c:v>
                </c:pt>
                <c:pt idx="101">
                  <c:v>1.302</c:v>
                </c:pt>
                <c:pt idx="102">
                  <c:v>1.3109999999999999</c:v>
                </c:pt>
                <c:pt idx="103">
                  <c:v>1.327</c:v>
                </c:pt>
                <c:pt idx="104">
                  <c:v>1.3129999999999999</c:v>
                </c:pt>
                <c:pt idx="105">
                  <c:v>1.3129999999999999</c:v>
                </c:pt>
                <c:pt idx="106">
                  <c:v>1.306</c:v>
                </c:pt>
                <c:pt idx="107">
                  <c:v>1.3149999999999999</c:v>
                </c:pt>
                <c:pt idx="108">
                  <c:v>1.3069999999999999</c:v>
                </c:pt>
                <c:pt idx="109">
                  <c:v>1.3089999999999999</c:v>
                </c:pt>
                <c:pt idx="110">
                  <c:v>1.2869999999999999</c:v>
                </c:pt>
                <c:pt idx="111">
                  <c:v>1.3049999999999999</c:v>
                </c:pt>
                <c:pt idx="112">
                  <c:v>1.329</c:v>
                </c:pt>
                <c:pt idx="113">
                  <c:v>1.347</c:v>
                </c:pt>
                <c:pt idx="114">
                  <c:v>1.349</c:v>
                </c:pt>
                <c:pt idx="115">
                  <c:v>1.355</c:v>
                </c:pt>
                <c:pt idx="116">
                  <c:v>1.367</c:v>
                </c:pt>
                <c:pt idx="117">
                  <c:v>1.3660000000000001</c:v>
                </c:pt>
                <c:pt idx="118">
                  <c:v>1.371</c:v>
                </c:pt>
                <c:pt idx="119">
                  <c:v>1.3680000000000001</c:v>
                </c:pt>
                <c:pt idx="120">
                  <c:v>1.389</c:v>
                </c:pt>
                <c:pt idx="121">
                  <c:v>1.3859999999999999</c:v>
                </c:pt>
                <c:pt idx="122">
                  <c:v>1.393</c:v>
                </c:pt>
                <c:pt idx="123">
                  <c:v>1.3979999999999999</c:v>
                </c:pt>
                <c:pt idx="124">
                  <c:v>1.407</c:v>
                </c:pt>
                <c:pt idx="125">
                  <c:v>1.417</c:v>
                </c:pt>
                <c:pt idx="126">
                  <c:v>1.4370000000000001</c:v>
                </c:pt>
                <c:pt idx="127">
                  <c:v>1.4379999999999999</c:v>
                </c:pt>
                <c:pt idx="128">
                  <c:v>1.4450000000000001</c:v>
                </c:pt>
                <c:pt idx="129">
                  <c:v>1.4970000000000001</c:v>
                </c:pt>
                <c:pt idx="130">
                  <c:v>1.46</c:v>
                </c:pt>
                <c:pt idx="131">
                  <c:v>1.4410000000000001</c:v>
                </c:pt>
                <c:pt idx="132">
                  <c:v>1.42</c:v>
                </c:pt>
                <c:pt idx="133">
                  <c:v>1.419</c:v>
                </c:pt>
                <c:pt idx="134">
                  <c:v>1.4450000000000001</c:v>
                </c:pt>
                <c:pt idx="135">
                  <c:v>1.4650000000000001</c:v>
                </c:pt>
                <c:pt idx="136">
                  <c:v>1.4750000000000001</c:v>
                </c:pt>
                <c:pt idx="137">
                  <c:v>1.482</c:v>
                </c:pt>
                <c:pt idx="138">
                  <c:v>1.482</c:v>
                </c:pt>
                <c:pt idx="139">
                  <c:v>1.4970000000000001</c:v>
                </c:pt>
                <c:pt idx="140">
                  <c:v>1.4990000000000001</c:v>
                </c:pt>
                <c:pt idx="141">
                  <c:v>1.5309999999999999</c:v>
                </c:pt>
                <c:pt idx="142">
                  <c:v>1.524</c:v>
                </c:pt>
                <c:pt idx="143">
                  <c:v>1.5349999999999999</c:v>
                </c:pt>
                <c:pt idx="144">
                  <c:v>1.482</c:v>
                </c:pt>
                <c:pt idx="145">
                  <c:v>1.486</c:v>
                </c:pt>
                <c:pt idx="146">
                  <c:v>1.45</c:v>
                </c:pt>
                <c:pt idx="147">
                  <c:v>1.4610000000000001</c:v>
                </c:pt>
                <c:pt idx="148">
                  <c:v>1.4179999999999999</c:v>
                </c:pt>
                <c:pt idx="149">
                  <c:v>1.4510000000000001</c:v>
                </c:pt>
                <c:pt idx="150">
                  <c:v>1.44</c:v>
                </c:pt>
                <c:pt idx="151">
                  <c:v>1.47</c:v>
                </c:pt>
                <c:pt idx="152">
                  <c:v>1.425</c:v>
                </c:pt>
                <c:pt idx="153">
                  <c:v>1.413</c:v>
                </c:pt>
                <c:pt idx="154">
                  <c:v>1.3759999999999999</c:v>
                </c:pt>
                <c:pt idx="155">
                  <c:v>1.381</c:v>
                </c:pt>
                <c:pt idx="156">
                  <c:v>1.3879999999999999</c:v>
                </c:pt>
                <c:pt idx="157">
                  <c:v>1.423</c:v>
                </c:pt>
                <c:pt idx="158">
                  <c:v>1.403</c:v>
                </c:pt>
                <c:pt idx="159">
                  <c:v>1.385</c:v>
                </c:pt>
                <c:pt idx="160">
                  <c:v>1.399</c:v>
                </c:pt>
                <c:pt idx="161">
                  <c:v>1.4019999999999999</c:v>
                </c:pt>
                <c:pt idx="162">
                  <c:v>1.4179999999999999</c:v>
                </c:pt>
                <c:pt idx="163">
                  <c:v>1.3979999999999999</c:v>
                </c:pt>
                <c:pt idx="164">
                  <c:v>1.403</c:v>
                </c:pt>
                <c:pt idx="165">
                  <c:v>1.3839999999999999</c:v>
                </c:pt>
                <c:pt idx="166">
                  <c:v>1.37</c:v>
                </c:pt>
                <c:pt idx="167">
                  <c:v>1.3580000000000001</c:v>
                </c:pt>
                <c:pt idx="168">
                  <c:v>1.379</c:v>
                </c:pt>
                <c:pt idx="169">
                  <c:v>1.369</c:v>
                </c:pt>
                <c:pt idx="170">
                  <c:v>1.3839999999999999</c:v>
                </c:pt>
                <c:pt idx="171">
                  <c:v>1.3759999999999999</c:v>
                </c:pt>
                <c:pt idx="172">
                  <c:v>1.41</c:v>
                </c:pt>
                <c:pt idx="173">
                  <c:v>1.42</c:v>
                </c:pt>
                <c:pt idx="174">
                  <c:v>1.4159999999999999</c:v>
                </c:pt>
                <c:pt idx="175">
                  <c:v>1.3959999999999999</c:v>
                </c:pt>
                <c:pt idx="176">
                  <c:v>1.3919999999999999</c:v>
                </c:pt>
                <c:pt idx="177">
                  <c:v>1.3779999999999999</c:v>
                </c:pt>
                <c:pt idx="178">
                  <c:v>1.37</c:v>
                </c:pt>
                <c:pt idx="179">
                  <c:v>1.3540000000000001</c:v>
                </c:pt>
                <c:pt idx="180">
                  <c:v>1.3680000000000001</c:v>
                </c:pt>
                <c:pt idx="181">
                  <c:v>1.361</c:v>
                </c:pt>
                <c:pt idx="182">
                  <c:v>1.371</c:v>
                </c:pt>
                <c:pt idx="183">
                  <c:v>1.3819999999999999</c:v>
                </c:pt>
                <c:pt idx="184">
                  <c:v>1.38</c:v>
                </c:pt>
                <c:pt idx="185">
                  <c:v>1.3620000000000001</c:v>
                </c:pt>
                <c:pt idx="186">
                  <c:v>1.369</c:v>
                </c:pt>
                <c:pt idx="187">
                  <c:v>1.3839999999999999</c:v>
                </c:pt>
                <c:pt idx="188">
                  <c:v>1.3680000000000001</c:v>
                </c:pt>
                <c:pt idx="189">
                  <c:v>1.369</c:v>
                </c:pt>
                <c:pt idx="190">
                  <c:v>1.3680000000000001</c:v>
                </c:pt>
                <c:pt idx="191">
                  <c:v>1.3740000000000001</c:v>
                </c:pt>
                <c:pt idx="192">
                  <c:v>1.3580000000000001</c:v>
                </c:pt>
                <c:pt idx="193">
                  <c:v>1.3380000000000001</c:v>
                </c:pt>
                <c:pt idx="194">
                  <c:v>1.325</c:v>
                </c:pt>
                <c:pt idx="195">
                  <c:v>1.31</c:v>
                </c:pt>
                <c:pt idx="196">
                  <c:v>1.3049999999999999</c:v>
                </c:pt>
                <c:pt idx="197">
                  <c:v>1.3169999999999999</c:v>
                </c:pt>
                <c:pt idx="198">
                  <c:v>1.298</c:v>
                </c:pt>
                <c:pt idx="199">
                  <c:v>1.3080000000000001</c:v>
                </c:pt>
                <c:pt idx="200">
                  <c:v>1.329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4F-4160-B4E4-880242220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099824"/>
        <c:axId val="545100384"/>
      </c:lineChart>
      <c:catAx>
        <c:axId val="54509982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crossAx val="545100384"/>
        <c:crosses val="autoZero"/>
        <c:auto val="0"/>
        <c:lblAlgn val="ctr"/>
        <c:lblOffset val="100"/>
        <c:noMultiLvlLbl val="1"/>
      </c:catAx>
      <c:valAx>
        <c:axId val="545100384"/>
        <c:scaling>
          <c:orientation val="minMax"/>
          <c:min val="1.1500000000000001"/>
        </c:scaling>
        <c:delete val="0"/>
        <c:axPos val="l"/>
        <c:majorGridlines/>
        <c:numFmt formatCode="0.0000_ " sourceLinked="1"/>
        <c:majorTickMark val="none"/>
        <c:minorTickMark val="none"/>
        <c:tickLblPos val="nextTo"/>
        <c:spPr>
          <a:ln w="9525">
            <a:noFill/>
          </a:ln>
        </c:spPr>
        <c:crossAx val="54509982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4" l="0.70000000000000062" r="0.70000000000000062" t="0.750000000000004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 sz="1600"/>
              <a:t>因诺聚配</a:t>
            </a:r>
            <a:r>
              <a:rPr lang="en-US" altLang="zh-CN" sz="1600"/>
              <a:t>500</a:t>
            </a:r>
            <a:r>
              <a:rPr lang="zh-CN" altLang="en-US" sz="1600"/>
              <a:t>指增</a:t>
            </a:r>
            <a:endParaRPr lang="en-US" altLang="zh-CN" sz="16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因诺聚配500指增!$B$20</c:f>
              <c:strCache>
                <c:ptCount val="1"/>
                <c:pt idx="0">
                  <c:v>累计净值</c:v>
                </c:pt>
              </c:strCache>
            </c:strRef>
          </c:tx>
          <c:marker>
            <c:symbol val="none"/>
          </c:marker>
          <c:cat>
            <c:numRef>
              <c:f>因诺聚配500指增!$A$21:$A$220</c:f>
              <c:numCache>
                <c:formatCode>m/d/yyyy</c:formatCode>
                <c:ptCount val="200"/>
                <c:pt idx="0">
                  <c:v>44032</c:v>
                </c:pt>
                <c:pt idx="1">
                  <c:v>44033</c:v>
                </c:pt>
                <c:pt idx="2">
                  <c:v>44034</c:v>
                </c:pt>
                <c:pt idx="3">
                  <c:v>44035</c:v>
                </c:pt>
                <c:pt idx="4">
                  <c:v>44036</c:v>
                </c:pt>
                <c:pt idx="5">
                  <c:v>44039</c:v>
                </c:pt>
                <c:pt idx="6">
                  <c:v>44040</c:v>
                </c:pt>
                <c:pt idx="7">
                  <c:v>44041</c:v>
                </c:pt>
                <c:pt idx="8">
                  <c:v>44042</c:v>
                </c:pt>
                <c:pt idx="9">
                  <c:v>44043</c:v>
                </c:pt>
                <c:pt idx="10">
                  <c:v>44046</c:v>
                </c:pt>
                <c:pt idx="11">
                  <c:v>44047</c:v>
                </c:pt>
                <c:pt idx="12">
                  <c:v>44048</c:v>
                </c:pt>
                <c:pt idx="13">
                  <c:v>44049</c:v>
                </c:pt>
                <c:pt idx="14">
                  <c:v>44050</c:v>
                </c:pt>
                <c:pt idx="15">
                  <c:v>44053</c:v>
                </c:pt>
                <c:pt idx="16">
                  <c:v>44054</c:v>
                </c:pt>
                <c:pt idx="17">
                  <c:v>44055</c:v>
                </c:pt>
                <c:pt idx="18">
                  <c:v>44056</c:v>
                </c:pt>
                <c:pt idx="19">
                  <c:v>44057</c:v>
                </c:pt>
                <c:pt idx="20">
                  <c:v>44060</c:v>
                </c:pt>
                <c:pt idx="21">
                  <c:v>44061</c:v>
                </c:pt>
                <c:pt idx="22">
                  <c:v>44062</c:v>
                </c:pt>
                <c:pt idx="23">
                  <c:v>44063</c:v>
                </c:pt>
                <c:pt idx="24">
                  <c:v>44064</c:v>
                </c:pt>
                <c:pt idx="25">
                  <c:v>44067</c:v>
                </c:pt>
                <c:pt idx="26">
                  <c:v>44068</c:v>
                </c:pt>
                <c:pt idx="27">
                  <c:v>44069</c:v>
                </c:pt>
                <c:pt idx="28">
                  <c:v>44070</c:v>
                </c:pt>
                <c:pt idx="29">
                  <c:v>44071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44081</c:v>
                </c:pt>
                <c:pt idx="36">
                  <c:v>44082</c:v>
                </c:pt>
                <c:pt idx="37">
                  <c:v>44083</c:v>
                </c:pt>
                <c:pt idx="38">
                  <c:v>44084</c:v>
                </c:pt>
                <c:pt idx="39">
                  <c:v>44085</c:v>
                </c:pt>
                <c:pt idx="40">
                  <c:v>44088</c:v>
                </c:pt>
                <c:pt idx="41">
                  <c:v>44089</c:v>
                </c:pt>
                <c:pt idx="42">
                  <c:v>44090</c:v>
                </c:pt>
                <c:pt idx="43">
                  <c:v>44091</c:v>
                </c:pt>
                <c:pt idx="44">
                  <c:v>44092</c:v>
                </c:pt>
                <c:pt idx="45">
                  <c:v>44095</c:v>
                </c:pt>
                <c:pt idx="46">
                  <c:v>44096</c:v>
                </c:pt>
                <c:pt idx="47">
                  <c:v>44097</c:v>
                </c:pt>
                <c:pt idx="48">
                  <c:v>44098</c:v>
                </c:pt>
                <c:pt idx="49">
                  <c:v>44099</c:v>
                </c:pt>
                <c:pt idx="50">
                  <c:v>44102</c:v>
                </c:pt>
                <c:pt idx="51">
                  <c:v>44103</c:v>
                </c:pt>
                <c:pt idx="52">
                  <c:v>44104</c:v>
                </c:pt>
                <c:pt idx="53">
                  <c:v>44113</c:v>
                </c:pt>
                <c:pt idx="54">
                  <c:v>44116</c:v>
                </c:pt>
                <c:pt idx="55">
                  <c:v>44117</c:v>
                </c:pt>
                <c:pt idx="56">
                  <c:v>44118</c:v>
                </c:pt>
                <c:pt idx="57">
                  <c:v>44119</c:v>
                </c:pt>
                <c:pt idx="58">
                  <c:v>44120</c:v>
                </c:pt>
                <c:pt idx="59">
                  <c:v>44123</c:v>
                </c:pt>
                <c:pt idx="60">
                  <c:v>44124</c:v>
                </c:pt>
                <c:pt idx="61">
                  <c:v>44125</c:v>
                </c:pt>
                <c:pt idx="62">
                  <c:v>44126</c:v>
                </c:pt>
                <c:pt idx="63">
                  <c:v>44127</c:v>
                </c:pt>
                <c:pt idx="64">
                  <c:v>44130</c:v>
                </c:pt>
                <c:pt idx="65">
                  <c:v>44131</c:v>
                </c:pt>
                <c:pt idx="66">
                  <c:v>44132</c:v>
                </c:pt>
                <c:pt idx="67">
                  <c:v>44133</c:v>
                </c:pt>
                <c:pt idx="68">
                  <c:v>44134</c:v>
                </c:pt>
                <c:pt idx="69">
                  <c:v>44137</c:v>
                </c:pt>
                <c:pt idx="70">
                  <c:v>44138</c:v>
                </c:pt>
                <c:pt idx="71">
                  <c:v>44139</c:v>
                </c:pt>
                <c:pt idx="72">
                  <c:v>44140</c:v>
                </c:pt>
                <c:pt idx="73">
                  <c:v>44141</c:v>
                </c:pt>
                <c:pt idx="74">
                  <c:v>44144</c:v>
                </c:pt>
                <c:pt idx="75">
                  <c:v>44145</c:v>
                </c:pt>
                <c:pt idx="76">
                  <c:v>44146</c:v>
                </c:pt>
                <c:pt idx="77">
                  <c:v>44147</c:v>
                </c:pt>
                <c:pt idx="78">
                  <c:v>44148</c:v>
                </c:pt>
                <c:pt idx="79">
                  <c:v>44151</c:v>
                </c:pt>
                <c:pt idx="80">
                  <c:v>44152</c:v>
                </c:pt>
                <c:pt idx="81">
                  <c:v>44153</c:v>
                </c:pt>
                <c:pt idx="82">
                  <c:v>44154</c:v>
                </c:pt>
                <c:pt idx="83">
                  <c:v>44155</c:v>
                </c:pt>
                <c:pt idx="84">
                  <c:v>44158</c:v>
                </c:pt>
                <c:pt idx="85">
                  <c:v>44159</c:v>
                </c:pt>
                <c:pt idx="86">
                  <c:v>44160</c:v>
                </c:pt>
                <c:pt idx="87">
                  <c:v>44161</c:v>
                </c:pt>
                <c:pt idx="88">
                  <c:v>44162</c:v>
                </c:pt>
                <c:pt idx="89">
                  <c:v>44165</c:v>
                </c:pt>
                <c:pt idx="90">
                  <c:v>44166</c:v>
                </c:pt>
                <c:pt idx="91">
                  <c:v>44167</c:v>
                </c:pt>
                <c:pt idx="92">
                  <c:v>44168</c:v>
                </c:pt>
                <c:pt idx="93">
                  <c:v>44169</c:v>
                </c:pt>
                <c:pt idx="94">
                  <c:v>44172</c:v>
                </c:pt>
                <c:pt idx="95">
                  <c:v>44173</c:v>
                </c:pt>
                <c:pt idx="96">
                  <c:v>44174</c:v>
                </c:pt>
                <c:pt idx="97">
                  <c:v>44175</c:v>
                </c:pt>
                <c:pt idx="98">
                  <c:v>44176</c:v>
                </c:pt>
                <c:pt idx="99">
                  <c:v>44179</c:v>
                </c:pt>
                <c:pt idx="100">
                  <c:v>44180</c:v>
                </c:pt>
                <c:pt idx="101">
                  <c:v>44181</c:v>
                </c:pt>
                <c:pt idx="102">
                  <c:v>44182</c:v>
                </c:pt>
                <c:pt idx="103">
                  <c:v>44183</c:v>
                </c:pt>
                <c:pt idx="104">
                  <c:v>44186</c:v>
                </c:pt>
                <c:pt idx="105">
                  <c:v>44187</c:v>
                </c:pt>
                <c:pt idx="106">
                  <c:v>44188</c:v>
                </c:pt>
                <c:pt idx="107">
                  <c:v>44189</c:v>
                </c:pt>
                <c:pt idx="108">
                  <c:v>44190</c:v>
                </c:pt>
                <c:pt idx="109">
                  <c:v>44193</c:v>
                </c:pt>
                <c:pt idx="110">
                  <c:v>44194</c:v>
                </c:pt>
                <c:pt idx="111">
                  <c:v>44195</c:v>
                </c:pt>
                <c:pt idx="112">
                  <c:v>44196</c:v>
                </c:pt>
                <c:pt idx="113">
                  <c:v>44200</c:v>
                </c:pt>
                <c:pt idx="114">
                  <c:v>44201</c:v>
                </c:pt>
                <c:pt idx="115">
                  <c:v>44202</c:v>
                </c:pt>
                <c:pt idx="116">
                  <c:v>44203</c:v>
                </c:pt>
                <c:pt idx="117">
                  <c:v>44204</c:v>
                </c:pt>
                <c:pt idx="118">
                  <c:v>44207</c:v>
                </c:pt>
                <c:pt idx="119">
                  <c:v>44208</c:v>
                </c:pt>
                <c:pt idx="120">
                  <c:v>44209</c:v>
                </c:pt>
                <c:pt idx="121">
                  <c:v>44210</c:v>
                </c:pt>
                <c:pt idx="122">
                  <c:v>44211</c:v>
                </c:pt>
                <c:pt idx="123">
                  <c:v>44214</c:v>
                </c:pt>
                <c:pt idx="124">
                  <c:v>44215</c:v>
                </c:pt>
                <c:pt idx="125">
                  <c:v>44216</c:v>
                </c:pt>
                <c:pt idx="126">
                  <c:v>44217</c:v>
                </c:pt>
                <c:pt idx="127">
                  <c:v>44218</c:v>
                </c:pt>
                <c:pt idx="128">
                  <c:v>44221</c:v>
                </c:pt>
                <c:pt idx="129">
                  <c:v>44222</c:v>
                </c:pt>
                <c:pt idx="130">
                  <c:v>44223</c:v>
                </c:pt>
                <c:pt idx="131">
                  <c:v>44224</c:v>
                </c:pt>
                <c:pt idx="132">
                  <c:v>44225</c:v>
                </c:pt>
                <c:pt idx="133">
                  <c:v>44228</c:v>
                </c:pt>
                <c:pt idx="134">
                  <c:v>44229</c:v>
                </c:pt>
                <c:pt idx="135">
                  <c:v>44230</c:v>
                </c:pt>
                <c:pt idx="136">
                  <c:v>44231</c:v>
                </c:pt>
                <c:pt idx="137">
                  <c:v>44232</c:v>
                </c:pt>
                <c:pt idx="138">
                  <c:v>44235</c:v>
                </c:pt>
                <c:pt idx="139">
                  <c:v>44236</c:v>
                </c:pt>
                <c:pt idx="140">
                  <c:v>44237</c:v>
                </c:pt>
                <c:pt idx="141">
                  <c:v>44245</c:v>
                </c:pt>
                <c:pt idx="142">
                  <c:v>44246</c:v>
                </c:pt>
                <c:pt idx="143">
                  <c:v>44249</c:v>
                </c:pt>
                <c:pt idx="144">
                  <c:v>44250</c:v>
                </c:pt>
                <c:pt idx="145">
                  <c:v>44251</c:v>
                </c:pt>
                <c:pt idx="146">
                  <c:v>44252</c:v>
                </c:pt>
                <c:pt idx="147">
                  <c:v>44253</c:v>
                </c:pt>
                <c:pt idx="148">
                  <c:v>44256</c:v>
                </c:pt>
                <c:pt idx="149">
                  <c:v>44257</c:v>
                </c:pt>
                <c:pt idx="150">
                  <c:v>44258</c:v>
                </c:pt>
                <c:pt idx="151">
                  <c:v>44259</c:v>
                </c:pt>
                <c:pt idx="152">
                  <c:v>44260</c:v>
                </c:pt>
                <c:pt idx="153">
                  <c:v>44263</c:v>
                </c:pt>
                <c:pt idx="154">
                  <c:v>44264</c:v>
                </c:pt>
                <c:pt idx="155">
                  <c:v>44265</c:v>
                </c:pt>
                <c:pt idx="156">
                  <c:v>44266</c:v>
                </c:pt>
                <c:pt idx="157">
                  <c:v>44267</c:v>
                </c:pt>
                <c:pt idx="158">
                  <c:v>44270</c:v>
                </c:pt>
                <c:pt idx="159">
                  <c:v>44271</c:v>
                </c:pt>
                <c:pt idx="160">
                  <c:v>44272</c:v>
                </c:pt>
                <c:pt idx="161">
                  <c:v>44273</c:v>
                </c:pt>
                <c:pt idx="162">
                  <c:v>44274</c:v>
                </c:pt>
                <c:pt idx="163">
                  <c:v>44277</c:v>
                </c:pt>
                <c:pt idx="164">
                  <c:v>44278</c:v>
                </c:pt>
                <c:pt idx="165">
                  <c:v>44279</c:v>
                </c:pt>
                <c:pt idx="166">
                  <c:v>44280</c:v>
                </c:pt>
                <c:pt idx="167">
                  <c:v>44281</c:v>
                </c:pt>
                <c:pt idx="168">
                  <c:v>44284</c:v>
                </c:pt>
                <c:pt idx="169">
                  <c:v>44285</c:v>
                </c:pt>
                <c:pt idx="170">
                  <c:v>44286</c:v>
                </c:pt>
                <c:pt idx="171">
                  <c:v>44287</c:v>
                </c:pt>
                <c:pt idx="172">
                  <c:v>44288</c:v>
                </c:pt>
                <c:pt idx="173">
                  <c:v>44292</c:v>
                </c:pt>
                <c:pt idx="174">
                  <c:v>44293</c:v>
                </c:pt>
                <c:pt idx="175">
                  <c:v>44294</c:v>
                </c:pt>
                <c:pt idx="176">
                  <c:v>44295</c:v>
                </c:pt>
                <c:pt idx="177">
                  <c:v>44298</c:v>
                </c:pt>
                <c:pt idx="178">
                  <c:v>44299</c:v>
                </c:pt>
                <c:pt idx="179">
                  <c:v>44300</c:v>
                </c:pt>
                <c:pt idx="180">
                  <c:v>44301</c:v>
                </c:pt>
                <c:pt idx="181">
                  <c:v>44302</c:v>
                </c:pt>
                <c:pt idx="182">
                  <c:v>44305</c:v>
                </c:pt>
                <c:pt idx="183">
                  <c:v>44306</c:v>
                </c:pt>
                <c:pt idx="184">
                  <c:v>44307</c:v>
                </c:pt>
                <c:pt idx="185">
                  <c:v>44308</c:v>
                </c:pt>
                <c:pt idx="186">
                  <c:v>44309</c:v>
                </c:pt>
                <c:pt idx="187">
                  <c:v>44312</c:v>
                </c:pt>
                <c:pt idx="188">
                  <c:v>44313</c:v>
                </c:pt>
                <c:pt idx="189">
                  <c:v>44314</c:v>
                </c:pt>
                <c:pt idx="190">
                  <c:v>44315</c:v>
                </c:pt>
                <c:pt idx="191">
                  <c:v>44316</c:v>
                </c:pt>
                <c:pt idx="192">
                  <c:v>44322</c:v>
                </c:pt>
                <c:pt idx="193">
                  <c:v>44323</c:v>
                </c:pt>
                <c:pt idx="194">
                  <c:v>44326</c:v>
                </c:pt>
                <c:pt idx="195">
                  <c:v>44327</c:v>
                </c:pt>
                <c:pt idx="196">
                  <c:v>44328</c:v>
                </c:pt>
                <c:pt idx="197">
                  <c:v>44329</c:v>
                </c:pt>
                <c:pt idx="198">
                  <c:v>44330</c:v>
                </c:pt>
                <c:pt idx="199">
                  <c:v>44333</c:v>
                </c:pt>
              </c:numCache>
            </c:numRef>
          </c:cat>
          <c:val>
            <c:numRef>
              <c:f>因诺聚配500指增!$B$21:$B$220</c:f>
              <c:numCache>
                <c:formatCode>0.0000_ </c:formatCode>
                <c:ptCount val="200"/>
                <c:pt idx="0">
                  <c:v>1.544</c:v>
                </c:pt>
                <c:pt idx="1">
                  <c:v>1.5529999999999999</c:v>
                </c:pt>
                <c:pt idx="2">
                  <c:v>1.5669999999999999</c:v>
                </c:pt>
                <c:pt idx="3">
                  <c:v>1.579</c:v>
                </c:pt>
                <c:pt idx="4">
                  <c:v>1.5</c:v>
                </c:pt>
                <c:pt idx="5">
                  <c:v>1.512</c:v>
                </c:pt>
                <c:pt idx="6">
                  <c:v>1.526</c:v>
                </c:pt>
                <c:pt idx="7">
                  <c:v>1.5740000000000001</c:v>
                </c:pt>
                <c:pt idx="8">
                  <c:v>1.5649999999999999</c:v>
                </c:pt>
                <c:pt idx="9">
                  <c:v>1.5860000000000001</c:v>
                </c:pt>
                <c:pt idx="10">
                  <c:v>1.629</c:v>
                </c:pt>
                <c:pt idx="11">
                  <c:v>1.6140000000000001</c:v>
                </c:pt>
                <c:pt idx="12">
                  <c:v>1.635</c:v>
                </c:pt>
                <c:pt idx="13">
                  <c:v>1.63</c:v>
                </c:pt>
                <c:pt idx="14">
                  <c:v>1.6120000000000001</c:v>
                </c:pt>
                <c:pt idx="15">
                  <c:v>1.609</c:v>
                </c:pt>
                <c:pt idx="16">
                  <c:v>1.5820000000000001</c:v>
                </c:pt>
                <c:pt idx="17">
                  <c:v>1.5549999999999999</c:v>
                </c:pt>
                <c:pt idx="18">
                  <c:v>1.554</c:v>
                </c:pt>
                <c:pt idx="19">
                  <c:v>1.5740000000000001</c:v>
                </c:pt>
                <c:pt idx="20">
                  <c:v>1.6080000000000001</c:v>
                </c:pt>
                <c:pt idx="21">
                  <c:v>1.619</c:v>
                </c:pt>
                <c:pt idx="22">
                  <c:v>1.5840000000000001</c:v>
                </c:pt>
                <c:pt idx="23">
                  <c:v>1.5649999999999999</c:v>
                </c:pt>
                <c:pt idx="24">
                  <c:v>1.579</c:v>
                </c:pt>
                <c:pt idx="25">
                  <c:v>1.5960000000000001</c:v>
                </c:pt>
                <c:pt idx="26">
                  <c:v>1.5880000000000001</c:v>
                </c:pt>
                <c:pt idx="27">
                  <c:v>1.544</c:v>
                </c:pt>
                <c:pt idx="28">
                  <c:v>1.5720000000000001</c:v>
                </c:pt>
                <c:pt idx="29">
                  <c:v>1.5960000000000001</c:v>
                </c:pt>
                <c:pt idx="30">
                  <c:v>1.59</c:v>
                </c:pt>
                <c:pt idx="31">
                  <c:v>1.595</c:v>
                </c:pt>
                <c:pt idx="32">
                  <c:v>1.593</c:v>
                </c:pt>
                <c:pt idx="33">
                  <c:v>1.577</c:v>
                </c:pt>
                <c:pt idx="34">
                  <c:v>1.5720000000000001</c:v>
                </c:pt>
                <c:pt idx="35">
                  <c:v>1.524</c:v>
                </c:pt>
                <c:pt idx="36">
                  <c:v>1.522</c:v>
                </c:pt>
                <c:pt idx="37">
                  <c:v>1.456</c:v>
                </c:pt>
                <c:pt idx="38">
                  <c:v>1.446</c:v>
                </c:pt>
                <c:pt idx="39">
                  <c:v>1.4790000000000001</c:v>
                </c:pt>
                <c:pt idx="40">
                  <c:v>1.4970000000000001</c:v>
                </c:pt>
                <c:pt idx="41">
                  <c:v>1.5149999999999999</c:v>
                </c:pt>
                <c:pt idx="42">
                  <c:v>1.4950000000000001</c:v>
                </c:pt>
                <c:pt idx="43">
                  <c:v>1.5029999999999999</c:v>
                </c:pt>
                <c:pt idx="44">
                  <c:v>1.5249999999999999</c:v>
                </c:pt>
                <c:pt idx="45">
                  <c:v>1.524</c:v>
                </c:pt>
                <c:pt idx="46">
                  <c:v>1.506</c:v>
                </c:pt>
                <c:pt idx="47">
                  <c:v>1.528</c:v>
                </c:pt>
                <c:pt idx="48">
                  <c:v>1.49</c:v>
                </c:pt>
                <c:pt idx="49">
                  <c:v>1.4850000000000001</c:v>
                </c:pt>
                <c:pt idx="50">
                  <c:v>1.47</c:v>
                </c:pt>
                <c:pt idx="51">
                  <c:v>1.488</c:v>
                </c:pt>
                <c:pt idx="52">
                  <c:v>1.486</c:v>
                </c:pt>
                <c:pt idx="53">
                  <c:v>1.5349999999999999</c:v>
                </c:pt>
                <c:pt idx="54">
                  <c:v>1.595</c:v>
                </c:pt>
                <c:pt idx="55">
                  <c:v>1.6080000000000001</c:v>
                </c:pt>
                <c:pt idx="56">
                  <c:v>1.6020000000000001</c:v>
                </c:pt>
                <c:pt idx="57">
                  <c:v>1.5840000000000001</c:v>
                </c:pt>
                <c:pt idx="58">
                  <c:v>1.5840000000000001</c:v>
                </c:pt>
                <c:pt idx="59">
                  <c:v>1.569</c:v>
                </c:pt>
                <c:pt idx="60">
                  <c:v>1.5940000000000001</c:v>
                </c:pt>
                <c:pt idx="61">
                  <c:v>1.573</c:v>
                </c:pt>
                <c:pt idx="62">
                  <c:v>1.5649999999999999</c:v>
                </c:pt>
                <c:pt idx="63">
                  <c:v>1.53</c:v>
                </c:pt>
                <c:pt idx="64">
                  <c:v>1.548</c:v>
                </c:pt>
                <c:pt idx="65">
                  <c:v>1.5660000000000001</c:v>
                </c:pt>
                <c:pt idx="66">
                  <c:v>1.577</c:v>
                </c:pt>
                <c:pt idx="67">
                  <c:v>1.5840000000000001</c:v>
                </c:pt>
                <c:pt idx="68">
                  <c:v>1.5429999999999999</c:v>
                </c:pt>
                <c:pt idx="69">
                  <c:v>1.5589999999999999</c:v>
                </c:pt>
                <c:pt idx="70">
                  <c:v>1.5880000000000001</c:v>
                </c:pt>
                <c:pt idx="71">
                  <c:v>1.5880000000000001</c:v>
                </c:pt>
                <c:pt idx="72">
                  <c:v>1.6220000000000001</c:v>
                </c:pt>
                <c:pt idx="73">
                  <c:v>1.6020000000000001</c:v>
                </c:pt>
                <c:pt idx="74">
                  <c:v>1.639</c:v>
                </c:pt>
                <c:pt idx="75">
                  <c:v>1.623</c:v>
                </c:pt>
                <c:pt idx="76">
                  <c:v>1.5820000000000001</c:v>
                </c:pt>
                <c:pt idx="77">
                  <c:v>1.5880000000000001</c:v>
                </c:pt>
                <c:pt idx="78">
                  <c:v>1.5920000000000001</c:v>
                </c:pt>
                <c:pt idx="79">
                  <c:v>1.601</c:v>
                </c:pt>
                <c:pt idx="80">
                  <c:v>1.5840000000000001</c:v>
                </c:pt>
                <c:pt idx="81">
                  <c:v>1.583</c:v>
                </c:pt>
                <c:pt idx="82">
                  <c:v>1.6</c:v>
                </c:pt>
                <c:pt idx="83">
                  <c:v>1.619</c:v>
                </c:pt>
                <c:pt idx="84">
                  <c:v>1.635</c:v>
                </c:pt>
                <c:pt idx="85">
                  <c:v>1.6359999999999999</c:v>
                </c:pt>
                <c:pt idx="86">
                  <c:v>1.6</c:v>
                </c:pt>
                <c:pt idx="87">
                  <c:v>1.589</c:v>
                </c:pt>
                <c:pt idx="88">
                  <c:v>1.5940000000000001</c:v>
                </c:pt>
                <c:pt idx="89">
                  <c:v>1.59</c:v>
                </c:pt>
                <c:pt idx="90">
                  <c:v>1.619</c:v>
                </c:pt>
                <c:pt idx="91">
                  <c:v>1.62</c:v>
                </c:pt>
                <c:pt idx="92">
                  <c:v>1.6160000000000001</c:v>
                </c:pt>
                <c:pt idx="93">
                  <c:v>1.627</c:v>
                </c:pt>
                <c:pt idx="94">
                  <c:v>1.6220000000000001</c:v>
                </c:pt>
                <c:pt idx="95">
                  <c:v>1.6259999999999999</c:v>
                </c:pt>
                <c:pt idx="96">
                  <c:v>1.595</c:v>
                </c:pt>
                <c:pt idx="97">
                  <c:v>1.6040000000000001</c:v>
                </c:pt>
                <c:pt idx="98">
                  <c:v>1.5820000000000001</c:v>
                </c:pt>
                <c:pt idx="99">
                  <c:v>1.609</c:v>
                </c:pt>
                <c:pt idx="100">
                  <c:v>1.6180000000000001</c:v>
                </c:pt>
                <c:pt idx="101">
                  <c:v>1.6060000000000001</c:v>
                </c:pt>
                <c:pt idx="102">
                  <c:v>1.6279999999999999</c:v>
                </c:pt>
                <c:pt idx="103">
                  <c:v>1.62</c:v>
                </c:pt>
                <c:pt idx="104">
                  <c:v>1.6539999999999999</c:v>
                </c:pt>
                <c:pt idx="105">
                  <c:v>1.619</c:v>
                </c:pt>
                <c:pt idx="106">
                  <c:v>1.6419999999999999</c:v>
                </c:pt>
                <c:pt idx="107">
                  <c:v>1.6240000000000001</c:v>
                </c:pt>
                <c:pt idx="108">
                  <c:v>1.645</c:v>
                </c:pt>
                <c:pt idx="109">
                  <c:v>1.64</c:v>
                </c:pt>
                <c:pt idx="110">
                  <c:v>1.6359999999999999</c:v>
                </c:pt>
                <c:pt idx="111">
                  <c:v>1.6559999999999999</c:v>
                </c:pt>
                <c:pt idx="112">
                  <c:v>1.6839999999999999</c:v>
                </c:pt>
                <c:pt idx="113">
                  <c:v>1.73</c:v>
                </c:pt>
                <c:pt idx="114">
                  <c:v>1.732</c:v>
                </c:pt>
                <c:pt idx="115">
                  <c:v>1.7110000000000001</c:v>
                </c:pt>
                <c:pt idx="116">
                  <c:v>1.696</c:v>
                </c:pt>
                <c:pt idx="117">
                  <c:v>1.696</c:v>
                </c:pt>
                <c:pt idx="118">
                  <c:v>1.675</c:v>
                </c:pt>
                <c:pt idx="119">
                  <c:v>1.7050000000000001</c:v>
                </c:pt>
                <c:pt idx="120">
                  <c:v>1.6839999999999999</c:v>
                </c:pt>
                <c:pt idx="121">
                  <c:v>1.6639999999999999</c:v>
                </c:pt>
                <c:pt idx="122">
                  <c:v>1.681</c:v>
                </c:pt>
                <c:pt idx="123">
                  <c:v>1.716</c:v>
                </c:pt>
                <c:pt idx="124">
                  <c:v>1.698</c:v>
                </c:pt>
                <c:pt idx="125">
                  <c:v>1.724</c:v>
                </c:pt>
                <c:pt idx="126">
                  <c:v>1.7529999999999999</c:v>
                </c:pt>
                <c:pt idx="127">
                  <c:v>1.766</c:v>
                </c:pt>
                <c:pt idx="128">
                  <c:v>1.77</c:v>
                </c:pt>
                <c:pt idx="129">
                  <c:v>1.748</c:v>
                </c:pt>
                <c:pt idx="130">
                  <c:v>1.7589999999999999</c:v>
                </c:pt>
                <c:pt idx="131">
                  <c:v>1.706</c:v>
                </c:pt>
                <c:pt idx="132">
                  <c:v>1.6870000000000001</c:v>
                </c:pt>
                <c:pt idx="133">
                  <c:v>1.71</c:v>
                </c:pt>
                <c:pt idx="134">
                  <c:v>1.7450000000000001</c:v>
                </c:pt>
                <c:pt idx="135">
                  <c:v>1.724</c:v>
                </c:pt>
                <c:pt idx="136">
                  <c:v>1.698</c:v>
                </c:pt>
                <c:pt idx="137">
                  <c:v>1.6659999999999999</c:v>
                </c:pt>
                <c:pt idx="138">
                  <c:v>1.6890000000000001</c:v>
                </c:pt>
                <c:pt idx="139">
                  <c:v>1.744</c:v>
                </c:pt>
                <c:pt idx="140">
                  <c:v>1.7609999999999999</c:v>
                </c:pt>
                <c:pt idx="141">
                  <c:v>1.774</c:v>
                </c:pt>
                <c:pt idx="142">
                  <c:v>1.7909999999999999</c:v>
                </c:pt>
                <c:pt idx="143">
                  <c:v>1.774</c:v>
                </c:pt>
                <c:pt idx="144">
                  <c:v>1.766</c:v>
                </c:pt>
                <c:pt idx="145">
                  <c:v>1.73</c:v>
                </c:pt>
                <c:pt idx="146">
                  <c:v>1.7250000000000001</c:v>
                </c:pt>
                <c:pt idx="147">
                  <c:v>1.6830000000000001</c:v>
                </c:pt>
                <c:pt idx="148">
                  <c:v>1.7270000000000001</c:v>
                </c:pt>
                <c:pt idx="149">
                  <c:v>1.7130000000000001</c:v>
                </c:pt>
                <c:pt idx="150">
                  <c:v>1.742</c:v>
                </c:pt>
                <c:pt idx="151">
                  <c:v>1.675</c:v>
                </c:pt>
                <c:pt idx="152">
                  <c:v>1.6739999999999999</c:v>
                </c:pt>
                <c:pt idx="153">
                  <c:v>1.603</c:v>
                </c:pt>
                <c:pt idx="154">
                  <c:v>1.5580000000000001</c:v>
                </c:pt>
                <c:pt idx="155">
                  <c:v>1.583</c:v>
                </c:pt>
                <c:pt idx="156">
                  <c:v>1.6339999999999999</c:v>
                </c:pt>
                <c:pt idx="157">
                  <c:v>1.639</c:v>
                </c:pt>
                <c:pt idx="158">
                  <c:v>1.6</c:v>
                </c:pt>
                <c:pt idx="159">
                  <c:v>1.6120000000000001</c:v>
                </c:pt>
                <c:pt idx="160">
                  <c:v>1.6379999999999999</c:v>
                </c:pt>
                <c:pt idx="161">
                  <c:v>1.657</c:v>
                </c:pt>
                <c:pt idx="162">
                  <c:v>1.625</c:v>
                </c:pt>
                <c:pt idx="163">
                  <c:v>1.643</c:v>
                </c:pt>
                <c:pt idx="164">
                  <c:v>1.613</c:v>
                </c:pt>
                <c:pt idx="165">
                  <c:v>1.5780000000000001</c:v>
                </c:pt>
                <c:pt idx="166">
                  <c:v>1.593</c:v>
                </c:pt>
                <c:pt idx="167">
                  <c:v>1.64</c:v>
                </c:pt>
                <c:pt idx="168">
                  <c:v>1.6439999999999999</c:v>
                </c:pt>
                <c:pt idx="169">
                  <c:v>1.661</c:v>
                </c:pt>
                <c:pt idx="170">
                  <c:v>1.649</c:v>
                </c:pt>
                <c:pt idx="171">
                  <c:v>1.669</c:v>
                </c:pt>
                <c:pt idx="172">
                  <c:v>1.6850000000000001</c:v>
                </c:pt>
                <c:pt idx="173">
                  <c:v>1.6930000000000001</c:v>
                </c:pt>
                <c:pt idx="174">
                  <c:v>1.6970000000000001</c:v>
                </c:pt>
                <c:pt idx="175">
                  <c:v>1.702</c:v>
                </c:pt>
                <c:pt idx="176">
                  <c:v>1.696</c:v>
                </c:pt>
                <c:pt idx="177">
                  <c:v>1.66</c:v>
                </c:pt>
                <c:pt idx="178">
                  <c:v>1.6559999999999999</c:v>
                </c:pt>
                <c:pt idx="179">
                  <c:v>1.681</c:v>
                </c:pt>
                <c:pt idx="180">
                  <c:v>1.6759999999999999</c:v>
                </c:pt>
                <c:pt idx="181">
                  <c:v>1.6850000000000001</c:v>
                </c:pt>
                <c:pt idx="182">
                  <c:v>1.72</c:v>
                </c:pt>
                <c:pt idx="183">
                  <c:v>1.722</c:v>
                </c:pt>
                <c:pt idx="184">
                  <c:v>1.7250000000000001</c:v>
                </c:pt>
                <c:pt idx="185">
                  <c:v>1.74</c:v>
                </c:pt>
                <c:pt idx="186">
                  <c:v>1.742</c:v>
                </c:pt>
                <c:pt idx="187">
                  <c:v>1.7350000000000001</c:v>
                </c:pt>
                <c:pt idx="188">
                  <c:v>1.7350000000000001</c:v>
                </c:pt>
                <c:pt idx="189">
                  <c:v>1.7509999999999999</c:v>
                </c:pt>
                <c:pt idx="190">
                  <c:v>1.7470000000000001</c:v>
                </c:pt>
                <c:pt idx="191">
                  <c:v>1.742</c:v>
                </c:pt>
                <c:pt idx="192">
                  <c:v>1.7370000000000001</c:v>
                </c:pt>
                <c:pt idx="193">
                  <c:v>1.702</c:v>
                </c:pt>
                <c:pt idx="194">
                  <c:v>1.71</c:v>
                </c:pt>
                <c:pt idx="195">
                  <c:v>1.708</c:v>
                </c:pt>
                <c:pt idx="196">
                  <c:v>1.732</c:v>
                </c:pt>
                <c:pt idx="197">
                  <c:v>1.7170000000000001</c:v>
                </c:pt>
                <c:pt idx="198">
                  <c:v>1.742</c:v>
                </c:pt>
                <c:pt idx="199">
                  <c:v>1.7549999999999999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9E-4317-8A87-B38AA6946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099824"/>
        <c:axId val="545100384"/>
      </c:lineChart>
      <c:catAx>
        <c:axId val="54509982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crossAx val="545100384"/>
        <c:crosses val="autoZero"/>
        <c:auto val="0"/>
        <c:lblAlgn val="ctr"/>
        <c:lblOffset val="100"/>
        <c:noMultiLvlLbl val="1"/>
      </c:catAx>
      <c:valAx>
        <c:axId val="545100384"/>
        <c:scaling>
          <c:orientation val="minMax"/>
          <c:min val="1.4"/>
        </c:scaling>
        <c:delete val="0"/>
        <c:axPos val="l"/>
        <c:majorGridlines/>
        <c:numFmt formatCode="0.0000_ " sourceLinked="1"/>
        <c:majorTickMark val="none"/>
        <c:minorTickMark val="none"/>
        <c:tickLblPos val="nextTo"/>
        <c:spPr>
          <a:ln w="9525">
            <a:noFill/>
          </a:ln>
        </c:spPr>
        <c:crossAx val="54509982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4" l="0.70000000000000062" r="0.70000000000000062" t="0.750000000000004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 sz="1600"/>
              <a:t>衍复聚砾一号</a:t>
            </a:r>
            <a:endParaRPr lang="en-US" altLang="zh-CN" sz="16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衍复聚砾一号!$B$20</c:f>
              <c:strCache>
                <c:ptCount val="1"/>
                <c:pt idx="0">
                  <c:v>累计净值</c:v>
                </c:pt>
              </c:strCache>
            </c:strRef>
          </c:tx>
          <c:marker>
            <c:symbol val="none"/>
          </c:marker>
          <c:cat>
            <c:numRef>
              <c:f>衍复聚砾一号!$A$21:$A$190</c:f>
              <c:numCache>
                <c:formatCode>m/d/yyyy</c:formatCode>
                <c:ptCount val="170"/>
                <c:pt idx="0">
                  <c:v>44074</c:v>
                </c:pt>
                <c:pt idx="1">
                  <c:v>44075</c:v>
                </c:pt>
                <c:pt idx="2">
                  <c:v>44076</c:v>
                </c:pt>
                <c:pt idx="3">
                  <c:v>44077</c:v>
                </c:pt>
                <c:pt idx="4">
                  <c:v>44078</c:v>
                </c:pt>
                <c:pt idx="5">
                  <c:v>44081</c:v>
                </c:pt>
                <c:pt idx="6">
                  <c:v>44082</c:v>
                </c:pt>
                <c:pt idx="7">
                  <c:v>44083</c:v>
                </c:pt>
                <c:pt idx="8">
                  <c:v>44084</c:v>
                </c:pt>
                <c:pt idx="9">
                  <c:v>44085</c:v>
                </c:pt>
                <c:pt idx="10">
                  <c:v>44088</c:v>
                </c:pt>
                <c:pt idx="11">
                  <c:v>44089</c:v>
                </c:pt>
                <c:pt idx="12">
                  <c:v>44090</c:v>
                </c:pt>
                <c:pt idx="13">
                  <c:v>44091</c:v>
                </c:pt>
                <c:pt idx="14">
                  <c:v>44092</c:v>
                </c:pt>
                <c:pt idx="15">
                  <c:v>44095</c:v>
                </c:pt>
                <c:pt idx="16">
                  <c:v>44096</c:v>
                </c:pt>
                <c:pt idx="17">
                  <c:v>44097</c:v>
                </c:pt>
                <c:pt idx="18">
                  <c:v>44098</c:v>
                </c:pt>
                <c:pt idx="19">
                  <c:v>44099</c:v>
                </c:pt>
                <c:pt idx="20">
                  <c:v>44102</c:v>
                </c:pt>
                <c:pt idx="21">
                  <c:v>44103</c:v>
                </c:pt>
                <c:pt idx="22">
                  <c:v>44104</c:v>
                </c:pt>
                <c:pt idx="23">
                  <c:v>44113</c:v>
                </c:pt>
                <c:pt idx="24">
                  <c:v>44116</c:v>
                </c:pt>
                <c:pt idx="25">
                  <c:v>44117</c:v>
                </c:pt>
                <c:pt idx="26">
                  <c:v>44118</c:v>
                </c:pt>
                <c:pt idx="27">
                  <c:v>44119</c:v>
                </c:pt>
                <c:pt idx="28">
                  <c:v>44120</c:v>
                </c:pt>
                <c:pt idx="29">
                  <c:v>44123</c:v>
                </c:pt>
                <c:pt idx="30">
                  <c:v>44124</c:v>
                </c:pt>
                <c:pt idx="31">
                  <c:v>44125</c:v>
                </c:pt>
                <c:pt idx="32">
                  <c:v>44126</c:v>
                </c:pt>
                <c:pt idx="33">
                  <c:v>44127</c:v>
                </c:pt>
                <c:pt idx="34">
                  <c:v>44130</c:v>
                </c:pt>
                <c:pt idx="35">
                  <c:v>44131</c:v>
                </c:pt>
                <c:pt idx="36">
                  <c:v>44132</c:v>
                </c:pt>
                <c:pt idx="37">
                  <c:v>44133</c:v>
                </c:pt>
                <c:pt idx="38">
                  <c:v>44134</c:v>
                </c:pt>
                <c:pt idx="39">
                  <c:v>44137</c:v>
                </c:pt>
                <c:pt idx="40">
                  <c:v>44138</c:v>
                </c:pt>
                <c:pt idx="41">
                  <c:v>44139</c:v>
                </c:pt>
                <c:pt idx="42">
                  <c:v>44140</c:v>
                </c:pt>
                <c:pt idx="43">
                  <c:v>44141</c:v>
                </c:pt>
                <c:pt idx="44">
                  <c:v>44144</c:v>
                </c:pt>
                <c:pt idx="45">
                  <c:v>44145</c:v>
                </c:pt>
                <c:pt idx="46">
                  <c:v>44146</c:v>
                </c:pt>
                <c:pt idx="47">
                  <c:v>44147</c:v>
                </c:pt>
                <c:pt idx="48">
                  <c:v>44148</c:v>
                </c:pt>
                <c:pt idx="49">
                  <c:v>44151</c:v>
                </c:pt>
                <c:pt idx="50">
                  <c:v>44152</c:v>
                </c:pt>
                <c:pt idx="51">
                  <c:v>44153</c:v>
                </c:pt>
                <c:pt idx="52">
                  <c:v>44154</c:v>
                </c:pt>
                <c:pt idx="53">
                  <c:v>44155</c:v>
                </c:pt>
                <c:pt idx="54">
                  <c:v>44158</c:v>
                </c:pt>
                <c:pt idx="55">
                  <c:v>44159</c:v>
                </c:pt>
                <c:pt idx="56">
                  <c:v>44160</c:v>
                </c:pt>
                <c:pt idx="57">
                  <c:v>44161</c:v>
                </c:pt>
                <c:pt idx="58">
                  <c:v>44162</c:v>
                </c:pt>
                <c:pt idx="59">
                  <c:v>44165</c:v>
                </c:pt>
                <c:pt idx="60">
                  <c:v>44166</c:v>
                </c:pt>
                <c:pt idx="61">
                  <c:v>44167</c:v>
                </c:pt>
                <c:pt idx="62">
                  <c:v>44168</c:v>
                </c:pt>
                <c:pt idx="63">
                  <c:v>44169</c:v>
                </c:pt>
                <c:pt idx="64">
                  <c:v>44172</c:v>
                </c:pt>
                <c:pt idx="65">
                  <c:v>44173</c:v>
                </c:pt>
                <c:pt idx="66">
                  <c:v>44174</c:v>
                </c:pt>
                <c:pt idx="67">
                  <c:v>44175</c:v>
                </c:pt>
                <c:pt idx="68">
                  <c:v>44176</c:v>
                </c:pt>
                <c:pt idx="69">
                  <c:v>44179</c:v>
                </c:pt>
                <c:pt idx="70">
                  <c:v>44180</c:v>
                </c:pt>
                <c:pt idx="71">
                  <c:v>44181</c:v>
                </c:pt>
                <c:pt idx="72">
                  <c:v>44182</c:v>
                </c:pt>
                <c:pt idx="73">
                  <c:v>44183</c:v>
                </c:pt>
                <c:pt idx="74">
                  <c:v>44186</c:v>
                </c:pt>
                <c:pt idx="75">
                  <c:v>44187</c:v>
                </c:pt>
                <c:pt idx="76">
                  <c:v>44188</c:v>
                </c:pt>
                <c:pt idx="77">
                  <c:v>44189</c:v>
                </c:pt>
                <c:pt idx="78">
                  <c:v>44190</c:v>
                </c:pt>
                <c:pt idx="79">
                  <c:v>44193</c:v>
                </c:pt>
                <c:pt idx="80">
                  <c:v>44194</c:v>
                </c:pt>
                <c:pt idx="81">
                  <c:v>44195</c:v>
                </c:pt>
                <c:pt idx="82">
                  <c:v>44196</c:v>
                </c:pt>
                <c:pt idx="83">
                  <c:v>44200</c:v>
                </c:pt>
                <c:pt idx="84">
                  <c:v>44201</c:v>
                </c:pt>
                <c:pt idx="85">
                  <c:v>44202</c:v>
                </c:pt>
                <c:pt idx="86">
                  <c:v>44203</c:v>
                </c:pt>
                <c:pt idx="87">
                  <c:v>44204</c:v>
                </c:pt>
                <c:pt idx="88">
                  <c:v>44207</c:v>
                </c:pt>
                <c:pt idx="89">
                  <c:v>44208</c:v>
                </c:pt>
                <c:pt idx="90">
                  <c:v>44209</c:v>
                </c:pt>
                <c:pt idx="91">
                  <c:v>44210</c:v>
                </c:pt>
                <c:pt idx="92">
                  <c:v>44211</c:v>
                </c:pt>
                <c:pt idx="93">
                  <c:v>44214</c:v>
                </c:pt>
                <c:pt idx="94">
                  <c:v>44215</c:v>
                </c:pt>
                <c:pt idx="95">
                  <c:v>44216</c:v>
                </c:pt>
                <c:pt idx="96">
                  <c:v>44217</c:v>
                </c:pt>
                <c:pt idx="97">
                  <c:v>44218</c:v>
                </c:pt>
                <c:pt idx="98">
                  <c:v>44221</c:v>
                </c:pt>
                <c:pt idx="99">
                  <c:v>44222</c:v>
                </c:pt>
                <c:pt idx="100">
                  <c:v>44223</c:v>
                </c:pt>
                <c:pt idx="101">
                  <c:v>44224</c:v>
                </c:pt>
                <c:pt idx="102">
                  <c:v>44225</c:v>
                </c:pt>
                <c:pt idx="103">
                  <c:v>44228</c:v>
                </c:pt>
                <c:pt idx="104">
                  <c:v>44229</c:v>
                </c:pt>
                <c:pt idx="105">
                  <c:v>44230</c:v>
                </c:pt>
                <c:pt idx="106">
                  <c:v>44231</c:v>
                </c:pt>
                <c:pt idx="107">
                  <c:v>44232</c:v>
                </c:pt>
                <c:pt idx="108">
                  <c:v>44235</c:v>
                </c:pt>
                <c:pt idx="109">
                  <c:v>44236</c:v>
                </c:pt>
                <c:pt idx="110">
                  <c:v>44237</c:v>
                </c:pt>
                <c:pt idx="111">
                  <c:v>44245</c:v>
                </c:pt>
                <c:pt idx="112">
                  <c:v>44246</c:v>
                </c:pt>
                <c:pt idx="113">
                  <c:v>44249</c:v>
                </c:pt>
                <c:pt idx="114">
                  <c:v>44250</c:v>
                </c:pt>
                <c:pt idx="115">
                  <c:v>44251</c:v>
                </c:pt>
                <c:pt idx="116">
                  <c:v>44252</c:v>
                </c:pt>
                <c:pt idx="117">
                  <c:v>44253</c:v>
                </c:pt>
                <c:pt idx="118">
                  <c:v>44256</c:v>
                </c:pt>
                <c:pt idx="119">
                  <c:v>44257</c:v>
                </c:pt>
                <c:pt idx="120">
                  <c:v>44258</c:v>
                </c:pt>
                <c:pt idx="121">
                  <c:v>44259</c:v>
                </c:pt>
                <c:pt idx="122">
                  <c:v>44260</c:v>
                </c:pt>
                <c:pt idx="123">
                  <c:v>44263</c:v>
                </c:pt>
                <c:pt idx="124">
                  <c:v>44264</c:v>
                </c:pt>
                <c:pt idx="125">
                  <c:v>44265</c:v>
                </c:pt>
                <c:pt idx="126">
                  <c:v>44266</c:v>
                </c:pt>
                <c:pt idx="127">
                  <c:v>44267</c:v>
                </c:pt>
                <c:pt idx="128">
                  <c:v>44270</c:v>
                </c:pt>
                <c:pt idx="129">
                  <c:v>44271</c:v>
                </c:pt>
                <c:pt idx="130">
                  <c:v>44272</c:v>
                </c:pt>
                <c:pt idx="131">
                  <c:v>44273</c:v>
                </c:pt>
                <c:pt idx="132">
                  <c:v>44274</c:v>
                </c:pt>
                <c:pt idx="133">
                  <c:v>44277</c:v>
                </c:pt>
                <c:pt idx="134">
                  <c:v>44278</c:v>
                </c:pt>
                <c:pt idx="135">
                  <c:v>44279</c:v>
                </c:pt>
                <c:pt idx="136">
                  <c:v>44280</c:v>
                </c:pt>
                <c:pt idx="137">
                  <c:v>44281</c:v>
                </c:pt>
                <c:pt idx="138">
                  <c:v>44284</c:v>
                </c:pt>
                <c:pt idx="139">
                  <c:v>44285</c:v>
                </c:pt>
                <c:pt idx="140">
                  <c:v>44286</c:v>
                </c:pt>
                <c:pt idx="141">
                  <c:v>44287</c:v>
                </c:pt>
                <c:pt idx="142">
                  <c:v>44288</c:v>
                </c:pt>
                <c:pt idx="143">
                  <c:v>44292</c:v>
                </c:pt>
                <c:pt idx="144">
                  <c:v>44293</c:v>
                </c:pt>
                <c:pt idx="145">
                  <c:v>44294</c:v>
                </c:pt>
                <c:pt idx="146">
                  <c:v>44295</c:v>
                </c:pt>
                <c:pt idx="147">
                  <c:v>44298</c:v>
                </c:pt>
                <c:pt idx="148">
                  <c:v>44299</c:v>
                </c:pt>
                <c:pt idx="149">
                  <c:v>44300</c:v>
                </c:pt>
                <c:pt idx="150">
                  <c:v>44301</c:v>
                </c:pt>
                <c:pt idx="151">
                  <c:v>44302</c:v>
                </c:pt>
                <c:pt idx="152">
                  <c:v>44305</c:v>
                </c:pt>
                <c:pt idx="153">
                  <c:v>44306</c:v>
                </c:pt>
                <c:pt idx="154">
                  <c:v>44307</c:v>
                </c:pt>
                <c:pt idx="155">
                  <c:v>44308</c:v>
                </c:pt>
                <c:pt idx="156">
                  <c:v>44309</c:v>
                </c:pt>
                <c:pt idx="157">
                  <c:v>44312</c:v>
                </c:pt>
                <c:pt idx="158">
                  <c:v>44313</c:v>
                </c:pt>
                <c:pt idx="159">
                  <c:v>44314</c:v>
                </c:pt>
                <c:pt idx="160">
                  <c:v>44315</c:v>
                </c:pt>
                <c:pt idx="161">
                  <c:v>44316</c:v>
                </c:pt>
                <c:pt idx="162">
                  <c:v>44322</c:v>
                </c:pt>
                <c:pt idx="163">
                  <c:v>44323</c:v>
                </c:pt>
                <c:pt idx="164">
                  <c:v>44326</c:v>
                </c:pt>
                <c:pt idx="165">
                  <c:v>44327</c:v>
                </c:pt>
                <c:pt idx="166">
                  <c:v>44328</c:v>
                </c:pt>
                <c:pt idx="167">
                  <c:v>44329</c:v>
                </c:pt>
                <c:pt idx="168">
                  <c:v>44333</c:v>
                </c:pt>
                <c:pt idx="169">
                  <c:v>44331</c:v>
                </c:pt>
              </c:numCache>
            </c:numRef>
          </c:cat>
          <c:val>
            <c:numRef>
              <c:f>衍复聚砾一号!$B$21:$B$190</c:f>
              <c:numCache>
                <c:formatCode>0.0000_ </c:formatCode>
                <c:ptCount val="170"/>
                <c:pt idx="0">
                  <c:v>0.99980000000000002</c:v>
                </c:pt>
                <c:pt idx="1">
                  <c:v>0.99980000000000002</c:v>
                </c:pt>
                <c:pt idx="2">
                  <c:v>0.99819999999999998</c:v>
                </c:pt>
                <c:pt idx="3">
                  <c:v>0.99129999999999996</c:v>
                </c:pt>
                <c:pt idx="4">
                  <c:v>0.98460000000000003</c:v>
                </c:pt>
                <c:pt idx="5">
                  <c:v>0.96789999999999998</c:v>
                </c:pt>
                <c:pt idx="6">
                  <c:v>0.97160000000000002</c:v>
                </c:pt>
                <c:pt idx="7">
                  <c:v>0.94879999999999998</c:v>
                </c:pt>
                <c:pt idx="8">
                  <c:v>0.93520000000000003</c:v>
                </c:pt>
                <c:pt idx="9">
                  <c:v>0.9466</c:v>
                </c:pt>
                <c:pt idx="10">
                  <c:v>0.95430000000000004</c:v>
                </c:pt>
                <c:pt idx="11">
                  <c:v>0.95930000000000004</c:v>
                </c:pt>
                <c:pt idx="12">
                  <c:v>0.95450000000000002</c:v>
                </c:pt>
                <c:pt idx="13">
                  <c:v>0.95760000000000001</c:v>
                </c:pt>
                <c:pt idx="14">
                  <c:v>0.97040000000000004</c:v>
                </c:pt>
                <c:pt idx="15">
                  <c:v>0.96509999999999996</c:v>
                </c:pt>
                <c:pt idx="16">
                  <c:v>0.95499999999999996</c:v>
                </c:pt>
                <c:pt idx="17">
                  <c:v>0.96150000000000002</c:v>
                </c:pt>
                <c:pt idx="18">
                  <c:v>0.94099999999999995</c:v>
                </c:pt>
                <c:pt idx="19">
                  <c:v>0.93940000000000001</c:v>
                </c:pt>
                <c:pt idx="20">
                  <c:v>0.93400000000000005</c:v>
                </c:pt>
                <c:pt idx="21">
                  <c:v>0.94169999999999998</c:v>
                </c:pt>
                <c:pt idx="22">
                  <c:v>0.94030000000000002</c:v>
                </c:pt>
                <c:pt idx="23">
                  <c:v>0.96319999999999995</c:v>
                </c:pt>
                <c:pt idx="24">
                  <c:v>0.98550000000000004</c:v>
                </c:pt>
                <c:pt idx="25">
                  <c:v>0.99</c:v>
                </c:pt>
                <c:pt idx="26">
                  <c:v>0.9869</c:v>
                </c:pt>
                <c:pt idx="27">
                  <c:v>0.98140000000000005</c:v>
                </c:pt>
                <c:pt idx="28">
                  <c:v>0.97909999999999997</c:v>
                </c:pt>
                <c:pt idx="29">
                  <c:v>0.97260000000000002</c:v>
                </c:pt>
                <c:pt idx="30">
                  <c:v>0.98199999999999998</c:v>
                </c:pt>
                <c:pt idx="31">
                  <c:v>0.9728</c:v>
                </c:pt>
                <c:pt idx="32">
                  <c:v>0.96870000000000001</c:v>
                </c:pt>
                <c:pt idx="33">
                  <c:v>0.95450000000000002</c:v>
                </c:pt>
                <c:pt idx="34">
                  <c:v>0.95850000000000002</c:v>
                </c:pt>
                <c:pt idx="35">
                  <c:v>0.96160000000000001</c:v>
                </c:pt>
                <c:pt idx="36">
                  <c:v>0.96809999999999996</c:v>
                </c:pt>
                <c:pt idx="37">
                  <c:v>0.97130000000000005</c:v>
                </c:pt>
                <c:pt idx="38">
                  <c:v>0.95220000000000005</c:v>
                </c:pt>
                <c:pt idx="39">
                  <c:v>0.96120000000000005</c:v>
                </c:pt>
                <c:pt idx="40">
                  <c:v>0.97409999999999997</c:v>
                </c:pt>
                <c:pt idx="41">
                  <c:v>0.97660000000000002</c:v>
                </c:pt>
                <c:pt idx="42">
                  <c:v>0.99209999999999998</c:v>
                </c:pt>
                <c:pt idx="43">
                  <c:v>0.98829999999999996</c:v>
                </c:pt>
                <c:pt idx="44">
                  <c:v>1.0096000000000001</c:v>
                </c:pt>
                <c:pt idx="45">
                  <c:v>1.0015000000000001</c:v>
                </c:pt>
                <c:pt idx="46">
                  <c:v>0.98950000000000005</c:v>
                </c:pt>
                <c:pt idx="47">
                  <c:v>0.99450000000000005</c:v>
                </c:pt>
                <c:pt idx="48">
                  <c:v>0.99239999999999995</c:v>
                </c:pt>
                <c:pt idx="49">
                  <c:v>1.0041</c:v>
                </c:pt>
                <c:pt idx="50">
                  <c:v>0.99739999999999995</c:v>
                </c:pt>
                <c:pt idx="51">
                  <c:v>0.99919999999999998</c:v>
                </c:pt>
                <c:pt idx="52">
                  <c:v>1.0024</c:v>
                </c:pt>
                <c:pt idx="53">
                  <c:v>1.0104</c:v>
                </c:pt>
                <c:pt idx="54">
                  <c:v>1.0206999999999999</c:v>
                </c:pt>
                <c:pt idx="55">
                  <c:v>1.0198</c:v>
                </c:pt>
                <c:pt idx="56">
                  <c:v>1.0002</c:v>
                </c:pt>
                <c:pt idx="57">
                  <c:v>0.996</c:v>
                </c:pt>
                <c:pt idx="58">
                  <c:v>0.99829999999999997</c:v>
                </c:pt>
                <c:pt idx="59">
                  <c:v>0.99409999999999998</c:v>
                </c:pt>
                <c:pt idx="60">
                  <c:v>1.0045999999999999</c:v>
                </c:pt>
                <c:pt idx="61">
                  <c:v>1.0047999999999999</c:v>
                </c:pt>
                <c:pt idx="62">
                  <c:v>1.0012000000000001</c:v>
                </c:pt>
                <c:pt idx="63">
                  <c:v>1.0056</c:v>
                </c:pt>
                <c:pt idx="64">
                  <c:v>1.002</c:v>
                </c:pt>
                <c:pt idx="65">
                  <c:v>1.0024999999999999</c:v>
                </c:pt>
                <c:pt idx="66">
                  <c:v>0.98560000000000003</c:v>
                </c:pt>
                <c:pt idx="67">
                  <c:v>0.98850000000000005</c:v>
                </c:pt>
                <c:pt idx="68">
                  <c:v>0.97460000000000002</c:v>
                </c:pt>
                <c:pt idx="69">
                  <c:v>0.98460000000000003</c:v>
                </c:pt>
                <c:pt idx="70">
                  <c:v>0.98919999999999997</c:v>
                </c:pt>
                <c:pt idx="71">
                  <c:v>0.98680000000000001</c:v>
                </c:pt>
                <c:pt idx="72">
                  <c:v>0.99770000000000003</c:v>
                </c:pt>
                <c:pt idx="73">
                  <c:v>0.99660000000000004</c:v>
                </c:pt>
                <c:pt idx="74">
                  <c:v>1.0113000000000001</c:v>
                </c:pt>
                <c:pt idx="75">
                  <c:v>0.99029999999999996</c:v>
                </c:pt>
                <c:pt idx="76">
                  <c:v>1.0017</c:v>
                </c:pt>
                <c:pt idx="77">
                  <c:v>0.98939999999999995</c:v>
                </c:pt>
                <c:pt idx="78">
                  <c:v>1.0041</c:v>
                </c:pt>
                <c:pt idx="79">
                  <c:v>1.0007999999999999</c:v>
                </c:pt>
                <c:pt idx="80">
                  <c:v>0.99099999999999999</c:v>
                </c:pt>
                <c:pt idx="81">
                  <c:v>1.0005999999999999</c:v>
                </c:pt>
                <c:pt idx="82">
                  <c:v>1.0209999999999999</c:v>
                </c:pt>
                <c:pt idx="83">
                  <c:v>1.0397000000000001</c:v>
                </c:pt>
                <c:pt idx="84">
                  <c:v>1.0484</c:v>
                </c:pt>
                <c:pt idx="85">
                  <c:v>1.0466</c:v>
                </c:pt>
                <c:pt idx="86">
                  <c:v>1.0432999999999999</c:v>
                </c:pt>
                <c:pt idx="87">
                  <c:v>1.0443</c:v>
                </c:pt>
                <c:pt idx="88">
                  <c:v>1.0349999999999999</c:v>
                </c:pt>
                <c:pt idx="89">
                  <c:v>1.0476000000000001</c:v>
                </c:pt>
                <c:pt idx="90">
                  <c:v>1.0429999999999999</c:v>
                </c:pt>
                <c:pt idx="91">
                  <c:v>1.0364</c:v>
                </c:pt>
                <c:pt idx="92">
                  <c:v>1.0346</c:v>
                </c:pt>
                <c:pt idx="93">
                  <c:v>1.0523</c:v>
                </c:pt>
                <c:pt idx="94">
                  <c:v>1.0476000000000001</c:v>
                </c:pt>
                <c:pt idx="95">
                  <c:v>1.0567</c:v>
                </c:pt>
                <c:pt idx="96">
                  <c:v>1.0691999999999999</c:v>
                </c:pt>
                <c:pt idx="97">
                  <c:v>1.0722</c:v>
                </c:pt>
                <c:pt idx="98">
                  <c:v>1.0727</c:v>
                </c:pt>
                <c:pt idx="99">
                  <c:v>1.0579000000000001</c:v>
                </c:pt>
                <c:pt idx="100">
                  <c:v>1.0610999999999999</c:v>
                </c:pt>
                <c:pt idx="101">
                  <c:v>1.0398000000000001</c:v>
                </c:pt>
                <c:pt idx="102">
                  <c:v>1.0306</c:v>
                </c:pt>
                <c:pt idx="103">
                  <c:v>1.0452999999999999</c:v>
                </c:pt>
                <c:pt idx="104">
                  <c:v>1.0577000000000001</c:v>
                </c:pt>
                <c:pt idx="105">
                  <c:v>1.0490999999999999</c:v>
                </c:pt>
                <c:pt idx="106">
                  <c:v>1.0399</c:v>
                </c:pt>
                <c:pt idx="107">
                  <c:v>1.0265</c:v>
                </c:pt>
                <c:pt idx="108">
                  <c:v>1.0385</c:v>
                </c:pt>
                <c:pt idx="109">
                  <c:v>1.0587</c:v>
                </c:pt>
                <c:pt idx="110">
                  <c:v>1.069</c:v>
                </c:pt>
                <c:pt idx="111">
                  <c:v>1.0806</c:v>
                </c:pt>
                <c:pt idx="112">
                  <c:v>1.0955999999999999</c:v>
                </c:pt>
                <c:pt idx="113">
                  <c:v>1.0891</c:v>
                </c:pt>
                <c:pt idx="114">
                  <c:v>1.0866</c:v>
                </c:pt>
                <c:pt idx="115">
                  <c:v>1.0705</c:v>
                </c:pt>
                <c:pt idx="116">
                  <c:v>1.0696000000000001</c:v>
                </c:pt>
                <c:pt idx="117">
                  <c:v>1.0469999999999999</c:v>
                </c:pt>
                <c:pt idx="118">
                  <c:v>1.0709</c:v>
                </c:pt>
                <c:pt idx="119">
                  <c:v>1.0585</c:v>
                </c:pt>
                <c:pt idx="120">
                  <c:v>1.0759000000000001</c:v>
                </c:pt>
                <c:pt idx="121">
                  <c:v>1.0529999999999999</c:v>
                </c:pt>
                <c:pt idx="122">
                  <c:v>1.0506</c:v>
                </c:pt>
                <c:pt idx="123">
                  <c:v>1.0278</c:v>
                </c:pt>
                <c:pt idx="124">
                  <c:v>1.0038</c:v>
                </c:pt>
                <c:pt idx="125">
                  <c:v>1.0024999999999999</c:v>
                </c:pt>
                <c:pt idx="126">
                  <c:v>1.0314000000000001</c:v>
                </c:pt>
                <c:pt idx="127">
                  <c:v>1.0359</c:v>
                </c:pt>
                <c:pt idx="128">
                  <c:v>1.0257000000000001</c:v>
                </c:pt>
                <c:pt idx="129">
                  <c:v>1.0333000000000001</c:v>
                </c:pt>
                <c:pt idx="130">
                  <c:v>1.0389999999999999</c:v>
                </c:pt>
                <c:pt idx="131">
                  <c:v>1.0468</c:v>
                </c:pt>
                <c:pt idx="132">
                  <c:v>1.0294000000000001</c:v>
                </c:pt>
                <c:pt idx="133">
                  <c:v>1.0406</c:v>
                </c:pt>
                <c:pt idx="134">
                  <c:v>1.0246</c:v>
                </c:pt>
                <c:pt idx="135">
                  <c:v>1.0078</c:v>
                </c:pt>
                <c:pt idx="136">
                  <c:v>1.0109999999999999</c:v>
                </c:pt>
                <c:pt idx="137">
                  <c:v>1.0329999999999999</c:v>
                </c:pt>
                <c:pt idx="138">
                  <c:v>1.0361</c:v>
                </c:pt>
                <c:pt idx="139">
                  <c:v>1.0404</c:v>
                </c:pt>
                <c:pt idx="140">
                  <c:v>1.0347999999999999</c:v>
                </c:pt>
                <c:pt idx="141">
                  <c:v>1.0442</c:v>
                </c:pt>
                <c:pt idx="142">
                  <c:v>1.0519000000000001</c:v>
                </c:pt>
                <c:pt idx="143">
                  <c:v>1.0564</c:v>
                </c:pt>
                <c:pt idx="144">
                  <c:v>1.0576000000000001</c:v>
                </c:pt>
                <c:pt idx="145">
                  <c:v>1.0596000000000001</c:v>
                </c:pt>
                <c:pt idx="146">
                  <c:v>1.0565</c:v>
                </c:pt>
                <c:pt idx="147">
                  <c:v>1.0373000000000001</c:v>
                </c:pt>
                <c:pt idx="148">
                  <c:v>1.0346</c:v>
                </c:pt>
                <c:pt idx="149">
                  <c:v>1.0502</c:v>
                </c:pt>
                <c:pt idx="150">
                  <c:v>1.0494000000000001</c:v>
                </c:pt>
                <c:pt idx="151">
                  <c:v>1.0570999999999999</c:v>
                </c:pt>
                <c:pt idx="152">
                  <c:v>1.0783</c:v>
                </c:pt>
                <c:pt idx="153">
                  <c:v>1.0778000000000001</c:v>
                </c:pt>
                <c:pt idx="154">
                  <c:v>1.0767</c:v>
                </c:pt>
                <c:pt idx="155">
                  <c:v>1.0808</c:v>
                </c:pt>
                <c:pt idx="156">
                  <c:v>1.0814999999999999</c:v>
                </c:pt>
                <c:pt idx="157">
                  <c:v>1.0774999999999999</c:v>
                </c:pt>
                <c:pt idx="158">
                  <c:v>1.0761000000000001</c:v>
                </c:pt>
                <c:pt idx="159">
                  <c:v>1.0815999999999999</c:v>
                </c:pt>
                <c:pt idx="160">
                  <c:v>1.0820000000000001</c:v>
                </c:pt>
                <c:pt idx="161">
                  <c:v>1.0786</c:v>
                </c:pt>
                <c:pt idx="162">
                  <c:v>1.0763</c:v>
                </c:pt>
                <c:pt idx="163">
                  <c:v>1.0654999999999999</c:v>
                </c:pt>
                <c:pt idx="164">
                  <c:v>1.0713999999999999</c:v>
                </c:pt>
                <c:pt idx="165">
                  <c:v>1.0689</c:v>
                </c:pt>
                <c:pt idx="166">
                  <c:v>1.0808</c:v>
                </c:pt>
                <c:pt idx="167">
                  <c:v>1.0720000000000001</c:v>
                </c:pt>
                <c:pt idx="168">
                  <c:v>1.0871999999999999</c:v>
                </c:pt>
                <c:pt idx="169">
                  <c:v>1.091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2D-47FE-B654-65A596577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099824"/>
        <c:axId val="545100384"/>
      </c:lineChart>
      <c:catAx>
        <c:axId val="54509982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crossAx val="545100384"/>
        <c:crosses val="autoZero"/>
        <c:auto val="0"/>
        <c:lblAlgn val="ctr"/>
        <c:lblOffset val="100"/>
        <c:noMultiLvlLbl val="1"/>
      </c:catAx>
      <c:valAx>
        <c:axId val="545100384"/>
        <c:scaling>
          <c:orientation val="minMax"/>
          <c:min val="0.9"/>
        </c:scaling>
        <c:delete val="0"/>
        <c:axPos val="l"/>
        <c:majorGridlines/>
        <c:numFmt formatCode="0.0000_ " sourceLinked="1"/>
        <c:majorTickMark val="none"/>
        <c:minorTickMark val="none"/>
        <c:tickLblPos val="nextTo"/>
        <c:spPr>
          <a:ln w="9525">
            <a:noFill/>
          </a:ln>
        </c:spPr>
        <c:crossAx val="54509982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4" l="0.70000000000000062" r="0.70000000000000062" t="0.750000000000004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 sz="1600"/>
              <a:t>量派</a:t>
            </a:r>
            <a:r>
              <a:rPr lang="en-US" altLang="zh-CN" sz="1600"/>
              <a:t>500</a:t>
            </a:r>
            <a:r>
              <a:rPr lang="zh-CN" altLang="en-US" sz="1600"/>
              <a:t>增强</a:t>
            </a:r>
            <a:r>
              <a:rPr lang="en-US" altLang="zh-CN" sz="1600"/>
              <a:t>8</a:t>
            </a:r>
            <a:r>
              <a:rPr lang="zh-CN" altLang="en-US" sz="1600"/>
              <a:t>号</a:t>
            </a:r>
            <a:endParaRPr lang="en-US" altLang="zh-CN" sz="1600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量派500增强8号!$B$20</c:f>
              <c:strCache>
                <c:ptCount val="1"/>
                <c:pt idx="0">
                  <c:v>累计净值</c:v>
                </c:pt>
              </c:strCache>
            </c:strRef>
          </c:tx>
          <c:marker>
            <c:symbol val="none"/>
          </c:marker>
          <c:cat>
            <c:numRef>
              <c:f>量派500增强8号!$A$21:$A$125</c:f>
              <c:numCache>
                <c:formatCode>m/d/yyyy</c:formatCode>
                <c:ptCount val="105"/>
                <c:pt idx="0">
                  <c:v>44174</c:v>
                </c:pt>
                <c:pt idx="1">
                  <c:v>44175</c:v>
                </c:pt>
                <c:pt idx="2">
                  <c:v>44176</c:v>
                </c:pt>
                <c:pt idx="3">
                  <c:v>44179</c:v>
                </c:pt>
                <c:pt idx="4">
                  <c:v>44180</c:v>
                </c:pt>
                <c:pt idx="5">
                  <c:v>44181</c:v>
                </c:pt>
                <c:pt idx="6">
                  <c:v>44182</c:v>
                </c:pt>
                <c:pt idx="7">
                  <c:v>44183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44193</c:v>
                </c:pt>
                <c:pt idx="14">
                  <c:v>44194</c:v>
                </c:pt>
                <c:pt idx="15">
                  <c:v>44195</c:v>
                </c:pt>
                <c:pt idx="16">
                  <c:v>44196</c:v>
                </c:pt>
                <c:pt idx="17">
                  <c:v>44200</c:v>
                </c:pt>
                <c:pt idx="18">
                  <c:v>44201</c:v>
                </c:pt>
                <c:pt idx="19">
                  <c:v>44202</c:v>
                </c:pt>
                <c:pt idx="20">
                  <c:v>44203</c:v>
                </c:pt>
                <c:pt idx="21">
                  <c:v>44204</c:v>
                </c:pt>
                <c:pt idx="22">
                  <c:v>44207</c:v>
                </c:pt>
                <c:pt idx="23">
                  <c:v>44208</c:v>
                </c:pt>
                <c:pt idx="24">
                  <c:v>44209</c:v>
                </c:pt>
                <c:pt idx="25">
                  <c:v>44210</c:v>
                </c:pt>
                <c:pt idx="26">
                  <c:v>44211</c:v>
                </c:pt>
                <c:pt idx="27">
                  <c:v>44214</c:v>
                </c:pt>
                <c:pt idx="28">
                  <c:v>44215</c:v>
                </c:pt>
                <c:pt idx="29">
                  <c:v>44216</c:v>
                </c:pt>
                <c:pt idx="30">
                  <c:v>44217</c:v>
                </c:pt>
                <c:pt idx="31">
                  <c:v>44218</c:v>
                </c:pt>
                <c:pt idx="32">
                  <c:v>44221</c:v>
                </c:pt>
                <c:pt idx="33">
                  <c:v>44222</c:v>
                </c:pt>
                <c:pt idx="34">
                  <c:v>44223</c:v>
                </c:pt>
                <c:pt idx="35">
                  <c:v>44224</c:v>
                </c:pt>
                <c:pt idx="36">
                  <c:v>44225</c:v>
                </c:pt>
                <c:pt idx="37">
                  <c:v>44228</c:v>
                </c:pt>
                <c:pt idx="38">
                  <c:v>44229</c:v>
                </c:pt>
                <c:pt idx="39">
                  <c:v>44230</c:v>
                </c:pt>
                <c:pt idx="40">
                  <c:v>44231</c:v>
                </c:pt>
                <c:pt idx="41">
                  <c:v>44232</c:v>
                </c:pt>
                <c:pt idx="42">
                  <c:v>44235</c:v>
                </c:pt>
                <c:pt idx="43">
                  <c:v>44236</c:v>
                </c:pt>
                <c:pt idx="44">
                  <c:v>44237</c:v>
                </c:pt>
                <c:pt idx="45">
                  <c:v>44245</c:v>
                </c:pt>
                <c:pt idx="46">
                  <c:v>44246</c:v>
                </c:pt>
                <c:pt idx="47">
                  <c:v>44249</c:v>
                </c:pt>
                <c:pt idx="48">
                  <c:v>44250</c:v>
                </c:pt>
                <c:pt idx="49">
                  <c:v>44251</c:v>
                </c:pt>
                <c:pt idx="50">
                  <c:v>44252</c:v>
                </c:pt>
                <c:pt idx="51">
                  <c:v>44253</c:v>
                </c:pt>
                <c:pt idx="52">
                  <c:v>44256</c:v>
                </c:pt>
                <c:pt idx="53">
                  <c:v>44257</c:v>
                </c:pt>
                <c:pt idx="54">
                  <c:v>44258</c:v>
                </c:pt>
                <c:pt idx="55">
                  <c:v>44259</c:v>
                </c:pt>
                <c:pt idx="56">
                  <c:v>44260</c:v>
                </c:pt>
                <c:pt idx="57">
                  <c:v>44263</c:v>
                </c:pt>
                <c:pt idx="58">
                  <c:v>44264</c:v>
                </c:pt>
                <c:pt idx="59">
                  <c:v>44265</c:v>
                </c:pt>
                <c:pt idx="60">
                  <c:v>44266</c:v>
                </c:pt>
                <c:pt idx="61">
                  <c:v>44267</c:v>
                </c:pt>
                <c:pt idx="62">
                  <c:v>44270</c:v>
                </c:pt>
                <c:pt idx="63">
                  <c:v>44271</c:v>
                </c:pt>
                <c:pt idx="64">
                  <c:v>44272</c:v>
                </c:pt>
                <c:pt idx="65">
                  <c:v>44273</c:v>
                </c:pt>
                <c:pt idx="66">
                  <c:v>44274</c:v>
                </c:pt>
                <c:pt idx="67">
                  <c:v>44277</c:v>
                </c:pt>
                <c:pt idx="68">
                  <c:v>44278</c:v>
                </c:pt>
                <c:pt idx="69">
                  <c:v>44279</c:v>
                </c:pt>
                <c:pt idx="70">
                  <c:v>44280</c:v>
                </c:pt>
                <c:pt idx="71">
                  <c:v>44281</c:v>
                </c:pt>
                <c:pt idx="72">
                  <c:v>44284</c:v>
                </c:pt>
                <c:pt idx="73">
                  <c:v>44285</c:v>
                </c:pt>
                <c:pt idx="74">
                  <c:v>44286</c:v>
                </c:pt>
                <c:pt idx="75">
                  <c:v>44287</c:v>
                </c:pt>
                <c:pt idx="76">
                  <c:v>44288</c:v>
                </c:pt>
                <c:pt idx="77">
                  <c:v>44292</c:v>
                </c:pt>
                <c:pt idx="78">
                  <c:v>44293</c:v>
                </c:pt>
                <c:pt idx="79">
                  <c:v>44294</c:v>
                </c:pt>
                <c:pt idx="80">
                  <c:v>44295</c:v>
                </c:pt>
                <c:pt idx="81">
                  <c:v>44298</c:v>
                </c:pt>
                <c:pt idx="82">
                  <c:v>44299</c:v>
                </c:pt>
                <c:pt idx="83">
                  <c:v>44300</c:v>
                </c:pt>
                <c:pt idx="84">
                  <c:v>44301</c:v>
                </c:pt>
                <c:pt idx="85">
                  <c:v>44302</c:v>
                </c:pt>
                <c:pt idx="86">
                  <c:v>44305</c:v>
                </c:pt>
                <c:pt idx="87">
                  <c:v>44306</c:v>
                </c:pt>
                <c:pt idx="88">
                  <c:v>44307</c:v>
                </c:pt>
                <c:pt idx="89">
                  <c:v>44308</c:v>
                </c:pt>
                <c:pt idx="90">
                  <c:v>44309</c:v>
                </c:pt>
                <c:pt idx="91">
                  <c:v>44312</c:v>
                </c:pt>
                <c:pt idx="92">
                  <c:v>44313</c:v>
                </c:pt>
                <c:pt idx="93">
                  <c:v>44314</c:v>
                </c:pt>
                <c:pt idx="94">
                  <c:v>44315</c:v>
                </c:pt>
                <c:pt idx="95">
                  <c:v>44316</c:v>
                </c:pt>
                <c:pt idx="96">
                  <c:v>44322</c:v>
                </c:pt>
                <c:pt idx="97">
                  <c:v>44323</c:v>
                </c:pt>
                <c:pt idx="98">
                  <c:v>44326</c:v>
                </c:pt>
                <c:pt idx="99">
                  <c:v>44327</c:v>
                </c:pt>
                <c:pt idx="100">
                  <c:v>44328</c:v>
                </c:pt>
                <c:pt idx="101">
                  <c:v>44329</c:v>
                </c:pt>
                <c:pt idx="102">
                  <c:v>44330</c:v>
                </c:pt>
                <c:pt idx="103">
                  <c:v>44333</c:v>
                </c:pt>
                <c:pt idx="104">
                  <c:v>44334</c:v>
                </c:pt>
              </c:numCache>
            </c:numRef>
          </c:cat>
          <c:val>
            <c:numRef>
              <c:f>量派500增强8号!$B$21:$B$125</c:f>
              <c:numCache>
                <c:formatCode>0.0000_ </c:formatCode>
                <c:ptCount val="105"/>
                <c:pt idx="0">
                  <c:v>1.0028999999999999</c:v>
                </c:pt>
                <c:pt idx="1">
                  <c:v>1.0016</c:v>
                </c:pt>
                <c:pt idx="2">
                  <c:v>0.98070000000000002</c:v>
                </c:pt>
                <c:pt idx="3">
                  <c:v>0.9899</c:v>
                </c:pt>
                <c:pt idx="4">
                  <c:v>0.99199999999999999</c:v>
                </c:pt>
                <c:pt idx="5">
                  <c:v>0.98850000000000005</c:v>
                </c:pt>
                <c:pt idx="6">
                  <c:v>1.0009999999999999</c:v>
                </c:pt>
                <c:pt idx="7">
                  <c:v>0.99750000000000005</c:v>
                </c:pt>
                <c:pt idx="8">
                  <c:v>1.0141</c:v>
                </c:pt>
                <c:pt idx="9">
                  <c:v>0.9909</c:v>
                </c:pt>
                <c:pt idx="10">
                  <c:v>0.99960000000000004</c:v>
                </c:pt>
                <c:pt idx="11">
                  <c:v>0.98460000000000003</c:v>
                </c:pt>
                <c:pt idx="12">
                  <c:v>0.99670000000000003</c:v>
                </c:pt>
                <c:pt idx="13">
                  <c:v>0.99060000000000004</c:v>
                </c:pt>
                <c:pt idx="14">
                  <c:v>0.98770000000000002</c:v>
                </c:pt>
                <c:pt idx="15">
                  <c:v>0.99770000000000003</c:v>
                </c:pt>
                <c:pt idx="16">
                  <c:v>1.0125999999999999</c:v>
                </c:pt>
                <c:pt idx="17">
                  <c:v>1.0279</c:v>
                </c:pt>
                <c:pt idx="18">
                  <c:v>1.0365</c:v>
                </c:pt>
                <c:pt idx="19">
                  <c:v>1.0347999999999999</c:v>
                </c:pt>
                <c:pt idx="20">
                  <c:v>1.0369999999999999</c:v>
                </c:pt>
                <c:pt idx="21">
                  <c:v>1.0390999999999999</c:v>
                </c:pt>
                <c:pt idx="22">
                  <c:v>1.0270999999999999</c:v>
                </c:pt>
                <c:pt idx="23">
                  <c:v>1.0395000000000001</c:v>
                </c:pt>
                <c:pt idx="24">
                  <c:v>1.0343</c:v>
                </c:pt>
                <c:pt idx="25">
                  <c:v>1.0297000000000001</c:v>
                </c:pt>
                <c:pt idx="26">
                  <c:v>1.026</c:v>
                </c:pt>
                <c:pt idx="27">
                  <c:v>1.0404</c:v>
                </c:pt>
                <c:pt idx="28">
                  <c:v>1.0367</c:v>
                </c:pt>
                <c:pt idx="29">
                  <c:v>1.0457000000000001</c:v>
                </c:pt>
                <c:pt idx="30">
                  <c:v>1.0586</c:v>
                </c:pt>
                <c:pt idx="31">
                  <c:v>1.0599000000000001</c:v>
                </c:pt>
                <c:pt idx="32">
                  <c:v>1.0613999999999999</c:v>
                </c:pt>
                <c:pt idx="33">
                  <c:v>1.0445</c:v>
                </c:pt>
                <c:pt idx="34">
                  <c:v>1.0489999999999999</c:v>
                </c:pt>
                <c:pt idx="35">
                  <c:v>1.0281</c:v>
                </c:pt>
                <c:pt idx="36">
                  <c:v>1.0158</c:v>
                </c:pt>
                <c:pt idx="37">
                  <c:v>1.0245</c:v>
                </c:pt>
                <c:pt idx="38">
                  <c:v>1.0347</c:v>
                </c:pt>
                <c:pt idx="39">
                  <c:v>1.0273000000000001</c:v>
                </c:pt>
                <c:pt idx="40">
                  <c:v>1.0165999999999999</c:v>
                </c:pt>
                <c:pt idx="41">
                  <c:v>1.0037</c:v>
                </c:pt>
                <c:pt idx="42">
                  <c:v>1.0178</c:v>
                </c:pt>
                <c:pt idx="43">
                  <c:v>1.0415000000000001</c:v>
                </c:pt>
                <c:pt idx="44">
                  <c:v>1.0513999999999999</c:v>
                </c:pt>
                <c:pt idx="45">
                  <c:v>1.0687</c:v>
                </c:pt>
                <c:pt idx="46">
                  <c:v>1.0851999999999999</c:v>
                </c:pt>
                <c:pt idx="47">
                  <c:v>1.0844</c:v>
                </c:pt>
                <c:pt idx="48">
                  <c:v>1.0793999999999999</c:v>
                </c:pt>
                <c:pt idx="49">
                  <c:v>1.0649999999999999</c:v>
                </c:pt>
                <c:pt idx="50">
                  <c:v>1.0613999999999999</c:v>
                </c:pt>
                <c:pt idx="51">
                  <c:v>1.0415000000000001</c:v>
                </c:pt>
                <c:pt idx="52">
                  <c:v>1.0603</c:v>
                </c:pt>
                <c:pt idx="53">
                  <c:v>1.0508999999999999</c:v>
                </c:pt>
                <c:pt idx="54">
                  <c:v>1.0658000000000001</c:v>
                </c:pt>
                <c:pt idx="55">
                  <c:v>1.0504</c:v>
                </c:pt>
                <c:pt idx="56">
                  <c:v>1.0527</c:v>
                </c:pt>
                <c:pt idx="57">
                  <c:v>1.0299</c:v>
                </c:pt>
                <c:pt idx="58">
                  <c:v>1.0078</c:v>
                </c:pt>
                <c:pt idx="59">
                  <c:v>1.0001</c:v>
                </c:pt>
                <c:pt idx="60">
                  <c:v>1.0239</c:v>
                </c:pt>
                <c:pt idx="61">
                  <c:v>1.0266999999999999</c:v>
                </c:pt>
                <c:pt idx="62">
                  <c:v>1.0197000000000001</c:v>
                </c:pt>
                <c:pt idx="63">
                  <c:v>1.0226</c:v>
                </c:pt>
                <c:pt idx="64">
                  <c:v>1.0284</c:v>
                </c:pt>
                <c:pt idx="65">
                  <c:v>1.0356000000000001</c:v>
                </c:pt>
                <c:pt idx="66">
                  <c:v>1.0251999999999999</c:v>
                </c:pt>
                <c:pt idx="67">
                  <c:v>1.042</c:v>
                </c:pt>
                <c:pt idx="68">
                  <c:v>1.0277000000000001</c:v>
                </c:pt>
                <c:pt idx="69">
                  <c:v>1.0167999999999999</c:v>
                </c:pt>
                <c:pt idx="70">
                  <c:v>1.0193000000000001</c:v>
                </c:pt>
                <c:pt idx="71">
                  <c:v>1.0350999999999999</c:v>
                </c:pt>
                <c:pt idx="72">
                  <c:v>1.0358000000000001</c:v>
                </c:pt>
                <c:pt idx="73">
                  <c:v>1.0411999999999999</c:v>
                </c:pt>
                <c:pt idx="74">
                  <c:v>1.0374000000000001</c:v>
                </c:pt>
                <c:pt idx="75">
                  <c:v>1.0482</c:v>
                </c:pt>
                <c:pt idx="76">
                  <c:v>1.0508999999999999</c:v>
                </c:pt>
                <c:pt idx="77">
                  <c:v>1.0544</c:v>
                </c:pt>
                <c:pt idx="78">
                  <c:v>1.0555000000000001</c:v>
                </c:pt>
                <c:pt idx="79">
                  <c:v>1.0589999999999999</c:v>
                </c:pt>
                <c:pt idx="80">
                  <c:v>1.0555000000000001</c:v>
                </c:pt>
                <c:pt idx="81">
                  <c:v>1.0403</c:v>
                </c:pt>
                <c:pt idx="82">
                  <c:v>1.0386</c:v>
                </c:pt>
                <c:pt idx="83">
                  <c:v>1.0495000000000001</c:v>
                </c:pt>
                <c:pt idx="84">
                  <c:v>1.0492999999999999</c:v>
                </c:pt>
                <c:pt idx="85">
                  <c:v>1.0588</c:v>
                </c:pt>
                <c:pt idx="86">
                  <c:v>1.0726</c:v>
                </c:pt>
                <c:pt idx="87">
                  <c:v>1.0731999999999999</c:v>
                </c:pt>
                <c:pt idx="88">
                  <c:v>1.0711999999999999</c:v>
                </c:pt>
                <c:pt idx="89">
                  <c:v>1.075</c:v>
                </c:pt>
                <c:pt idx="90">
                  <c:v>1.079</c:v>
                </c:pt>
                <c:pt idx="91">
                  <c:v>1.0761000000000001</c:v>
                </c:pt>
                <c:pt idx="92">
                  <c:v>1.0763</c:v>
                </c:pt>
                <c:pt idx="93">
                  <c:v>1.0828</c:v>
                </c:pt>
                <c:pt idx="94">
                  <c:v>1.0822000000000001</c:v>
                </c:pt>
                <c:pt idx="95">
                  <c:v>1.0823</c:v>
                </c:pt>
                <c:pt idx="96">
                  <c:v>1.0846</c:v>
                </c:pt>
                <c:pt idx="97">
                  <c:v>1.0784</c:v>
                </c:pt>
                <c:pt idx="98">
                  <c:v>1.085</c:v>
                </c:pt>
                <c:pt idx="99">
                  <c:v>1.083</c:v>
                </c:pt>
                <c:pt idx="100">
                  <c:v>1.0927</c:v>
                </c:pt>
                <c:pt idx="101">
                  <c:v>1.0808</c:v>
                </c:pt>
                <c:pt idx="102">
                  <c:v>1.0948</c:v>
                </c:pt>
                <c:pt idx="103">
                  <c:v>1.1034999999999999</c:v>
                </c:pt>
                <c:pt idx="104">
                  <c:v>1.107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31-4036-8051-99088C4F78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099824"/>
        <c:axId val="545100384"/>
      </c:lineChart>
      <c:catAx>
        <c:axId val="54509982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crossAx val="545100384"/>
        <c:crosses val="autoZero"/>
        <c:auto val="0"/>
        <c:lblAlgn val="ctr"/>
        <c:lblOffset val="100"/>
        <c:noMultiLvlLbl val="1"/>
      </c:catAx>
      <c:valAx>
        <c:axId val="545100384"/>
        <c:scaling>
          <c:orientation val="minMax"/>
          <c:min val="0.97"/>
        </c:scaling>
        <c:delete val="0"/>
        <c:axPos val="l"/>
        <c:majorGridlines/>
        <c:numFmt formatCode="0.0000_ " sourceLinked="1"/>
        <c:majorTickMark val="none"/>
        <c:minorTickMark val="none"/>
        <c:tickLblPos val="nextTo"/>
        <c:spPr>
          <a:ln w="9525">
            <a:noFill/>
          </a:ln>
        </c:spPr>
        <c:crossAx val="545099824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0000000000004" l="0.70000000000000062" r="0.70000000000000062" t="0.750000000000004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 sz="1600"/>
              <a:t>量客</a:t>
            </a:r>
            <a:r>
              <a:rPr lang="en-US" altLang="zh-CN" sz="1600"/>
              <a:t>500</a:t>
            </a:r>
            <a:r>
              <a:rPr lang="zh-CN" altLang="en-US" sz="1600"/>
              <a:t>增强</a:t>
            </a:r>
            <a:r>
              <a:rPr lang="en-US" altLang="zh-CN" sz="1600"/>
              <a:t>8</a:t>
            </a:r>
            <a:r>
              <a:rPr lang="zh-CN" altLang="en-US" sz="1600"/>
              <a:t>号</a:t>
            </a:r>
            <a:endParaRPr lang="en-US" altLang="zh-CN" sz="16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量客卓宇一号!$B$20</c:f>
              <c:strCache>
                <c:ptCount val="1"/>
                <c:pt idx="0">
                  <c:v>累计净值</c:v>
                </c:pt>
              </c:strCache>
            </c:strRef>
          </c:tx>
          <c:marker>
            <c:symbol val="none"/>
          </c:marker>
          <c:cat>
            <c:numRef>
              <c:f>量客卓宇一号!$A$21:$A$126</c:f>
              <c:numCache>
                <c:formatCode>m/d/yyyy</c:formatCode>
                <c:ptCount val="106"/>
                <c:pt idx="0">
                  <c:v>44172</c:v>
                </c:pt>
                <c:pt idx="1">
                  <c:v>44173</c:v>
                </c:pt>
                <c:pt idx="2">
                  <c:v>44174</c:v>
                </c:pt>
                <c:pt idx="3">
                  <c:v>44175</c:v>
                </c:pt>
                <c:pt idx="4">
                  <c:v>44176</c:v>
                </c:pt>
                <c:pt idx="5">
                  <c:v>44179</c:v>
                </c:pt>
                <c:pt idx="6">
                  <c:v>44180</c:v>
                </c:pt>
                <c:pt idx="7">
                  <c:v>44181</c:v>
                </c:pt>
                <c:pt idx="8">
                  <c:v>44182</c:v>
                </c:pt>
                <c:pt idx="9">
                  <c:v>44183</c:v>
                </c:pt>
                <c:pt idx="10">
                  <c:v>44186</c:v>
                </c:pt>
                <c:pt idx="11">
                  <c:v>44187</c:v>
                </c:pt>
                <c:pt idx="12">
                  <c:v>44188</c:v>
                </c:pt>
                <c:pt idx="13">
                  <c:v>44189</c:v>
                </c:pt>
                <c:pt idx="14">
                  <c:v>44190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44200</c:v>
                </c:pt>
                <c:pt idx="20">
                  <c:v>44201</c:v>
                </c:pt>
                <c:pt idx="21">
                  <c:v>44202</c:v>
                </c:pt>
                <c:pt idx="22">
                  <c:v>44203</c:v>
                </c:pt>
                <c:pt idx="23">
                  <c:v>44204</c:v>
                </c:pt>
                <c:pt idx="24">
                  <c:v>44207</c:v>
                </c:pt>
                <c:pt idx="25">
                  <c:v>44208</c:v>
                </c:pt>
                <c:pt idx="26">
                  <c:v>44209</c:v>
                </c:pt>
                <c:pt idx="27">
                  <c:v>44210</c:v>
                </c:pt>
                <c:pt idx="28">
                  <c:v>44211</c:v>
                </c:pt>
                <c:pt idx="29">
                  <c:v>44214</c:v>
                </c:pt>
                <c:pt idx="30">
                  <c:v>44215</c:v>
                </c:pt>
                <c:pt idx="31">
                  <c:v>44216</c:v>
                </c:pt>
                <c:pt idx="32">
                  <c:v>44217</c:v>
                </c:pt>
                <c:pt idx="33">
                  <c:v>44218</c:v>
                </c:pt>
                <c:pt idx="34">
                  <c:v>44221</c:v>
                </c:pt>
                <c:pt idx="35">
                  <c:v>44222</c:v>
                </c:pt>
                <c:pt idx="36">
                  <c:v>44223</c:v>
                </c:pt>
                <c:pt idx="37">
                  <c:v>44224</c:v>
                </c:pt>
                <c:pt idx="38">
                  <c:v>44225</c:v>
                </c:pt>
                <c:pt idx="39">
                  <c:v>44228</c:v>
                </c:pt>
                <c:pt idx="40">
                  <c:v>44229</c:v>
                </c:pt>
                <c:pt idx="41">
                  <c:v>44230</c:v>
                </c:pt>
                <c:pt idx="42">
                  <c:v>44231</c:v>
                </c:pt>
                <c:pt idx="43">
                  <c:v>44232</c:v>
                </c:pt>
                <c:pt idx="44">
                  <c:v>44235</c:v>
                </c:pt>
                <c:pt idx="45">
                  <c:v>44236</c:v>
                </c:pt>
                <c:pt idx="46">
                  <c:v>44237</c:v>
                </c:pt>
                <c:pt idx="47">
                  <c:v>44245</c:v>
                </c:pt>
                <c:pt idx="48">
                  <c:v>44246</c:v>
                </c:pt>
                <c:pt idx="49">
                  <c:v>44249</c:v>
                </c:pt>
                <c:pt idx="50">
                  <c:v>44250</c:v>
                </c:pt>
                <c:pt idx="51">
                  <c:v>44251</c:v>
                </c:pt>
                <c:pt idx="52">
                  <c:v>44252</c:v>
                </c:pt>
                <c:pt idx="53">
                  <c:v>44253</c:v>
                </c:pt>
                <c:pt idx="54">
                  <c:v>44256</c:v>
                </c:pt>
                <c:pt idx="55">
                  <c:v>44257</c:v>
                </c:pt>
                <c:pt idx="56">
                  <c:v>44258</c:v>
                </c:pt>
                <c:pt idx="57">
                  <c:v>44259</c:v>
                </c:pt>
                <c:pt idx="58">
                  <c:v>44260</c:v>
                </c:pt>
                <c:pt idx="59">
                  <c:v>44263</c:v>
                </c:pt>
                <c:pt idx="60">
                  <c:v>44264</c:v>
                </c:pt>
                <c:pt idx="61">
                  <c:v>44265</c:v>
                </c:pt>
                <c:pt idx="62">
                  <c:v>44266</c:v>
                </c:pt>
                <c:pt idx="63">
                  <c:v>44267</c:v>
                </c:pt>
                <c:pt idx="64">
                  <c:v>44270</c:v>
                </c:pt>
                <c:pt idx="65">
                  <c:v>44271</c:v>
                </c:pt>
                <c:pt idx="66">
                  <c:v>44272</c:v>
                </c:pt>
                <c:pt idx="67">
                  <c:v>44273</c:v>
                </c:pt>
                <c:pt idx="68">
                  <c:v>44274</c:v>
                </c:pt>
                <c:pt idx="69">
                  <c:v>44277</c:v>
                </c:pt>
                <c:pt idx="70">
                  <c:v>44278</c:v>
                </c:pt>
                <c:pt idx="71">
                  <c:v>44279</c:v>
                </c:pt>
                <c:pt idx="72">
                  <c:v>44280</c:v>
                </c:pt>
                <c:pt idx="73">
                  <c:v>44281</c:v>
                </c:pt>
                <c:pt idx="74">
                  <c:v>44284</c:v>
                </c:pt>
                <c:pt idx="75">
                  <c:v>44285</c:v>
                </c:pt>
                <c:pt idx="76">
                  <c:v>44286</c:v>
                </c:pt>
                <c:pt idx="77">
                  <c:v>44287</c:v>
                </c:pt>
                <c:pt idx="78">
                  <c:v>44288</c:v>
                </c:pt>
                <c:pt idx="79">
                  <c:v>44292</c:v>
                </c:pt>
                <c:pt idx="80">
                  <c:v>44293</c:v>
                </c:pt>
                <c:pt idx="81">
                  <c:v>44294</c:v>
                </c:pt>
                <c:pt idx="82">
                  <c:v>44295</c:v>
                </c:pt>
                <c:pt idx="83">
                  <c:v>44298</c:v>
                </c:pt>
                <c:pt idx="84">
                  <c:v>44299</c:v>
                </c:pt>
                <c:pt idx="85">
                  <c:v>44300</c:v>
                </c:pt>
                <c:pt idx="86">
                  <c:v>44301</c:v>
                </c:pt>
                <c:pt idx="87">
                  <c:v>44302</c:v>
                </c:pt>
                <c:pt idx="88">
                  <c:v>44305</c:v>
                </c:pt>
                <c:pt idx="89">
                  <c:v>44306</c:v>
                </c:pt>
                <c:pt idx="90">
                  <c:v>44307</c:v>
                </c:pt>
                <c:pt idx="91">
                  <c:v>44308</c:v>
                </c:pt>
                <c:pt idx="92">
                  <c:v>44309</c:v>
                </c:pt>
                <c:pt idx="93">
                  <c:v>44312</c:v>
                </c:pt>
                <c:pt idx="94">
                  <c:v>44313</c:v>
                </c:pt>
                <c:pt idx="95">
                  <c:v>44314</c:v>
                </c:pt>
                <c:pt idx="96">
                  <c:v>44315</c:v>
                </c:pt>
                <c:pt idx="97">
                  <c:v>44316</c:v>
                </c:pt>
                <c:pt idx="98">
                  <c:v>44322</c:v>
                </c:pt>
                <c:pt idx="99">
                  <c:v>44323</c:v>
                </c:pt>
                <c:pt idx="100">
                  <c:v>44326</c:v>
                </c:pt>
                <c:pt idx="101">
                  <c:v>44327</c:v>
                </c:pt>
                <c:pt idx="102">
                  <c:v>44328</c:v>
                </c:pt>
                <c:pt idx="103">
                  <c:v>44329</c:v>
                </c:pt>
                <c:pt idx="104">
                  <c:v>44330</c:v>
                </c:pt>
                <c:pt idx="105">
                  <c:v>44333</c:v>
                </c:pt>
              </c:numCache>
            </c:numRef>
          </c:cat>
          <c:val>
            <c:numRef>
              <c:f>量客卓宇一号!$B$21:$B$126</c:f>
              <c:numCache>
                <c:formatCode>0.0000_ </c:formatCode>
                <c:ptCount val="106"/>
                <c:pt idx="0">
                  <c:v>0.99950000000000006</c:v>
                </c:pt>
                <c:pt idx="1">
                  <c:v>0.99939999999999996</c:v>
                </c:pt>
                <c:pt idx="2">
                  <c:v>0.99539999999999995</c:v>
                </c:pt>
                <c:pt idx="3">
                  <c:v>0.998</c:v>
                </c:pt>
                <c:pt idx="4">
                  <c:v>0.98119999999999996</c:v>
                </c:pt>
                <c:pt idx="5">
                  <c:v>0.98499999999999999</c:v>
                </c:pt>
                <c:pt idx="6">
                  <c:v>0.98980000000000001</c:v>
                </c:pt>
                <c:pt idx="7">
                  <c:v>0.98319999999999996</c:v>
                </c:pt>
                <c:pt idx="8">
                  <c:v>0.99380000000000002</c:v>
                </c:pt>
                <c:pt idx="9">
                  <c:v>0.98939999999999995</c:v>
                </c:pt>
                <c:pt idx="10">
                  <c:v>1.0077</c:v>
                </c:pt>
                <c:pt idx="11">
                  <c:v>0.98950000000000005</c:v>
                </c:pt>
                <c:pt idx="12">
                  <c:v>0.99390000000000001</c:v>
                </c:pt>
                <c:pt idx="13">
                  <c:v>0.98080000000000001</c:v>
                </c:pt>
                <c:pt idx="14">
                  <c:v>0.99180000000000001</c:v>
                </c:pt>
                <c:pt idx="15">
                  <c:v>0.9849</c:v>
                </c:pt>
                <c:pt idx="16">
                  <c:v>0.98419999999999996</c:v>
                </c:pt>
                <c:pt idx="17">
                  <c:v>0.99260000000000004</c:v>
                </c:pt>
                <c:pt idx="18">
                  <c:v>1.0095000000000001</c:v>
                </c:pt>
                <c:pt idx="19">
                  <c:v>1.0290999999999999</c:v>
                </c:pt>
                <c:pt idx="20">
                  <c:v>1.0341</c:v>
                </c:pt>
                <c:pt idx="21">
                  <c:v>1.0289999999999999</c:v>
                </c:pt>
                <c:pt idx="22">
                  <c:v>1.0273000000000001</c:v>
                </c:pt>
                <c:pt idx="23">
                  <c:v>1.0314000000000001</c:v>
                </c:pt>
                <c:pt idx="24">
                  <c:v>1.0193000000000001</c:v>
                </c:pt>
                <c:pt idx="25">
                  <c:v>1.0361</c:v>
                </c:pt>
                <c:pt idx="26">
                  <c:v>1.0269999999999999</c:v>
                </c:pt>
                <c:pt idx="27">
                  <c:v>1.0269999999999999</c:v>
                </c:pt>
                <c:pt idx="28">
                  <c:v>1.0259</c:v>
                </c:pt>
                <c:pt idx="29">
                  <c:v>1.0434000000000001</c:v>
                </c:pt>
                <c:pt idx="30">
                  <c:v>1.0318000000000001</c:v>
                </c:pt>
                <c:pt idx="31">
                  <c:v>1.0469999999999999</c:v>
                </c:pt>
                <c:pt idx="32">
                  <c:v>1.0660000000000001</c:v>
                </c:pt>
                <c:pt idx="33">
                  <c:v>1.073</c:v>
                </c:pt>
                <c:pt idx="34">
                  <c:v>1.0744</c:v>
                </c:pt>
                <c:pt idx="35">
                  <c:v>1.0545</c:v>
                </c:pt>
                <c:pt idx="36">
                  <c:v>1.0578000000000001</c:v>
                </c:pt>
                <c:pt idx="37">
                  <c:v>1.0305</c:v>
                </c:pt>
                <c:pt idx="38">
                  <c:v>1.0206999999999999</c:v>
                </c:pt>
                <c:pt idx="39">
                  <c:v>1.0333000000000001</c:v>
                </c:pt>
                <c:pt idx="40">
                  <c:v>1.0505</c:v>
                </c:pt>
                <c:pt idx="41">
                  <c:v>1.0406</c:v>
                </c:pt>
                <c:pt idx="42">
                  <c:v>1.0266999999999999</c:v>
                </c:pt>
                <c:pt idx="43">
                  <c:v>1.008</c:v>
                </c:pt>
                <c:pt idx="44">
                  <c:v>1.0238</c:v>
                </c:pt>
                <c:pt idx="45">
                  <c:v>1.0506</c:v>
                </c:pt>
                <c:pt idx="46">
                  <c:v>1.0589</c:v>
                </c:pt>
                <c:pt idx="47">
                  <c:v>1.0662</c:v>
                </c:pt>
                <c:pt idx="48">
                  <c:v>1.0708</c:v>
                </c:pt>
                <c:pt idx="49">
                  <c:v>1.0576000000000001</c:v>
                </c:pt>
                <c:pt idx="50">
                  <c:v>1.0509999999999999</c:v>
                </c:pt>
                <c:pt idx="51">
                  <c:v>1.03</c:v>
                </c:pt>
                <c:pt idx="52">
                  <c:v>1.0274000000000001</c:v>
                </c:pt>
                <c:pt idx="53">
                  <c:v>1.0071000000000001</c:v>
                </c:pt>
                <c:pt idx="54">
                  <c:v>1.0316000000000001</c:v>
                </c:pt>
                <c:pt idx="55">
                  <c:v>1.0227999999999999</c:v>
                </c:pt>
                <c:pt idx="56">
                  <c:v>1.0386</c:v>
                </c:pt>
                <c:pt idx="57">
                  <c:v>1.0135000000000001</c:v>
                </c:pt>
                <c:pt idx="58">
                  <c:v>1.0146999999999999</c:v>
                </c:pt>
                <c:pt idx="59">
                  <c:v>0.99109999999999998</c:v>
                </c:pt>
                <c:pt idx="60">
                  <c:v>0.96599999999999997</c:v>
                </c:pt>
                <c:pt idx="61">
                  <c:v>0.96120000000000005</c:v>
                </c:pt>
                <c:pt idx="62">
                  <c:v>0.98380000000000001</c:v>
                </c:pt>
                <c:pt idx="63">
                  <c:v>0.98640000000000005</c:v>
                </c:pt>
                <c:pt idx="64">
                  <c:v>0.97629999999999995</c:v>
                </c:pt>
                <c:pt idx="65">
                  <c:v>0.97889999999999999</c:v>
                </c:pt>
                <c:pt idx="66">
                  <c:v>0.99029999999999996</c:v>
                </c:pt>
                <c:pt idx="67">
                  <c:v>0.99890000000000001</c:v>
                </c:pt>
                <c:pt idx="68">
                  <c:v>0.9889</c:v>
                </c:pt>
                <c:pt idx="69">
                  <c:v>1.0031000000000001</c:v>
                </c:pt>
                <c:pt idx="70">
                  <c:v>0.98929999999999996</c:v>
                </c:pt>
                <c:pt idx="71">
                  <c:v>0.97160000000000002</c:v>
                </c:pt>
                <c:pt idx="72">
                  <c:v>0.97330000000000005</c:v>
                </c:pt>
                <c:pt idx="73">
                  <c:v>0.99339999999999995</c:v>
                </c:pt>
                <c:pt idx="74">
                  <c:v>0.99639999999999995</c:v>
                </c:pt>
                <c:pt idx="75">
                  <c:v>0.99970000000000003</c:v>
                </c:pt>
                <c:pt idx="76">
                  <c:v>0.99539999999999995</c:v>
                </c:pt>
                <c:pt idx="77">
                  <c:v>1.0038</c:v>
                </c:pt>
                <c:pt idx="78">
                  <c:v>1.0085</c:v>
                </c:pt>
                <c:pt idx="79">
                  <c:v>1.0147999999999999</c:v>
                </c:pt>
                <c:pt idx="80">
                  <c:v>1.0169999999999999</c:v>
                </c:pt>
                <c:pt idx="81">
                  <c:v>1.0195000000000001</c:v>
                </c:pt>
                <c:pt idx="82">
                  <c:v>1.018</c:v>
                </c:pt>
                <c:pt idx="83">
                  <c:v>0.99509999999999998</c:v>
                </c:pt>
                <c:pt idx="84">
                  <c:v>0.99250000000000005</c:v>
                </c:pt>
                <c:pt idx="85">
                  <c:v>1.0079</c:v>
                </c:pt>
                <c:pt idx="86">
                  <c:v>1.0064</c:v>
                </c:pt>
                <c:pt idx="87">
                  <c:v>1.0135000000000001</c:v>
                </c:pt>
                <c:pt idx="88">
                  <c:v>1.0324</c:v>
                </c:pt>
                <c:pt idx="89">
                  <c:v>1.032</c:v>
                </c:pt>
                <c:pt idx="90">
                  <c:v>1.0298</c:v>
                </c:pt>
                <c:pt idx="91">
                  <c:v>1.0341</c:v>
                </c:pt>
                <c:pt idx="92">
                  <c:v>1.0349999999999999</c:v>
                </c:pt>
                <c:pt idx="93">
                  <c:v>1.0309999999999999</c:v>
                </c:pt>
                <c:pt idx="94">
                  <c:v>1.0289999999999999</c:v>
                </c:pt>
                <c:pt idx="95">
                  <c:v>1.0358000000000001</c:v>
                </c:pt>
                <c:pt idx="96">
                  <c:v>1.0362</c:v>
                </c:pt>
                <c:pt idx="97">
                  <c:v>1.0309999999999999</c:v>
                </c:pt>
                <c:pt idx="98">
                  <c:v>1.0363</c:v>
                </c:pt>
                <c:pt idx="99">
                  <c:v>1.0299</c:v>
                </c:pt>
                <c:pt idx="100">
                  <c:v>1.0337000000000001</c:v>
                </c:pt>
                <c:pt idx="101">
                  <c:v>1.026</c:v>
                </c:pt>
                <c:pt idx="102">
                  <c:v>1.036</c:v>
                </c:pt>
                <c:pt idx="103">
                  <c:v>1.0215000000000001</c:v>
                </c:pt>
                <c:pt idx="104">
                  <c:v>1.0334000000000001</c:v>
                </c:pt>
                <c:pt idx="105">
                  <c:v>1.0435000000000001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29-4100-AB1C-A24DBB1F2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099824"/>
        <c:axId val="545100384"/>
      </c:lineChart>
      <c:catAx>
        <c:axId val="54509982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crossAx val="545100384"/>
        <c:crosses val="autoZero"/>
        <c:auto val="0"/>
        <c:lblAlgn val="ctr"/>
        <c:lblOffset val="100"/>
        <c:noMultiLvlLbl val="1"/>
      </c:catAx>
      <c:valAx>
        <c:axId val="545100384"/>
        <c:scaling>
          <c:orientation val="minMax"/>
          <c:min val="0.95000000000000007"/>
        </c:scaling>
        <c:delete val="0"/>
        <c:axPos val="l"/>
        <c:majorGridlines/>
        <c:numFmt formatCode="0.0000_ " sourceLinked="1"/>
        <c:majorTickMark val="none"/>
        <c:minorTickMark val="none"/>
        <c:tickLblPos val="nextTo"/>
        <c:spPr>
          <a:ln w="9525">
            <a:noFill/>
          </a:ln>
        </c:spPr>
        <c:crossAx val="54509982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4" l="0.70000000000000062" r="0.70000000000000062" t="0.750000000000004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 sz="1600"/>
              <a:t>远澜银杏</a:t>
            </a:r>
            <a:r>
              <a:rPr lang="en-US" altLang="zh-CN" sz="1600"/>
              <a:t>1</a:t>
            </a:r>
            <a:r>
              <a:rPr lang="zh-CN" altLang="en-US" sz="1600"/>
              <a:t>号</a:t>
            </a:r>
            <a:endParaRPr lang="en-US" altLang="zh-CN" sz="1600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银杏1号!$B$20</c:f>
              <c:strCache>
                <c:ptCount val="1"/>
                <c:pt idx="0">
                  <c:v>累计净值</c:v>
                </c:pt>
              </c:strCache>
            </c:strRef>
          </c:tx>
          <c:marker>
            <c:symbol val="none"/>
          </c:marker>
          <c:cat>
            <c:numRef>
              <c:f>银杏1号!$A$21:$A$207</c:f>
              <c:numCache>
                <c:formatCode>m/d/yyyy</c:formatCode>
                <c:ptCount val="187"/>
                <c:pt idx="0">
                  <c:v>44049</c:v>
                </c:pt>
                <c:pt idx="1">
                  <c:v>44050</c:v>
                </c:pt>
                <c:pt idx="2">
                  <c:v>44053</c:v>
                </c:pt>
                <c:pt idx="3">
                  <c:v>44054</c:v>
                </c:pt>
                <c:pt idx="4">
                  <c:v>44055</c:v>
                </c:pt>
                <c:pt idx="5">
                  <c:v>44056</c:v>
                </c:pt>
                <c:pt idx="6">
                  <c:v>44057</c:v>
                </c:pt>
                <c:pt idx="7">
                  <c:v>44060</c:v>
                </c:pt>
                <c:pt idx="8">
                  <c:v>44061</c:v>
                </c:pt>
                <c:pt idx="9">
                  <c:v>44062</c:v>
                </c:pt>
                <c:pt idx="10">
                  <c:v>44063</c:v>
                </c:pt>
                <c:pt idx="11">
                  <c:v>44064</c:v>
                </c:pt>
                <c:pt idx="12">
                  <c:v>44067</c:v>
                </c:pt>
                <c:pt idx="13">
                  <c:v>44068</c:v>
                </c:pt>
                <c:pt idx="14">
                  <c:v>44069</c:v>
                </c:pt>
                <c:pt idx="15">
                  <c:v>44070</c:v>
                </c:pt>
                <c:pt idx="16">
                  <c:v>44071</c:v>
                </c:pt>
                <c:pt idx="17">
                  <c:v>44074</c:v>
                </c:pt>
                <c:pt idx="18">
                  <c:v>44075</c:v>
                </c:pt>
                <c:pt idx="19">
                  <c:v>44076</c:v>
                </c:pt>
                <c:pt idx="20">
                  <c:v>44077</c:v>
                </c:pt>
                <c:pt idx="21">
                  <c:v>44078</c:v>
                </c:pt>
                <c:pt idx="22">
                  <c:v>44081</c:v>
                </c:pt>
                <c:pt idx="23">
                  <c:v>44082</c:v>
                </c:pt>
                <c:pt idx="24">
                  <c:v>44083</c:v>
                </c:pt>
                <c:pt idx="25">
                  <c:v>44084</c:v>
                </c:pt>
                <c:pt idx="26">
                  <c:v>44085</c:v>
                </c:pt>
                <c:pt idx="27">
                  <c:v>44088</c:v>
                </c:pt>
                <c:pt idx="28">
                  <c:v>44089</c:v>
                </c:pt>
                <c:pt idx="29">
                  <c:v>44090</c:v>
                </c:pt>
                <c:pt idx="30">
                  <c:v>44091</c:v>
                </c:pt>
                <c:pt idx="31">
                  <c:v>44092</c:v>
                </c:pt>
                <c:pt idx="32">
                  <c:v>44095</c:v>
                </c:pt>
                <c:pt idx="33">
                  <c:v>44096</c:v>
                </c:pt>
                <c:pt idx="34">
                  <c:v>44097</c:v>
                </c:pt>
                <c:pt idx="35">
                  <c:v>44098</c:v>
                </c:pt>
                <c:pt idx="36">
                  <c:v>44099</c:v>
                </c:pt>
                <c:pt idx="37">
                  <c:v>44102</c:v>
                </c:pt>
                <c:pt idx="38">
                  <c:v>44103</c:v>
                </c:pt>
                <c:pt idx="39">
                  <c:v>44104</c:v>
                </c:pt>
                <c:pt idx="40">
                  <c:v>44113</c:v>
                </c:pt>
                <c:pt idx="41">
                  <c:v>44116</c:v>
                </c:pt>
                <c:pt idx="42">
                  <c:v>44117</c:v>
                </c:pt>
                <c:pt idx="43">
                  <c:v>44118</c:v>
                </c:pt>
                <c:pt idx="44">
                  <c:v>44119</c:v>
                </c:pt>
                <c:pt idx="45">
                  <c:v>44120</c:v>
                </c:pt>
                <c:pt idx="46">
                  <c:v>44123</c:v>
                </c:pt>
                <c:pt idx="47">
                  <c:v>44124</c:v>
                </c:pt>
                <c:pt idx="48">
                  <c:v>44125</c:v>
                </c:pt>
                <c:pt idx="49">
                  <c:v>44126</c:v>
                </c:pt>
                <c:pt idx="50">
                  <c:v>44127</c:v>
                </c:pt>
                <c:pt idx="51">
                  <c:v>44130</c:v>
                </c:pt>
                <c:pt idx="52">
                  <c:v>44131</c:v>
                </c:pt>
                <c:pt idx="53">
                  <c:v>44132</c:v>
                </c:pt>
                <c:pt idx="54">
                  <c:v>44133</c:v>
                </c:pt>
                <c:pt idx="55">
                  <c:v>44134</c:v>
                </c:pt>
                <c:pt idx="56">
                  <c:v>44137</c:v>
                </c:pt>
                <c:pt idx="57">
                  <c:v>44138</c:v>
                </c:pt>
                <c:pt idx="58">
                  <c:v>44139</c:v>
                </c:pt>
                <c:pt idx="59">
                  <c:v>44140</c:v>
                </c:pt>
                <c:pt idx="60">
                  <c:v>44141</c:v>
                </c:pt>
                <c:pt idx="61">
                  <c:v>44144</c:v>
                </c:pt>
                <c:pt idx="62">
                  <c:v>44145</c:v>
                </c:pt>
                <c:pt idx="63">
                  <c:v>44146</c:v>
                </c:pt>
                <c:pt idx="64">
                  <c:v>44147</c:v>
                </c:pt>
                <c:pt idx="65">
                  <c:v>44148</c:v>
                </c:pt>
                <c:pt idx="66">
                  <c:v>44151</c:v>
                </c:pt>
                <c:pt idx="67">
                  <c:v>44152</c:v>
                </c:pt>
                <c:pt idx="68">
                  <c:v>44153</c:v>
                </c:pt>
                <c:pt idx="69">
                  <c:v>44154</c:v>
                </c:pt>
                <c:pt idx="70">
                  <c:v>44155</c:v>
                </c:pt>
                <c:pt idx="71">
                  <c:v>44158</c:v>
                </c:pt>
                <c:pt idx="72">
                  <c:v>44159</c:v>
                </c:pt>
                <c:pt idx="73">
                  <c:v>44160</c:v>
                </c:pt>
                <c:pt idx="74">
                  <c:v>44161</c:v>
                </c:pt>
                <c:pt idx="75">
                  <c:v>44162</c:v>
                </c:pt>
                <c:pt idx="76">
                  <c:v>44165</c:v>
                </c:pt>
                <c:pt idx="77">
                  <c:v>44166</c:v>
                </c:pt>
                <c:pt idx="78">
                  <c:v>44167</c:v>
                </c:pt>
                <c:pt idx="79">
                  <c:v>44168</c:v>
                </c:pt>
                <c:pt idx="80">
                  <c:v>44169</c:v>
                </c:pt>
                <c:pt idx="81">
                  <c:v>44172</c:v>
                </c:pt>
                <c:pt idx="82">
                  <c:v>44173</c:v>
                </c:pt>
                <c:pt idx="83">
                  <c:v>44174</c:v>
                </c:pt>
                <c:pt idx="84">
                  <c:v>44175</c:v>
                </c:pt>
                <c:pt idx="85">
                  <c:v>44176</c:v>
                </c:pt>
                <c:pt idx="86">
                  <c:v>44179</c:v>
                </c:pt>
                <c:pt idx="87">
                  <c:v>44180</c:v>
                </c:pt>
                <c:pt idx="88">
                  <c:v>44181</c:v>
                </c:pt>
                <c:pt idx="89">
                  <c:v>44182</c:v>
                </c:pt>
                <c:pt idx="90">
                  <c:v>44183</c:v>
                </c:pt>
                <c:pt idx="91">
                  <c:v>44186</c:v>
                </c:pt>
                <c:pt idx="92">
                  <c:v>44187</c:v>
                </c:pt>
                <c:pt idx="93">
                  <c:v>44188</c:v>
                </c:pt>
                <c:pt idx="94">
                  <c:v>44189</c:v>
                </c:pt>
                <c:pt idx="95">
                  <c:v>44190</c:v>
                </c:pt>
                <c:pt idx="96">
                  <c:v>44193</c:v>
                </c:pt>
                <c:pt idx="97">
                  <c:v>44194</c:v>
                </c:pt>
                <c:pt idx="98">
                  <c:v>44195</c:v>
                </c:pt>
                <c:pt idx="99">
                  <c:v>44196</c:v>
                </c:pt>
                <c:pt idx="100">
                  <c:v>44200</c:v>
                </c:pt>
                <c:pt idx="101">
                  <c:v>44201</c:v>
                </c:pt>
                <c:pt idx="102">
                  <c:v>44202</c:v>
                </c:pt>
                <c:pt idx="103">
                  <c:v>44203</c:v>
                </c:pt>
                <c:pt idx="104">
                  <c:v>44204</c:v>
                </c:pt>
                <c:pt idx="105">
                  <c:v>44207</c:v>
                </c:pt>
                <c:pt idx="106">
                  <c:v>44208</c:v>
                </c:pt>
                <c:pt idx="107">
                  <c:v>44209</c:v>
                </c:pt>
                <c:pt idx="108">
                  <c:v>44210</c:v>
                </c:pt>
                <c:pt idx="109">
                  <c:v>44211</c:v>
                </c:pt>
                <c:pt idx="110">
                  <c:v>44214</c:v>
                </c:pt>
                <c:pt idx="111">
                  <c:v>44215</c:v>
                </c:pt>
                <c:pt idx="112">
                  <c:v>44216</c:v>
                </c:pt>
                <c:pt idx="113">
                  <c:v>44217</c:v>
                </c:pt>
                <c:pt idx="114">
                  <c:v>44218</c:v>
                </c:pt>
                <c:pt idx="115">
                  <c:v>44221</c:v>
                </c:pt>
                <c:pt idx="116">
                  <c:v>44222</c:v>
                </c:pt>
                <c:pt idx="117">
                  <c:v>44223</c:v>
                </c:pt>
                <c:pt idx="118">
                  <c:v>44224</c:v>
                </c:pt>
                <c:pt idx="119">
                  <c:v>44225</c:v>
                </c:pt>
                <c:pt idx="120">
                  <c:v>44228</c:v>
                </c:pt>
                <c:pt idx="121">
                  <c:v>44229</c:v>
                </c:pt>
                <c:pt idx="122">
                  <c:v>44230</c:v>
                </c:pt>
                <c:pt idx="123">
                  <c:v>44231</c:v>
                </c:pt>
                <c:pt idx="124">
                  <c:v>44232</c:v>
                </c:pt>
                <c:pt idx="125">
                  <c:v>44235</c:v>
                </c:pt>
                <c:pt idx="126">
                  <c:v>44236</c:v>
                </c:pt>
                <c:pt idx="127">
                  <c:v>44237</c:v>
                </c:pt>
                <c:pt idx="128">
                  <c:v>44245</c:v>
                </c:pt>
                <c:pt idx="129">
                  <c:v>44246</c:v>
                </c:pt>
                <c:pt idx="130">
                  <c:v>44249</c:v>
                </c:pt>
                <c:pt idx="131">
                  <c:v>44250</c:v>
                </c:pt>
                <c:pt idx="132">
                  <c:v>44251</c:v>
                </c:pt>
                <c:pt idx="133">
                  <c:v>44252</c:v>
                </c:pt>
                <c:pt idx="134">
                  <c:v>44253</c:v>
                </c:pt>
                <c:pt idx="135">
                  <c:v>44256</c:v>
                </c:pt>
                <c:pt idx="136">
                  <c:v>44257</c:v>
                </c:pt>
                <c:pt idx="137">
                  <c:v>44258</c:v>
                </c:pt>
                <c:pt idx="138">
                  <c:v>44259</c:v>
                </c:pt>
                <c:pt idx="139">
                  <c:v>44260</c:v>
                </c:pt>
                <c:pt idx="140">
                  <c:v>44263</c:v>
                </c:pt>
                <c:pt idx="141">
                  <c:v>44264</c:v>
                </c:pt>
                <c:pt idx="142">
                  <c:v>44265</c:v>
                </c:pt>
                <c:pt idx="143">
                  <c:v>44266</c:v>
                </c:pt>
                <c:pt idx="144">
                  <c:v>44267</c:v>
                </c:pt>
                <c:pt idx="145">
                  <c:v>44270</c:v>
                </c:pt>
                <c:pt idx="146">
                  <c:v>44271</c:v>
                </c:pt>
                <c:pt idx="147">
                  <c:v>44272</c:v>
                </c:pt>
                <c:pt idx="148">
                  <c:v>44273</c:v>
                </c:pt>
                <c:pt idx="149">
                  <c:v>44274</c:v>
                </c:pt>
                <c:pt idx="150">
                  <c:v>44277</c:v>
                </c:pt>
                <c:pt idx="151">
                  <c:v>44278</c:v>
                </c:pt>
                <c:pt idx="152">
                  <c:v>44279</c:v>
                </c:pt>
                <c:pt idx="153">
                  <c:v>44280</c:v>
                </c:pt>
                <c:pt idx="154">
                  <c:v>44281</c:v>
                </c:pt>
                <c:pt idx="155">
                  <c:v>44284</c:v>
                </c:pt>
                <c:pt idx="156">
                  <c:v>44285</c:v>
                </c:pt>
                <c:pt idx="157">
                  <c:v>44286</c:v>
                </c:pt>
                <c:pt idx="158">
                  <c:v>44287</c:v>
                </c:pt>
                <c:pt idx="159">
                  <c:v>44288</c:v>
                </c:pt>
                <c:pt idx="160">
                  <c:v>44292</c:v>
                </c:pt>
                <c:pt idx="161">
                  <c:v>44293</c:v>
                </c:pt>
                <c:pt idx="162">
                  <c:v>44294</c:v>
                </c:pt>
                <c:pt idx="163">
                  <c:v>44295</c:v>
                </c:pt>
                <c:pt idx="164">
                  <c:v>44298</c:v>
                </c:pt>
                <c:pt idx="165">
                  <c:v>44299</c:v>
                </c:pt>
                <c:pt idx="166">
                  <c:v>44300</c:v>
                </c:pt>
                <c:pt idx="167">
                  <c:v>44301</c:v>
                </c:pt>
                <c:pt idx="168">
                  <c:v>44302</c:v>
                </c:pt>
                <c:pt idx="169">
                  <c:v>44305</c:v>
                </c:pt>
                <c:pt idx="170">
                  <c:v>44306</c:v>
                </c:pt>
                <c:pt idx="171">
                  <c:v>44307</c:v>
                </c:pt>
                <c:pt idx="172">
                  <c:v>44308</c:v>
                </c:pt>
                <c:pt idx="173">
                  <c:v>44309</c:v>
                </c:pt>
                <c:pt idx="174">
                  <c:v>44312</c:v>
                </c:pt>
                <c:pt idx="175">
                  <c:v>44313</c:v>
                </c:pt>
                <c:pt idx="176">
                  <c:v>44314</c:v>
                </c:pt>
                <c:pt idx="177">
                  <c:v>44315</c:v>
                </c:pt>
                <c:pt idx="178">
                  <c:v>44316</c:v>
                </c:pt>
                <c:pt idx="179">
                  <c:v>44322</c:v>
                </c:pt>
                <c:pt idx="180">
                  <c:v>44323</c:v>
                </c:pt>
                <c:pt idx="181">
                  <c:v>44326</c:v>
                </c:pt>
                <c:pt idx="182">
                  <c:v>44327</c:v>
                </c:pt>
                <c:pt idx="183">
                  <c:v>44328</c:v>
                </c:pt>
                <c:pt idx="184">
                  <c:v>44329</c:v>
                </c:pt>
                <c:pt idx="185">
                  <c:v>44330</c:v>
                </c:pt>
                <c:pt idx="186">
                  <c:v>44333</c:v>
                </c:pt>
              </c:numCache>
            </c:numRef>
          </c:cat>
          <c:val>
            <c:numRef>
              <c:f>银杏1号!$B$21:$B$207</c:f>
              <c:numCache>
                <c:formatCode>0.0000_ </c:formatCode>
                <c:ptCount val="187"/>
                <c:pt idx="0">
                  <c:v>1.4770000000000001</c:v>
                </c:pt>
                <c:pt idx="1">
                  <c:v>1.464</c:v>
                </c:pt>
                <c:pt idx="2">
                  <c:v>1.454</c:v>
                </c:pt>
                <c:pt idx="3">
                  <c:v>1.4510000000000001</c:v>
                </c:pt>
                <c:pt idx="4">
                  <c:v>1.43</c:v>
                </c:pt>
                <c:pt idx="5">
                  <c:v>1.427</c:v>
                </c:pt>
                <c:pt idx="6">
                  <c:v>1.4139999999999999</c:v>
                </c:pt>
                <c:pt idx="7">
                  <c:v>1.4179999999999999</c:v>
                </c:pt>
                <c:pt idx="8">
                  <c:v>1.4219999999999999</c:v>
                </c:pt>
                <c:pt idx="9">
                  <c:v>1.415</c:v>
                </c:pt>
                <c:pt idx="10">
                  <c:v>1.413</c:v>
                </c:pt>
                <c:pt idx="11">
                  <c:v>1.413</c:v>
                </c:pt>
                <c:pt idx="12">
                  <c:v>1.4039999999999999</c:v>
                </c:pt>
                <c:pt idx="13">
                  <c:v>1.4039999999999999</c:v>
                </c:pt>
                <c:pt idx="14">
                  <c:v>1.411</c:v>
                </c:pt>
                <c:pt idx="15">
                  <c:v>1.4039999999999999</c:v>
                </c:pt>
                <c:pt idx="16">
                  <c:v>1.399</c:v>
                </c:pt>
                <c:pt idx="17">
                  <c:v>1.411</c:v>
                </c:pt>
                <c:pt idx="18">
                  <c:v>1.4139999999999999</c:v>
                </c:pt>
                <c:pt idx="19">
                  <c:v>1.4119999999999999</c:v>
                </c:pt>
                <c:pt idx="20">
                  <c:v>1.4139999999999999</c:v>
                </c:pt>
                <c:pt idx="21">
                  <c:v>1.407</c:v>
                </c:pt>
                <c:pt idx="22">
                  <c:v>1.4139999999999999</c:v>
                </c:pt>
                <c:pt idx="23">
                  <c:v>1.409</c:v>
                </c:pt>
                <c:pt idx="24">
                  <c:v>1.423</c:v>
                </c:pt>
                <c:pt idx="25">
                  <c:v>1.423</c:v>
                </c:pt>
                <c:pt idx="26">
                  <c:v>1.421</c:v>
                </c:pt>
                <c:pt idx="27">
                  <c:v>1.417</c:v>
                </c:pt>
                <c:pt idx="28">
                  <c:v>1.42</c:v>
                </c:pt>
                <c:pt idx="29">
                  <c:v>1.419</c:v>
                </c:pt>
                <c:pt idx="30">
                  <c:v>1.421</c:v>
                </c:pt>
                <c:pt idx="31">
                  <c:v>1.43</c:v>
                </c:pt>
                <c:pt idx="32">
                  <c:v>1.4319999999999999</c:v>
                </c:pt>
                <c:pt idx="33">
                  <c:v>1.4419999999999999</c:v>
                </c:pt>
                <c:pt idx="34">
                  <c:v>1.4370000000000001</c:v>
                </c:pt>
                <c:pt idx="35">
                  <c:v>1.4430000000000001</c:v>
                </c:pt>
                <c:pt idx="36">
                  <c:v>1.4350000000000001</c:v>
                </c:pt>
                <c:pt idx="37">
                  <c:v>1.431</c:v>
                </c:pt>
                <c:pt idx="38">
                  <c:v>1.42</c:v>
                </c:pt>
                <c:pt idx="39">
                  <c:v>1.4259999999999999</c:v>
                </c:pt>
                <c:pt idx="40">
                  <c:v>1.43</c:v>
                </c:pt>
                <c:pt idx="41">
                  <c:v>1.4750000000000001</c:v>
                </c:pt>
                <c:pt idx="42">
                  <c:v>1.4770000000000001</c:v>
                </c:pt>
                <c:pt idx="43">
                  <c:v>1.4730000000000001</c:v>
                </c:pt>
                <c:pt idx="44">
                  <c:v>1.4690000000000001</c:v>
                </c:pt>
                <c:pt idx="45">
                  <c:v>1.456</c:v>
                </c:pt>
                <c:pt idx="46">
                  <c:v>1.46</c:v>
                </c:pt>
                <c:pt idx="47">
                  <c:v>1.456</c:v>
                </c:pt>
                <c:pt idx="48">
                  <c:v>1.454</c:v>
                </c:pt>
                <c:pt idx="49">
                  <c:v>1.45</c:v>
                </c:pt>
                <c:pt idx="50">
                  <c:v>1.4470000000000001</c:v>
                </c:pt>
                <c:pt idx="51">
                  <c:v>1.448</c:v>
                </c:pt>
                <c:pt idx="52">
                  <c:v>1.4550000000000001</c:v>
                </c:pt>
                <c:pt idx="53">
                  <c:v>1.446</c:v>
                </c:pt>
                <c:pt idx="54">
                  <c:v>1.4590000000000001</c:v>
                </c:pt>
                <c:pt idx="55">
                  <c:v>1.4710000000000001</c:v>
                </c:pt>
                <c:pt idx="56">
                  <c:v>1.486</c:v>
                </c:pt>
                <c:pt idx="57">
                  <c:v>1.4850000000000001</c:v>
                </c:pt>
                <c:pt idx="58">
                  <c:v>1.4870000000000001</c:v>
                </c:pt>
                <c:pt idx="59">
                  <c:v>1.4870000000000001</c:v>
                </c:pt>
                <c:pt idx="60">
                  <c:v>1.4970000000000001</c:v>
                </c:pt>
                <c:pt idx="61">
                  <c:v>1.5209999999999999</c:v>
                </c:pt>
                <c:pt idx="62">
                  <c:v>1.5069999999999999</c:v>
                </c:pt>
                <c:pt idx="63">
                  <c:v>1.4990000000000001</c:v>
                </c:pt>
                <c:pt idx="64">
                  <c:v>1.5</c:v>
                </c:pt>
                <c:pt idx="65">
                  <c:v>1.504</c:v>
                </c:pt>
                <c:pt idx="66">
                  <c:v>1.516</c:v>
                </c:pt>
                <c:pt idx="67">
                  <c:v>1.5249999999999999</c:v>
                </c:pt>
                <c:pt idx="68">
                  <c:v>1.54</c:v>
                </c:pt>
                <c:pt idx="69">
                  <c:v>1.55</c:v>
                </c:pt>
                <c:pt idx="70">
                  <c:v>1.5529999999999999</c:v>
                </c:pt>
                <c:pt idx="71">
                  <c:v>1.5509999999999999</c:v>
                </c:pt>
                <c:pt idx="72">
                  <c:v>1.55</c:v>
                </c:pt>
                <c:pt idx="73">
                  <c:v>1.56</c:v>
                </c:pt>
                <c:pt idx="74">
                  <c:v>1.5589999999999999</c:v>
                </c:pt>
                <c:pt idx="75">
                  <c:v>1.57</c:v>
                </c:pt>
                <c:pt idx="76">
                  <c:v>1.5760000000000001</c:v>
                </c:pt>
                <c:pt idx="77">
                  <c:v>1.5820000000000001</c:v>
                </c:pt>
                <c:pt idx="78">
                  <c:v>1.5960000000000001</c:v>
                </c:pt>
                <c:pt idx="79">
                  <c:v>1.5860000000000001</c:v>
                </c:pt>
                <c:pt idx="80">
                  <c:v>1.57</c:v>
                </c:pt>
                <c:pt idx="81">
                  <c:v>1.5940000000000001</c:v>
                </c:pt>
                <c:pt idx="82">
                  <c:v>1.6</c:v>
                </c:pt>
                <c:pt idx="83">
                  <c:v>1.6160000000000001</c:v>
                </c:pt>
                <c:pt idx="84">
                  <c:v>1.6479999999999999</c:v>
                </c:pt>
                <c:pt idx="85">
                  <c:v>1.671</c:v>
                </c:pt>
                <c:pt idx="86">
                  <c:v>1.6579999999999999</c:v>
                </c:pt>
                <c:pt idx="87">
                  <c:v>1.655</c:v>
                </c:pt>
                <c:pt idx="88">
                  <c:v>1.659</c:v>
                </c:pt>
                <c:pt idx="89">
                  <c:v>1.6639999999999999</c:v>
                </c:pt>
                <c:pt idx="90">
                  <c:v>1.681</c:v>
                </c:pt>
                <c:pt idx="91">
                  <c:v>1.6970000000000001</c:v>
                </c:pt>
                <c:pt idx="92">
                  <c:v>1.6879999999999999</c:v>
                </c:pt>
                <c:pt idx="93">
                  <c:v>1.6859999999999999</c:v>
                </c:pt>
                <c:pt idx="94">
                  <c:v>1.6839999999999999</c:v>
                </c:pt>
                <c:pt idx="95">
                  <c:v>1.68</c:v>
                </c:pt>
                <c:pt idx="96">
                  <c:v>1.667</c:v>
                </c:pt>
                <c:pt idx="97">
                  <c:v>1.6519999999999999</c:v>
                </c:pt>
                <c:pt idx="98">
                  <c:v>1.655</c:v>
                </c:pt>
                <c:pt idx="99">
                  <c:v>1.6619999999999999</c:v>
                </c:pt>
                <c:pt idx="100">
                  <c:v>1.669</c:v>
                </c:pt>
                <c:pt idx="101">
                  <c:v>1.69</c:v>
                </c:pt>
                <c:pt idx="102">
                  <c:v>1.6879999999999999</c:v>
                </c:pt>
                <c:pt idx="103">
                  <c:v>1.696</c:v>
                </c:pt>
                <c:pt idx="104">
                  <c:v>1.702</c:v>
                </c:pt>
                <c:pt idx="105">
                  <c:v>1.7</c:v>
                </c:pt>
                <c:pt idx="106">
                  <c:v>1.6990000000000001</c:v>
                </c:pt>
                <c:pt idx="107">
                  <c:v>1.6850000000000001</c:v>
                </c:pt>
                <c:pt idx="108">
                  <c:v>1.677</c:v>
                </c:pt>
                <c:pt idx="109">
                  <c:v>1.67</c:v>
                </c:pt>
                <c:pt idx="110">
                  <c:v>1.657</c:v>
                </c:pt>
                <c:pt idx="111">
                  <c:v>1.655</c:v>
                </c:pt>
                <c:pt idx="112">
                  <c:v>1.645</c:v>
                </c:pt>
                <c:pt idx="113">
                  <c:v>1.6319999999999999</c:v>
                </c:pt>
                <c:pt idx="114">
                  <c:v>1.639</c:v>
                </c:pt>
                <c:pt idx="115">
                  <c:v>1.635</c:v>
                </c:pt>
                <c:pt idx="116">
                  <c:v>1.6359999999999999</c:v>
                </c:pt>
                <c:pt idx="117">
                  <c:v>1.6279999999999999</c:v>
                </c:pt>
                <c:pt idx="118">
                  <c:v>1.6359999999999999</c:v>
                </c:pt>
                <c:pt idx="119">
                  <c:v>1.635</c:v>
                </c:pt>
                <c:pt idx="120">
                  <c:v>1.609</c:v>
                </c:pt>
                <c:pt idx="121">
                  <c:v>1.615</c:v>
                </c:pt>
                <c:pt idx="122">
                  <c:v>1.6160000000000001</c:v>
                </c:pt>
                <c:pt idx="123">
                  <c:v>1.6060000000000001</c:v>
                </c:pt>
                <c:pt idx="124">
                  <c:v>1.617</c:v>
                </c:pt>
                <c:pt idx="125">
                  <c:v>1.6220000000000001</c:v>
                </c:pt>
                <c:pt idx="126">
                  <c:v>1.63</c:v>
                </c:pt>
                <c:pt idx="127">
                  <c:v>1.635</c:v>
                </c:pt>
                <c:pt idx="128">
                  <c:v>1.6779999999999999</c:v>
                </c:pt>
                <c:pt idx="129">
                  <c:v>1.69</c:v>
                </c:pt>
                <c:pt idx="130">
                  <c:v>1.7370000000000001</c:v>
                </c:pt>
                <c:pt idx="131">
                  <c:v>1.7509999999999999</c:v>
                </c:pt>
                <c:pt idx="132">
                  <c:v>1.752</c:v>
                </c:pt>
                <c:pt idx="133">
                  <c:v>1.774</c:v>
                </c:pt>
                <c:pt idx="134">
                  <c:v>1.7529999999999999</c:v>
                </c:pt>
                <c:pt idx="135">
                  <c:v>1.7589999999999999</c:v>
                </c:pt>
                <c:pt idx="136">
                  <c:v>1.7549999999999999</c:v>
                </c:pt>
                <c:pt idx="137">
                  <c:v>1.7629999999999999</c:v>
                </c:pt>
                <c:pt idx="138">
                  <c:v>1.764</c:v>
                </c:pt>
                <c:pt idx="139">
                  <c:v>1.746</c:v>
                </c:pt>
                <c:pt idx="140">
                  <c:v>1.7669999999999999</c:v>
                </c:pt>
                <c:pt idx="141">
                  <c:v>1.7649999999999999</c:v>
                </c:pt>
                <c:pt idx="142">
                  <c:v>1.7589999999999999</c:v>
                </c:pt>
                <c:pt idx="143">
                  <c:v>1.7529999999999999</c:v>
                </c:pt>
                <c:pt idx="144">
                  <c:v>1.7450000000000001</c:v>
                </c:pt>
                <c:pt idx="145">
                  <c:v>1.728</c:v>
                </c:pt>
                <c:pt idx="146">
                  <c:v>1.7310000000000001</c:v>
                </c:pt>
                <c:pt idx="147">
                  <c:v>1.712</c:v>
                </c:pt>
                <c:pt idx="148">
                  <c:v>1.7090000000000001</c:v>
                </c:pt>
                <c:pt idx="149">
                  <c:v>1.7130000000000001</c:v>
                </c:pt>
                <c:pt idx="150">
                  <c:v>1.7170000000000001</c:v>
                </c:pt>
                <c:pt idx="151">
                  <c:v>1.734</c:v>
                </c:pt>
                <c:pt idx="152">
                  <c:v>1.742</c:v>
                </c:pt>
                <c:pt idx="153">
                  <c:v>1.742</c:v>
                </c:pt>
                <c:pt idx="154">
                  <c:v>1.7370000000000001</c:v>
                </c:pt>
                <c:pt idx="155">
                  <c:v>1.7410000000000001</c:v>
                </c:pt>
                <c:pt idx="156">
                  <c:v>1.748</c:v>
                </c:pt>
                <c:pt idx="157">
                  <c:v>1.748</c:v>
                </c:pt>
                <c:pt idx="158">
                  <c:v>1.736</c:v>
                </c:pt>
                <c:pt idx="159">
                  <c:v>1.7330000000000001</c:v>
                </c:pt>
                <c:pt idx="160">
                  <c:v>1.7430000000000001</c:v>
                </c:pt>
                <c:pt idx="161">
                  <c:v>1.732</c:v>
                </c:pt>
                <c:pt idx="162">
                  <c:v>1.7130000000000001</c:v>
                </c:pt>
                <c:pt idx="163">
                  <c:v>1.7110000000000001</c:v>
                </c:pt>
                <c:pt idx="164">
                  <c:v>1.6919999999999999</c:v>
                </c:pt>
                <c:pt idx="165">
                  <c:v>1.7</c:v>
                </c:pt>
                <c:pt idx="166">
                  <c:v>1.704</c:v>
                </c:pt>
                <c:pt idx="167">
                  <c:v>1.7030000000000001</c:v>
                </c:pt>
                <c:pt idx="168">
                  <c:v>1.7170000000000001</c:v>
                </c:pt>
                <c:pt idx="169">
                  <c:v>1.7210000000000001</c:v>
                </c:pt>
                <c:pt idx="170">
                  <c:v>1.718</c:v>
                </c:pt>
                <c:pt idx="171">
                  <c:v>1.724</c:v>
                </c:pt>
                <c:pt idx="172">
                  <c:v>1.7410000000000001</c:v>
                </c:pt>
                <c:pt idx="173">
                  <c:v>1.7410000000000001</c:v>
                </c:pt>
                <c:pt idx="174">
                  <c:v>1.748</c:v>
                </c:pt>
                <c:pt idx="175">
                  <c:v>1.7609999999999999</c:v>
                </c:pt>
                <c:pt idx="176">
                  <c:v>1.744</c:v>
                </c:pt>
                <c:pt idx="177">
                  <c:v>1.7509999999999999</c:v>
                </c:pt>
                <c:pt idx="178">
                  <c:v>1.738</c:v>
                </c:pt>
                <c:pt idx="179">
                  <c:v>1.7629999999999999</c:v>
                </c:pt>
                <c:pt idx="180">
                  <c:v>1.827</c:v>
                </c:pt>
                <c:pt idx="181">
                  <c:v>1.879</c:v>
                </c:pt>
                <c:pt idx="182">
                  <c:v>1.891</c:v>
                </c:pt>
                <c:pt idx="183">
                  <c:v>1.9139999999999999</c:v>
                </c:pt>
                <c:pt idx="184">
                  <c:v>1.903</c:v>
                </c:pt>
                <c:pt idx="185">
                  <c:v>1.8839999999999999</c:v>
                </c:pt>
                <c:pt idx="186">
                  <c:v>1.8740000000000001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FE-4649-B7AE-C1273AA17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099824"/>
        <c:axId val="545100384"/>
      </c:lineChart>
      <c:catAx>
        <c:axId val="54509982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crossAx val="545100384"/>
        <c:crosses val="autoZero"/>
        <c:auto val="0"/>
        <c:lblAlgn val="ctr"/>
        <c:lblOffset val="100"/>
        <c:noMultiLvlLbl val="1"/>
      </c:catAx>
      <c:valAx>
        <c:axId val="545100384"/>
        <c:scaling>
          <c:orientation val="minMax"/>
          <c:min val="1.3900000000000001"/>
        </c:scaling>
        <c:delete val="0"/>
        <c:axPos val="l"/>
        <c:majorGridlines/>
        <c:numFmt formatCode="0.0000_ " sourceLinked="1"/>
        <c:majorTickMark val="none"/>
        <c:minorTickMark val="none"/>
        <c:tickLblPos val="nextTo"/>
        <c:spPr>
          <a:ln w="9525">
            <a:noFill/>
          </a:ln>
        </c:spPr>
        <c:crossAx val="545099824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0000000000004" l="0.70000000000000062" r="0.70000000000000062" t="0.750000000000004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 sz="1600"/>
              <a:t>玉数聚配专享</a:t>
            </a:r>
            <a:r>
              <a:rPr lang="en-US" altLang="zh-CN" sz="1600"/>
              <a:t>2</a:t>
            </a:r>
            <a:r>
              <a:rPr lang="zh-CN" altLang="en-US" sz="1600"/>
              <a:t>号</a:t>
            </a:r>
            <a:endParaRPr lang="en-US" altLang="zh-CN" sz="16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玉数聚配专享2号!$B$20</c:f>
              <c:strCache>
                <c:ptCount val="1"/>
                <c:pt idx="0">
                  <c:v>累计净值</c:v>
                </c:pt>
              </c:strCache>
            </c:strRef>
          </c:tx>
          <c:marker>
            <c:symbol val="none"/>
          </c:marker>
          <c:cat>
            <c:numRef>
              <c:f>玉数聚配专享2号!$A$21:$A$189</c:f>
              <c:numCache>
                <c:formatCode>m/d/yyyy</c:formatCode>
                <c:ptCount val="169"/>
                <c:pt idx="0">
                  <c:v>44074</c:v>
                </c:pt>
                <c:pt idx="1">
                  <c:v>44075</c:v>
                </c:pt>
                <c:pt idx="2">
                  <c:v>44076</c:v>
                </c:pt>
                <c:pt idx="3">
                  <c:v>44077</c:v>
                </c:pt>
                <c:pt idx="4">
                  <c:v>44078</c:v>
                </c:pt>
                <c:pt idx="5">
                  <c:v>44081</c:v>
                </c:pt>
                <c:pt idx="6">
                  <c:v>44082</c:v>
                </c:pt>
                <c:pt idx="7">
                  <c:v>44083</c:v>
                </c:pt>
                <c:pt idx="8">
                  <c:v>44084</c:v>
                </c:pt>
                <c:pt idx="9">
                  <c:v>44085</c:v>
                </c:pt>
                <c:pt idx="10">
                  <c:v>44088</c:v>
                </c:pt>
                <c:pt idx="11">
                  <c:v>44089</c:v>
                </c:pt>
                <c:pt idx="12">
                  <c:v>44090</c:v>
                </c:pt>
                <c:pt idx="13">
                  <c:v>44091</c:v>
                </c:pt>
                <c:pt idx="14">
                  <c:v>44092</c:v>
                </c:pt>
                <c:pt idx="15">
                  <c:v>44095</c:v>
                </c:pt>
                <c:pt idx="16">
                  <c:v>44096</c:v>
                </c:pt>
                <c:pt idx="17">
                  <c:v>44097</c:v>
                </c:pt>
                <c:pt idx="18">
                  <c:v>44098</c:v>
                </c:pt>
                <c:pt idx="19">
                  <c:v>44099</c:v>
                </c:pt>
                <c:pt idx="20">
                  <c:v>44102</c:v>
                </c:pt>
                <c:pt idx="21">
                  <c:v>44103</c:v>
                </c:pt>
                <c:pt idx="22">
                  <c:v>44104</c:v>
                </c:pt>
                <c:pt idx="23">
                  <c:v>44113</c:v>
                </c:pt>
                <c:pt idx="24">
                  <c:v>44116</c:v>
                </c:pt>
                <c:pt idx="25">
                  <c:v>44117</c:v>
                </c:pt>
                <c:pt idx="26">
                  <c:v>44118</c:v>
                </c:pt>
                <c:pt idx="27">
                  <c:v>44119</c:v>
                </c:pt>
                <c:pt idx="28">
                  <c:v>44120</c:v>
                </c:pt>
                <c:pt idx="29">
                  <c:v>44123</c:v>
                </c:pt>
                <c:pt idx="30">
                  <c:v>44124</c:v>
                </c:pt>
                <c:pt idx="31">
                  <c:v>44125</c:v>
                </c:pt>
                <c:pt idx="32">
                  <c:v>44126</c:v>
                </c:pt>
                <c:pt idx="33">
                  <c:v>44127</c:v>
                </c:pt>
                <c:pt idx="34">
                  <c:v>44130</c:v>
                </c:pt>
                <c:pt idx="35">
                  <c:v>44131</c:v>
                </c:pt>
                <c:pt idx="36">
                  <c:v>44132</c:v>
                </c:pt>
                <c:pt idx="37">
                  <c:v>44133</c:v>
                </c:pt>
                <c:pt idx="38">
                  <c:v>44134</c:v>
                </c:pt>
                <c:pt idx="39">
                  <c:v>44137</c:v>
                </c:pt>
                <c:pt idx="40">
                  <c:v>44138</c:v>
                </c:pt>
                <c:pt idx="41">
                  <c:v>44139</c:v>
                </c:pt>
                <c:pt idx="42">
                  <c:v>44140</c:v>
                </c:pt>
                <c:pt idx="43">
                  <c:v>44141</c:v>
                </c:pt>
                <c:pt idx="44">
                  <c:v>44144</c:v>
                </c:pt>
                <c:pt idx="45">
                  <c:v>44145</c:v>
                </c:pt>
                <c:pt idx="46">
                  <c:v>44146</c:v>
                </c:pt>
                <c:pt idx="47">
                  <c:v>44147</c:v>
                </c:pt>
                <c:pt idx="48">
                  <c:v>44148</c:v>
                </c:pt>
                <c:pt idx="49">
                  <c:v>44151</c:v>
                </c:pt>
                <c:pt idx="50">
                  <c:v>44152</c:v>
                </c:pt>
                <c:pt idx="51">
                  <c:v>44153</c:v>
                </c:pt>
                <c:pt idx="52">
                  <c:v>44154</c:v>
                </c:pt>
                <c:pt idx="53">
                  <c:v>44155</c:v>
                </c:pt>
                <c:pt idx="54">
                  <c:v>44158</c:v>
                </c:pt>
                <c:pt idx="55">
                  <c:v>44159</c:v>
                </c:pt>
                <c:pt idx="56">
                  <c:v>44160</c:v>
                </c:pt>
                <c:pt idx="57">
                  <c:v>44161</c:v>
                </c:pt>
                <c:pt idx="58">
                  <c:v>44162</c:v>
                </c:pt>
                <c:pt idx="59">
                  <c:v>44165</c:v>
                </c:pt>
                <c:pt idx="60">
                  <c:v>44166</c:v>
                </c:pt>
                <c:pt idx="61">
                  <c:v>44167</c:v>
                </c:pt>
                <c:pt idx="62">
                  <c:v>44168</c:v>
                </c:pt>
                <c:pt idx="63">
                  <c:v>44169</c:v>
                </c:pt>
                <c:pt idx="64">
                  <c:v>44172</c:v>
                </c:pt>
                <c:pt idx="65">
                  <c:v>44173</c:v>
                </c:pt>
                <c:pt idx="66">
                  <c:v>44174</c:v>
                </c:pt>
                <c:pt idx="67">
                  <c:v>44175</c:v>
                </c:pt>
                <c:pt idx="68">
                  <c:v>44176</c:v>
                </c:pt>
                <c:pt idx="69">
                  <c:v>44179</c:v>
                </c:pt>
                <c:pt idx="70">
                  <c:v>44180</c:v>
                </c:pt>
                <c:pt idx="71">
                  <c:v>44181</c:v>
                </c:pt>
                <c:pt idx="72">
                  <c:v>44182</c:v>
                </c:pt>
                <c:pt idx="73">
                  <c:v>44183</c:v>
                </c:pt>
                <c:pt idx="74">
                  <c:v>44186</c:v>
                </c:pt>
                <c:pt idx="75">
                  <c:v>44187</c:v>
                </c:pt>
                <c:pt idx="76">
                  <c:v>44188</c:v>
                </c:pt>
                <c:pt idx="77">
                  <c:v>44189</c:v>
                </c:pt>
                <c:pt idx="78">
                  <c:v>44190</c:v>
                </c:pt>
                <c:pt idx="79">
                  <c:v>44193</c:v>
                </c:pt>
                <c:pt idx="80">
                  <c:v>44194</c:v>
                </c:pt>
                <c:pt idx="81">
                  <c:v>44195</c:v>
                </c:pt>
                <c:pt idx="82">
                  <c:v>44196</c:v>
                </c:pt>
                <c:pt idx="83">
                  <c:v>44200</c:v>
                </c:pt>
                <c:pt idx="84">
                  <c:v>44201</c:v>
                </c:pt>
                <c:pt idx="85">
                  <c:v>44202</c:v>
                </c:pt>
                <c:pt idx="86">
                  <c:v>44203</c:v>
                </c:pt>
                <c:pt idx="87">
                  <c:v>44204</c:v>
                </c:pt>
                <c:pt idx="88">
                  <c:v>44207</c:v>
                </c:pt>
                <c:pt idx="89">
                  <c:v>44208</c:v>
                </c:pt>
                <c:pt idx="90">
                  <c:v>44209</c:v>
                </c:pt>
                <c:pt idx="91">
                  <c:v>44210</c:v>
                </c:pt>
                <c:pt idx="92">
                  <c:v>44211</c:v>
                </c:pt>
                <c:pt idx="93">
                  <c:v>44214</c:v>
                </c:pt>
                <c:pt idx="94">
                  <c:v>44215</c:v>
                </c:pt>
                <c:pt idx="95">
                  <c:v>44216</c:v>
                </c:pt>
                <c:pt idx="96">
                  <c:v>44217</c:v>
                </c:pt>
                <c:pt idx="97">
                  <c:v>44218</c:v>
                </c:pt>
                <c:pt idx="98">
                  <c:v>44221</c:v>
                </c:pt>
                <c:pt idx="99">
                  <c:v>44222</c:v>
                </c:pt>
                <c:pt idx="100">
                  <c:v>44223</c:v>
                </c:pt>
                <c:pt idx="101">
                  <c:v>44224</c:v>
                </c:pt>
                <c:pt idx="102">
                  <c:v>44225</c:v>
                </c:pt>
                <c:pt idx="103">
                  <c:v>44228</c:v>
                </c:pt>
                <c:pt idx="104">
                  <c:v>44229</c:v>
                </c:pt>
                <c:pt idx="105">
                  <c:v>44230</c:v>
                </c:pt>
                <c:pt idx="106">
                  <c:v>44231</c:v>
                </c:pt>
                <c:pt idx="107">
                  <c:v>44232</c:v>
                </c:pt>
                <c:pt idx="108">
                  <c:v>44235</c:v>
                </c:pt>
                <c:pt idx="109">
                  <c:v>44236</c:v>
                </c:pt>
                <c:pt idx="110">
                  <c:v>44237</c:v>
                </c:pt>
                <c:pt idx="111">
                  <c:v>44245</c:v>
                </c:pt>
                <c:pt idx="112">
                  <c:v>44246</c:v>
                </c:pt>
                <c:pt idx="113">
                  <c:v>44249</c:v>
                </c:pt>
                <c:pt idx="114">
                  <c:v>44250</c:v>
                </c:pt>
                <c:pt idx="115">
                  <c:v>44251</c:v>
                </c:pt>
                <c:pt idx="116">
                  <c:v>44252</c:v>
                </c:pt>
                <c:pt idx="117">
                  <c:v>44253</c:v>
                </c:pt>
                <c:pt idx="118">
                  <c:v>44256</c:v>
                </c:pt>
                <c:pt idx="119">
                  <c:v>44257</c:v>
                </c:pt>
                <c:pt idx="120">
                  <c:v>44258</c:v>
                </c:pt>
                <c:pt idx="121">
                  <c:v>44259</c:v>
                </c:pt>
                <c:pt idx="122">
                  <c:v>44260</c:v>
                </c:pt>
                <c:pt idx="123">
                  <c:v>44263</c:v>
                </c:pt>
                <c:pt idx="124">
                  <c:v>44264</c:v>
                </c:pt>
                <c:pt idx="125">
                  <c:v>44265</c:v>
                </c:pt>
                <c:pt idx="126">
                  <c:v>44266</c:v>
                </c:pt>
                <c:pt idx="127">
                  <c:v>44267</c:v>
                </c:pt>
                <c:pt idx="128">
                  <c:v>44270</c:v>
                </c:pt>
                <c:pt idx="129">
                  <c:v>44271</c:v>
                </c:pt>
                <c:pt idx="130">
                  <c:v>44272</c:v>
                </c:pt>
                <c:pt idx="131">
                  <c:v>44273</c:v>
                </c:pt>
                <c:pt idx="132">
                  <c:v>44274</c:v>
                </c:pt>
                <c:pt idx="133">
                  <c:v>44277</c:v>
                </c:pt>
                <c:pt idx="134">
                  <c:v>44278</c:v>
                </c:pt>
                <c:pt idx="135">
                  <c:v>44279</c:v>
                </c:pt>
                <c:pt idx="136">
                  <c:v>44280</c:v>
                </c:pt>
                <c:pt idx="137">
                  <c:v>44281</c:v>
                </c:pt>
                <c:pt idx="138">
                  <c:v>44284</c:v>
                </c:pt>
                <c:pt idx="139">
                  <c:v>44285</c:v>
                </c:pt>
                <c:pt idx="140">
                  <c:v>44286</c:v>
                </c:pt>
                <c:pt idx="141">
                  <c:v>44287</c:v>
                </c:pt>
                <c:pt idx="142">
                  <c:v>44288</c:v>
                </c:pt>
                <c:pt idx="143">
                  <c:v>44292</c:v>
                </c:pt>
                <c:pt idx="144">
                  <c:v>44293</c:v>
                </c:pt>
                <c:pt idx="145">
                  <c:v>44294</c:v>
                </c:pt>
                <c:pt idx="146">
                  <c:v>44295</c:v>
                </c:pt>
                <c:pt idx="147">
                  <c:v>44298</c:v>
                </c:pt>
                <c:pt idx="148">
                  <c:v>44299</c:v>
                </c:pt>
                <c:pt idx="149">
                  <c:v>44300</c:v>
                </c:pt>
                <c:pt idx="150">
                  <c:v>44301</c:v>
                </c:pt>
                <c:pt idx="151">
                  <c:v>44302</c:v>
                </c:pt>
                <c:pt idx="152">
                  <c:v>44305</c:v>
                </c:pt>
                <c:pt idx="153">
                  <c:v>44306</c:v>
                </c:pt>
                <c:pt idx="154">
                  <c:v>44307</c:v>
                </c:pt>
                <c:pt idx="155">
                  <c:v>44308</c:v>
                </c:pt>
                <c:pt idx="156">
                  <c:v>44309</c:v>
                </c:pt>
                <c:pt idx="157">
                  <c:v>44312</c:v>
                </c:pt>
                <c:pt idx="158">
                  <c:v>44313</c:v>
                </c:pt>
                <c:pt idx="159">
                  <c:v>44314</c:v>
                </c:pt>
                <c:pt idx="160">
                  <c:v>44315</c:v>
                </c:pt>
                <c:pt idx="161">
                  <c:v>44316</c:v>
                </c:pt>
                <c:pt idx="162">
                  <c:v>44322</c:v>
                </c:pt>
                <c:pt idx="163">
                  <c:v>44323</c:v>
                </c:pt>
                <c:pt idx="164">
                  <c:v>44326</c:v>
                </c:pt>
                <c:pt idx="165">
                  <c:v>44327</c:v>
                </c:pt>
                <c:pt idx="166">
                  <c:v>44328</c:v>
                </c:pt>
                <c:pt idx="167">
                  <c:v>44329</c:v>
                </c:pt>
                <c:pt idx="168">
                  <c:v>44330</c:v>
                </c:pt>
              </c:numCache>
            </c:numRef>
          </c:cat>
          <c:val>
            <c:numRef>
              <c:f>玉数聚配专享2号!$B$21:$B$189</c:f>
              <c:numCache>
                <c:formatCode>0.0000_ </c:formatCode>
                <c:ptCount val="169"/>
                <c:pt idx="0">
                  <c:v>1.0009999999999999</c:v>
                </c:pt>
                <c:pt idx="1">
                  <c:v>1.0069999999999999</c:v>
                </c:pt>
                <c:pt idx="2">
                  <c:v>1.0109999999999999</c:v>
                </c:pt>
                <c:pt idx="3">
                  <c:v>1.016</c:v>
                </c:pt>
                <c:pt idx="4">
                  <c:v>1.022</c:v>
                </c:pt>
                <c:pt idx="5">
                  <c:v>1.0229999999999999</c:v>
                </c:pt>
                <c:pt idx="6">
                  <c:v>1.0229999999999999</c:v>
                </c:pt>
                <c:pt idx="7">
                  <c:v>1.0229999999999999</c:v>
                </c:pt>
                <c:pt idx="8">
                  <c:v>1.024</c:v>
                </c:pt>
                <c:pt idx="9">
                  <c:v>1.0249999999999999</c:v>
                </c:pt>
                <c:pt idx="10">
                  <c:v>1.0309999999999999</c:v>
                </c:pt>
                <c:pt idx="11">
                  <c:v>1.028</c:v>
                </c:pt>
                <c:pt idx="12">
                  <c:v>1.0189999999999999</c:v>
                </c:pt>
                <c:pt idx="13">
                  <c:v>1.026</c:v>
                </c:pt>
                <c:pt idx="14">
                  <c:v>1.0169999999999999</c:v>
                </c:pt>
                <c:pt idx="15">
                  <c:v>1</c:v>
                </c:pt>
                <c:pt idx="16">
                  <c:v>1</c:v>
                </c:pt>
                <c:pt idx="17">
                  <c:v>0.996</c:v>
                </c:pt>
                <c:pt idx="18">
                  <c:v>0.98899999999999999</c:v>
                </c:pt>
                <c:pt idx="19">
                  <c:v>0.98499999999999999</c:v>
                </c:pt>
                <c:pt idx="20">
                  <c:v>0.98399999999999999</c:v>
                </c:pt>
                <c:pt idx="21">
                  <c:v>0.99299999999999999</c:v>
                </c:pt>
                <c:pt idx="22">
                  <c:v>0.98599999999999999</c:v>
                </c:pt>
                <c:pt idx="23">
                  <c:v>0.98199999999999998</c:v>
                </c:pt>
                <c:pt idx="24">
                  <c:v>0.96099999999999997</c:v>
                </c:pt>
                <c:pt idx="25">
                  <c:v>0.96899999999999997</c:v>
                </c:pt>
                <c:pt idx="26">
                  <c:v>0.96799999999999997</c:v>
                </c:pt>
                <c:pt idx="27">
                  <c:v>0.97199999999999998</c:v>
                </c:pt>
                <c:pt idx="28">
                  <c:v>0.97</c:v>
                </c:pt>
                <c:pt idx="29">
                  <c:v>0.96699999999999997</c:v>
                </c:pt>
                <c:pt idx="30">
                  <c:v>0.97699999999999998</c:v>
                </c:pt>
                <c:pt idx="31">
                  <c:v>0.97199999999999998</c:v>
                </c:pt>
                <c:pt idx="32">
                  <c:v>0.96799999999999997</c:v>
                </c:pt>
                <c:pt idx="33">
                  <c:v>0.95699999999999996</c:v>
                </c:pt>
                <c:pt idx="34">
                  <c:v>0.94099999999999995</c:v>
                </c:pt>
                <c:pt idx="35">
                  <c:v>0.94599999999999995</c:v>
                </c:pt>
                <c:pt idx="36">
                  <c:v>0.94899999999999995</c:v>
                </c:pt>
                <c:pt idx="37">
                  <c:v>0.96</c:v>
                </c:pt>
                <c:pt idx="38">
                  <c:v>0.95199999999999996</c:v>
                </c:pt>
                <c:pt idx="39">
                  <c:v>0.96099999999999997</c:v>
                </c:pt>
                <c:pt idx="40">
                  <c:v>0.96499999999999997</c:v>
                </c:pt>
                <c:pt idx="41">
                  <c:v>0.96899999999999997</c:v>
                </c:pt>
                <c:pt idx="42">
                  <c:v>0.96299999999999997</c:v>
                </c:pt>
                <c:pt idx="43">
                  <c:v>0.97</c:v>
                </c:pt>
                <c:pt idx="44">
                  <c:v>0.97199999999999998</c:v>
                </c:pt>
                <c:pt idx="45">
                  <c:v>0.95899999999999996</c:v>
                </c:pt>
                <c:pt idx="46">
                  <c:v>0.95799999999999996</c:v>
                </c:pt>
                <c:pt idx="47">
                  <c:v>0.95499999999999996</c:v>
                </c:pt>
                <c:pt idx="48">
                  <c:v>0.96599999999999997</c:v>
                </c:pt>
                <c:pt idx="49">
                  <c:v>0.96499999999999997</c:v>
                </c:pt>
                <c:pt idx="50">
                  <c:v>0.96499999999999997</c:v>
                </c:pt>
                <c:pt idx="51">
                  <c:v>0.96799999999999997</c:v>
                </c:pt>
                <c:pt idx="52">
                  <c:v>0.98199999999999998</c:v>
                </c:pt>
                <c:pt idx="53">
                  <c:v>0.97499999999999998</c:v>
                </c:pt>
                <c:pt idx="54">
                  <c:v>0.95099999999999996</c:v>
                </c:pt>
                <c:pt idx="55">
                  <c:v>0.94499999999999995</c:v>
                </c:pt>
                <c:pt idx="56">
                  <c:v>0.95599999999999996</c:v>
                </c:pt>
                <c:pt idx="57">
                  <c:v>0.95599999999999996</c:v>
                </c:pt>
                <c:pt idx="58">
                  <c:v>0.94899999999999995</c:v>
                </c:pt>
                <c:pt idx="59">
                  <c:v>0.93700000000000006</c:v>
                </c:pt>
                <c:pt idx="60">
                  <c:v>0.96199999999999997</c:v>
                </c:pt>
                <c:pt idx="61">
                  <c:v>0.96099999999999997</c:v>
                </c:pt>
                <c:pt idx="62">
                  <c:v>0.95299999999999996</c:v>
                </c:pt>
                <c:pt idx="63">
                  <c:v>0.95199999999999996</c:v>
                </c:pt>
                <c:pt idx="64">
                  <c:v>0.95899999999999996</c:v>
                </c:pt>
                <c:pt idx="65">
                  <c:v>0.95599999999999996</c:v>
                </c:pt>
                <c:pt idx="66">
                  <c:v>0.94899999999999995</c:v>
                </c:pt>
                <c:pt idx="67">
                  <c:v>0.94899999999999995</c:v>
                </c:pt>
                <c:pt idx="68">
                  <c:v>0.95599999999999996</c:v>
                </c:pt>
                <c:pt idx="69">
                  <c:v>0.93400000000000005</c:v>
                </c:pt>
                <c:pt idx="70">
                  <c:v>0.94299999999999995</c:v>
                </c:pt>
                <c:pt idx="71">
                  <c:v>0.95</c:v>
                </c:pt>
                <c:pt idx="72">
                  <c:v>0.96199999999999997</c:v>
                </c:pt>
                <c:pt idx="73">
                  <c:v>0.96099999999999997</c:v>
                </c:pt>
                <c:pt idx="74">
                  <c:v>0.97499999999999998</c:v>
                </c:pt>
                <c:pt idx="75">
                  <c:v>0.97399999999999998</c:v>
                </c:pt>
                <c:pt idx="76">
                  <c:v>0.97299999999999998</c:v>
                </c:pt>
                <c:pt idx="77">
                  <c:v>0.96</c:v>
                </c:pt>
                <c:pt idx="78">
                  <c:v>0.96399999999999997</c:v>
                </c:pt>
                <c:pt idx="79">
                  <c:v>0.96</c:v>
                </c:pt>
                <c:pt idx="80">
                  <c:v>0.95699999999999996</c:v>
                </c:pt>
                <c:pt idx="81">
                  <c:v>0.96599999999999997</c:v>
                </c:pt>
                <c:pt idx="82">
                  <c:v>0.98299999999999998</c:v>
                </c:pt>
                <c:pt idx="83">
                  <c:v>0.998</c:v>
                </c:pt>
                <c:pt idx="84">
                  <c:v>1.0109999999999999</c:v>
                </c:pt>
                <c:pt idx="85">
                  <c:v>1.016</c:v>
                </c:pt>
                <c:pt idx="86">
                  <c:v>1.0329999999999999</c:v>
                </c:pt>
                <c:pt idx="87">
                  <c:v>1.028</c:v>
                </c:pt>
                <c:pt idx="88">
                  <c:v>1.034</c:v>
                </c:pt>
                <c:pt idx="89">
                  <c:v>1.077</c:v>
                </c:pt>
                <c:pt idx="90">
                  <c:v>1.08</c:v>
                </c:pt>
                <c:pt idx="91">
                  <c:v>1.07</c:v>
                </c:pt>
                <c:pt idx="92">
                  <c:v>1.0680000000000001</c:v>
                </c:pt>
                <c:pt idx="93">
                  <c:v>1.071</c:v>
                </c:pt>
                <c:pt idx="94">
                  <c:v>1.0660000000000001</c:v>
                </c:pt>
                <c:pt idx="95">
                  <c:v>1.0660000000000001</c:v>
                </c:pt>
                <c:pt idx="96">
                  <c:v>1.06</c:v>
                </c:pt>
                <c:pt idx="97">
                  <c:v>1.0589999999999999</c:v>
                </c:pt>
                <c:pt idx="98">
                  <c:v>1.0529999999999999</c:v>
                </c:pt>
                <c:pt idx="99">
                  <c:v>1.0469999999999999</c:v>
                </c:pt>
                <c:pt idx="100">
                  <c:v>1.0449999999999999</c:v>
                </c:pt>
                <c:pt idx="101">
                  <c:v>1.0589999999999999</c:v>
                </c:pt>
                <c:pt idx="102">
                  <c:v>1.052</c:v>
                </c:pt>
                <c:pt idx="103">
                  <c:v>1.0469999999999999</c:v>
                </c:pt>
                <c:pt idx="104">
                  <c:v>1.054</c:v>
                </c:pt>
                <c:pt idx="105">
                  <c:v>1.0640000000000001</c:v>
                </c:pt>
                <c:pt idx="106">
                  <c:v>1.0569999999999999</c:v>
                </c:pt>
                <c:pt idx="107">
                  <c:v>1.0549999999999999</c:v>
                </c:pt>
                <c:pt idx="108">
                  <c:v>1.071</c:v>
                </c:pt>
                <c:pt idx="109">
                  <c:v>1.0740000000000001</c:v>
                </c:pt>
                <c:pt idx="110">
                  <c:v>1.06</c:v>
                </c:pt>
                <c:pt idx="111">
                  <c:v>1.0389999999999999</c:v>
                </c:pt>
                <c:pt idx="112">
                  <c:v>1.0389999999999999</c:v>
                </c:pt>
                <c:pt idx="113">
                  <c:v>1.04</c:v>
                </c:pt>
                <c:pt idx="114">
                  <c:v>1.0369999999999999</c:v>
                </c:pt>
                <c:pt idx="115">
                  <c:v>1.024</c:v>
                </c:pt>
                <c:pt idx="116">
                  <c:v>1.024</c:v>
                </c:pt>
                <c:pt idx="117">
                  <c:v>1.0149999999999999</c:v>
                </c:pt>
                <c:pt idx="118">
                  <c:v>1.016</c:v>
                </c:pt>
                <c:pt idx="119">
                  <c:v>1.0189999999999999</c:v>
                </c:pt>
                <c:pt idx="120">
                  <c:v>1.0089999999999999</c:v>
                </c:pt>
                <c:pt idx="121">
                  <c:v>1.012</c:v>
                </c:pt>
                <c:pt idx="122">
                  <c:v>1.01</c:v>
                </c:pt>
                <c:pt idx="123">
                  <c:v>1.0289999999999999</c:v>
                </c:pt>
                <c:pt idx="124">
                  <c:v>1.0229999999999999</c:v>
                </c:pt>
                <c:pt idx="125">
                  <c:v>1.0169999999999999</c:v>
                </c:pt>
                <c:pt idx="126">
                  <c:v>1.0329999999999999</c:v>
                </c:pt>
                <c:pt idx="127">
                  <c:v>1.0409999999999999</c:v>
                </c:pt>
                <c:pt idx="128">
                  <c:v>1.046</c:v>
                </c:pt>
                <c:pt idx="129">
                  <c:v>1.0429999999999999</c:v>
                </c:pt>
                <c:pt idx="130">
                  <c:v>1.0449999999999999</c:v>
                </c:pt>
                <c:pt idx="131">
                  <c:v>1.044</c:v>
                </c:pt>
                <c:pt idx="132">
                  <c:v>1.0349999999999999</c:v>
                </c:pt>
                <c:pt idx="133">
                  <c:v>1.032</c:v>
                </c:pt>
                <c:pt idx="134">
                  <c:v>1.0329999999999999</c:v>
                </c:pt>
                <c:pt idx="135">
                  <c:v>1.0289999999999999</c:v>
                </c:pt>
                <c:pt idx="136">
                  <c:v>1.0309999999999999</c:v>
                </c:pt>
                <c:pt idx="137">
                  <c:v>1.0580000000000001</c:v>
                </c:pt>
                <c:pt idx="138">
                  <c:v>1.054</c:v>
                </c:pt>
                <c:pt idx="139">
                  <c:v>1.0569999999999999</c:v>
                </c:pt>
                <c:pt idx="140">
                  <c:v>1.0580000000000001</c:v>
                </c:pt>
                <c:pt idx="141">
                  <c:v>1.0569999999999999</c:v>
                </c:pt>
                <c:pt idx="142">
                  <c:v>1.048</c:v>
                </c:pt>
                <c:pt idx="143">
                  <c:v>1.0449999999999999</c:v>
                </c:pt>
                <c:pt idx="144">
                  <c:v>1.0509999999999999</c:v>
                </c:pt>
                <c:pt idx="145">
                  <c:v>1.046</c:v>
                </c:pt>
                <c:pt idx="146">
                  <c:v>1.0529999999999999</c:v>
                </c:pt>
                <c:pt idx="147">
                  <c:v>1.0549999999999999</c:v>
                </c:pt>
                <c:pt idx="148">
                  <c:v>1.0509999999999999</c:v>
                </c:pt>
                <c:pt idx="149">
                  <c:v>1.0489999999999999</c:v>
                </c:pt>
                <c:pt idx="150">
                  <c:v>1.044</c:v>
                </c:pt>
                <c:pt idx="151">
                  <c:v>1.0409999999999999</c:v>
                </c:pt>
                <c:pt idx="152">
                  <c:v>1.0409999999999999</c:v>
                </c:pt>
                <c:pt idx="153">
                  <c:v>1.046</c:v>
                </c:pt>
                <c:pt idx="154">
                  <c:v>1.0409999999999999</c:v>
                </c:pt>
                <c:pt idx="155">
                  <c:v>1.0369999999999999</c:v>
                </c:pt>
                <c:pt idx="156">
                  <c:v>1.0329999999999999</c:v>
                </c:pt>
                <c:pt idx="157">
                  <c:v>1.0269999999999999</c:v>
                </c:pt>
                <c:pt idx="158">
                  <c:v>1.024</c:v>
                </c:pt>
                <c:pt idx="159">
                  <c:v>1.0229999999999999</c:v>
                </c:pt>
                <c:pt idx="160">
                  <c:v>1.0249999999999999</c:v>
                </c:pt>
                <c:pt idx="161">
                  <c:v>1.02</c:v>
                </c:pt>
                <c:pt idx="162">
                  <c:v>1.0169999999999999</c:v>
                </c:pt>
                <c:pt idx="163">
                  <c:v>1.016</c:v>
                </c:pt>
                <c:pt idx="164">
                  <c:v>1.022</c:v>
                </c:pt>
                <c:pt idx="165">
                  <c:v>1.02</c:v>
                </c:pt>
                <c:pt idx="166">
                  <c:v>1.0269999999999999</c:v>
                </c:pt>
                <c:pt idx="167">
                  <c:v>1.024</c:v>
                </c:pt>
                <c:pt idx="168">
                  <c:v>1.028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A2-438D-8500-A84E30354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099824"/>
        <c:axId val="545100384"/>
      </c:lineChart>
      <c:catAx>
        <c:axId val="54509982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crossAx val="545100384"/>
        <c:crosses val="autoZero"/>
        <c:auto val="0"/>
        <c:lblAlgn val="ctr"/>
        <c:lblOffset val="100"/>
        <c:noMultiLvlLbl val="1"/>
      </c:catAx>
      <c:valAx>
        <c:axId val="545100384"/>
        <c:scaling>
          <c:orientation val="minMax"/>
          <c:min val="0.92"/>
        </c:scaling>
        <c:delete val="0"/>
        <c:axPos val="l"/>
        <c:majorGridlines/>
        <c:numFmt formatCode="0.0000_ " sourceLinked="1"/>
        <c:majorTickMark val="none"/>
        <c:minorTickMark val="none"/>
        <c:tickLblPos val="nextTo"/>
        <c:spPr>
          <a:ln w="9525">
            <a:noFill/>
          </a:ln>
        </c:spPr>
        <c:crossAx val="54509982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4" l="0.70000000000000062" r="0.70000000000000062" t="0.750000000000004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 sz="1600"/>
              <a:t>燧石聚配专享一号</a:t>
            </a:r>
            <a:endParaRPr lang="en-US" altLang="zh-CN" sz="16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燧石聚配专享一号!$B$20</c:f>
              <c:strCache>
                <c:ptCount val="1"/>
                <c:pt idx="0">
                  <c:v>累计净值</c:v>
                </c:pt>
              </c:strCache>
            </c:strRef>
          </c:tx>
          <c:marker>
            <c:symbol val="none"/>
          </c:marker>
          <c:cat>
            <c:numRef>
              <c:f>燧石聚配专享一号!$A$21:$A$140</c:f>
              <c:numCache>
                <c:formatCode>m/d/yyyy</c:formatCode>
                <c:ptCount val="120"/>
                <c:pt idx="0">
                  <c:v>44151</c:v>
                </c:pt>
                <c:pt idx="1">
                  <c:v>44152</c:v>
                </c:pt>
                <c:pt idx="2">
                  <c:v>44153</c:v>
                </c:pt>
                <c:pt idx="3">
                  <c:v>44154</c:v>
                </c:pt>
                <c:pt idx="4">
                  <c:v>44155</c:v>
                </c:pt>
                <c:pt idx="5">
                  <c:v>44158</c:v>
                </c:pt>
                <c:pt idx="6">
                  <c:v>44159</c:v>
                </c:pt>
                <c:pt idx="7">
                  <c:v>44160</c:v>
                </c:pt>
                <c:pt idx="8">
                  <c:v>44161</c:v>
                </c:pt>
                <c:pt idx="9">
                  <c:v>44162</c:v>
                </c:pt>
                <c:pt idx="10">
                  <c:v>44165</c:v>
                </c:pt>
                <c:pt idx="11">
                  <c:v>44166</c:v>
                </c:pt>
                <c:pt idx="12">
                  <c:v>44167</c:v>
                </c:pt>
                <c:pt idx="13">
                  <c:v>44168</c:v>
                </c:pt>
                <c:pt idx="14">
                  <c:v>44169</c:v>
                </c:pt>
                <c:pt idx="15">
                  <c:v>44172</c:v>
                </c:pt>
                <c:pt idx="16">
                  <c:v>44173</c:v>
                </c:pt>
                <c:pt idx="17">
                  <c:v>44174</c:v>
                </c:pt>
                <c:pt idx="18">
                  <c:v>44175</c:v>
                </c:pt>
                <c:pt idx="19">
                  <c:v>44176</c:v>
                </c:pt>
                <c:pt idx="20">
                  <c:v>44179</c:v>
                </c:pt>
                <c:pt idx="21">
                  <c:v>44180</c:v>
                </c:pt>
                <c:pt idx="22">
                  <c:v>44181</c:v>
                </c:pt>
                <c:pt idx="23">
                  <c:v>44182</c:v>
                </c:pt>
                <c:pt idx="24">
                  <c:v>44183</c:v>
                </c:pt>
                <c:pt idx="25">
                  <c:v>44186</c:v>
                </c:pt>
                <c:pt idx="26">
                  <c:v>44187</c:v>
                </c:pt>
                <c:pt idx="27">
                  <c:v>44188</c:v>
                </c:pt>
                <c:pt idx="28">
                  <c:v>44189</c:v>
                </c:pt>
                <c:pt idx="29">
                  <c:v>44190</c:v>
                </c:pt>
                <c:pt idx="30">
                  <c:v>44193</c:v>
                </c:pt>
                <c:pt idx="31">
                  <c:v>44194</c:v>
                </c:pt>
                <c:pt idx="32">
                  <c:v>44195</c:v>
                </c:pt>
                <c:pt idx="33">
                  <c:v>44196</c:v>
                </c:pt>
                <c:pt idx="34">
                  <c:v>44200</c:v>
                </c:pt>
                <c:pt idx="35">
                  <c:v>44201</c:v>
                </c:pt>
                <c:pt idx="36">
                  <c:v>44202</c:v>
                </c:pt>
                <c:pt idx="37">
                  <c:v>44203</c:v>
                </c:pt>
                <c:pt idx="38">
                  <c:v>44204</c:v>
                </c:pt>
                <c:pt idx="39">
                  <c:v>44207</c:v>
                </c:pt>
                <c:pt idx="40">
                  <c:v>44208</c:v>
                </c:pt>
                <c:pt idx="41">
                  <c:v>44209</c:v>
                </c:pt>
                <c:pt idx="42">
                  <c:v>44210</c:v>
                </c:pt>
                <c:pt idx="43">
                  <c:v>44211</c:v>
                </c:pt>
                <c:pt idx="44">
                  <c:v>44214</c:v>
                </c:pt>
                <c:pt idx="45">
                  <c:v>44215</c:v>
                </c:pt>
                <c:pt idx="46">
                  <c:v>44216</c:v>
                </c:pt>
                <c:pt idx="47">
                  <c:v>44217</c:v>
                </c:pt>
                <c:pt idx="48">
                  <c:v>44218</c:v>
                </c:pt>
                <c:pt idx="49">
                  <c:v>44221</c:v>
                </c:pt>
                <c:pt idx="50">
                  <c:v>44222</c:v>
                </c:pt>
                <c:pt idx="51">
                  <c:v>44223</c:v>
                </c:pt>
                <c:pt idx="52">
                  <c:v>44224</c:v>
                </c:pt>
                <c:pt idx="53">
                  <c:v>44225</c:v>
                </c:pt>
                <c:pt idx="54">
                  <c:v>44228</c:v>
                </c:pt>
                <c:pt idx="55">
                  <c:v>44229</c:v>
                </c:pt>
                <c:pt idx="56">
                  <c:v>44230</c:v>
                </c:pt>
                <c:pt idx="57">
                  <c:v>44231</c:v>
                </c:pt>
                <c:pt idx="58">
                  <c:v>44232</c:v>
                </c:pt>
                <c:pt idx="59">
                  <c:v>44235</c:v>
                </c:pt>
                <c:pt idx="60">
                  <c:v>44236</c:v>
                </c:pt>
                <c:pt idx="61">
                  <c:v>44237</c:v>
                </c:pt>
                <c:pt idx="62">
                  <c:v>44245</c:v>
                </c:pt>
                <c:pt idx="63">
                  <c:v>44246</c:v>
                </c:pt>
                <c:pt idx="64">
                  <c:v>44249</c:v>
                </c:pt>
                <c:pt idx="65">
                  <c:v>44250</c:v>
                </c:pt>
                <c:pt idx="66">
                  <c:v>44251</c:v>
                </c:pt>
                <c:pt idx="67">
                  <c:v>44252</c:v>
                </c:pt>
                <c:pt idx="68">
                  <c:v>44253</c:v>
                </c:pt>
                <c:pt idx="69">
                  <c:v>44256</c:v>
                </c:pt>
                <c:pt idx="70">
                  <c:v>44257</c:v>
                </c:pt>
                <c:pt idx="71">
                  <c:v>44258</c:v>
                </c:pt>
                <c:pt idx="72">
                  <c:v>44259</c:v>
                </c:pt>
                <c:pt idx="73">
                  <c:v>44260</c:v>
                </c:pt>
                <c:pt idx="74">
                  <c:v>44263</c:v>
                </c:pt>
                <c:pt idx="75">
                  <c:v>44264</c:v>
                </c:pt>
                <c:pt idx="76">
                  <c:v>44265</c:v>
                </c:pt>
                <c:pt idx="77">
                  <c:v>44266</c:v>
                </c:pt>
                <c:pt idx="78">
                  <c:v>44267</c:v>
                </c:pt>
                <c:pt idx="79">
                  <c:v>44270</c:v>
                </c:pt>
                <c:pt idx="80">
                  <c:v>44271</c:v>
                </c:pt>
                <c:pt idx="81">
                  <c:v>44272</c:v>
                </c:pt>
                <c:pt idx="82">
                  <c:v>44273</c:v>
                </c:pt>
                <c:pt idx="83">
                  <c:v>44274</c:v>
                </c:pt>
                <c:pt idx="84">
                  <c:v>44277</c:v>
                </c:pt>
                <c:pt idx="85">
                  <c:v>44278</c:v>
                </c:pt>
                <c:pt idx="86">
                  <c:v>44279</c:v>
                </c:pt>
                <c:pt idx="87">
                  <c:v>44280</c:v>
                </c:pt>
                <c:pt idx="88">
                  <c:v>44281</c:v>
                </c:pt>
                <c:pt idx="89">
                  <c:v>44284</c:v>
                </c:pt>
                <c:pt idx="90">
                  <c:v>44285</c:v>
                </c:pt>
                <c:pt idx="91">
                  <c:v>44286</c:v>
                </c:pt>
                <c:pt idx="92">
                  <c:v>44287</c:v>
                </c:pt>
                <c:pt idx="93">
                  <c:v>44288</c:v>
                </c:pt>
                <c:pt idx="94">
                  <c:v>44292</c:v>
                </c:pt>
                <c:pt idx="95">
                  <c:v>44293</c:v>
                </c:pt>
                <c:pt idx="96">
                  <c:v>44294</c:v>
                </c:pt>
                <c:pt idx="97">
                  <c:v>44295</c:v>
                </c:pt>
                <c:pt idx="98">
                  <c:v>44298</c:v>
                </c:pt>
                <c:pt idx="99">
                  <c:v>44299</c:v>
                </c:pt>
                <c:pt idx="100">
                  <c:v>44300</c:v>
                </c:pt>
                <c:pt idx="101">
                  <c:v>44301</c:v>
                </c:pt>
                <c:pt idx="102">
                  <c:v>44302</c:v>
                </c:pt>
                <c:pt idx="103">
                  <c:v>44305</c:v>
                </c:pt>
                <c:pt idx="104">
                  <c:v>44306</c:v>
                </c:pt>
                <c:pt idx="105">
                  <c:v>44307</c:v>
                </c:pt>
                <c:pt idx="106">
                  <c:v>44308</c:v>
                </c:pt>
                <c:pt idx="107">
                  <c:v>44309</c:v>
                </c:pt>
                <c:pt idx="108">
                  <c:v>44312</c:v>
                </c:pt>
                <c:pt idx="109">
                  <c:v>44313</c:v>
                </c:pt>
                <c:pt idx="110">
                  <c:v>44314</c:v>
                </c:pt>
                <c:pt idx="111">
                  <c:v>44315</c:v>
                </c:pt>
                <c:pt idx="112">
                  <c:v>44316</c:v>
                </c:pt>
                <c:pt idx="113">
                  <c:v>44322</c:v>
                </c:pt>
                <c:pt idx="114">
                  <c:v>44323</c:v>
                </c:pt>
                <c:pt idx="115">
                  <c:v>44326</c:v>
                </c:pt>
                <c:pt idx="116">
                  <c:v>44327</c:v>
                </c:pt>
                <c:pt idx="117">
                  <c:v>44328</c:v>
                </c:pt>
                <c:pt idx="118">
                  <c:v>44329</c:v>
                </c:pt>
                <c:pt idx="119">
                  <c:v>44330</c:v>
                </c:pt>
              </c:numCache>
            </c:numRef>
          </c:cat>
          <c:val>
            <c:numRef>
              <c:f>燧石聚配专享一号!$B$21:$B$140</c:f>
              <c:numCache>
                <c:formatCode>0.0000_ </c:formatCode>
                <c:ptCount val="120"/>
                <c:pt idx="0">
                  <c:v>1</c:v>
                </c:pt>
                <c:pt idx="1">
                  <c:v>0.998</c:v>
                </c:pt>
                <c:pt idx="2">
                  <c:v>0.998</c:v>
                </c:pt>
                <c:pt idx="3">
                  <c:v>0.998</c:v>
                </c:pt>
                <c:pt idx="4">
                  <c:v>0.998</c:v>
                </c:pt>
                <c:pt idx="5">
                  <c:v>0.997</c:v>
                </c:pt>
                <c:pt idx="6">
                  <c:v>0.996</c:v>
                </c:pt>
                <c:pt idx="7">
                  <c:v>0.996</c:v>
                </c:pt>
                <c:pt idx="8">
                  <c:v>0.996</c:v>
                </c:pt>
                <c:pt idx="9">
                  <c:v>0.997</c:v>
                </c:pt>
                <c:pt idx="10">
                  <c:v>0.998</c:v>
                </c:pt>
                <c:pt idx="11">
                  <c:v>0.998</c:v>
                </c:pt>
                <c:pt idx="12">
                  <c:v>1</c:v>
                </c:pt>
                <c:pt idx="13">
                  <c:v>0.99399999999999999</c:v>
                </c:pt>
                <c:pt idx="14">
                  <c:v>0.996</c:v>
                </c:pt>
                <c:pt idx="15">
                  <c:v>1.004</c:v>
                </c:pt>
                <c:pt idx="16">
                  <c:v>1.01</c:v>
                </c:pt>
                <c:pt idx="17">
                  <c:v>1.0149999999999999</c:v>
                </c:pt>
                <c:pt idx="18">
                  <c:v>1.0169999999999999</c:v>
                </c:pt>
                <c:pt idx="19">
                  <c:v>1.028</c:v>
                </c:pt>
                <c:pt idx="20">
                  <c:v>1.0209999999999999</c:v>
                </c:pt>
                <c:pt idx="21">
                  <c:v>1.016</c:v>
                </c:pt>
                <c:pt idx="22">
                  <c:v>1.0209999999999999</c:v>
                </c:pt>
                <c:pt idx="23">
                  <c:v>1.0229999999999999</c:v>
                </c:pt>
                <c:pt idx="24">
                  <c:v>1.034</c:v>
                </c:pt>
                <c:pt idx="25">
                  <c:v>1.044</c:v>
                </c:pt>
                <c:pt idx="26">
                  <c:v>1.0329999999999999</c:v>
                </c:pt>
                <c:pt idx="27">
                  <c:v>1.016</c:v>
                </c:pt>
                <c:pt idx="28">
                  <c:v>1.0209999999999999</c:v>
                </c:pt>
                <c:pt idx="29">
                  <c:v>1.0189999999999999</c:v>
                </c:pt>
                <c:pt idx="30">
                  <c:v>1.018</c:v>
                </c:pt>
                <c:pt idx="31">
                  <c:v>1.0189999999999999</c:v>
                </c:pt>
                <c:pt idx="32">
                  <c:v>1.016</c:v>
                </c:pt>
                <c:pt idx="33">
                  <c:v>1.0209999999999999</c:v>
                </c:pt>
                <c:pt idx="34">
                  <c:v>1.0289999999999999</c:v>
                </c:pt>
                <c:pt idx="35">
                  <c:v>1.024</c:v>
                </c:pt>
                <c:pt idx="36">
                  <c:v>1.0329999999999999</c:v>
                </c:pt>
                <c:pt idx="37">
                  <c:v>1.0409999999999999</c:v>
                </c:pt>
                <c:pt idx="38">
                  <c:v>1.0409999999999999</c:v>
                </c:pt>
                <c:pt idx="39">
                  <c:v>1.0389999999999999</c:v>
                </c:pt>
                <c:pt idx="40">
                  <c:v>1.032</c:v>
                </c:pt>
                <c:pt idx="41">
                  <c:v>1.0389999999999999</c:v>
                </c:pt>
                <c:pt idx="42">
                  <c:v>1.0389999999999999</c:v>
                </c:pt>
                <c:pt idx="43">
                  <c:v>1.034</c:v>
                </c:pt>
                <c:pt idx="44">
                  <c:v>1.0349999999999999</c:v>
                </c:pt>
                <c:pt idx="45">
                  <c:v>1.034</c:v>
                </c:pt>
                <c:pt idx="46">
                  <c:v>1.042</c:v>
                </c:pt>
                <c:pt idx="47">
                  <c:v>1.048</c:v>
                </c:pt>
                <c:pt idx="48">
                  <c:v>1.0389999999999999</c:v>
                </c:pt>
                <c:pt idx="49">
                  <c:v>1.056</c:v>
                </c:pt>
                <c:pt idx="50">
                  <c:v>1.0580000000000001</c:v>
                </c:pt>
                <c:pt idx="51">
                  <c:v>1.056</c:v>
                </c:pt>
                <c:pt idx="52">
                  <c:v>1.0429999999999999</c:v>
                </c:pt>
                <c:pt idx="53">
                  <c:v>1.0429999999999999</c:v>
                </c:pt>
                <c:pt idx="54">
                  <c:v>1.0449999999999999</c:v>
                </c:pt>
                <c:pt idx="55">
                  <c:v>1.0580000000000001</c:v>
                </c:pt>
                <c:pt idx="56">
                  <c:v>1.0640000000000001</c:v>
                </c:pt>
                <c:pt idx="57">
                  <c:v>1.0529999999999999</c:v>
                </c:pt>
                <c:pt idx="58">
                  <c:v>1.0469999999999999</c:v>
                </c:pt>
                <c:pt idx="59">
                  <c:v>1.046</c:v>
                </c:pt>
                <c:pt idx="60">
                  <c:v>1.0389999999999999</c:v>
                </c:pt>
                <c:pt idx="61">
                  <c:v>1.0329999999999999</c:v>
                </c:pt>
                <c:pt idx="62">
                  <c:v>1.024</c:v>
                </c:pt>
                <c:pt idx="63">
                  <c:v>1.026</c:v>
                </c:pt>
                <c:pt idx="64">
                  <c:v>1.026</c:v>
                </c:pt>
                <c:pt idx="65">
                  <c:v>1.03</c:v>
                </c:pt>
                <c:pt idx="66">
                  <c:v>1.03</c:v>
                </c:pt>
                <c:pt idx="67">
                  <c:v>1.06</c:v>
                </c:pt>
                <c:pt idx="68">
                  <c:v>1.0580000000000001</c:v>
                </c:pt>
                <c:pt idx="69">
                  <c:v>1.0469999999999999</c:v>
                </c:pt>
                <c:pt idx="70">
                  <c:v>1.0349999999999999</c:v>
                </c:pt>
                <c:pt idx="71">
                  <c:v>1.054</c:v>
                </c:pt>
                <c:pt idx="72">
                  <c:v>1.0509999999999999</c:v>
                </c:pt>
                <c:pt idx="73">
                  <c:v>1.0449999999999999</c:v>
                </c:pt>
                <c:pt idx="74">
                  <c:v>1.081</c:v>
                </c:pt>
                <c:pt idx="75">
                  <c:v>1.06</c:v>
                </c:pt>
                <c:pt idx="76">
                  <c:v>1.0509999999999999</c:v>
                </c:pt>
                <c:pt idx="77">
                  <c:v>1.054</c:v>
                </c:pt>
                <c:pt idx="78">
                  <c:v>1.069</c:v>
                </c:pt>
                <c:pt idx="79">
                  <c:v>1.069</c:v>
                </c:pt>
                <c:pt idx="80">
                  <c:v>1.0740000000000001</c:v>
                </c:pt>
                <c:pt idx="81">
                  <c:v>1.0620000000000001</c:v>
                </c:pt>
                <c:pt idx="82">
                  <c:v>1.0640000000000001</c:v>
                </c:pt>
                <c:pt idx="83">
                  <c:v>1.07</c:v>
                </c:pt>
                <c:pt idx="84">
                  <c:v>1.085</c:v>
                </c:pt>
                <c:pt idx="85">
                  <c:v>1.097</c:v>
                </c:pt>
                <c:pt idx="86">
                  <c:v>1.099</c:v>
                </c:pt>
                <c:pt idx="87">
                  <c:v>1.099</c:v>
                </c:pt>
                <c:pt idx="88">
                  <c:v>1.097</c:v>
                </c:pt>
                <c:pt idx="89">
                  <c:v>1.0840000000000001</c:v>
                </c:pt>
                <c:pt idx="90">
                  <c:v>1.0840000000000001</c:v>
                </c:pt>
                <c:pt idx="91">
                  <c:v>1.083</c:v>
                </c:pt>
                <c:pt idx="92">
                  <c:v>1.081</c:v>
                </c:pt>
                <c:pt idx="93">
                  <c:v>1.077</c:v>
                </c:pt>
                <c:pt idx="94">
                  <c:v>1.0720000000000001</c:v>
                </c:pt>
                <c:pt idx="95">
                  <c:v>1.06</c:v>
                </c:pt>
                <c:pt idx="96">
                  <c:v>1.0660000000000001</c:v>
                </c:pt>
                <c:pt idx="97">
                  <c:v>1.0629999999999999</c:v>
                </c:pt>
                <c:pt idx="98">
                  <c:v>1.0669999999999999</c:v>
                </c:pt>
                <c:pt idx="99">
                  <c:v>1.079</c:v>
                </c:pt>
                <c:pt idx="100">
                  <c:v>1.077</c:v>
                </c:pt>
                <c:pt idx="101">
                  <c:v>1.0649999999999999</c:v>
                </c:pt>
                <c:pt idx="102">
                  <c:v>1.0569999999999999</c:v>
                </c:pt>
                <c:pt idx="103">
                  <c:v>1.0569999999999999</c:v>
                </c:pt>
                <c:pt idx="104">
                  <c:v>1.0529999999999999</c:v>
                </c:pt>
                <c:pt idx="105">
                  <c:v>1.0489999999999999</c:v>
                </c:pt>
                <c:pt idx="106">
                  <c:v>1.0489999999999999</c:v>
                </c:pt>
                <c:pt idx="107">
                  <c:v>1.046</c:v>
                </c:pt>
                <c:pt idx="108">
                  <c:v>1.0569999999999999</c:v>
                </c:pt>
                <c:pt idx="109">
                  <c:v>1.069</c:v>
                </c:pt>
                <c:pt idx="110">
                  <c:v>1.0509999999999999</c:v>
                </c:pt>
                <c:pt idx="111">
                  <c:v>1.0580000000000001</c:v>
                </c:pt>
                <c:pt idx="112">
                  <c:v>1.0580000000000001</c:v>
                </c:pt>
                <c:pt idx="113">
                  <c:v>1.101</c:v>
                </c:pt>
                <c:pt idx="114">
                  <c:v>1.1379999999999999</c:v>
                </c:pt>
                <c:pt idx="115">
                  <c:v>1.181</c:v>
                </c:pt>
                <c:pt idx="116">
                  <c:v>1.177</c:v>
                </c:pt>
                <c:pt idx="117">
                  <c:v>1.2150000000000001</c:v>
                </c:pt>
                <c:pt idx="118">
                  <c:v>1.232</c:v>
                </c:pt>
                <c:pt idx="119">
                  <c:v>1.1439999999999999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DB-4C0B-9993-BAAA3B273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099824"/>
        <c:axId val="545100384"/>
      </c:lineChart>
      <c:catAx>
        <c:axId val="54509982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crossAx val="545100384"/>
        <c:crosses val="autoZero"/>
        <c:auto val="0"/>
        <c:lblAlgn val="ctr"/>
        <c:lblOffset val="100"/>
        <c:noMultiLvlLbl val="1"/>
      </c:catAx>
      <c:valAx>
        <c:axId val="545100384"/>
        <c:scaling>
          <c:orientation val="minMax"/>
          <c:min val="0.99"/>
        </c:scaling>
        <c:delete val="0"/>
        <c:axPos val="l"/>
        <c:majorGridlines/>
        <c:numFmt formatCode="0.0000_ " sourceLinked="1"/>
        <c:majorTickMark val="none"/>
        <c:minorTickMark val="none"/>
        <c:tickLblPos val="nextTo"/>
        <c:spPr>
          <a:ln w="9525">
            <a:noFill/>
          </a:ln>
        </c:spPr>
        <c:crossAx val="54509982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4" l="0.70000000000000062" r="0.70000000000000062" t="0.750000000000004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 sz="1600"/>
              <a:t>华云瑾尚二号</a:t>
            </a:r>
            <a:endParaRPr lang="en-US" altLang="zh-CN" sz="16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华云瑾尚二号!$B$20</c:f>
              <c:strCache>
                <c:ptCount val="1"/>
                <c:pt idx="0">
                  <c:v>累计净值</c:v>
                </c:pt>
              </c:strCache>
            </c:strRef>
          </c:tx>
          <c:marker>
            <c:symbol val="none"/>
          </c:marker>
          <c:cat>
            <c:numRef>
              <c:f>华云瑾尚二号!$A$21:$A$200</c:f>
              <c:numCache>
                <c:formatCode>yyyy\-mm\-dd</c:formatCode>
                <c:ptCount val="180"/>
                <c:pt idx="0">
                  <c:v>44060</c:v>
                </c:pt>
                <c:pt idx="1">
                  <c:v>44061</c:v>
                </c:pt>
                <c:pt idx="2">
                  <c:v>44062</c:v>
                </c:pt>
                <c:pt idx="3">
                  <c:v>44063</c:v>
                </c:pt>
                <c:pt idx="4">
                  <c:v>44064</c:v>
                </c:pt>
                <c:pt idx="5">
                  <c:v>44067</c:v>
                </c:pt>
                <c:pt idx="6">
                  <c:v>44068</c:v>
                </c:pt>
                <c:pt idx="7">
                  <c:v>44069</c:v>
                </c:pt>
                <c:pt idx="8">
                  <c:v>44070</c:v>
                </c:pt>
                <c:pt idx="9">
                  <c:v>44071</c:v>
                </c:pt>
                <c:pt idx="10">
                  <c:v>44074</c:v>
                </c:pt>
                <c:pt idx="11">
                  <c:v>44075</c:v>
                </c:pt>
                <c:pt idx="12">
                  <c:v>44076</c:v>
                </c:pt>
                <c:pt idx="13">
                  <c:v>44077</c:v>
                </c:pt>
                <c:pt idx="14">
                  <c:v>44078</c:v>
                </c:pt>
                <c:pt idx="15">
                  <c:v>44081</c:v>
                </c:pt>
                <c:pt idx="16">
                  <c:v>44082</c:v>
                </c:pt>
                <c:pt idx="17">
                  <c:v>44083</c:v>
                </c:pt>
                <c:pt idx="18">
                  <c:v>44084</c:v>
                </c:pt>
                <c:pt idx="19">
                  <c:v>44085</c:v>
                </c:pt>
                <c:pt idx="20">
                  <c:v>44088</c:v>
                </c:pt>
                <c:pt idx="21">
                  <c:v>44089</c:v>
                </c:pt>
                <c:pt idx="22">
                  <c:v>44090</c:v>
                </c:pt>
                <c:pt idx="23">
                  <c:v>44091</c:v>
                </c:pt>
                <c:pt idx="24">
                  <c:v>44092</c:v>
                </c:pt>
                <c:pt idx="25">
                  <c:v>44095</c:v>
                </c:pt>
                <c:pt idx="26">
                  <c:v>44096</c:v>
                </c:pt>
                <c:pt idx="27">
                  <c:v>44097</c:v>
                </c:pt>
                <c:pt idx="28">
                  <c:v>44098</c:v>
                </c:pt>
                <c:pt idx="29">
                  <c:v>44099</c:v>
                </c:pt>
                <c:pt idx="30">
                  <c:v>44102</c:v>
                </c:pt>
                <c:pt idx="31">
                  <c:v>44103</c:v>
                </c:pt>
                <c:pt idx="32">
                  <c:v>44104</c:v>
                </c:pt>
                <c:pt idx="33">
                  <c:v>44113</c:v>
                </c:pt>
                <c:pt idx="34">
                  <c:v>44116</c:v>
                </c:pt>
                <c:pt idx="35">
                  <c:v>44117</c:v>
                </c:pt>
                <c:pt idx="36">
                  <c:v>44118</c:v>
                </c:pt>
                <c:pt idx="37">
                  <c:v>44119</c:v>
                </c:pt>
                <c:pt idx="38">
                  <c:v>44120</c:v>
                </c:pt>
                <c:pt idx="39">
                  <c:v>44123</c:v>
                </c:pt>
                <c:pt idx="40">
                  <c:v>44124</c:v>
                </c:pt>
                <c:pt idx="41">
                  <c:v>44125</c:v>
                </c:pt>
                <c:pt idx="42">
                  <c:v>44126</c:v>
                </c:pt>
                <c:pt idx="43">
                  <c:v>44127</c:v>
                </c:pt>
                <c:pt idx="44">
                  <c:v>44130</c:v>
                </c:pt>
                <c:pt idx="45">
                  <c:v>44131</c:v>
                </c:pt>
                <c:pt idx="46">
                  <c:v>44132</c:v>
                </c:pt>
                <c:pt idx="47">
                  <c:v>44133</c:v>
                </c:pt>
                <c:pt idx="48">
                  <c:v>44134</c:v>
                </c:pt>
                <c:pt idx="49">
                  <c:v>44137</c:v>
                </c:pt>
                <c:pt idx="50">
                  <c:v>44138</c:v>
                </c:pt>
                <c:pt idx="51">
                  <c:v>44139</c:v>
                </c:pt>
                <c:pt idx="52">
                  <c:v>44140</c:v>
                </c:pt>
                <c:pt idx="53">
                  <c:v>44141</c:v>
                </c:pt>
                <c:pt idx="54">
                  <c:v>44144</c:v>
                </c:pt>
                <c:pt idx="55">
                  <c:v>44145</c:v>
                </c:pt>
                <c:pt idx="56">
                  <c:v>44146</c:v>
                </c:pt>
                <c:pt idx="57">
                  <c:v>44147</c:v>
                </c:pt>
                <c:pt idx="58">
                  <c:v>44148</c:v>
                </c:pt>
                <c:pt idx="59">
                  <c:v>44151</c:v>
                </c:pt>
                <c:pt idx="60">
                  <c:v>44152</c:v>
                </c:pt>
                <c:pt idx="61">
                  <c:v>44153</c:v>
                </c:pt>
                <c:pt idx="62">
                  <c:v>44154</c:v>
                </c:pt>
                <c:pt idx="63">
                  <c:v>44155</c:v>
                </c:pt>
                <c:pt idx="64">
                  <c:v>44158</c:v>
                </c:pt>
                <c:pt idx="65">
                  <c:v>44159</c:v>
                </c:pt>
                <c:pt idx="66">
                  <c:v>44160</c:v>
                </c:pt>
                <c:pt idx="67">
                  <c:v>44161</c:v>
                </c:pt>
                <c:pt idx="68">
                  <c:v>44162</c:v>
                </c:pt>
                <c:pt idx="69">
                  <c:v>44165</c:v>
                </c:pt>
                <c:pt idx="70">
                  <c:v>44166</c:v>
                </c:pt>
                <c:pt idx="71">
                  <c:v>44167</c:v>
                </c:pt>
                <c:pt idx="72">
                  <c:v>44168</c:v>
                </c:pt>
                <c:pt idx="73">
                  <c:v>44169</c:v>
                </c:pt>
                <c:pt idx="74">
                  <c:v>44172</c:v>
                </c:pt>
                <c:pt idx="75">
                  <c:v>44173</c:v>
                </c:pt>
                <c:pt idx="76">
                  <c:v>44174</c:v>
                </c:pt>
                <c:pt idx="77">
                  <c:v>44175</c:v>
                </c:pt>
                <c:pt idx="78">
                  <c:v>44176</c:v>
                </c:pt>
                <c:pt idx="79">
                  <c:v>44179</c:v>
                </c:pt>
                <c:pt idx="80">
                  <c:v>44180</c:v>
                </c:pt>
                <c:pt idx="81">
                  <c:v>44181</c:v>
                </c:pt>
                <c:pt idx="82">
                  <c:v>44182</c:v>
                </c:pt>
                <c:pt idx="83">
                  <c:v>44183</c:v>
                </c:pt>
                <c:pt idx="84">
                  <c:v>44186</c:v>
                </c:pt>
                <c:pt idx="85">
                  <c:v>44187</c:v>
                </c:pt>
                <c:pt idx="86">
                  <c:v>44188</c:v>
                </c:pt>
                <c:pt idx="87">
                  <c:v>44189</c:v>
                </c:pt>
                <c:pt idx="88">
                  <c:v>44190</c:v>
                </c:pt>
                <c:pt idx="89">
                  <c:v>44193</c:v>
                </c:pt>
                <c:pt idx="90">
                  <c:v>44194</c:v>
                </c:pt>
                <c:pt idx="91">
                  <c:v>44195</c:v>
                </c:pt>
                <c:pt idx="92">
                  <c:v>44196</c:v>
                </c:pt>
                <c:pt idx="93">
                  <c:v>44200</c:v>
                </c:pt>
                <c:pt idx="94">
                  <c:v>44201</c:v>
                </c:pt>
                <c:pt idx="95">
                  <c:v>44202</c:v>
                </c:pt>
                <c:pt idx="96">
                  <c:v>44203</c:v>
                </c:pt>
                <c:pt idx="97">
                  <c:v>44204</c:v>
                </c:pt>
                <c:pt idx="98">
                  <c:v>44207</c:v>
                </c:pt>
                <c:pt idx="99">
                  <c:v>44208</c:v>
                </c:pt>
                <c:pt idx="100">
                  <c:v>44209</c:v>
                </c:pt>
                <c:pt idx="101">
                  <c:v>44210</c:v>
                </c:pt>
                <c:pt idx="102">
                  <c:v>44211</c:v>
                </c:pt>
                <c:pt idx="103">
                  <c:v>44214</c:v>
                </c:pt>
                <c:pt idx="104">
                  <c:v>44215</c:v>
                </c:pt>
                <c:pt idx="105">
                  <c:v>44216</c:v>
                </c:pt>
                <c:pt idx="106">
                  <c:v>44217</c:v>
                </c:pt>
                <c:pt idx="107">
                  <c:v>44218</c:v>
                </c:pt>
                <c:pt idx="108">
                  <c:v>44221</c:v>
                </c:pt>
                <c:pt idx="109">
                  <c:v>44222</c:v>
                </c:pt>
                <c:pt idx="110">
                  <c:v>44223</c:v>
                </c:pt>
                <c:pt idx="111">
                  <c:v>44224</c:v>
                </c:pt>
                <c:pt idx="112">
                  <c:v>44225</c:v>
                </c:pt>
                <c:pt idx="113">
                  <c:v>44228</c:v>
                </c:pt>
                <c:pt idx="114">
                  <c:v>44229</c:v>
                </c:pt>
                <c:pt idx="115">
                  <c:v>44230</c:v>
                </c:pt>
                <c:pt idx="116">
                  <c:v>44231</c:v>
                </c:pt>
                <c:pt idx="117">
                  <c:v>44232</c:v>
                </c:pt>
                <c:pt idx="118">
                  <c:v>44235</c:v>
                </c:pt>
                <c:pt idx="119">
                  <c:v>44236</c:v>
                </c:pt>
                <c:pt idx="120">
                  <c:v>44237</c:v>
                </c:pt>
                <c:pt idx="121">
                  <c:v>44245</c:v>
                </c:pt>
                <c:pt idx="122">
                  <c:v>44246</c:v>
                </c:pt>
                <c:pt idx="123">
                  <c:v>44249</c:v>
                </c:pt>
                <c:pt idx="124">
                  <c:v>44250</c:v>
                </c:pt>
                <c:pt idx="125">
                  <c:v>44251</c:v>
                </c:pt>
                <c:pt idx="126">
                  <c:v>44252</c:v>
                </c:pt>
                <c:pt idx="127">
                  <c:v>44253</c:v>
                </c:pt>
                <c:pt idx="128">
                  <c:v>44256</c:v>
                </c:pt>
                <c:pt idx="129">
                  <c:v>44257</c:v>
                </c:pt>
                <c:pt idx="130">
                  <c:v>44258</c:v>
                </c:pt>
                <c:pt idx="131">
                  <c:v>44259</c:v>
                </c:pt>
                <c:pt idx="132">
                  <c:v>44260</c:v>
                </c:pt>
                <c:pt idx="133">
                  <c:v>44263</c:v>
                </c:pt>
                <c:pt idx="134">
                  <c:v>44264</c:v>
                </c:pt>
                <c:pt idx="135">
                  <c:v>44265</c:v>
                </c:pt>
                <c:pt idx="136">
                  <c:v>44266</c:v>
                </c:pt>
                <c:pt idx="137">
                  <c:v>44267</c:v>
                </c:pt>
                <c:pt idx="138">
                  <c:v>44270</c:v>
                </c:pt>
                <c:pt idx="139">
                  <c:v>44271</c:v>
                </c:pt>
                <c:pt idx="140">
                  <c:v>44272</c:v>
                </c:pt>
                <c:pt idx="141">
                  <c:v>44273</c:v>
                </c:pt>
                <c:pt idx="142">
                  <c:v>44274</c:v>
                </c:pt>
                <c:pt idx="143">
                  <c:v>44277</c:v>
                </c:pt>
                <c:pt idx="144">
                  <c:v>44278</c:v>
                </c:pt>
                <c:pt idx="145">
                  <c:v>44279</c:v>
                </c:pt>
                <c:pt idx="146">
                  <c:v>44280</c:v>
                </c:pt>
                <c:pt idx="147">
                  <c:v>44281</c:v>
                </c:pt>
                <c:pt idx="148">
                  <c:v>44284</c:v>
                </c:pt>
                <c:pt idx="149">
                  <c:v>44285</c:v>
                </c:pt>
                <c:pt idx="150">
                  <c:v>44286</c:v>
                </c:pt>
                <c:pt idx="151">
                  <c:v>44287</c:v>
                </c:pt>
                <c:pt idx="152">
                  <c:v>44288</c:v>
                </c:pt>
                <c:pt idx="153">
                  <c:v>44292</c:v>
                </c:pt>
                <c:pt idx="154">
                  <c:v>44293</c:v>
                </c:pt>
                <c:pt idx="155">
                  <c:v>44294</c:v>
                </c:pt>
                <c:pt idx="156">
                  <c:v>44295</c:v>
                </c:pt>
                <c:pt idx="157">
                  <c:v>44298</c:v>
                </c:pt>
                <c:pt idx="158">
                  <c:v>44299</c:v>
                </c:pt>
                <c:pt idx="159">
                  <c:v>44300</c:v>
                </c:pt>
                <c:pt idx="160">
                  <c:v>44301</c:v>
                </c:pt>
                <c:pt idx="161">
                  <c:v>44302</c:v>
                </c:pt>
                <c:pt idx="162">
                  <c:v>44305</c:v>
                </c:pt>
                <c:pt idx="163">
                  <c:v>44306</c:v>
                </c:pt>
                <c:pt idx="164">
                  <c:v>44307</c:v>
                </c:pt>
                <c:pt idx="165">
                  <c:v>44308</c:v>
                </c:pt>
                <c:pt idx="166">
                  <c:v>44309</c:v>
                </c:pt>
                <c:pt idx="167">
                  <c:v>44312</c:v>
                </c:pt>
                <c:pt idx="168">
                  <c:v>44313</c:v>
                </c:pt>
                <c:pt idx="169">
                  <c:v>44314</c:v>
                </c:pt>
                <c:pt idx="170">
                  <c:v>44315</c:v>
                </c:pt>
                <c:pt idx="171">
                  <c:v>44316</c:v>
                </c:pt>
                <c:pt idx="172">
                  <c:v>44322</c:v>
                </c:pt>
                <c:pt idx="173">
                  <c:v>44323</c:v>
                </c:pt>
                <c:pt idx="174">
                  <c:v>44326</c:v>
                </c:pt>
                <c:pt idx="175">
                  <c:v>44327</c:v>
                </c:pt>
                <c:pt idx="176">
                  <c:v>44328</c:v>
                </c:pt>
                <c:pt idx="177">
                  <c:v>44329</c:v>
                </c:pt>
                <c:pt idx="178">
                  <c:v>44330</c:v>
                </c:pt>
                <c:pt idx="179">
                  <c:v>44333</c:v>
                </c:pt>
              </c:numCache>
            </c:numRef>
          </c:cat>
          <c:val>
            <c:numRef>
              <c:f>华云瑾尚二号!$B$21:$B$200</c:f>
              <c:numCache>
                <c:formatCode>0.0000_ </c:formatCode>
                <c:ptCount val="180"/>
                <c:pt idx="0">
                  <c:v>1</c:v>
                </c:pt>
                <c:pt idx="1">
                  <c:v>0.99990000000000001</c:v>
                </c:pt>
                <c:pt idx="2">
                  <c:v>0.99990000000000001</c:v>
                </c:pt>
                <c:pt idx="3">
                  <c:v>0.99980000000000002</c:v>
                </c:pt>
                <c:pt idx="4">
                  <c:v>0.99939999999999996</c:v>
                </c:pt>
                <c:pt idx="5">
                  <c:v>1.0018</c:v>
                </c:pt>
                <c:pt idx="6">
                  <c:v>1.0048999999999999</c:v>
                </c:pt>
                <c:pt idx="7">
                  <c:v>0.99950000000000006</c:v>
                </c:pt>
                <c:pt idx="8">
                  <c:v>1.0055000000000001</c:v>
                </c:pt>
                <c:pt idx="9">
                  <c:v>1.0128999999999999</c:v>
                </c:pt>
                <c:pt idx="10">
                  <c:v>1.0122</c:v>
                </c:pt>
                <c:pt idx="11">
                  <c:v>1.0154000000000001</c:v>
                </c:pt>
                <c:pt idx="12">
                  <c:v>1.0155000000000001</c:v>
                </c:pt>
                <c:pt idx="13">
                  <c:v>1.0148999999999999</c:v>
                </c:pt>
                <c:pt idx="14">
                  <c:v>1.0143</c:v>
                </c:pt>
                <c:pt idx="15">
                  <c:v>1.0031000000000001</c:v>
                </c:pt>
                <c:pt idx="16">
                  <c:v>1.0124</c:v>
                </c:pt>
                <c:pt idx="17">
                  <c:v>0.99319999999999997</c:v>
                </c:pt>
                <c:pt idx="18">
                  <c:v>1.0004999999999999</c:v>
                </c:pt>
                <c:pt idx="19">
                  <c:v>1.0139</c:v>
                </c:pt>
                <c:pt idx="20">
                  <c:v>1.0289999999999999</c:v>
                </c:pt>
                <c:pt idx="21">
                  <c:v>1.0367999999999999</c:v>
                </c:pt>
                <c:pt idx="22">
                  <c:v>1.0358000000000001</c:v>
                </c:pt>
                <c:pt idx="23">
                  <c:v>1.0326</c:v>
                </c:pt>
                <c:pt idx="24">
                  <c:v>1.0485</c:v>
                </c:pt>
                <c:pt idx="25">
                  <c:v>1.0458000000000001</c:v>
                </c:pt>
                <c:pt idx="26">
                  <c:v>1.0363</c:v>
                </c:pt>
                <c:pt idx="27">
                  <c:v>1.0428999999999999</c:v>
                </c:pt>
                <c:pt idx="28">
                  <c:v>1.0246999999999999</c:v>
                </c:pt>
                <c:pt idx="29">
                  <c:v>1.0277000000000001</c:v>
                </c:pt>
                <c:pt idx="30">
                  <c:v>1.0294000000000001</c:v>
                </c:pt>
                <c:pt idx="31">
                  <c:v>1.0298</c:v>
                </c:pt>
                <c:pt idx="32">
                  <c:v>1.0241</c:v>
                </c:pt>
                <c:pt idx="33">
                  <c:v>1.0687</c:v>
                </c:pt>
                <c:pt idx="34">
                  <c:v>1.0805</c:v>
                </c:pt>
                <c:pt idx="35">
                  <c:v>1.0842000000000001</c:v>
                </c:pt>
                <c:pt idx="36">
                  <c:v>1.0848</c:v>
                </c:pt>
                <c:pt idx="37">
                  <c:v>1.0851999999999999</c:v>
                </c:pt>
                <c:pt idx="38">
                  <c:v>1.0867</c:v>
                </c:pt>
                <c:pt idx="39">
                  <c:v>1.0925</c:v>
                </c:pt>
                <c:pt idx="40">
                  <c:v>1.0952999999999999</c:v>
                </c:pt>
                <c:pt idx="41">
                  <c:v>1.0945</c:v>
                </c:pt>
                <c:pt idx="42">
                  <c:v>1.0924</c:v>
                </c:pt>
                <c:pt idx="43">
                  <c:v>1.0899000000000001</c:v>
                </c:pt>
                <c:pt idx="44">
                  <c:v>1.0872999999999999</c:v>
                </c:pt>
                <c:pt idx="45">
                  <c:v>1.0891</c:v>
                </c:pt>
                <c:pt idx="46">
                  <c:v>1.0968</c:v>
                </c:pt>
                <c:pt idx="47">
                  <c:v>1.1032</c:v>
                </c:pt>
                <c:pt idx="48">
                  <c:v>1.0911</c:v>
                </c:pt>
                <c:pt idx="49">
                  <c:v>1.0965</c:v>
                </c:pt>
                <c:pt idx="50">
                  <c:v>1.1032999999999999</c:v>
                </c:pt>
                <c:pt idx="51">
                  <c:v>1.1109</c:v>
                </c:pt>
                <c:pt idx="52">
                  <c:v>1.1166</c:v>
                </c:pt>
                <c:pt idx="53">
                  <c:v>1.1188</c:v>
                </c:pt>
                <c:pt idx="54">
                  <c:v>1.1198999999999999</c:v>
                </c:pt>
                <c:pt idx="55">
                  <c:v>1.1204000000000001</c:v>
                </c:pt>
                <c:pt idx="56">
                  <c:v>1.1208</c:v>
                </c:pt>
                <c:pt idx="57">
                  <c:v>1.1228</c:v>
                </c:pt>
                <c:pt idx="58">
                  <c:v>1.1214999999999999</c:v>
                </c:pt>
                <c:pt idx="59">
                  <c:v>1.1287</c:v>
                </c:pt>
                <c:pt idx="60">
                  <c:v>1.1309</c:v>
                </c:pt>
                <c:pt idx="61">
                  <c:v>1.1303000000000001</c:v>
                </c:pt>
                <c:pt idx="62">
                  <c:v>1.1338999999999999</c:v>
                </c:pt>
                <c:pt idx="63">
                  <c:v>1.137</c:v>
                </c:pt>
                <c:pt idx="64">
                  <c:v>1.1417999999999999</c:v>
                </c:pt>
                <c:pt idx="65">
                  <c:v>1.1424000000000001</c:v>
                </c:pt>
                <c:pt idx="66">
                  <c:v>1.1403000000000001</c:v>
                </c:pt>
                <c:pt idx="67">
                  <c:v>1.1442000000000001</c:v>
                </c:pt>
                <c:pt idx="68">
                  <c:v>1.1494</c:v>
                </c:pt>
                <c:pt idx="69">
                  <c:v>1.1494</c:v>
                </c:pt>
                <c:pt idx="70">
                  <c:v>1.1497999999999999</c:v>
                </c:pt>
                <c:pt idx="71">
                  <c:v>1.1497999999999999</c:v>
                </c:pt>
                <c:pt idx="72">
                  <c:v>1.1512</c:v>
                </c:pt>
                <c:pt idx="73">
                  <c:v>1.1557999999999999</c:v>
                </c:pt>
                <c:pt idx="74">
                  <c:v>1.1580999999999999</c:v>
                </c:pt>
                <c:pt idx="75">
                  <c:v>1.1614</c:v>
                </c:pt>
                <c:pt idx="76">
                  <c:v>1.1575</c:v>
                </c:pt>
                <c:pt idx="77">
                  <c:v>1.159</c:v>
                </c:pt>
                <c:pt idx="78">
                  <c:v>1.1448</c:v>
                </c:pt>
                <c:pt idx="79">
                  <c:v>1.1568000000000001</c:v>
                </c:pt>
                <c:pt idx="80">
                  <c:v>1.159</c:v>
                </c:pt>
                <c:pt idx="81">
                  <c:v>1.1595</c:v>
                </c:pt>
                <c:pt idx="82">
                  <c:v>1.1659999999999999</c:v>
                </c:pt>
                <c:pt idx="83">
                  <c:v>1.167</c:v>
                </c:pt>
                <c:pt idx="84">
                  <c:v>1.1697</c:v>
                </c:pt>
                <c:pt idx="85">
                  <c:v>1.1635</c:v>
                </c:pt>
                <c:pt idx="86">
                  <c:v>1.1673</c:v>
                </c:pt>
                <c:pt idx="87">
                  <c:v>1.169</c:v>
                </c:pt>
                <c:pt idx="88">
                  <c:v>1.1731</c:v>
                </c:pt>
                <c:pt idx="89">
                  <c:v>1.1755</c:v>
                </c:pt>
                <c:pt idx="90">
                  <c:v>1.1736</c:v>
                </c:pt>
                <c:pt idx="91">
                  <c:v>1.1763999999999999</c:v>
                </c:pt>
                <c:pt idx="92">
                  <c:v>1.1778999999999999</c:v>
                </c:pt>
                <c:pt idx="93">
                  <c:v>1.1827000000000001</c:v>
                </c:pt>
                <c:pt idx="94">
                  <c:v>1.1879999999999999</c:v>
                </c:pt>
                <c:pt idx="95">
                  <c:v>1.1884999999999999</c:v>
                </c:pt>
                <c:pt idx="96">
                  <c:v>1.1899</c:v>
                </c:pt>
                <c:pt idx="97">
                  <c:v>1.1871</c:v>
                </c:pt>
                <c:pt idx="98">
                  <c:v>1.1888000000000001</c:v>
                </c:pt>
                <c:pt idx="99">
                  <c:v>1.2004999999999999</c:v>
                </c:pt>
                <c:pt idx="100">
                  <c:v>1.1989000000000001</c:v>
                </c:pt>
                <c:pt idx="101">
                  <c:v>1.1876</c:v>
                </c:pt>
                <c:pt idx="102">
                  <c:v>1.1914</c:v>
                </c:pt>
                <c:pt idx="103">
                  <c:v>1.2014</c:v>
                </c:pt>
                <c:pt idx="104">
                  <c:v>1.1869000000000001</c:v>
                </c:pt>
                <c:pt idx="105">
                  <c:v>1.1955</c:v>
                </c:pt>
                <c:pt idx="106">
                  <c:v>1.2036</c:v>
                </c:pt>
                <c:pt idx="107">
                  <c:v>1.2097</c:v>
                </c:pt>
                <c:pt idx="108">
                  <c:v>1.2141999999999999</c:v>
                </c:pt>
                <c:pt idx="109">
                  <c:v>1.2075</c:v>
                </c:pt>
                <c:pt idx="110">
                  <c:v>1.2081999999999999</c:v>
                </c:pt>
                <c:pt idx="111">
                  <c:v>1.1890000000000001</c:v>
                </c:pt>
                <c:pt idx="112">
                  <c:v>1.1878</c:v>
                </c:pt>
                <c:pt idx="113">
                  <c:v>1.1931</c:v>
                </c:pt>
                <c:pt idx="114">
                  <c:v>1.2009000000000001</c:v>
                </c:pt>
                <c:pt idx="115">
                  <c:v>1.2060999999999999</c:v>
                </c:pt>
                <c:pt idx="116">
                  <c:v>1.2039</c:v>
                </c:pt>
                <c:pt idx="117">
                  <c:v>1.2030000000000001</c:v>
                </c:pt>
                <c:pt idx="118">
                  <c:v>1.2094</c:v>
                </c:pt>
                <c:pt idx="119">
                  <c:v>1.2111000000000001</c:v>
                </c:pt>
                <c:pt idx="120">
                  <c:v>1.2092000000000001</c:v>
                </c:pt>
                <c:pt idx="121">
                  <c:v>1.2190000000000001</c:v>
                </c:pt>
                <c:pt idx="122">
                  <c:v>1.228</c:v>
                </c:pt>
                <c:pt idx="123">
                  <c:v>1.2072000000000001</c:v>
                </c:pt>
                <c:pt idx="124">
                  <c:v>1.2029000000000001</c:v>
                </c:pt>
                <c:pt idx="125">
                  <c:v>1.1789000000000001</c:v>
                </c:pt>
                <c:pt idx="126">
                  <c:v>1.1880999999999999</c:v>
                </c:pt>
                <c:pt idx="127">
                  <c:v>1.1807000000000001</c:v>
                </c:pt>
                <c:pt idx="128">
                  <c:v>1.1843999999999999</c:v>
                </c:pt>
                <c:pt idx="129">
                  <c:v>1.1930000000000001</c:v>
                </c:pt>
                <c:pt idx="130">
                  <c:v>1.1847000000000001</c:v>
                </c:pt>
                <c:pt idx="131">
                  <c:v>1.1868000000000001</c:v>
                </c:pt>
                <c:pt idx="132">
                  <c:v>1.1853</c:v>
                </c:pt>
                <c:pt idx="133">
                  <c:v>1.1863999999999999</c:v>
                </c:pt>
                <c:pt idx="134">
                  <c:v>1.1875</c:v>
                </c:pt>
                <c:pt idx="135">
                  <c:v>1.1918</c:v>
                </c:pt>
                <c:pt idx="136">
                  <c:v>1.1939</c:v>
                </c:pt>
                <c:pt idx="137">
                  <c:v>1.1997</c:v>
                </c:pt>
                <c:pt idx="138">
                  <c:v>1.2043999999999999</c:v>
                </c:pt>
                <c:pt idx="139">
                  <c:v>1.2074</c:v>
                </c:pt>
                <c:pt idx="140">
                  <c:v>1.2073</c:v>
                </c:pt>
                <c:pt idx="141">
                  <c:v>1.2097</c:v>
                </c:pt>
                <c:pt idx="142">
                  <c:v>1.2054</c:v>
                </c:pt>
                <c:pt idx="143">
                  <c:v>1.2136</c:v>
                </c:pt>
                <c:pt idx="144">
                  <c:v>1.2143999999999999</c:v>
                </c:pt>
                <c:pt idx="145">
                  <c:v>1.2102999999999999</c:v>
                </c:pt>
                <c:pt idx="146">
                  <c:v>1.2165999999999999</c:v>
                </c:pt>
                <c:pt idx="147">
                  <c:v>1.2206999999999999</c:v>
                </c:pt>
                <c:pt idx="148">
                  <c:v>1.2224999999999999</c:v>
                </c:pt>
                <c:pt idx="149">
                  <c:v>1.2238</c:v>
                </c:pt>
                <c:pt idx="150">
                  <c:v>1.2269000000000001</c:v>
                </c:pt>
                <c:pt idx="151">
                  <c:v>1.2313000000000001</c:v>
                </c:pt>
                <c:pt idx="152">
                  <c:v>1.2302</c:v>
                </c:pt>
                <c:pt idx="153">
                  <c:v>1.2316</c:v>
                </c:pt>
                <c:pt idx="154">
                  <c:v>1.2329000000000001</c:v>
                </c:pt>
                <c:pt idx="155">
                  <c:v>1.2367999999999999</c:v>
                </c:pt>
                <c:pt idx="156">
                  <c:v>1.2331000000000001</c:v>
                </c:pt>
                <c:pt idx="157">
                  <c:v>1.2235</c:v>
                </c:pt>
                <c:pt idx="158">
                  <c:v>1.2223999999999999</c:v>
                </c:pt>
                <c:pt idx="159">
                  <c:v>1.2265999999999999</c:v>
                </c:pt>
                <c:pt idx="160">
                  <c:v>1.2249000000000001</c:v>
                </c:pt>
                <c:pt idx="161">
                  <c:v>1.2294</c:v>
                </c:pt>
                <c:pt idx="162">
                  <c:v>1.2270000000000001</c:v>
                </c:pt>
                <c:pt idx="163">
                  <c:v>1.2287999999999999</c:v>
                </c:pt>
                <c:pt idx="164">
                  <c:v>1.2287999999999999</c:v>
                </c:pt>
                <c:pt idx="165">
                  <c:v>1.2293000000000001</c:v>
                </c:pt>
                <c:pt idx="166">
                  <c:v>1.2315</c:v>
                </c:pt>
                <c:pt idx="167">
                  <c:v>1.2290000000000001</c:v>
                </c:pt>
                <c:pt idx="168">
                  <c:v>1.2326999999999999</c:v>
                </c:pt>
                <c:pt idx="169">
                  <c:v>1.2371000000000001</c:v>
                </c:pt>
                <c:pt idx="170">
                  <c:v>1.2401</c:v>
                </c:pt>
                <c:pt idx="171">
                  <c:v>1.2407999999999999</c:v>
                </c:pt>
                <c:pt idx="172">
                  <c:v>1.2421</c:v>
                </c:pt>
                <c:pt idx="173">
                  <c:v>1.2369000000000001</c:v>
                </c:pt>
                <c:pt idx="174">
                  <c:v>1.2406999999999999</c:v>
                </c:pt>
                <c:pt idx="175">
                  <c:v>1.2395</c:v>
                </c:pt>
                <c:pt idx="176">
                  <c:v>1.2408999999999999</c:v>
                </c:pt>
                <c:pt idx="177">
                  <c:v>1.2372000000000001</c:v>
                </c:pt>
                <c:pt idx="178">
                  <c:v>1.242</c:v>
                </c:pt>
                <c:pt idx="179">
                  <c:v>1.2443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B7-4046-B7A0-A8F07AC8E0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099824"/>
        <c:axId val="545100384"/>
      </c:lineChart>
      <c:catAx>
        <c:axId val="545099824"/>
        <c:scaling>
          <c:orientation val="minMax"/>
        </c:scaling>
        <c:delete val="0"/>
        <c:axPos val="b"/>
        <c:numFmt formatCode="yyyy\-mm\-dd" sourceLinked="1"/>
        <c:majorTickMark val="none"/>
        <c:minorTickMark val="none"/>
        <c:tickLblPos val="nextTo"/>
        <c:crossAx val="545100384"/>
        <c:crosses val="autoZero"/>
        <c:auto val="0"/>
        <c:lblAlgn val="ctr"/>
        <c:lblOffset val="100"/>
        <c:noMultiLvlLbl val="1"/>
      </c:catAx>
      <c:valAx>
        <c:axId val="545100384"/>
        <c:scaling>
          <c:orientation val="minMax"/>
          <c:min val="0.99"/>
        </c:scaling>
        <c:delete val="0"/>
        <c:axPos val="l"/>
        <c:majorGridlines/>
        <c:numFmt formatCode="0.0000_ " sourceLinked="1"/>
        <c:majorTickMark val="none"/>
        <c:minorTickMark val="none"/>
        <c:tickLblPos val="nextTo"/>
        <c:spPr>
          <a:ln w="9525">
            <a:noFill/>
          </a:ln>
        </c:spPr>
        <c:crossAx val="54509982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4" l="0.70000000000000062" r="0.70000000000000062" t="0.750000000000004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 sz="1600"/>
              <a:t>量客长阳一号</a:t>
            </a:r>
            <a:endParaRPr lang="en-US" altLang="zh-CN" sz="16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量客长阳一号!$B$20</c:f>
              <c:strCache>
                <c:ptCount val="1"/>
                <c:pt idx="0">
                  <c:v>累计净值</c:v>
                </c:pt>
              </c:strCache>
            </c:strRef>
          </c:tx>
          <c:marker>
            <c:symbol val="none"/>
          </c:marker>
          <c:cat>
            <c:numRef>
              <c:f>量客长阳一号!$A$21:$A$140</c:f>
              <c:numCache>
                <c:formatCode>m/d/yyyy</c:formatCode>
                <c:ptCount val="120"/>
                <c:pt idx="0">
                  <c:v>44151</c:v>
                </c:pt>
                <c:pt idx="1">
                  <c:v>44152</c:v>
                </c:pt>
                <c:pt idx="2">
                  <c:v>44153</c:v>
                </c:pt>
                <c:pt idx="3">
                  <c:v>44154</c:v>
                </c:pt>
                <c:pt idx="4">
                  <c:v>44155</c:v>
                </c:pt>
                <c:pt idx="5">
                  <c:v>44158</c:v>
                </c:pt>
                <c:pt idx="6">
                  <c:v>44159</c:v>
                </c:pt>
                <c:pt idx="7">
                  <c:v>44160</c:v>
                </c:pt>
                <c:pt idx="8">
                  <c:v>44161</c:v>
                </c:pt>
                <c:pt idx="9">
                  <c:v>44162</c:v>
                </c:pt>
                <c:pt idx="10">
                  <c:v>44165</c:v>
                </c:pt>
                <c:pt idx="11">
                  <c:v>44166</c:v>
                </c:pt>
                <c:pt idx="12">
                  <c:v>44167</c:v>
                </c:pt>
                <c:pt idx="13">
                  <c:v>44168</c:v>
                </c:pt>
                <c:pt idx="14">
                  <c:v>44169</c:v>
                </c:pt>
                <c:pt idx="15">
                  <c:v>44172</c:v>
                </c:pt>
                <c:pt idx="16">
                  <c:v>44173</c:v>
                </c:pt>
                <c:pt idx="17">
                  <c:v>44174</c:v>
                </c:pt>
                <c:pt idx="18">
                  <c:v>44175</c:v>
                </c:pt>
                <c:pt idx="19">
                  <c:v>44176</c:v>
                </c:pt>
                <c:pt idx="20">
                  <c:v>44179</c:v>
                </c:pt>
                <c:pt idx="21">
                  <c:v>44180</c:v>
                </c:pt>
                <c:pt idx="22">
                  <c:v>44181</c:v>
                </c:pt>
                <c:pt idx="23">
                  <c:v>44182</c:v>
                </c:pt>
                <c:pt idx="24">
                  <c:v>44183</c:v>
                </c:pt>
                <c:pt idx="25">
                  <c:v>44186</c:v>
                </c:pt>
                <c:pt idx="26">
                  <c:v>44187</c:v>
                </c:pt>
                <c:pt idx="27">
                  <c:v>44188</c:v>
                </c:pt>
                <c:pt idx="28">
                  <c:v>44189</c:v>
                </c:pt>
                <c:pt idx="29">
                  <c:v>44190</c:v>
                </c:pt>
                <c:pt idx="30">
                  <c:v>44193</c:v>
                </c:pt>
                <c:pt idx="31">
                  <c:v>44194</c:v>
                </c:pt>
                <c:pt idx="32">
                  <c:v>44195</c:v>
                </c:pt>
                <c:pt idx="33">
                  <c:v>44196</c:v>
                </c:pt>
                <c:pt idx="34">
                  <c:v>44200</c:v>
                </c:pt>
                <c:pt idx="35">
                  <c:v>44201</c:v>
                </c:pt>
                <c:pt idx="36">
                  <c:v>44202</c:v>
                </c:pt>
                <c:pt idx="37">
                  <c:v>44203</c:v>
                </c:pt>
                <c:pt idx="38">
                  <c:v>44204</c:v>
                </c:pt>
                <c:pt idx="39">
                  <c:v>44207</c:v>
                </c:pt>
                <c:pt idx="40">
                  <c:v>44208</c:v>
                </c:pt>
                <c:pt idx="41">
                  <c:v>44209</c:v>
                </c:pt>
                <c:pt idx="42">
                  <c:v>44210</c:v>
                </c:pt>
                <c:pt idx="43">
                  <c:v>44211</c:v>
                </c:pt>
                <c:pt idx="44">
                  <c:v>44214</c:v>
                </c:pt>
                <c:pt idx="45">
                  <c:v>44215</c:v>
                </c:pt>
                <c:pt idx="46">
                  <c:v>44216</c:v>
                </c:pt>
                <c:pt idx="47">
                  <c:v>44217</c:v>
                </c:pt>
                <c:pt idx="48">
                  <c:v>44218</c:v>
                </c:pt>
                <c:pt idx="49">
                  <c:v>44221</c:v>
                </c:pt>
                <c:pt idx="50">
                  <c:v>44222</c:v>
                </c:pt>
                <c:pt idx="51">
                  <c:v>44223</c:v>
                </c:pt>
                <c:pt idx="52">
                  <c:v>44224</c:v>
                </c:pt>
                <c:pt idx="53">
                  <c:v>44225</c:v>
                </c:pt>
                <c:pt idx="54">
                  <c:v>44228</c:v>
                </c:pt>
                <c:pt idx="55">
                  <c:v>44229</c:v>
                </c:pt>
                <c:pt idx="56">
                  <c:v>44230</c:v>
                </c:pt>
                <c:pt idx="57">
                  <c:v>44231</c:v>
                </c:pt>
                <c:pt idx="58">
                  <c:v>44232</c:v>
                </c:pt>
                <c:pt idx="59">
                  <c:v>44235</c:v>
                </c:pt>
                <c:pt idx="60">
                  <c:v>44236</c:v>
                </c:pt>
                <c:pt idx="61">
                  <c:v>44237</c:v>
                </c:pt>
                <c:pt idx="62">
                  <c:v>44245</c:v>
                </c:pt>
                <c:pt idx="63">
                  <c:v>44246</c:v>
                </c:pt>
                <c:pt idx="64">
                  <c:v>44249</c:v>
                </c:pt>
                <c:pt idx="65">
                  <c:v>44250</c:v>
                </c:pt>
                <c:pt idx="66">
                  <c:v>44251</c:v>
                </c:pt>
                <c:pt idx="67">
                  <c:v>44252</c:v>
                </c:pt>
                <c:pt idx="68">
                  <c:v>44253</c:v>
                </c:pt>
                <c:pt idx="69">
                  <c:v>44256</c:v>
                </c:pt>
                <c:pt idx="70">
                  <c:v>44257</c:v>
                </c:pt>
                <c:pt idx="71">
                  <c:v>44258</c:v>
                </c:pt>
                <c:pt idx="72">
                  <c:v>44259</c:v>
                </c:pt>
                <c:pt idx="73">
                  <c:v>44260</c:v>
                </c:pt>
                <c:pt idx="74">
                  <c:v>44263</c:v>
                </c:pt>
                <c:pt idx="75">
                  <c:v>44264</c:v>
                </c:pt>
                <c:pt idx="76">
                  <c:v>44265</c:v>
                </c:pt>
                <c:pt idx="77">
                  <c:v>44266</c:v>
                </c:pt>
                <c:pt idx="78">
                  <c:v>44267</c:v>
                </c:pt>
                <c:pt idx="79">
                  <c:v>44270</c:v>
                </c:pt>
                <c:pt idx="80">
                  <c:v>44271</c:v>
                </c:pt>
                <c:pt idx="81">
                  <c:v>44272</c:v>
                </c:pt>
                <c:pt idx="82">
                  <c:v>44273</c:v>
                </c:pt>
                <c:pt idx="83">
                  <c:v>44274</c:v>
                </c:pt>
                <c:pt idx="84">
                  <c:v>44277</c:v>
                </c:pt>
                <c:pt idx="85">
                  <c:v>44278</c:v>
                </c:pt>
                <c:pt idx="86">
                  <c:v>44279</c:v>
                </c:pt>
                <c:pt idx="87">
                  <c:v>44280</c:v>
                </c:pt>
                <c:pt idx="88">
                  <c:v>44281</c:v>
                </c:pt>
                <c:pt idx="89">
                  <c:v>44284</c:v>
                </c:pt>
                <c:pt idx="90">
                  <c:v>44285</c:v>
                </c:pt>
                <c:pt idx="91">
                  <c:v>44286</c:v>
                </c:pt>
                <c:pt idx="92">
                  <c:v>44287</c:v>
                </c:pt>
                <c:pt idx="93">
                  <c:v>44288</c:v>
                </c:pt>
                <c:pt idx="94">
                  <c:v>44292</c:v>
                </c:pt>
                <c:pt idx="95">
                  <c:v>44293</c:v>
                </c:pt>
                <c:pt idx="96">
                  <c:v>44294</c:v>
                </c:pt>
                <c:pt idx="97">
                  <c:v>44295</c:v>
                </c:pt>
                <c:pt idx="98">
                  <c:v>44298</c:v>
                </c:pt>
                <c:pt idx="99">
                  <c:v>44299</c:v>
                </c:pt>
                <c:pt idx="100">
                  <c:v>44300</c:v>
                </c:pt>
                <c:pt idx="101">
                  <c:v>44301</c:v>
                </c:pt>
                <c:pt idx="102">
                  <c:v>44302</c:v>
                </c:pt>
                <c:pt idx="103">
                  <c:v>44305</c:v>
                </c:pt>
                <c:pt idx="104">
                  <c:v>44306</c:v>
                </c:pt>
                <c:pt idx="105">
                  <c:v>44307</c:v>
                </c:pt>
                <c:pt idx="106">
                  <c:v>44308</c:v>
                </c:pt>
                <c:pt idx="107">
                  <c:v>44309</c:v>
                </c:pt>
                <c:pt idx="108">
                  <c:v>44312</c:v>
                </c:pt>
                <c:pt idx="109">
                  <c:v>44313</c:v>
                </c:pt>
                <c:pt idx="110">
                  <c:v>44314</c:v>
                </c:pt>
                <c:pt idx="111">
                  <c:v>44315</c:v>
                </c:pt>
                <c:pt idx="112">
                  <c:v>44316</c:v>
                </c:pt>
                <c:pt idx="113">
                  <c:v>44322</c:v>
                </c:pt>
                <c:pt idx="114">
                  <c:v>44323</c:v>
                </c:pt>
                <c:pt idx="115">
                  <c:v>44326</c:v>
                </c:pt>
                <c:pt idx="116">
                  <c:v>44327</c:v>
                </c:pt>
                <c:pt idx="117">
                  <c:v>44328</c:v>
                </c:pt>
                <c:pt idx="118">
                  <c:v>44329</c:v>
                </c:pt>
                <c:pt idx="119">
                  <c:v>44330</c:v>
                </c:pt>
              </c:numCache>
            </c:numRef>
          </c:cat>
          <c:val>
            <c:numRef>
              <c:f>量客长阳一号!$B$21:$B$140</c:f>
              <c:numCache>
                <c:formatCode>0.0000_ </c:formatCode>
                <c:ptCount val="120"/>
                <c:pt idx="0">
                  <c:v>1.0710999999999999</c:v>
                </c:pt>
                <c:pt idx="1">
                  <c:v>1.0706</c:v>
                </c:pt>
                <c:pt idx="2">
                  <c:v>1.0680000000000001</c:v>
                </c:pt>
                <c:pt idx="3">
                  <c:v>1.0648</c:v>
                </c:pt>
                <c:pt idx="4">
                  <c:v>1.0652999999999999</c:v>
                </c:pt>
                <c:pt idx="5">
                  <c:v>1.0683</c:v>
                </c:pt>
                <c:pt idx="6">
                  <c:v>1.0669</c:v>
                </c:pt>
                <c:pt idx="7">
                  <c:v>1.0668</c:v>
                </c:pt>
                <c:pt idx="8">
                  <c:v>1.0674999999999999</c:v>
                </c:pt>
                <c:pt idx="9">
                  <c:v>1.0669999999999999</c:v>
                </c:pt>
                <c:pt idx="10">
                  <c:v>1.0644</c:v>
                </c:pt>
                <c:pt idx="11">
                  <c:v>1.071</c:v>
                </c:pt>
                <c:pt idx="12">
                  <c:v>1.0726</c:v>
                </c:pt>
                <c:pt idx="13">
                  <c:v>1.0737000000000001</c:v>
                </c:pt>
                <c:pt idx="14">
                  <c:v>1.0739000000000001</c:v>
                </c:pt>
                <c:pt idx="15">
                  <c:v>1.0733999999999999</c:v>
                </c:pt>
                <c:pt idx="16">
                  <c:v>1.0719000000000001</c:v>
                </c:pt>
                <c:pt idx="17">
                  <c:v>1.0711999999999999</c:v>
                </c:pt>
                <c:pt idx="18">
                  <c:v>1.0738000000000001</c:v>
                </c:pt>
                <c:pt idx="19">
                  <c:v>1.0755999999999999</c:v>
                </c:pt>
                <c:pt idx="20">
                  <c:v>1.0760000000000001</c:v>
                </c:pt>
                <c:pt idx="21">
                  <c:v>1.0745</c:v>
                </c:pt>
                <c:pt idx="22">
                  <c:v>1.0738000000000001</c:v>
                </c:pt>
                <c:pt idx="23">
                  <c:v>1.0722</c:v>
                </c:pt>
                <c:pt idx="24">
                  <c:v>1.0709</c:v>
                </c:pt>
                <c:pt idx="25">
                  <c:v>1.0760000000000001</c:v>
                </c:pt>
                <c:pt idx="26">
                  <c:v>1.0736000000000001</c:v>
                </c:pt>
                <c:pt idx="27">
                  <c:v>1.0744</c:v>
                </c:pt>
                <c:pt idx="28">
                  <c:v>1.0740000000000001</c:v>
                </c:pt>
                <c:pt idx="29">
                  <c:v>1.0751999999999999</c:v>
                </c:pt>
                <c:pt idx="30">
                  <c:v>1.0734999999999999</c:v>
                </c:pt>
                <c:pt idx="31">
                  <c:v>1.0706</c:v>
                </c:pt>
                <c:pt idx="32">
                  <c:v>1.0753999999999999</c:v>
                </c:pt>
                <c:pt idx="33">
                  <c:v>1.0704</c:v>
                </c:pt>
                <c:pt idx="34">
                  <c:v>1.0780000000000001</c:v>
                </c:pt>
                <c:pt idx="35">
                  <c:v>1.0804</c:v>
                </c:pt>
                <c:pt idx="36">
                  <c:v>1.0824</c:v>
                </c:pt>
                <c:pt idx="37">
                  <c:v>1.0934999999999999</c:v>
                </c:pt>
                <c:pt idx="38">
                  <c:v>1.0996999999999999</c:v>
                </c:pt>
                <c:pt idx="39">
                  <c:v>1.0960000000000001</c:v>
                </c:pt>
                <c:pt idx="40">
                  <c:v>1.0994999999999999</c:v>
                </c:pt>
                <c:pt idx="41">
                  <c:v>1.0985</c:v>
                </c:pt>
                <c:pt idx="69">
                  <c:v>1.1440999999999999</c:v>
                </c:pt>
                <c:pt idx="70">
                  <c:v>1.1440999999999999</c:v>
                </c:pt>
                <c:pt idx="71">
                  <c:v>1.1468</c:v>
                </c:pt>
                <c:pt idx="72">
                  <c:v>1.1520999999999999</c:v>
                </c:pt>
                <c:pt idx="73">
                  <c:v>1.1545000000000001</c:v>
                </c:pt>
                <c:pt idx="74">
                  <c:v>1.1600999999999999</c:v>
                </c:pt>
                <c:pt idx="75">
                  <c:v>1.1567000000000001</c:v>
                </c:pt>
                <c:pt idx="76">
                  <c:v>1.1545000000000001</c:v>
                </c:pt>
                <c:pt idx="77">
                  <c:v>1.1563000000000001</c:v>
                </c:pt>
                <c:pt idx="78">
                  <c:v>1.1559999999999999</c:v>
                </c:pt>
                <c:pt idx="79">
                  <c:v>1.1529</c:v>
                </c:pt>
                <c:pt idx="80">
                  <c:v>1.1532</c:v>
                </c:pt>
                <c:pt idx="81">
                  <c:v>1.1547000000000001</c:v>
                </c:pt>
                <c:pt idx="82">
                  <c:v>1.1544000000000001</c:v>
                </c:pt>
                <c:pt idx="83">
                  <c:v>1.1581999999999999</c:v>
                </c:pt>
                <c:pt idx="84">
                  <c:v>1.1525000000000001</c:v>
                </c:pt>
                <c:pt idx="85">
                  <c:v>1.1488</c:v>
                </c:pt>
                <c:pt idx="86">
                  <c:v>1.153</c:v>
                </c:pt>
                <c:pt idx="87">
                  <c:v>1.1494</c:v>
                </c:pt>
                <c:pt idx="88">
                  <c:v>1.149</c:v>
                </c:pt>
                <c:pt idx="89">
                  <c:v>1.1448</c:v>
                </c:pt>
                <c:pt idx="90">
                  <c:v>1.1463000000000001</c:v>
                </c:pt>
                <c:pt idx="91">
                  <c:v>1.1446000000000001</c:v>
                </c:pt>
                <c:pt idx="92">
                  <c:v>1.1480999999999999</c:v>
                </c:pt>
                <c:pt idx="93">
                  <c:v>1.1503000000000001</c:v>
                </c:pt>
                <c:pt idx="94">
                  <c:v>1.1474</c:v>
                </c:pt>
                <c:pt idx="95">
                  <c:v>1.1488</c:v>
                </c:pt>
                <c:pt idx="96">
                  <c:v>1.1507000000000001</c:v>
                </c:pt>
                <c:pt idx="97">
                  <c:v>1.1512</c:v>
                </c:pt>
                <c:pt idx="98">
                  <c:v>1.1501999999999999</c:v>
                </c:pt>
                <c:pt idx="99">
                  <c:v>1.1500999999999999</c:v>
                </c:pt>
                <c:pt idx="100">
                  <c:v>1.1507000000000001</c:v>
                </c:pt>
                <c:pt idx="101">
                  <c:v>1.149</c:v>
                </c:pt>
                <c:pt idx="102">
                  <c:v>1.1475</c:v>
                </c:pt>
                <c:pt idx="103">
                  <c:v>1.1536</c:v>
                </c:pt>
                <c:pt idx="104">
                  <c:v>1.1535</c:v>
                </c:pt>
                <c:pt idx="105">
                  <c:v>1.1539999999999999</c:v>
                </c:pt>
                <c:pt idx="106">
                  <c:v>1.1534</c:v>
                </c:pt>
                <c:pt idx="107">
                  <c:v>1.1541999999999999</c:v>
                </c:pt>
                <c:pt idx="108">
                  <c:v>1.1525000000000001</c:v>
                </c:pt>
                <c:pt idx="109">
                  <c:v>1.1529</c:v>
                </c:pt>
                <c:pt idx="110">
                  <c:v>1.1532</c:v>
                </c:pt>
                <c:pt idx="111">
                  <c:v>1.1558999999999999</c:v>
                </c:pt>
                <c:pt idx="112">
                  <c:v>1.1565000000000001</c:v>
                </c:pt>
                <c:pt idx="113">
                  <c:v>1.1534</c:v>
                </c:pt>
                <c:pt idx="114">
                  <c:v>1.1534</c:v>
                </c:pt>
                <c:pt idx="115">
                  <c:v>1.1513</c:v>
                </c:pt>
                <c:pt idx="116">
                  <c:v>1.1528</c:v>
                </c:pt>
                <c:pt idx="117">
                  <c:v>1.1553</c:v>
                </c:pt>
                <c:pt idx="118">
                  <c:v>1.1520999999999999</c:v>
                </c:pt>
                <c:pt idx="119">
                  <c:v>1.1575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72-4C33-AD66-468E7C4EB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099824"/>
        <c:axId val="545100384"/>
      </c:lineChart>
      <c:catAx>
        <c:axId val="54509982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crossAx val="545100384"/>
        <c:crosses val="autoZero"/>
        <c:auto val="0"/>
        <c:lblAlgn val="ctr"/>
        <c:lblOffset val="100"/>
        <c:noMultiLvlLbl val="1"/>
      </c:catAx>
      <c:valAx>
        <c:axId val="545100384"/>
        <c:scaling>
          <c:orientation val="minMax"/>
          <c:min val="1.05"/>
        </c:scaling>
        <c:delete val="0"/>
        <c:axPos val="l"/>
        <c:majorGridlines/>
        <c:numFmt formatCode="0.0000_ " sourceLinked="1"/>
        <c:majorTickMark val="none"/>
        <c:minorTickMark val="none"/>
        <c:tickLblPos val="nextTo"/>
        <c:spPr>
          <a:ln w="9525">
            <a:noFill/>
          </a:ln>
        </c:spPr>
        <c:crossAx val="54509982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4" l="0.70000000000000062" r="0.70000000000000062" t="0.750000000000004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爱凡哲睿哲二号!$B$20</c:f>
              <c:strCache>
                <c:ptCount val="1"/>
                <c:pt idx="0">
                  <c:v>累计净值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爱凡哲睿哲二号!$A$21:$A$81</c:f>
              <c:numCache>
                <c:formatCode>m/d/yyyy</c:formatCode>
                <c:ptCount val="61"/>
                <c:pt idx="0">
                  <c:v>44236</c:v>
                </c:pt>
                <c:pt idx="1">
                  <c:v>44237</c:v>
                </c:pt>
                <c:pt idx="2">
                  <c:v>44245</c:v>
                </c:pt>
                <c:pt idx="3">
                  <c:v>44246</c:v>
                </c:pt>
                <c:pt idx="4">
                  <c:v>44249</c:v>
                </c:pt>
                <c:pt idx="5">
                  <c:v>44250</c:v>
                </c:pt>
                <c:pt idx="6">
                  <c:v>44251</c:v>
                </c:pt>
                <c:pt idx="7">
                  <c:v>44252</c:v>
                </c:pt>
                <c:pt idx="8">
                  <c:v>44253</c:v>
                </c:pt>
                <c:pt idx="9">
                  <c:v>44255</c:v>
                </c:pt>
                <c:pt idx="10">
                  <c:v>44256</c:v>
                </c:pt>
                <c:pt idx="11">
                  <c:v>44257</c:v>
                </c:pt>
                <c:pt idx="12">
                  <c:v>44258</c:v>
                </c:pt>
                <c:pt idx="13">
                  <c:v>44259</c:v>
                </c:pt>
                <c:pt idx="14">
                  <c:v>44260</c:v>
                </c:pt>
                <c:pt idx="15">
                  <c:v>44263</c:v>
                </c:pt>
                <c:pt idx="16">
                  <c:v>44264</c:v>
                </c:pt>
                <c:pt idx="17">
                  <c:v>44265</c:v>
                </c:pt>
                <c:pt idx="18">
                  <c:v>44266</c:v>
                </c:pt>
                <c:pt idx="19">
                  <c:v>44267</c:v>
                </c:pt>
                <c:pt idx="20">
                  <c:v>44270</c:v>
                </c:pt>
                <c:pt idx="21">
                  <c:v>44271</c:v>
                </c:pt>
                <c:pt idx="22">
                  <c:v>44272</c:v>
                </c:pt>
                <c:pt idx="23">
                  <c:v>44273</c:v>
                </c:pt>
                <c:pt idx="24">
                  <c:v>44274</c:v>
                </c:pt>
                <c:pt idx="25">
                  <c:v>44277</c:v>
                </c:pt>
                <c:pt idx="26">
                  <c:v>44278</c:v>
                </c:pt>
                <c:pt idx="27">
                  <c:v>44279</c:v>
                </c:pt>
                <c:pt idx="28">
                  <c:v>44280</c:v>
                </c:pt>
                <c:pt idx="29">
                  <c:v>44281</c:v>
                </c:pt>
                <c:pt idx="30">
                  <c:v>44284</c:v>
                </c:pt>
                <c:pt idx="31">
                  <c:v>44285</c:v>
                </c:pt>
                <c:pt idx="32">
                  <c:v>44286</c:v>
                </c:pt>
                <c:pt idx="33">
                  <c:v>44287</c:v>
                </c:pt>
                <c:pt idx="34">
                  <c:v>44288</c:v>
                </c:pt>
                <c:pt idx="35">
                  <c:v>44292</c:v>
                </c:pt>
                <c:pt idx="36">
                  <c:v>44293</c:v>
                </c:pt>
                <c:pt idx="37">
                  <c:v>44294</c:v>
                </c:pt>
                <c:pt idx="38">
                  <c:v>44295</c:v>
                </c:pt>
                <c:pt idx="39">
                  <c:v>44298</c:v>
                </c:pt>
                <c:pt idx="40">
                  <c:v>44299</c:v>
                </c:pt>
                <c:pt idx="41">
                  <c:v>44300</c:v>
                </c:pt>
                <c:pt idx="42">
                  <c:v>44301</c:v>
                </c:pt>
                <c:pt idx="43">
                  <c:v>44302</c:v>
                </c:pt>
                <c:pt idx="44">
                  <c:v>44305</c:v>
                </c:pt>
                <c:pt idx="45">
                  <c:v>44306</c:v>
                </c:pt>
                <c:pt idx="46">
                  <c:v>44307</c:v>
                </c:pt>
                <c:pt idx="47">
                  <c:v>44308</c:v>
                </c:pt>
                <c:pt idx="48">
                  <c:v>44309</c:v>
                </c:pt>
                <c:pt idx="49">
                  <c:v>44312</c:v>
                </c:pt>
                <c:pt idx="50">
                  <c:v>44313</c:v>
                </c:pt>
                <c:pt idx="51">
                  <c:v>44314</c:v>
                </c:pt>
                <c:pt idx="52">
                  <c:v>44315</c:v>
                </c:pt>
                <c:pt idx="53">
                  <c:v>44316</c:v>
                </c:pt>
                <c:pt idx="54">
                  <c:v>44322</c:v>
                </c:pt>
                <c:pt idx="55">
                  <c:v>44323</c:v>
                </c:pt>
                <c:pt idx="56">
                  <c:v>44326</c:v>
                </c:pt>
                <c:pt idx="57">
                  <c:v>44327</c:v>
                </c:pt>
                <c:pt idx="58">
                  <c:v>44328</c:v>
                </c:pt>
                <c:pt idx="59">
                  <c:v>44329</c:v>
                </c:pt>
                <c:pt idx="60">
                  <c:v>44330</c:v>
                </c:pt>
              </c:numCache>
            </c:numRef>
          </c:cat>
          <c:val>
            <c:numRef>
              <c:f>爱凡哲睿哲二号!$B$21:$B$81</c:f>
              <c:numCache>
                <c:formatCode>0.0000_ </c:formatCode>
                <c:ptCount val="61"/>
                <c:pt idx="0">
                  <c:v>1.087</c:v>
                </c:pt>
                <c:pt idx="1">
                  <c:v>1.0860000000000001</c:v>
                </c:pt>
                <c:pt idx="2">
                  <c:v>1.087</c:v>
                </c:pt>
                <c:pt idx="3">
                  <c:v>1.087</c:v>
                </c:pt>
                <c:pt idx="4">
                  <c:v>1.0860000000000001</c:v>
                </c:pt>
                <c:pt idx="5">
                  <c:v>1.093</c:v>
                </c:pt>
                <c:pt idx="6">
                  <c:v>1.0940000000000001</c:v>
                </c:pt>
                <c:pt idx="7">
                  <c:v>1.0920000000000001</c:v>
                </c:pt>
                <c:pt idx="8">
                  <c:v>1.093</c:v>
                </c:pt>
                <c:pt idx="9">
                  <c:v>1.093</c:v>
                </c:pt>
                <c:pt idx="10">
                  <c:v>1.0940000000000001</c:v>
                </c:pt>
                <c:pt idx="11">
                  <c:v>1.095</c:v>
                </c:pt>
                <c:pt idx="12">
                  <c:v>1.0940000000000001</c:v>
                </c:pt>
                <c:pt idx="13">
                  <c:v>1.0960000000000001</c:v>
                </c:pt>
                <c:pt idx="14">
                  <c:v>1.095</c:v>
                </c:pt>
                <c:pt idx="15">
                  <c:v>1.0960000000000001</c:v>
                </c:pt>
                <c:pt idx="16">
                  <c:v>1.0980000000000001</c:v>
                </c:pt>
                <c:pt idx="17">
                  <c:v>1.0980000000000001</c:v>
                </c:pt>
                <c:pt idx="18">
                  <c:v>1.099</c:v>
                </c:pt>
                <c:pt idx="19">
                  <c:v>1.101</c:v>
                </c:pt>
                <c:pt idx="20">
                  <c:v>1.1040000000000001</c:v>
                </c:pt>
                <c:pt idx="21">
                  <c:v>1.103</c:v>
                </c:pt>
                <c:pt idx="22">
                  <c:v>1.105</c:v>
                </c:pt>
                <c:pt idx="23">
                  <c:v>1.1040000000000001</c:v>
                </c:pt>
                <c:pt idx="24">
                  <c:v>1.1020000000000001</c:v>
                </c:pt>
                <c:pt idx="25">
                  <c:v>1.1000000000000001</c:v>
                </c:pt>
                <c:pt idx="26">
                  <c:v>1.0960000000000001</c:v>
                </c:pt>
                <c:pt idx="27">
                  <c:v>1.095</c:v>
                </c:pt>
                <c:pt idx="28">
                  <c:v>1.0980000000000001</c:v>
                </c:pt>
                <c:pt idx="29">
                  <c:v>1.099</c:v>
                </c:pt>
                <c:pt idx="30">
                  <c:v>1.1020000000000001</c:v>
                </c:pt>
                <c:pt idx="31">
                  <c:v>1.105</c:v>
                </c:pt>
                <c:pt idx="32">
                  <c:v>1.1040000000000001</c:v>
                </c:pt>
                <c:pt idx="33">
                  <c:v>1.1080000000000001</c:v>
                </c:pt>
                <c:pt idx="34">
                  <c:v>1.1100000000000001</c:v>
                </c:pt>
                <c:pt idx="35">
                  <c:v>1.107</c:v>
                </c:pt>
                <c:pt idx="36">
                  <c:v>1.1020000000000001</c:v>
                </c:pt>
                <c:pt idx="37">
                  <c:v>1.105</c:v>
                </c:pt>
                <c:pt idx="38">
                  <c:v>1.1060000000000001</c:v>
                </c:pt>
                <c:pt idx="39">
                  <c:v>1.1080000000000001</c:v>
                </c:pt>
                <c:pt idx="40">
                  <c:v>1.1040000000000001</c:v>
                </c:pt>
                <c:pt idx="41">
                  <c:v>1.097</c:v>
                </c:pt>
                <c:pt idx="42">
                  <c:v>1.0960000000000001</c:v>
                </c:pt>
                <c:pt idx="43">
                  <c:v>1.097</c:v>
                </c:pt>
                <c:pt idx="44">
                  <c:v>1.1000000000000001</c:v>
                </c:pt>
                <c:pt idx="45">
                  <c:v>1.101</c:v>
                </c:pt>
                <c:pt idx="46">
                  <c:v>1.101</c:v>
                </c:pt>
                <c:pt idx="47">
                  <c:v>1.101</c:v>
                </c:pt>
                <c:pt idx="48">
                  <c:v>1.1020000000000001</c:v>
                </c:pt>
                <c:pt idx="49">
                  <c:v>1.1040000000000001</c:v>
                </c:pt>
                <c:pt idx="50">
                  <c:v>1.1040000000000001</c:v>
                </c:pt>
                <c:pt idx="51">
                  <c:v>1.103</c:v>
                </c:pt>
                <c:pt idx="52">
                  <c:v>1.1040000000000001</c:v>
                </c:pt>
                <c:pt idx="53">
                  <c:v>1.1020000000000001</c:v>
                </c:pt>
                <c:pt idx="54">
                  <c:v>1.1020000000000001</c:v>
                </c:pt>
                <c:pt idx="55">
                  <c:v>1.1020000000000001</c:v>
                </c:pt>
                <c:pt idx="56">
                  <c:v>1.1040000000000001</c:v>
                </c:pt>
                <c:pt idx="57">
                  <c:v>1.1040000000000001</c:v>
                </c:pt>
                <c:pt idx="58">
                  <c:v>1.1060000000000001</c:v>
                </c:pt>
                <c:pt idx="59">
                  <c:v>1.107</c:v>
                </c:pt>
                <c:pt idx="60">
                  <c:v>1.109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AB-436A-A35C-63F9D2504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0284143"/>
        <c:axId val="790290799"/>
      </c:lineChart>
      <c:catAx>
        <c:axId val="79028414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0290799"/>
        <c:crosses val="autoZero"/>
        <c:auto val="0"/>
        <c:lblAlgn val="ctr"/>
        <c:lblOffset val="100"/>
        <c:noMultiLvlLbl val="0"/>
      </c:catAx>
      <c:valAx>
        <c:axId val="79029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02841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 sz="1600"/>
              <a:t>均泰衡山量化一号</a:t>
            </a:r>
            <a:endParaRPr lang="en-US" altLang="zh-CN" sz="1600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均泰衡山量化一号!$B$20</c:f>
              <c:strCache>
                <c:ptCount val="1"/>
                <c:pt idx="0">
                  <c:v>累计净值</c:v>
                </c:pt>
              </c:strCache>
            </c:strRef>
          </c:tx>
          <c:marker>
            <c:symbol val="none"/>
          </c:marker>
          <c:cat>
            <c:numRef>
              <c:f>均泰衡山量化一号!$A$21:$A$76</c:f>
              <c:numCache>
                <c:formatCode>m/d/yyyy</c:formatCode>
                <c:ptCount val="56"/>
                <c:pt idx="0">
                  <c:v>44251</c:v>
                </c:pt>
                <c:pt idx="1">
                  <c:v>44252</c:v>
                </c:pt>
                <c:pt idx="2">
                  <c:v>44253</c:v>
                </c:pt>
                <c:pt idx="3">
                  <c:v>44256</c:v>
                </c:pt>
                <c:pt idx="4">
                  <c:v>44257</c:v>
                </c:pt>
                <c:pt idx="5">
                  <c:v>44258</c:v>
                </c:pt>
                <c:pt idx="6">
                  <c:v>44259</c:v>
                </c:pt>
                <c:pt idx="7">
                  <c:v>44260</c:v>
                </c:pt>
                <c:pt idx="8">
                  <c:v>44263</c:v>
                </c:pt>
                <c:pt idx="9">
                  <c:v>44264</c:v>
                </c:pt>
                <c:pt idx="10">
                  <c:v>44265</c:v>
                </c:pt>
                <c:pt idx="11">
                  <c:v>44266</c:v>
                </c:pt>
                <c:pt idx="12">
                  <c:v>44267</c:v>
                </c:pt>
                <c:pt idx="13">
                  <c:v>44270</c:v>
                </c:pt>
                <c:pt idx="14">
                  <c:v>44271</c:v>
                </c:pt>
                <c:pt idx="15">
                  <c:v>44272</c:v>
                </c:pt>
                <c:pt idx="16">
                  <c:v>44273</c:v>
                </c:pt>
                <c:pt idx="17">
                  <c:v>44274</c:v>
                </c:pt>
                <c:pt idx="18">
                  <c:v>44277</c:v>
                </c:pt>
                <c:pt idx="19">
                  <c:v>44278</c:v>
                </c:pt>
                <c:pt idx="20">
                  <c:v>44279</c:v>
                </c:pt>
                <c:pt idx="21">
                  <c:v>44280</c:v>
                </c:pt>
                <c:pt idx="22">
                  <c:v>44281</c:v>
                </c:pt>
                <c:pt idx="23">
                  <c:v>44284</c:v>
                </c:pt>
                <c:pt idx="24">
                  <c:v>44285</c:v>
                </c:pt>
                <c:pt idx="25">
                  <c:v>44286</c:v>
                </c:pt>
                <c:pt idx="26">
                  <c:v>44287</c:v>
                </c:pt>
                <c:pt idx="27">
                  <c:v>44288</c:v>
                </c:pt>
                <c:pt idx="28">
                  <c:v>44292</c:v>
                </c:pt>
                <c:pt idx="29">
                  <c:v>44293</c:v>
                </c:pt>
                <c:pt idx="30">
                  <c:v>44294</c:v>
                </c:pt>
                <c:pt idx="31">
                  <c:v>44295</c:v>
                </c:pt>
                <c:pt idx="32">
                  <c:v>44298</c:v>
                </c:pt>
                <c:pt idx="33">
                  <c:v>44299</c:v>
                </c:pt>
                <c:pt idx="34">
                  <c:v>44300</c:v>
                </c:pt>
                <c:pt idx="35">
                  <c:v>44301</c:v>
                </c:pt>
                <c:pt idx="36">
                  <c:v>44302</c:v>
                </c:pt>
                <c:pt idx="37">
                  <c:v>44305</c:v>
                </c:pt>
                <c:pt idx="38">
                  <c:v>44306</c:v>
                </c:pt>
                <c:pt idx="39">
                  <c:v>44307</c:v>
                </c:pt>
                <c:pt idx="40">
                  <c:v>44308</c:v>
                </c:pt>
                <c:pt idx="41">
                  <c:v>44309</c:v>
                </c:pt>
                <c:pt idx="42">
                  <c:v>44312</c:v>
                </c:pt>
                <c:pt idx="43">
                  <c:v>44313</c:v>
                </c:pt>
                <c:pt idx="44">
                  <c:v>44314</c:v>
                </c:pt>
                <c:pt idx="45">
                  <c:v>44315</c:v>
                </c:pt>
                <c:pt idx="46">
                  <c:v>44316</c:v>
                </c:pt>
                <c:pt idx="47">
                  <c:v>44322</c:v>
                </c:pt>
                <c:pt idx="48">
                  <c:v>44323</c:v>
                </c:pt>
                <c:pt idx="49">
                  <c:v>44326</c:v>
                </c:pt>
                <c:pt idx="50">
                  <c:v>44327</c:v>
                </c:pt>
                <c:pt idx="51">
                  <c:v>44328</c:v>
                </c:pt>
                <c:pt idx="52">
                  <c:v>44329</c:v>
                </c:pt>
                <c:pt idx="53">
                  <c:v>44330</c:v>
                </c:pt>
                <c:pt idx="54">
                  <c:v>44333</c:v>
                </c:pt>
                <c:pt idx="55">
                  <c:v>44334</c:v>
                </c:pt>
              </c:numCache>
            </c:numRef>
          </c:cat>
          <c:val>
            <c:numRef>
              <c:f>均泰衡山量化一号!$B$21:$B$76</c:f>
              <c:numCache>
                <c:formatCode>0.0000_ </c:formatCode>
                <c:ptCount val="56"/>
                <c:pt idx="0">
                  <c:v>1.0129999999999999</c:v>
                </c:pt>
                <c:pt idx="1">
                  <c:v>1.02</c:v>
                </c:pt>
                <c:pt idx="2">
                  <c:v>1.01</c:v>
                </c:pt>
                <c:pt idx="3">
                  <c:v>1.004</c:v>
                </c:pt>
                <c:pt idx="4">
                  <c:v>1.0069999999999999</c:v>
                </c:pt>
                <c:pt idx="5">
                  <c:v>1.016</c:v>
                </c:pt>
                <c:pt idx="6">
                  <c:v>1.012</c:v>
                </c:pt>
                <c:pt idx="7">
                  <c:v>1.0089999999999999</c:v>
                </c:pt>
                <c:pt idx="8">
                  <c:v>1.0049999999999999</c:v>
                </c:pt>
                <c:pt idx="9">
                  <c:v>1.002</c:v>
                </c:pt>
                <c:pt idx="10">
                  <c:v>1.002</c:v>
                </c:pt>
                <c:pt idx="11">
                  <c:v>1</c:v>
                </c:pt>
                <c:pt idx="12">
                  <c:v>1.004</c:v>
                </c:pt>
                <c:pt idx="13">
                  <c:v>1</c:v>
                </c:pt>
                <c:pt idx="14">
                  <c:v>1.004</c:v>
                </c:pt>
                <c:pt idx="15">
                  <c:v>1.0049999999999999</c:v>
                </c:pt>
                <c:pt idx="16">
                  <c:v>1.0049999999999999</c:v>
                </c:pt>
                <c:pt idx="17">
                  <c:v>1.002</c:v>
                </c:pt>
                <c:pt idx="18">
                  <c:v>0.997</c:v>
                </c:pt>
                <c:pt idx="19">
                  <c:v>0.995</c:v>
                </c:pt>
                <c:pt idx="20">
                  <c:v>0.99399999999999999</c:v>
                </c:pt>
                <c:pt idx="21">
                  <c:v>0.995</c:v>
                </c:pt>
                <c:pt idx="22">
                  <c:v>0.997</c:v>
                </c:pt>
                <c:pt idx="23">
                  <c:v>0.999</c:v>
                </c:pt>
                <c:pt idx="24">
                  <c:v>0.997</c:v>
                </c:pt>
                <c:pt idx="25">
                  <c:v>0.997</c:v>
                </c:pt>
                <c:pt idx="26">
                  <c:v>0.999</c:v>
                </c:pt>
                <c:pt idx="27">
                  <c:v>1</c:v>
                </c:pt>
                <c:pt idx="28">
                  <c:v>0.999</c:v>
                </c:pt>
                <c:pt idx="29">
                  <c:v>0.998</c:v>
                </c:pt>
                <c:pt idx="30">
                  <c:v>0.999</c:v>
                </c:pt>
                <c:pt idx="31">
                  <c:v>1</c:v>
                </c:pt>
                <c:pt idx="32">
                  <c:v>1.0009999999999999</c:v>
                </c:pt>
                <c:pt idx="33">
                  <c:v>0.996</c:v>
                </c:pt>
                <c:pt idx="34">
                  <c:v>0.996</c:v>
                </c:pt>
                <c:pt idx="35">
                  <c:v>0.999</c:v>
                </c:pt>
                <c:pt idx="36">
                  <c:v>1.004</c:v>
                </c:pt>
                <c:pt idx="37">
                  <c:v>1.0069999999999999</c:v>
                </c:pt>
                <c:pt idx="38">
                  <c:v>1.0089999999999999</c:v>
                </c:pt>
                <c:pt idx="39">
                  <c:v>1.0089999999999999</c:v>
                </c:pt>
                <c:pt idx="40">
                  <c:v>1.006</c:v>
                </c:pt>
                <c:pt idx="41">
                  <c:v>1.008</c:v>
                </c:pt>
                <c:pt idx="42">
                  <c:v>1.0069999999999999</c:v>
                </c:pt>
                <c:pt idx="43">
                  <c:v>1.0069999999999999</c:v>
                </c:pt>
                <c:pt idx="44">
                  <c:v>1.008</c:v>
                </c:pt>
                <c:pt idx="45">
                  <c:v>1.01</c:v>
                </c:pt>
                <c:pt idx="46">
                  <c:v>1.0089999999999999</c:v>
                </c:pt>
                <c:pt idx="47">
                  <c:v>1.016</c:v>
                </c:pt>
                <c:pt idx="48">
                  <c:v>1.0129999999999999</c:v>
                </c:pt>
                <c:pt idx="49">
                  <c:v>1.016</c:v>
                </c:pt>
                <c:pt idx="50">
                  <c:v>1.006</c:v>
                </c:pt>
                <c:pt idx="51">
                  <c:v>1.006</c:v>
                </c:pt>
                <c:pt idx="52">
                  <c:v>1</c:v>
                </c:pt>
                <c:pt idx="53">
                  <c:v>1.002</c:v>
                </c:pt>
                <c:pt idx="54">
                  <c:v>1.012</c:v>
                </c:pt>
                <c:pt idx="55">
                  <c:v>1.016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60-4A37-AAB2-354F2690A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099824"/>
        <c:axId val="545100384"/>
      </c:lineChart>
      <c:catAx>
        <c:axId val="54509982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crossAx val="545100384"/>
        <c:crosses val="autoZero"/>
        <c:auto val="0"/>
        <c:lblAlgn val="ctr"/>
        <c:lblOffset val="100"/>
        <c:noMultiLvlLbl val="1"/>
      </c:catAx>
      <c:valAx>
        <c:axId val="545100384"/>
        <c:scaling>
          <c:orientation val="minMax"/>
          <c:min val="0.99"/>
        </c:scaling>
        <c:delete val="0"/>
        <c:axPos val="l"/>
        <c:majorGridlines/>
        <c:numFmt formatCode="0.0000_ " sourceLinked="1"/>
        <c:majorTickMark val="none"/>
        <c:minorTickMark val="none"/>
        <c:tickLblPos val="nextTo"/>
        <c:spPr>
          <a:ln w="9525">
            <a:noFill/>
          </a:ln>
        </c:spPr>
        <c:crossAx val="545099824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0000000000004" l="0.70000000000000062" r="0.70000000000000062" t="0.750000000000004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鼎一精粹!$B$20</c:f>
              <c:strCache>
                <c:ptCount val="1"/>
                <c:pt idx="0">
                  <c:v>累计净值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鼎一精粹!$A$21:$A$77</c:f>
              <c:numCache>
                <c:formatCode>m/d/yyyy</c:formatCode>
                <c:ptCount val="57"/>
                <c:pt idx="0">
                  <c:v>44249</c:v>
                </c:pt>
                <c:pt idx="1">
                  <c:v>44250</c:v>
                </c:pt>
                <c:pt idx="2">
                  <c:v>44251</c:v>
                </c:pt>
                <c:pt idx="3">
                  <c:v>44252</c:v>
                </c:pt>
                <c:pt idx="4">
                  <c:v>44253</c:v>
                </c:pt>
                <c:pt idx="5">
                  <c:v>44256</c:v>
                </c:pt>
                <c:pt idx="6">
                  <c:v>44257</c:v>
                </c:pt>
                <c:pt idx="7">
                  <c:v>44258</c:v>
                </c:pt>
                <c:pt idx="8">
                  <c:v>44259</c:v>
                </c:pt>
                <c:pt idx="9">
                  <c:v>44260</c:v>
                </c:pt>
                <c:pt idx="10">
                  <c:v>44263</c:v>
                </c:pt>
                <c:pt idx="11">
                  <c:v>44264</c:v>
                </c:pt>
                <c:pt idx="12">
                  <c:v>44265</c:v>
                </c:pt>
                <c:pt idx="13">
                  <c:v>44266</c:v>
                </c:pt>
                <c:pt idx="14">
                  <c:v>44267</c:v>
                </c:pt>
                <c:pt idx="15">
                  <c:v>44270</c:v>
                </c:pt>
                <c:pt idx="16">
                  <c:v>44271</c:v>
                </c:pt>
                <c:pt idx="17">
                  <c:v>44272</c:v>
                </c:pt>
                <c:pt idx="18">
                  <c:v>44273</c:v>
                </c:pt>
                <c:pt idx="19">
                  <c:v>44274</c:v>
                </c:pt>
                <c:pt idx="20">
                  <c:v>44277</c:v>
                </c:pt>
                <c:pt idx="21">
                  <c:v>44278</c:v>
                </c:pt>
                <c:pt idx="22">
                  <c:v>44279</c:v>
                </c:pt>
                <c:pt idx="23">
                  <c:v>44280</c:v>
                </c:pt>
                <c:pt idx="24">
                  <c:v>44281</c:v>
                </c:pt>
                <c:pt idx="25">
                  <c:v>44284</c:v>
                </c:pt>
                <c:pt idx="26">
                  <c:v>44285</c:v>
                </c:pt>
                <c:pt idx="27">
                  <c:v>44286</c:v>
                </c:pt>
                <c:pt idx="28">
                  <c:v>44287</c:v>
                </c:pt>
                <c:pt idx="29">
                  <c:v>44288</c:v>
                </c:pt>
                <c:pt idx="30">
                  <c:v>44292</c:v>
                </c:pt>
                <c:pt idx="31">
                  <c:v>44293</c:v>
                </c:pt>
                <c:pt idx="32">
                  <c:v>44294</c:v>
                </c:pt>
                <c:pt idx="33">
                  <c:v>44295</c:v>
                </c:pt>
                <c:pt idx="34">
                  <c:v>44298</c:v>
                </c:pt>
                <c:pt idx="35">
                  <c:v>44299</c:v>
                </c:pt>
                <c:pt idx="36">
                  <c:v>44300</c:v>
                </c:pt>
                <c:pt idx="37">
                  <c:v>44301</c:v>
                </c:pt>
                <c:pt idx="38">
                  <c:v>44302</c:v>
                </c:pt>
                <c:pt idx="39">
                  <c:v>44305</c:v>
                </c:pt>
                <c:pt idx="40">
                  <c:v>44306</c:v>
                </c:pt>
                <c:pt idx="41">
                  <c:v>44307</c:v>
                </c:pt>
                <c:pt idx="42">
                  <c:v>44308</c:v>
                </c:pt>
                <c:pt idx="43">
                  <c:v>44309</c:v>
                </c:pt>
                <c:pt idx="44">
                  <c:v>44312</c:v>
                </c:pt>
                <c:pt idx="45">
                  <c:v>44313</c:v>
                </c:pt>
                <c:pt idx="46">
                  <c:v>44314</c:v>
                </c:pt>
                <c:pt idx="47">
                  <c:v>44315</c:v>
                </c:pt>
                <c:pt idx="48">
                  <c:v>44316</c:v>
                </c:pt>
                <c:pt idx="49">
                  <c:v>44322</c:v>
                </c:pt>
                <c:pt idx="50">
                  <c:v>44323</c:v>
                </c:pt>
                <c:pt idx="51">
                  <c:v>44326</c:v>
                </c:pt>
                <c:pt idx="52">
                  <c:v>44327</c:v>
                </c:pt>
                <c:pt idx="53">
                  <c:v>44328</c:v>
                </c:pt>
                <c:pt idx="54">
                  <c:v>44329</c:v>
                </c:pt>
                <c:pt idx="55">
                  <c:v>44330</c:v>
                </c:pt>
                <c:pt idx="56">
                  <c:v>44333</c:v>
                </c:pt>
              </c:numCache>
            </c:numRef>
          </c:cat>
          <c:val>
            <c:numRef>
              <c:f>鼎一精粹!$B$21:$B$77</c:f>
              <c:numCache>
                <c:formatCode>0.0000_ </c:formatCode>
                <c:ptCount val="5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0.99929999999999997</c:v>
                </c:pt>
                <c:pt idx="9">
                  <c:v>0.99929999999999997</c:v>
                </c:pt>
                <c:pt idx="10">
                  <c:v>0.99919999999999998</c:v>
                </c:pt>
                <c:pt idx="11">
                  <c:v>0.99919999999999998</c:v>
                </c:pt>
                <c:pt idx="12">
                  <c:v>0.99909999999999999</c:v>
                </c:pt>
                <c:pt idx="13">
                  <c:v>0.99909999999999999</c:v>
                </c:pt>
                <c:pt idx="14">
                  <c:v>0.99909999999999999</c:v>
                </c:pt>
                <c:pt idx="15">
                  <c:v>1.0039</c:v>
                </c:pt>
                <c:pt idx="16">
                  <c:v>0.99990000000000001</c:v>
                </c:pt>
                <c:pt idx="17">
                  <c:v>0.99009999999999998</c:v>
                </c:pt>
                <c:pt idx="18">
                  <c:v>0.98860000000000003</c:v>
                </c:pt>
                <c:pt idx="19">
                  <c:v>0.98870000000000002</c:v>
                </c:pt>
                <c:pt idx="20">
                  <c:v>0.98599999999999999</c:v>
                </c:pt>
                <c:pt idx="21">
                  <c:v>0.99770000000000003</c:v>
                </c:pt>
                <c:pt idx="22">
                  <c:v>0.99129999999999996</c:v>
                </c:pt>
                <c:pt idx="23">
                  <c:v>0.98540000000000005</c:v>
                </c:pt>
                <c:pt idx="24">
                  <c:v>0.98640000000000005</c:v>
                </c:pt>
                <c:pt idx="25">
                  <c:v>0.96799999999999997</c:v>
                </c:pt>
                <c:pt idx="26">
                  <c:v>0.97050000000000003</c:v>
                </c:pt>
                <c:pt idx="27">
                  <c:v>0.97399999999999998</c:v>
                </c:pt>
                <c:pt idx="28">
                  <c:v>0.98809999999999998</c:v>
                </c:pt>
                <c:pt idx="29">
                  <c:v>1.02</c:v>
                </c:pt>
                <c:pt idx="30">
                  <c:v>1.0091000000000001</c:v>
                </c:pt>
                <c:pt idx="31">
                  <c:v>0.98280000000000001</c:v>
                </c:pt>
                <c:pt idx="32">
                  <c:v>0.99299999999999999</c:v>
                </c:pt>
                <c:pt idx="33">
                  <c:v>0.99160000000000004</c:v>
                </c:pt>
                <c:pt idx="34">
                  <c:v>0.97919999999999996</c:v>
                </c:pt>
                <c:pt idx="35">
                  <c:v>0.97989999999999999</c:v>
                </c:pt>
                <c:pt idx="36">
                  <c:v>0.96850000000000003</c:v>
                </c:pt>
                <c:pt idx="37">
                  <c:v>0.99619999999999997</c:v>
                </c:pt>
                <c:pt idx="38">
                  <c:v>1.0029999999999999</c:v>
                </c:pt>
                <c:pt idx="39">
                  <c:v>1.0129999999999999</c:v>
                </c:pt>
                <c:pt idx="40">
                  <c:v>1.018</c:v>
                </c:pt>
                <c:pt idx="41">
                  <c:v>1.0157</c:v>
                </c:pt>
                <c:pt idx="42">
                  <c:v>1.0221</c:v>
                </c:pt>
                <c:pt idx="43">
                  <c:v>1.0206999999999999</c:v>
                </c:pt>
                <c:pt idx="44">
                  <c:v>1.0251999999999999</c:v>
                </c:pt>
                <c:pt idx="45">
                  <c:v>1.0194000000000001</c:v>
                </c:pt>
                <c:pt idx="46">
                  <c:v>1.0259</c:v>
                </c:pt>
                <c:pt idx="47">
                  <c:v>1.0306999999999999</c:v>
                </c:pt>
                <c:pt idx="48">
                  <c:v>1.0293000000000001</c:v>
                </c:pt>
                <c:pt idx="49">
                  <c:v>1.0295000000000001</c:v>
                </c:pt>
                <c:pt idx="50">
                  <c:v>1.0306999999999999</c:v>
                </c:pt>
                <c:pt idx="51">
                  <c:v>1.0311999999999999</c:v>
                </c:pt>
                <c:pt idx="52">
                  <c:v>1.0378000000000001</c:v>
                </c:pt>
                <c:pt idx="53">
                  <c:v>1.0438000000000001</c:v>
                </c:pt>
                <c:pt idx="54">
                  <c:v>1.0477000000000001</c:v>
                </c:pt>
                <c:pt idx="55">
                  <c:v>1.0499000000000001</c:v>
                </c:pt>
                <c:pt idx="56">
                  <c:v>1.0515000000000001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C1-4FE5-9D63-25A5635D6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0284143"/>
        <c:axId val="790290799"/>
      </c:lineChart>
      <c:catAx>
        <c:axId val="79028414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0290799"/>
        <c:crosses val="autoZero"/>
        <c:auto val="0"/>
        <c:lblAlgn val="ctr"/>
        <c:lblOffset val="100"/>
        <c:noMultiLvlLbl val="0"/>
      </c:catAx>
      <c:valAx>
        <c:axId val="79029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02841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知睿一号!$B$20</c:f>
              <c:strCache>
                <c:ptCount val="1"/>
                <c:pt idx="0">
                  <c:v>累计净值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知睿一号!$A$21:$A$50</c:f>
              <c:numCache>
                <c:formatCode>m/d/yyyy</c:formatCode>
                <c:ptCount val="30"/>
                <c:pt idx="0">
                  <c:v>44286</c:v>
                </c:pt>
                <c:pt idx="1">
                  <c:v>44287</c:v>
                </c:pt>
                <c:pt idx="2">
                  <c:v>44288</c:v>
                </c:pt>
                <c:pt idx="3">
                  <c:v>44292</c:v>
                </c:pt>
                <c:pt idx="4">
                  <c:v>44293</c:v>
                </c:pt>
                <c:pt idx="5">
                  <c:v>44294</c:v>
                </c:pt>
                <c:pt idx="6">
                  <c:v>44295</c:v>
                </c:pt>
                <c:pt idx="7">
                  <c:v>44298</c:v>
                </c:pt>
                <c:pt idx="8">
                  <c:v>44299</c:v>
                </c:pt>
                <c:pt idx="9">
                  <c:v>44300</c:v>
                </c:pt>
                <c:pt idx="10">
                  <c:v>44301</c:v>
                </c:pt>
                <c:pt idx="11">
                  <c:v>44302</c:v>
                </c:pt>
                <c:pt idx="12">
                  <c:v>44305</c:v>
                </c:pt>
                <c:pt idx="13">
                  <c:v>44306</c:v>
                </c:pt>
                <c:pt idx="14">
                  <c:v>44307</c:v>
                </c:pt>
                <c:pt idx="15">
                  <c:v>44308</c:v>
                </c:pt>
                <c:pt idx="16">
                  <c:v>44309</c:v>
                </c:pt>
                <c:pt idx="17">
                  <c:v>44312</c:v>
                </c:pt>
                <c:pt idx="18">
                  <c:v>44313</c:v>
                </c:pt>
                <c:pt idx="19">
                  <c:v>44314</c:v>
                </c:pt>
                <c:pt idx="20">
                  <c:v>44315</c:v>
                </c:pt>
                <c:pt idx="21">
                  <c:v>44316</c:v>
                </c:pt>
                <c:pt idx="22">
                  <c:v>44322</c:v>
                </c:pt>
                <c:pt idx="23">
                  <c:v>44323</c:v>
                </c:pt>
                <c:pt idx="24">
                  <c:v>44326</c:v>
                </c:pt>
                <c:pt idx="25">
                  <c:v>44327</c:v>
                </c:pt>
                <c:pt idx="26">
                  <c:v>44328</c:v>
                </c:pt>
                <c:pt idx="27">
                  <c:v>44329</c:v>
                </c:pt>
                <c:pt idx="28">
                  <c:v>44330</c:v>
                </c:pt>
                <c:pt idx="29">
                  <c:v>44333</c:v>
                </c:pt>
              </c:numCache>
            </c:numRef>
          </c:cat>
          <c:val>
            <c:numRef>
              <c:f>知睿一号!$B$21:$B$50</c:f>
              <c:numCache>
                <c:formatCode>0.0000_ </c:formatCode>
                <c:ptCount val="3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0.999</c:v>
                </c:pt>
                <c:pt idx="6">
                  <c:v>0.999</c:v>
                </c:pt>
                <c:pt idx="7">
                  <c:v>0.998</c:v>
                </c:pt>
                <c:pt idx="8">
                  <c:v>0.997</c:v>
                </c:pt>
                <c:pt idx="9">
                  <c:v>0.997</c:v>
                </c:pt>
                <c:pt idx="10">
                  <c:v>0.999</c:v>
                </c:pt>
                <c:pt idx="11">
                  <c:v>1.0009999999999999</c:v>
                </c:pt>
                <c:pt idx="12">
                  <c:v>1</c:v>
                </c:pt>
                <c:pt idx="13">
                  <c:v>1.002</c:v>
                </c:pt>
                <c:pt idx="14">
                  <c:v>1.0029999999999999</c:v>
                </c:pt>
                <c:pt idx="15">
                  <c:v>1.0029999999999999</c:v>
                </c:pt>
                <c:pt idx="16">
                  <c:v>1.0049999999999999</c:v>
                </c:pt>
                <c:pt idx="17">
                  <c:v>1.0069999999999999</c:v>
                </c:pt>
                <c:pt idx="18">
                  <c:v>1.0069999999999999</c:v>
                </c:pt>
                <c:pt idx="19">
                  <c:v>0.998</c:v>
                </c:pt>
                <c:pt idx="20">
                  <c:v>1.0009999999999999</c:v>
                </c:pt>
                <c:pt idx="21">
                  <c:v>1.004</c:v>
                </c:pt>
                <c:pt idx="22">
                  <c:v>1.0209999999999999</c:v>
                </c:pt>
                <c:pt idx="23">
                  <c:v>1.02</c:v>
                </c:pt>
                <c:pt idx="24">
                  <c:v>1.022</c:v>
                </c:pt>
                <c:pt idx="25">
                  <c:v>1.024</c:v>
                </c:pt>
                <c:pt idx="26">
                  <c:v>1.028</c:v>
                </c:pt>
                <c:pt idx="27">
                  <c:v>1.03</c:v>
                </c:pt>
                <c:pt idx="28">
                  <c:v>1.028</c:v>
                </c:pt>
                <c:pt idx="29">
                  <c:v>1.03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D8-43B7-9EC8-67BA3D418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0284143"/>
        <c:axId val="790290799"/>
      </c:lineChart>
      <c:catAx>
        <c:axId val="79028414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0290799"/>
        <c:crosses val="autoZero"/>
        <c:auto val="0"/>
        <c:lblAlgn val="ctr"/>
        <c:lblOffset val="100"/>
        <c:noMultiLvlLbl val="0"/>
      </c:catAx>
      <c:valAx>
        <c:axId val="79029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02841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鼎一超越!$B$20</c:f>
              <c:strCache>
                <c:ptCount val="1"/>
                <c:pt idx="0">
                  <c:v>累计净值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鼎一超越!$A$21:$A$34</c:f>
              <c:numCache>
                <c:formatCode>m/d/yyyy</c:formatCode>
                <c:ptCount val="14"/>
                <c:pt idx="0">
                  <c:v>44309</c:v>
                </c:pt>
                <c:pt idx="1">
                  <c:v>44312</c:v>
                </c:pt>
                <c:pt idx="2">
                  <c:v>44313</c:v>
                </c:pt>
                <c:pt idx="3">
                  <c:v>44314</c:v>
                </c:pt>
                <c:pt idx="4">
                  <c:v>44315</c:v>
                </c:pt>
                <c:pt idx="5">
                  <c:v>44316</c:v>
                </c:pt>
                <c:pt idx="6">
                  <c:v>44322</c:v>
                </c:pt>
                <c:pt idx="7">
                  <c:v>44323</c:v>
                </c:pt>
                <c:pt idx="8">
                  <c:v>44326</c:v>
                </c:pt>
                <c:pt idx="9">
                  <c:v>44327</c:v>
                </c:pt>
                <c:pt idx="10">
                  <c:v>44328</c:v>
                </c:pt>
                <c:pt idx="11">
                  <c:v>44329</c:v>
                </c:pt>
                <c:pt idx="12">
                  <c:v>44330</c:v>
                </c:pt>
                <c:pt idx="13">
                  <c:v>44333</c:v>
                </c:pt>
              </c:numCache>
            </c:numRef>
          </c:cat>
          <c:val>
            <c:numRef>
              <c:f>鼎一超越!$B$21:$B$34</c:f>
              <c:numCache>
                <c:formatCode>0.0000_ </c:formatCode>
                <c:ptCount val="14"/>
                <c:pt idx="0">
                  <c:v>0.88529999999999998</c:v>
                </c:pt>
                <c:pt idx="1">
                  <c:v>0.89090000000000003</c:v>
                </c:pt>
                <c:pt idx="2">
                  <c:v>0.90080000000000005</c:v>
                </c:pt>
                <c:pt idx="3">
                  <c:v>0.88400000000000001</c:v>
                </c:pt>
                <c:pt idx="4">
                  <c:v>0.89019999999999999</c:v>
                </c:pt>
                <c:pt idx="5">
                  <c:v>0.88429999999999997</c:v>
                </c:pt>
                <c:pt idx="6">
                  <c:v>0.89649999999999996</c:v>
                </c:pt>
                <c:pt idx="7">
                  <c:v>0.89290000000000003</c:v>
                </c:pt>
                <c:pt idx="8">
                  <c:v>0.92220000000000002</c:v>
                </c:pt>
                <c:pt idx="9">
                  <c:v>0.91369999999999996</c:v>
                </c:pt>
                <c:pt idx="10">
                  <c:v>0.90849999999999997</c:v>
                </c:pt>
                <c:pt idx="11">
                  <c:v>0.87739999999999996</c:v>
                </c:pt>
                <c:pt idx="12">
                  <c:v>0.90720000000000001</c:v>
                </c:pt>
                <c:pt idx="13">
                  <c:v>0.90329999999999999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BD-407F-B355-8A0ADF824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0284143"/>
        <c:axId val="790290799"/>
      </c:lineChart>
      <c:catAx>
        <c:axId val="79028414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0290799"/>
        <c:crosses val="autoZero"/>
        <c:auto val="0"/>
        <c:lblAlgn val="ctr"/>
        <c:lblOffset val="100"/>
        <c:noMultiLvlLbl val="0"/>
      </c:catAx>
      <c:valAx>
        <c:axId val="79029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02841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鹏鑫二号!$B$20</c:f>
              <c:strCache>
                <c:ptCount val="1"/>
                <c:pt idx="0">
                  <c:v>累计净值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鹏鑫二号!$A$21:$A$31</c:f>
              <c:numCache>
                <c:formatCode>m/d/yyyy</c:formatCode>
                <c:ptCount val="11"/>
                <c:pt idx="0">
                  <c:v>44313</c:v>
                </c:pt>
                <c:pt idx="1">
                  <c:v>44314</c:v>
                </c:pt>
                <c:pt idx="2">
                  <c:v>44315</c:v>
                </c:pt>
                <c:pt idx="3">
                  <c:v>44316</c:v>
                </c:pt>
                <c:pt idx="4">
                  <c:v>44322</c:v>
                </c:pt>
                <c:pt idx="5">
                  <c:v>44323</c:v>
                </c:pt>
                <c:pt idx="6">
                  <c:v>44326</c:v>
                </c:pt>
                <c:pt idx="7">
                  <c:v>44327</c:v>
                </c:pt>
                <c:pt idx="8">
                  <c:v>44328</c:v>
                </c:pt>
                <c:pt idx="9">
                  <c:v>44329</c:v>
                </c:pt>
                <c:pt idx="10">
                  <c:v>44330</c:v>
                </c:pt>
              </c:numCache>
            </c:numRef>
          </c:cat>
          <c:val>
            <c:numRef>
              <c:f>鹏鑫二号!$B$21:$B$31</c:f>
              <c:numCache>
                <c:formatCode>0.0000_ </c:formatCode>
                <c:ptCount val="11"/>
                <c:pt idx="0">
                  <c:v>1.2529999999999999</c:v>
                </c:pt>
                <c:pt idx="1">
                  <c:v>1.2529999999999999</c:v>
                </c:pt>
                <c:pt idx="2">
                  <c:v>1.2509999999999999</c:v>
                </c:pt>
                <c:pt idx="3">
                  <c:v>1.252</c:v>
                </c:pt>
                <c:pt idx="4">
                  <c:v>1.2509999999999999</c:v>
                </c:pt>
                <c:pt idx="5">
                  <c:v>1.2529999999999999</c:v>
                </c:pt>
                <c:pt idx="6">
                  <c:v>1.2529999999999999</c:v>
                </c:pt>
                <c:pt idx="7">
                  <c:v>1.252</c:v>
                </c:pt>
                <c:pt idx="8">
                  <c:v>1.252</c:v>
                </c:pt>
                <c:pt idx="9">
                  <c:v>1.2529999999999999</c:v>
                </c:pt>
                <c:pt idx="10">
                  <c:v>1.254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9D-4188-991D-A3E58CE20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0284143"/>
        <c:axId val="790290799"/>
      </c:lineChart>
      <c:catAx>
        <c:axId val="79028414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0290799"/>
        <c:crosses val="autoZero"/>
        <c:auto val="0"/>
        <c:lblAlgn val="ctr"/>
        <c:lblOffset val="100"/>
        <c:noMultiLvlLbl val="0"/>
      </c:catAx>
      <c:valAx>
        <c:axId val="790290799"/>
        <c:scaling>
          <c:orientation val="minMax"/>
          <c:min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02841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同余1号!$B$20</c:f>
              <c:strCache>
                <c:ptCount val="1"/>
                <c:pt idx="0">
                  <c:v>累计净值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同余1号!$A$21:$A$30</c:f>
              <c:numCache>
                <c:formatCode>m/d/yyyy</c:formatCode>
                <c:ptCount val="10"/>
                <c:pt idx="0">
                  <c:v>44314</c:v>
                </c:pt>
                <c:pt idx="1">
                  <c:v>44315</c:v>
                </c:pt>
                <c:pt idx="2">
                  <c:v>44316</c:v>
                </c:pt>
                <c:pt idx="3">
                  <c:v>44322</c:v>
                </c:pt>
                <c:pt idx="4">
                  <c:v>44323</c:v>
                </c:pt>
                <c:pt idx="5">
                  <c:v>44326</c:v>
                </c:pt>
                <c:pt idx="6">
                  <c:v>44327</c:v>
                </c:pt>
                <c:pt idx="7">
                  <c:v>44328</c:v>
                </c:pt>
                <c:pt idx="8">
                  <c:v>44329</c:v>
                </c:pt>
                <c:pt idx="9">
                  <c:v>44330</c:v>
                </c:pt>
              </c:numCache>
            </c:numRef>
          </c:cat>
          <c:val>
            <c:numRef>
              <c:f>同余1号!$B$21:$B$30</c:f>
              <c:numCache>
                <c:formatCode>0.0000_ </c:formatCode>
                <c:ptCount val="10"/>
                <c:pt idx="0">
                  <c:v>0.999</c:v>
                </c:pt>
                <c:pt idx="1">
                  <c:v>0.999</c:v>
                </c:pt>
                <c:pt idx="2">
                  <c:v>0.99890000000000001</c:v>
                </c:pt>
                <c:pt idx="3">
                  <c:v>0.99819999999999998</c:v>
                </c:pt>
                <c:pt idx="4">
                  <c:v>0.99809999999999999</c:v>
                </c:pt>
                <c:pt idx="5">
                  <c:v>0.99709999999999999</c:v>
                </c:pt>
                <c:pt idx="6">
                  <c:v>0.99709999999999999</c:v>
                </c:pt>
                <c:pt idx="7">
                  <c:v>0.997</c:v>
                </c:pt>
                <c:pt idx="8">
                  <c:v>0.99690000000000001</c:v>
                </c:pt>
                <c:pt idx="9">
                  <c:v>0.99690000000000001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32-4394-90FE-2FDC15917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0284143"/>
        <c:axId val="790290799"/>
      </c:lineChart>
      <c:catAx>
        <c:axId val="79028414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0290799"/>
        <c:crosses val="autoZero"/>
        <c:auto val="0"/>
        <c:lblAlgn val="ctr"/>
        <c:lblOffset val="100"/>
        <c:noMultiLvlLbl val="0"/>
      </c:catAx>
      <c:valAx>
        <c:axId val="79029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02841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三号</a:t>
            </a:r>
          </a:p>
        </c:rich>
      </c:tx>
      <c:layout>
        <c:manualLayout>
          <c:xMode val="edge"/>
          <c:yMode val="edge"/>
          <c:x val="0.42143515079483002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4999122108021"/>
          <c:y val="0.13185708332419399"/>
          <c:w val="0.86984364518757595"/>
          <c:h val="0.76736458082015502"/>
        </c:manualLayout>
      </c:layout>
      <c:lineChart>
        <c:grouping val="standard"/>
        <c:varyColors val="0"/>
        <c:ser>
          <c:idx val="0"/>
          <c:order val="0"/>
          <c:tx>
            <c:strRef>
              <c:f>合绎塑造者三号!$B$19</c:f>
              <c:strCache>
                <c:ptCount val="1"/>
                <c:pt idx="0">
                  <c:v>累计净值</c:v>
                </c:pt>
              </c:strCache>
            </c:strRef>
          </c:tx>
          <c:marker>
            <c:symbol val="none"/>
          </c:marker>
          <c:cat>
            <c:numRef>
              <c:f>合绎塑造者三号!$A$20:$A$22</c:f>
              <c:numCache>
                <c:formatCode>yyyy\-mm\-dd</c:formatCode>
                <c:ptCount val="3"/>
                <c:pt idx="0">
                  <c:v>44295</c:v>
                </c:pt>
                <c:pt idx="1">
                  <c:v>44302</c:v>
                </c:pt>
                <c:pt idx="2">
                  <c:v>44309</c:v>
                </c:pt>
              </c:numCache>
            </c:numRef>
          </c:cat>
          <c:val>
            <c:numRef>
              <c:f>合绎塑造者三号!$B$20:$B$22</c:f>
              <c:numCache>
                <c:formatCode>0.0000_);[Red]\(0.0000\)</c:formatCode>
                <c:ptCount val="3"/>
                <c:pt idx="0">
                  <c:v>1</c:v>
                </c:pt>
                <c:pt idx="1">
                  <c:v>1.012</c:v>
                </c:pt>
                <c:pt idx="2" formatCode="0.0000_ ">
                  <c:v>1.0229999999999999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55-402E-873C-45984DC49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3925904"/>
        <c:axId val="2083926992"/>
      </c:lineChart>
      <c:catAx>
        <c:axId val="2083925904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83926992"/>
        <c:crosses val="autoZero"/>
        <c:auto val="0"/>
        <c:lblAlgn val="ctr"/>
        <c:lblOffset val="100"/>
        <c:noMultiLvlLbl val="1"/>
      </c:catAx>
      <c:valAx>
        <c:axId val="2083926992"/>
        <c:scaling>
          <c:orientation val="minMax"/>
          <c:min val="0.999"/>
        </c:scaling>
        <c:delete val="0"/>
        <c:axPos val="l"/>
        <c:majorGridlines/>
        <c:numFmt formatCode="0.0000_);[Red]\(0.0000\)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83925904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/>
              <a:t>集微投资</a:t>
            </a:r>
            <a:r>
              <a:rPr lang="en-US" altLang="zh-CN"/>
              <a:t>2</a:t>
            </a:r>
            <a:r>
              <a:rPr lang="zh-CN" altLang="en-US"/>
              <a:t>期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集微投资2期!$B$19</c:f>
              <c:strCache>
                <c:ptCount val="1"/>
                <c:pt idx="0">
                  <c:v>累计净值</c:v>
                </c:pt>
              </c:strCache>
            </c:strRef>
          </c:tx>
          <c:marker>
            <c:symbol val="none"/>
          </c:marker>
          <c:cat>
            <c:numRef>
              <c:f>集微投资2期!$A$20:$A$32</c:f>
              <c:numCache>
                <c:formatCode>yyyy\-mm\-dd</c:formatCode>
                <c:ptCount val="13"/>
                <c:pt idx="0">
                  <c:v>44232</c:v>
                </c:pt>
                <c:pt idx="1">
                  <c:v>44237</c:v>
                </c:pt>
                <c:pt idx="2">
                  <c:v>44246</c:v>
                </c:pt>
                <c:pt idx="3">
                  <c:v>44253</c:v>
                </c:pt>
                <c:pt idx="4">
                  <c:v>44260</c:v>
                </c:pt>
                <c:pt idx="5">
                  <c:v>44267</c:v>
                </c:pt>
                <c:pt idx="6">
                  <c:v>44274</c:v>
                </c:pt>
                <c:pt idx="7">
                  <c:v>44281</c:v>
                </c:pt>
                <c:pt idx="8">
                  <c:v>44288</c:v>
                </c:pt>
                <c:pt idx="9">
                  <c:v>44295</c:v>
                </c:pt>
                <c:pt idx="10">
                  <c:v>44302</c:v>
                </c:pt>
                <c:pt idx="11">
                  <c:v>44309</c:v>
                </c:pt>
                <c:pt idx="12">
                  <c:v>44316</c:v>
                </c:pt>
              </c:numCache>
            </c:numRef>
          </c:cat>
          <c:val>
            <c:numRef>
              <c:f>集微投资2期!$B$20:$B$32</c:f>
              <c:numCache>
                <c:formatCode>0.0000_ </c:formatCode>
                <c:ptCount val="13"/>
                <c:pt idx="0">
                  <c:v>1.0096000000000001</c:v>
                </c:pt>
                <c:pt idx="1">
                  <c:v>1.0213000000000001</c:v>
                </c:pt>
                <c:pt idx="2">
                  <c:v>1.0432999999999999</c:v>
                </c:pt>
                <c:pt idx="3">
                  <c:v>1.0612999999999999</c:v>
                </c:pt>
                <c:pt idx="4">
                  <c:v>1.0558000000000001</c:v>
                </c:pt>
                <c:pt idx="5">
                  <c:v>1.0707</c:v>
                </c:pt>
                <c:pt idx="6">
                  <c:v>1.0616000000000001</c:v>
                </c:pt>
                <c:pt idx="7">
                  <c:v>1.07</c:v>
                </c:pt>
                <c:pt idx="8">
                  <c:v>1.0765</c:v>
                </c:pt>
                <c:pt idx="9">
                  <c:v>1.0766</c:v>
                </c:pt>
                <c:pt idx="10">
                  <c:v>1.0802</c:v>
                </c:pt>
                <c:pt idx="11">
                  <c:v>1.0868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57-4DF6-AE6E-0FE86612A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0294496"/>
        <c:axId val="620295056"/>
      </c:lineChart>
      <c:catAx>
        <c:axId val="620294496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crossAx val="620295056"/>
        <c:crosses val="autoZero"/>
        <c:auto val="0"/>
        <c:lblAlgn val="ctr"/>
        <c:lblOffset val="100"/>
        <c:noMultiLvlLbl val="1"/>
      </c:catAx>
      <c:valAx>
        <c:axId val="620295056"/>
        <c:scaling>
          <c:orientation val="minMax"/>
          <c:min val="0.99"/>
        </c:scaling>
        <c:delete val="0"/>
        <c:axPos val="l"/>
        <c:majorGridlines/>
        <c:numFmt formatCode="0.0000_ " sourceLinked="1"/>
        <c:majorTickMark val="out"/>
        <c:minorTickMark val="none"/>
        <c:tickLblPos val="nextTo"/>
        <c:crossAx val="620294496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488" l="0.70000000000000062" r="0.70000000000000062" t="0.75000000000000488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 sz="1600"/>
              <a:t>量典长青二号</a:t>
            </a:r>
            <a:endParaRPr lang="en-US" altLang="zh-CN" sz="16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量典长青二号!$B$20</c:f>
              <c:strCache>
                <c:ptCount val="1"/>
                <c:pt idx="0">
                  <c:v>累计净值</c:v>
                </c:pt>
              </c:strCache>
            </c:strRef>
          </c:tx>
          <c:marker>
            <c:symbol val="none"/>
          </c:marker>
          <c:cat>
            <c:numRef>
              <c:f>量典长青二号!$A$21:$A$198</c:f>
              <c:numCache>
                <c:formatCode>m/d/yyyy</c:formatCode>
                <c:ptCount val="178"/>
                <c:pt idx="0">
                  <c:v>44061</c:v>
                </c:pt>
                <c:pt idx="1">
                  <c:v>44062</c:v>
                </c:pt>
                <c:pt idx="2">
                  <c:v>44063</c:v>
                </c:pt>
                <c:pt idx="3">
                  <c:v>44064</c:v>
                </c:pt>
                <c:pt idx="4">
                  <c:v>44067</c:v>
                </c:pt>
                <c:pt idx="5">
                  <c:v>44068</c:v>
                </c:pt>
                <c:pt idx="6">
                  <c:v>44069</c:v>
                </c:pt>
                <c:pt idx="7">
                  <c:v>44070</c:v>
                </c:pt>
                <c:pt idx="8">
                  <c:v>44071</c:v>
                </c:pt>
                <c:pt idx="9">
                  <c:v>44074</c:v>
                </c:pt>
                <c:pt idx="10">
                  <c:v>44075</c:v>
                </c:pt>
                <c:pt idx="11">
                  <c:v>44076</c:v>
                </c:pt>
                <c:pt idx="12">
                  <c:v>44077</c:v>
                </c:pt>
                <c:pt idx="13">
                  <c:v>44078</c:v>
                </c:pt>
                <c:pt idx="14">
                  <c:v>44081</c:v>
                </c:pt>
                <c:pt idx="15">
                  <c:v>44082</c:v>
                </c:pt>
                <c:pt idx="16">
                  <c:v>44083</c:v>
                </c:pt>
                <c:pt idx="17">
                  <c:v>44084</c:v>
                </c:pt>
                <c:pt idx="18">
                  <c:v>44085</c:v>
                </c:pt>
                <c:pt idx="19">
                  <c:v>44088</c:v>
                </c:pt>
                <c:pt idx="20">
                  <c:v>44089</c:v>
                </c:pt>
                <c:pt idx="21">
                  <c:v>44090</c:v>
                </c:pt>
                <c:pt idx="22">
                  <c:v>44091</c:v>
                </c:pt>
                <c:pt idx="23">
                  <c:v>44092</c:v>
                </c:pt>
                <c:pt idx="24">
                  <c:v>44095</c:v>
                </c:pt>
                <c:pt idx="25">
                  <c:v>44096</c:v>
                </c:pt>
                <c:pt idx="26">
                  <c:v>44097</c:v>
                </c:pt>
                <c:pt idx="27">
                  <c:v>44098</c:v>
                </c:pt>
                <c:pt idx="28">
                  <c:v>44099</c:v>
                </c:pt>
                <c:pt idx="29">
                  <c:v>44102</c:v>
                </c:pt>
                <c:pt idx="30">
                  <c:v>44103</c:v>
                </c:pt>
                <c:pt idx="31">
                  <c:v>44104</c:v>
                </c:pt>
                <c:pt idx="32">
                  <c:v>44113</c:v>
                </c:pt>
                <c:pt idx="33">
                  <c:v>44116</c:v>
                </c:pt>
                <c:pt idx="34">
                  <c:v>44117</c:v>
                </c:pt>
                <c:pt idx="35">
                  <c:v>44118</c:v>
                </c:pt>
                <c:pt idx="36">
                  <c:v>44119</c:v>
                </c:pt>
                <c:pt idx="37">
                  <c:v>44120</c:v>
                </c:pt>
                <c:pt idx="38">
                  <c:v>44123</c:v>
                </c:pt>
                <c:pt idx="39">
                  <c:v>44124</c:v>
                </c:pt>
                <c:pt idx="40">
                  <c:v>44125</c:v>
                </c:pt>
                <c:pt idx="41">
                  <c:v>44126</c:v>
                </c:pt>
                <c:pt idx="42">
                  <c:v>44127</c:v>
                </c:pt>
                <c:pt idx="43">
                  <c:v>44130</c:v>
                </c:pt>
                <c:pt idx="44">
                  <c:v>44131</c:v>
                </c:pt>
                <c:pt idx="45">
                  <c:v>44132</c:v>
                </c:pt>
                <c:pt idx="46">
                  <c:v>44133</c:v>
                </c:pt>
                <c:pt idx="47">
                  <c:v>44134</c:v>
                </c:pt>
                <c:pt idx="48">
                  <c:v>44137</c:v>
                </c:pt>
                <c:pt idx="49">
                  <c:v>44138</c:v>
                </c:pt>
                <c:pt idx="50">
                  <c:v>44139</c:v>
                </c:pt>
                <c:pt idx="51">
                  <c:v>44140</c:v>
                </c:pt>
                <c:pt idx="52">
                  <c:v>44141</c:v>
                </c:pt>
                <c:pt idx="53">
                  <c:v>44144</c:v>
                </c:pt>
                <c:pt idx="54">
                  <c:v>44145</c:v>
                </c:pt>
                <c:pt idx="55">
                  <c:v>44146</c:v>
                </c:pt>
                <c:pt idx="56">
                  <c:v>44147</c:v>
                </c:pt>
                <c:pt idx="57">
                  <c:v>44148</c:v>
                </c:pt>
                <c:pt idx="58">
                  <c:v>44151</c:v>
                </c:pt>
                <c:pt idx="59">
                  <c:v>44152</c:v>
                </c:pt>
                <c:pt idx="60">
                  <c:v>44153</c:v>
                </c:pt>
                <c:pt idx="61">
                  <c:v>44154</c:v>
                </c:pt>
                <c:pt idx="62">
                  <c:v>44155</c:v>
                </c:pt>
                <c:pt idx="63">
                  <c:v>44158</c:v>
                </c:pt>
                <c:pt idx="64">
                  <c:v>44159</c:v>
                </c:pt>
                <c:pt idx="65">
                  <c:v>44160</c:v>
                </c:pt>
                <c:pt idx="66">
                  <c:v>44161</c:v>
                </c:pt>
                <c:pt idx="67">
                  <c:v>44162</c:v>
                </c:pt>
                <c:pt idx="68">
                  <c:v>44165</c:v>
                </c:pt>
                <c:pt idx="69">
                  <c:v>44166</c:v>
                </c:pt>
                <c:pt idx="70">
                  <c:v>44167</c:v>
                </c:pt>
                <c:pt idx="71">
                  <c:v>44168</c:v>
                </c:pt>
                <c:pt idx="72">
                  <c:v>44169</c:v>
                </c:pt>
                <c:pt idx="73">
                  <c:v>44172</c:v>
                </c:pt>
                <c:pt idx="74">
                  <c:v>44173</c:v>
                </c:pt>
                <c:pt idx="75">
                  <c:v>44174</c:v>
                </c:pt>
                <c:pt idx="76">
                  <c:v>44175</c:v>
                </c:pt>
                <c:pt idx="77">
                  <c:v>44176</c:v>
                </c:pt>
                <c:pt idx="78">
                  <c:v>44179</c:v>
                </c:pt>
                <c:pt idx="79">
                  <c:v>44180</c:v>
                </c:pt>
                <c:pt idx="80">
                  <c:v>44181</c:v>
                </c:pt>
                <c:pt idx="81">
                  <c:v>44182</c:v>
                </c:pt>
                <c:pt idx="82">
                  <c:v>44183</c:v>
                </c:pt>
                <c:pt idx="83">
                  <c:v>44186</c:v>
                </c:pt>
                <c:pt idx="84">
                  <c:v>44187</c:v>
                </c:pt>
                <c:pt idx="85">
                  <c:v>44188</c:v>
                </c:pt>
                <c:pt idx="86">
                  <c:v>44189</c:v>
                </c:pt>
                <c:pt idx="87">
                  <c:v>44190</c:v>
                </c:pt>
                <c:pt idx="88">
                  <c:v>44193</c:v>
                </c:pt>
                <c:pt idx="89">
                  <c:v>44194</c:v>
                </c:pt>
                <c:pt idx="90">
                  <c:v>44195</c:v>
                </c:pt>
                <c:pt idx="91">
                  <c:v>44196</c:v>
                </c:pt>
                <c:pt idx="92">
                  <c:v>44200</c:v>
                </c:pt>
                <c:pt idx="93">
                  <c:v>44201</c:v>
                </c:pt>
                <c:pt idx="94">
                  <c:v>44202</c:v>
                </c:pt>
                <c:pt idx="95">
                  <c:v>44203</c:v>
                </c:pt>
                <c:pt idx="96">
                  <c:v>44204</c:v>
                </c:pt>
                <c:pt idx="97">
                  <c:v>44207</c:v>
                </c:pt>
                <c:pt idx="98">
                  <c:v>44208</c:v>
                </c:pt>
                <c:pt idx="99">
                  <c:v>44209</c:v>
                </c:pt>
                <c:pt idx="100">
                  <c:v>44210</c:v>
                </c:pt>
                <c:pt idx="101">
                  <c:v>44211</c:v>
                </c:pt>
                <c:pt idx="102">
                  <c:v>44214</c:v>
                </c:pt>
                <c:pt idx="103">
                  <c:v>44215</c:v>
                </c:pt>
                <c:pt idx="104">
                  <c:v>44216</c:v>
                </c:pt>
                <c:pt idx="105">
                  <c:v>44217</c:v>
                </c:pt>
                <c:pt idx="106">
                  <c:v>44218</c:v>
                </c:pt>
                <c:pt idx="107">
                  <c:v>44221</c:v>
                </c:pt>
                <c:pt idx="108">
                  <c:v>44222</c:v>
                </c:pt>
                <c:pt idx="109">
                  <c:v>44223</c:v>
                </c:pt>
                <c:pt idx="110">
                  <c:v>44224</c:v>
                </c:pt>
                <c:pt idx="111">
                  <c:v>44225</c:v>
                </c:pt>
                <c:pt idx="112">
                  <c:v>44228</c:v>
                </c:pt>
                <c:pt idx="113">
                  <c:v>44229</c:v>
                </c:pt>
                <c:pt idx="114">
                  <c:v>44230</c:v>
                </c:pt>
                <c:pt idx="115">
                  <c:v>44231</c:v>
                </c:pt>
                <c:pt idx="116">
                  <c:v>44232</c:v>
                </c:pt>
                <c:pt idx="117">
                  <c:v>44235</c:v>
                </c:pt>
                <c:pt idx="118">
                  <c:v>44236</c:v>
                </c:pt>
                <c:pt idx="119">
                  <c:v>44237</c:v>
                </c:pt>
                <c:pt idx="120">
                  <c:v>44245</c:v>
                </c:pt>
                <c:pt idx="121">
                  <c:v>44246</c:v>
                </c:pt>
                <c:pt idx="122">
                  <c:v>44249</c:v>
                </c:pt>
                <c:pt idx="123">
                  <c:v>44250</c:v>
                </c:pt>
                <c:pt idx="124">
                  <c:v>44251</c:v>
                </c:pt>
                <c:pt idx="125">
                  <c:v>44252</c:v>
                </c:pt>
                <c:pt idx="126">
                  <c:v>44253</c:v>
                </c:pt>
                <c:pt idx="127">
                  <c:v>44256</c:v>
                </c:pt>
                <c:pt idx="128">
                  <c:v>44257</c:v>
                </c:pt>
                <c:pt idx="129">
                  <c:v>44258</c:v>
                </c:pt>
                <c:pt idx="130">
                  <c:v>44259</c:v>
                </c:pt>
                <c:pt idx="131">
                  <c:v>44260</c:v>
                </c:pt>
                <c:pt idx="132">
                  <c:v>44263</c:v>
                </c:pt>
                <c:pt idx="133">
                  <c:v>44264</c:v>
                </c:pt>
                <c:pt idx="134">
                  <c:v>44265</c:v>
                </c:pt>
                <c:pt idx="135">
                  <c:v>44266</c:v>
                </c:pt>
                <c:pt idx="136">
                  <c:v>44267</c:v>
                </c:pt>
                <c:pt idx="137">
                  <c:v>44270</c:v>
                </c:pt>
                <c:pt idx="138">
                  <c:v>44271</c:v>
                </c:pt>
                <c:pt idx="139">
                  <c:v>44272</c:v>
                </c:pt>
                <c:pt idx="140">
                  <c:v>44273</c:v>
                </c:pt>
                <c:pt idx="141">
                  <c:v>44274</c:v>
                </c:pt>
                <c:pt idx="142">
                  <c:v>44277</c:v>
                </c:pt>
                <c:pt idx="143">
                  <c:v>44278</c:v>
                </c:pt>
                <c:pt idx="144">
                  <c:v>44279</c:v>
                </c:pt>
                <c:pt idx="145">
                  <c:v>44280</c:v>
                </c:pt>
                <c:pt idx="146">
                  <c:v>44281</c:v>
                </c:pt>
                <c:pt idx="147">
                  <c:v>44284</c:v>
                </c:pt>
                <c:pt idx="148">
                  <c:v>44285</c:v>
                </c:pt>
                <c:pt idx="149">
                  <c:v>44286</c:v>
                </c:pt>
                <c:pt idx="150">
                  <c:v>44287</c:v>
                </c:pt>
                <c:pt idx="151">
                  <c:v>44288</c:v>
                </c:pt>
                <c:pt idx="152">
                  <c:v>44292</c:v>
                </c:pt>
                <c:pt idx="153">
                  <c:v>44293</c:v>
                </c:pt>
                <c:pt idx="154">
                  <c:v>44294</c:v>
                </c:pt>
                <c:pt idx="155">
                  <c:v>44295</c:v>
                </c:pt>
                <c:pt idx="156">
                  <c:v>44298</c:v>
                </c:pt>
                <c:pt idx="157">
                  <c:v>44299</c:v>
                </c:pt>
                <c:pt idx="158">
                  <c:v>44300</c:v>
                </c:pt>
                <c:pt idx="159">
                  <c:v>44301</c:v>
                </c:pt>
                <c:pt idx="160">
                  <c:v>44302</c:v>
                </c:pt>
                <c:pt idx="161">
                  <c:v>44305</c:v>
                </c:pt>
                <c:pt idx="162">
                  <c:v>44306</c:v>
                </c:pt>
                <c:pt idx="163">
                  <c:v>44307</c:v>
                </c:pt>
                <c:pt idx="164">
                  <c:v>44308</c:v>
                </c:pt>
                <c:pt idx="165">
                  <c:v>44309</c:v>
                </c:pt>
                <c:pt idx="166">
                  <c:v>44312</c:v>
                </c:pt>
                <c:pt idx="167">
                  <c:v>44313</c:v>
                </c:pt>
                <c:pt idx="168">
                  <c:v>44314</c:v>
                </c:pt>
                <c:pt idx="169">
                  <c:v>44315</c:v>
                </c:pt>
                <c:pt idx="170">
                  <c:v>44316</c:v>
                </c:pt>
                <c:pt idx="171">
                  <c:v>44322</c:v>
                </c:pt>
                <c:pt idx="172">
                  <c:v>44323</c:v>
                </c:pt>
                <c:pt idx="173">
                  <c:v>44326</c:v>
                </c:pt>
                <c:pt idx="174">
                  <c:v>44327</c:v>
                </c:pt>
                <c:pt idx="175">
                  <c:v>44328</c:v>
                </c:pt>
                <c:pt idx="176">
                  <c:v>44329</c:v>
                </c:pt>
                <c:pt idx="177">
                  <c:v>44330</c:v>
                </c:pt>
              </c:numCache>
            </c:numRef>
          </c:cat>
          <c:val>
            <c:numRef>
              <c:f>量典长青二号!$B$21:$B$198</c:f>
              <c:numCache>
                <c:formatCode>0.0000_ </c:formatCode>
                <c:ptCount val="178"/>
                <c:pt idx="0">
                  <c:v>0.99880000000000002</c:v>
                </c:pt>
                <c:pt idx="1">
                  <c:v>0.99939999999999996</c:v>
                </c:pt>
                <c:pt idx="2">
                  <c:v>0.99950000000000006</c:v>
                </c:pt>
                <c:pt idx="3">
                  <c:v>0.99919999999999998</c:v>
                </c:pt>
                <c:pt idx="4">
                  <c:v>0.99829999999999997</c:v>
                </c:pt>
                <c:pt idx="5">
                  <c:v>0.99970000000000003</c:v>
                </c:pt>
                <c:pt idx="6">
                  <c:v>1.0012000000000001</c:v>
                </c:pt>
                <c:pt idx="7">
                  <c:v>1.0006999999999999</c:v>
                </c:pt>
                <c:pt idx="8">
                  <c:v>1.0019</c:v>
                </c:pt>
                <c:pt idx="9">
                  <c:v>1.0022</c:v>
                </c:pt>
                <c:pt idx="10">
                  <c:v>1.0008999999999999</c:v>
                </c:pt>
                <c:pt idx="11">
                  <c:v>1.0032000000000001</c:v>
                </c:pt>
                <c:pt idx="12">
                  <c:v>1.0032000000000001</c:v>
                </c:pt>
                <c:pt idx="13">
                  <c:v>1.0023</c:v>
                </c:pt>
                <c:pt idx="14">
                  <c:v>1.0041</c:v>
                </c:pt>
                <c:pt idx="15">
                  <c:v>1.0045999999999999</c:v>
                </c:pt>
                <c:pt idx="16">
                  <c:v>1.0027999999999999</c:v>
                </c:pt>
                <c:pt idx="17">
                  <c:v>1.004</c:v>
                </c:pt>
                <c:pt idx="18">
                  <c:v>1.004</c:v>
                </c:pt>
                <c:pt idx="19">
                  <c:v>1.0042</c:v>
                </c:pt>
                <c:pt idx="20">
                  <c:v>1.006</c:v>
                </c:pt>
                <c:pt idx="21">
                  <c:v>1.0059</c:v>
                </c:pt>
                <c:pt idx="22">
                  <c:v>1.0088999999999999</c:v>
                </c:pt>
                <c:pt idx="23">
                  <c:v>1.0095000000000001</c:v>
                </c:pt>
                <c:pt idx="24">
                  <c:v>1.0102</c:v>
                </c:pt>
                <c:pt idx="25">
                  <c:v>1.0082</c:v>
                </c:pt>
                <c:pt idx="26">
                  <c:v>1.0111000000000001</c:v>
                </c:pt>
                <c:pt idx="27">
                  <c:v>1.0085999999999999</c:v>
                </c:pt>
                <c:pt idx="28">
                  <c:v>1.0097</c:v>
                </c:pt>
                <c:pt idx="29">
                  <c:v>1.0112000000000001</c:v>
                </c:pt>
                <c:pt idx="30">
                  <c:v>1.0143</c:v>
                </c:pt>
                <c:pt idx="31">
                  <c:v>1.0103</c:v>
                </c:pt>
                <c:pt idx="32">
                  <c:v>1.0166999999999999</c:v>
                </c:pt>
                <c:pt idx="33">
                  <c:v>1.0208999999999999</c:v>
                </c:pt>
                <c:pt idx="34">
                  <c:v>1.0185999999999999</c:v>
                </c:pt>
                <c:pt idx="35">
                  <c:v>1.0195000000000001</c:v>
                </c:pt>
                <c:pt idx="36">
                  <c:v>1.0195000000000001</c:v>
                </c:pt>
                <c:pt idx="37">
                  <c:v>1.0194000000000001</c:v>
                </c:pt>
                <c:pt idx="38">
                  <c:v>1.0234000000000001</c:v>
                </c:pt>
                <c:pt idx="39">
                  <c:v>1.0227999999999999</c:v>
                </c:pt>
                <c:pt idx="40">
                  <c:v>1.02</c:v>
                </c:pt>
                <c:pt idx="41">
                  <c:v>1.0232000000000001</c:v>
                </c:pt>
                <c:pt idx="42">
                  <c:v>1.0218</c:v>
                </c:pt>
                <c:pt idx="43">
                  <c:v>1.0204</c:v>
                </c:pt>
                <c:pt idx="44">
                  <c:v>1.0241</c:v>
                </c:pt>
                <c:pt idx="45">
                  <c:v>1.0226999999999999</c:v>
                </c:pt>
                <c:pt idx="46">
                  <c:v>1.026</c:v>
                </c:pt>
                <c:pt idx="47">
                  <c:v>1.0239</c:v>
                </c:pt>
                <c:pt idx="48">
                  <c:v>1.0214000000000001</c:v>
                </c:pt>
                <c:pt idx="49">
                  <c:v>1.0256000000000001</c:v>
                </c:pt>
                <c:pt idx="50">
                  <c:v>1.0294000000000001</c:v>
                </c:pt>
                <c:pt idx="51">
                  <c:v>1.0223</c:v>
                </c:pt>
                <c:pt idx="52">
                  <c:v>1.0223</c:v>
                </c:pt>
                <c:pt idx="53">
                  <c:v>1.026</c:v>
                </c:pt>
                <c:pt idx="54">
                  <c:v>1.0235000000000001</c:v>
                </c:pt>
                <c:pt idx="55">
                  <c:v>1.0239</c:v>
                </c:pt>
                <c:pt idx="56">
                  <c:v>1.0266999999999999</c:v>
                </c:pt>
                <c:pt idx="57">
                  <c:v>1.0270999999999999</c:v>
                </c:pt>
                <c:pt idx="58">
                  <c:v>1.024</c:v>
                </c:pt>
                <c:pt idx="59">
                  <c:v>1.0275000000000001</c:v>
                </c:pt>
                <c:pt idx="60">
                  <c:v>1.0219</c:v>
                </c:pt>
                <c:pt idx="61">
                  <c:v>1.0242</c:v>
                </c:pt>
                <c:pt idx="62">
                  <c:v>1.0299</c:v>
                </c:pt>
                <c:pt idx="63">
                  <c:v>1.0333000000000001</c:v>
                </c:pt>
                <c:pt idx="64">
                  <c:v>1.0295000000000001</c:v>
                </c:pt>
                <c:pt idx="65">
                  <c:v>1.0285</c:v>
                </c:pt>
                <c:pt idx="66">
                  <c:v>1.0224</c:v>
                </c:pt>
                <c:pt idx="67">
                  <c:v>1.026</c:v>
                </c:pt>
                <c:pt idx="68">
                  <c:v>1.03</c:v>
                </c:pt>
                <c:pt idx="69">
                  <c:v>1.0351999999999999</c:v>
                </c:pt>
                <c:pt idx="70">
                  <c:v>1.0330999999999999</c:v>
                </c:pt>
                <c:pt idx="71">
                  <c:v>1.0358000000000001</c:v>
                </c:pt>
                <c:pt idx="72">
                  <c:v>1.0366</c:v>
                </c:pt>
                <c:pt idx="73">
                  <c:v>1.0355000000000001</c:v>
                </c:pt>
                <c:pt idx="74">
                  <c:v>1.0364</c:v>
                </c:pt>
                <c:pt idx="75">
                  <c:v>1.0317000000000001</c:v>
                </c:pt>
                <c:pt idx="76">
                  <c:v>1.0324</c:v>
                </c:pt>
                <c:pt idx="77">
                  <c:v>1.0228999999999999</c:v>
                </c:pt>
                <c:pt idx="78">
                  <c:v>1.0285</c:v>
                </c:pt>
                <c:pt idx="79">
                  <c:v>1.0314000000000001</c:v>
                </c:pt>
                <c:pt idx="80">
                  <c:v>1.0295000000000001</c:v>
                </c:pt>
                <c:pt idx="81">
                  <c:v>1.0344</c:v>
                </c:pt>
                <c:pt idx="82">
                  <c:v>1.0351999999999999</c:v>
                </c:pt>
                <c:pt idx="83">
                  <c:v>1.0395000000000001</c:v>
                </c:pt>
                <c:pt idx="84">
                  <c:v>1.0363</c:v>
                </c:pt>
                <c:pt idx="85">
                  <c:v>1.0390999999999999</c:v>
                </c:pt>
                <c:pt idx="86">
                  <c:v>1.0369999999999999</c:v>
                </c:pt>
                <c:pt idx="87">
                  <c:v>1.0383</c:v>
                </c:pt>
                <c:pt idx="88">
                  <c:v>1.0425</c:v>
                </c:pt>
                <c:pt idx="89">
                  <c:v>1.0425</c:v>
                </c:pt>
                <c:pt idx="90">
                  <c:v>1.0425</c:v>
                </c:pt>
                <c:pt idx="91">
                  <c:v>1.0428999999999999</c:v>
                </c:pt>
                <c:pt idx="92">
                  <c:v>1.0450999999999999</c:v>
                </c:pt>
                <c:pt idx="93">
                  <c:v>1.0476000000000001</c:v>
                </c:pt>
                <c:pt idx="94">
                  <c:v>1.0476000000000001</c:v>
                </c:pt>
                <c:pt idx="95">
                  <c:v>1.0468999999999999</c:v>
                </c:pt>
                <c:pt idx="96">
                  <c:v>1.0456000000000001</c:v>
                </c:pt>
                <c:pt idx="97">
                  <c:v>1.0488999999999999</c:v>
                </c:pt>
                <c:pt idx="98">
                  <c:v>1.0505</c:v>
                </c:pt>
                <c:pt idx="99">
                  <c:v>1.0528</c:v>
                </c:pt>
                <c:pt idx="100">
                  <c:v>1.0528</c:v>
                </c:pt>
                <c:pt idx="101">
                  <c:v>1.0537000000000001</c:v>
                </c:pt>
                <c:pt idx="102">
                  <c:v>1.0582</c:v>
                </c:pt>
                <c:pt idx="103">
                  <c:v>1.0492999999999999</c:v>
                </c:pt>
                <c:pt idx="104">
                  <c:v>1.0536000000000001</c:v>
                </c:pt>
                <c:pt idx="105">
                  <c:v>1.0591999999999999</c:v>
                </c:pt>
                <c:pt idx="106">
                  <c:v>1.0627</c:v>
                </c:pt>
                <c:pt idx="107">
                  <c:v>1.0647</c:v>
                </c:pt>
                <c:pt idx="108">
                  <c:v>1.0622</c:v>
                </c:pt>
                <c:pt idx="109">
                  <c:v>1.0621</c:v>
                </c:pt>
                <c:pt idx="110">
                  <c:v>1.0532999999999999</c:v>
                </c:pt>
                <c:pt idx="111">
                  <c:v>1.0510999999999999</c:v>
                </c:pt>
                <c:pt idx="112">
                  <c:v>1.0551999999999999</c:v>
                </c:pt>
                <c:pt idx="113">
                  <c:v>1.06</c:v>
                </c:pt>
                <c:pt idx="114">
                  <c:v>1.0630999999999999</c:v>
                </c:pt>
                <c:pt idx="115">
                  <c:v>1.0630999999999999</c:v>
                </c:pt>
                <c:pt idx="116">
                  <c:v>1.0624</c:v>
                </c:pt>
                <c:pt idx="117">
                  <c:v>1.0639000000000001</c:v>
                </c:pt>
                <c:pt idx="118">
                  <c:v>1.0607</c:v>
                </c:pt>
                <c:pt idx="119">
                  <c:v>1.0466</c:v>
                </c:pt>
                <c:pt idx="120">
                  <c:v>1.0578000000000001</c:v>
                </c:pt>
                <c:pt idx="121">
                  <c:v>1.0583</c:v>
                </c:pt>
                <c:pt idx="122">
                  <c:v>1.0679000000000001</c:v>
                </c:pt>
                <c:pt idx="123">
                  <c:v>1.0651999999999999</c:v>
                </c:pt>
                <c:pt idx="124">
                  <c:v>1.0544</c:v>
                </c:pt>
                <c:pt idx="125">
                  <c:v>1.0537000000000001</c:v>
                </c:pt>
                <c:pt idx="126">
                  <c:v>1.0321</c:v>
                </c:pt>
                <c:pt idx="127">
                  <c:v>1.0407</c:v>
                </c:pt>
                <c:pt idx="128">
                  <c:v>1.0346</c:v>
                </c:pt>
                <c:pt idx="129">
                  <c:v>1.0474000000000001</c:v>
                </c:pt>
                <c:pt idx="130">
                  <c:v>1.016</c:v>
                </c:pt>
                <c:pt idx="131">
                  <c:v>1.0133000000000001</c:v>
                </c:pt>
                <c:pt idx="132">
                  <c:v>0.98299999999999998</c:v>
                </c:pt>
                <c:pt idx="133">
                  <c:v>0.95099999999999996</c:v>
                </c:pt>
                <c:pt idx="134">
                  <c:v>0.9698</c:v>
                </c:pt>
                <c:pt idx="135">
                  <c:v>0.97040000000000004</c:v>
                </c:pt>
                <c:pt idx="136">
                  <c:v>0.97070000000000001</c:v>
                </c:pt>
                <c:pt idx="137">
                  <c:v>0.95740000000000003</c:v>
                </c:pt>
                <c:pt idx="138">
                  <c:v>0.95989999999999998</c:v>
                </c:pt>
                <c:pt idx="139">
                  <c:v>0.96260000000000001</c:v>
                </c:pt>
                <c:pt idx="140">
                  <c:v>0.96519999999999995</c:v>
                </c:pt>
                <c:pt idx="141">
                  <c:v>0.95699999999999996</c:v>
                </c:pt>
                <c:pt idx="142">
                  <c:v>0.95340000000000003</c:v>
                </c:pt>
                <c:pt idx="143">
                  <c:v>0.94689999999999996</c:v>
                </c:pt>
                <c:pt idx="144">
                  <c:v>0.94199999999999995</c:v>
                </c:pt>
                <c:pt idx="145">
                  <c:v>0.94869999999999999</c:v>
                </c:pt>
                <c:pt idx="146">
                  <c:v>0.95469999999999999</c:v>
                </c:pt>
                <c:pt idx="147">
                  <c:v>0.95199999999999996</c:v>
                </c:pt>
                <c:pt idx="148">
                  <c:v>0.95689999999999997</c:v>
                </c:pt>
                <c:pt idx="149">
                  <c:v>0.95720000000000005</c:v>
                </c:pt>
                <c:pt idx="150">
                  <c:v>0.9607</c:v>
                </c:pt>
                <c:pt idx="151">
                  <c:v>0.96020000000000005</c:v>
                </c:pt>
                <c:pt idx="152">
                  <c:v>0.95940000000000003</c:v>
                </c:pt>
                <c:pt idx="153">
                  <c:v>0.96120000000000005</c:v>
                </c:pt>
                <c:pt idx="154">
                  <c:v>0.96460000000000001</c:v>
                </c:pt>
                <c:pt idx="155">
                  <c:v>0.96240000000000003</c:v>
                </c:pt>
                <c:pt idx="156">
                  <c:v>0.95820000000000005</c:v>
                </c:pt>
                <c:pt idx="157">
                  <c:v>0.95199999999999996</c:v>
                </c:pt>
                <c:pt idx="158">
                  <c:v>0.95750000000000002</c:v>
                </c:pt>
                <c:pt idx="159">
                  <c:v>0.95550000000000002</c:v>
                </c:pt>
                <c:pt idx="160">
                  <c:v>0.95809999999999995</c:v>
                </c:pt>
                <c:pt idx="161">
                  <c:v>0.96689999999999998</c:v>
                </c:pt>
                <c:pt idx="162">
                  <c:v>0.96779999999999999</c:v>
                </c:pt>
                <c:pt idx="163">
                  <c:v>0.96889999999999998</c:v>
                </c:pt>
                <c:pt idx="164">
                  <c:v>0.96799999999999997</c:v>
                </c:pt>
                <c:pt idx="165">
                  <c:v>0.96550000000000002</c:v>
                </c:pt>
                <c:pt idx="166">
                  <c:v>0.96909999999999996</c:v>
                </c:pt>
                <c:pt idx="167">
                  <c:v>0.96450000000000002</c:v>
                </c:pt>
                <c:pt idx="168">
                  <c:v>0.95750000000000002</c:v>
                </c:pt>
                <c:pt idx="169">
                  <c:v>0.96279999999999999</c:v>
                </c:pt>
                <c:pt idx="170">
                  <c:v>0.96350000000000002</c:v>
                </c:pt>
                <c:pt idx="171">
                  <c:v>0.96550000000000002</c:v>
                </c:pt>
                <c:pt idx="172">
                  <c:v>0.96060000000000001</c:v>
                </c:pt>
                <c:pt idx="173">
                  <c:v>0.96419999999999995</c:v>
                </c:pt>
                <c:pt idx="174">
                  <c:v>0.96799999999999997</c:v>
                </c:pt>
                <c:pt idx="175">
                  <c:v>0.96899999999999997</c:v>
                </c:pt>
                <c:pt idx="176">
                  <c:v>0.96799999999999997</c:v>
                </c:pt>
                <c:pt idx="177">
                  <c:v>0.97119999999999995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93-44ED-B659-6003681ED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099824"/>
        <c:axId val="545100384"/>
      </c:lineChart>
      <c:catAx>
        <c:axId val="54509982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crossAx val="545100384"/>
        <c:crosses val="autoZero"/>
        <c:auto val="0"/>
        <c:lblAlgn val="ctr"/>
        <c:lblOffset val="100"/>
        <c:noMultiLvlLbl val="1"/>
      </c:catAx>
      <c:valAx>
        <c:axId val="545100384"/>
        <c:scaling>
          <c:orientation val="minMax"/>
          <c:min val="0.94000000000000006"/>
        </c:scaling>
        <c:delete val="0"/>
        <c:axPos val="l"/>
        <c:majorGridlines/>
        <c:numFmt formatCode="0.0000_ " sourceLinked="1"/>
        <c:majorTickMark val="none"/>
        <c:minorTickMark val="none"/>
        <c:tickLblPos val="nextTo"/>
        <c:spPr>
          <a:ln w="9525">
            <a:noFill/>
          </a:ln>
        </c:spPr>
        <c:crossAx val="54509982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4" l="0.70000000000000062" r="0.70000000000000062" t="0.750000000000004" header="0.30000000000000032" footer="0.3000000000000003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 sz="1600"/>
              <a:t>筹优量化</a:t>
            </a:r>
            <a:endParaRPr lang="en-US" altLang="zh-CN" sz="16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筹优量化!$B$20</c:f>
              <c:strCache>
                <c:ptCount val="1"/>
                <c:pt idx="0">
                  <c:v>累计净值</c:v>
                </c:pt>
              </c:strCache>
            </c:strRef>
          </c:tx>
          <c:marker>
            <c:symbol val="none"/>
          </c:marker>
          <c:cat>
            <c:numRef>
              <c:f>筹优量化!$A$21:$A$403</c:f>
              <c:numCache>
                <c:formatCode>m/d/yyyy</c:formatCode>
                <c:ptCount val="383"/>
                <c:pt idx="0">
                  <c:v>43747</c:v>
                </c:pt>
                <c:pt idx="1">
                  <c:v>43748</c:v>
                </c:pt>
                <c:pt idx="2">
                  <c:v>43749</c:v>
                </c:pt>
                <c:pt idx="3">
                  <c:v>43752</c:v>
                </c:pt>
                <c:pt idx="4">
                  <c:v>43753</c:v>
                </c:pt>
                <c:pt idx="5">
                  <c:v>43754</c:v>
                </c:pt>
                <c:pt idx="6">
                  <c:v>43755</c:v>
                </c:pt>
                <c:pt idx="7">
                  <c:v>43756</c:v>
                </c:pt>
                <c:pt idx="8">
                  <c:v>43759</c:v>
                </c:pt>
                <c:pt idx="9">
                  <c:v>43760</c:v>
                </c:pt>
                <c:pt idx="10">
                  <c:v>43761</c:v>
                </c:pt>
                <c:pt idx="11">
                  <c:v>43762</c:v>
                </c:pt>
                <c:pt idx="12">
                  <c:v>43763</c:v>
                </c:pt>
                <c:pt idx="13">
                  <c:v>43766</c:v>
                </c:pt>
                <c:pt idx="14">
                  <c:v>43767</c:v>
                </c:pt>
                <c:pt idx="15">
                  <c:v>43768</c:v>
                </c:pt>
                <c:pt idx="16">
                  <c:v>43769</c:v>
                </c:pt>
                <c:pt idx="17">
                  <c:v>43770</c:v>
                </c:pt>
                <c:pt idx="18">
                  <c:v>43773</c:v>
                </c:pt>
                <c:pt idx="19">
                  <c:v>43774</c:v>
                </c:pt>
                <c:pt idx="20">
                  <c:v>43775</c:v>
                </c:pt>
                <c:pt idx="21">
                  <c:v>43776</c:v>
                </c:pt>
                <c:pt idx="22">
                  <c:v>43777</c:v>
                </c:pt>
                <c:pt idx="23">
                  <c:v>43780</c:v>
                </c:pt>
                <c:pt idx="24">
                  <c:v>43781</c:v>
                </c:pt>
                <c:pt idx="25">
                  <c:v>43782</c:v>
                </c:pt>
                <c:pt idx="26">
                  <c:v>43783</c:v>
                </c:pt>
                <c:pt idx="27">
                  <c:v>43784</c:v>
                </c:pt>
                <c:pt idx="28">
                  <c:v>43787</c:v>
                </c:pt>
                <c:pt idx="29">
                  <c:v>43788</c:v>
                </c:pt>
                <c:pt idx="30">
                  <c:v>43789</c:v>
                </c:pt>
                <c:pt idx="31">
                  <c:v>43790</c:v>
                </c:pt>
                <c:pt idx="32">
                  <c:v>43791</c:v>
                </c:pt>
                <c:pt idx="33">
                  <c:v>43794</c:v>
                </c:pt>
                <c:pt idx="34">
                  <c:v>43795</c:v>
                </c:pt>
                <c:pt idx="35">
                  <c:v>43796</c:v>
                </c:pt>
                <c:pt idx="36">
                  <c:v>43797</c:v>
                </c:pt>
                <c:pt idx="37">
                  <c:v>43798</c:v>
                </c:pt>
                <c:pt idx="38">
                  <c:v>43801</c:v>
                </c:pt>
                <c:pt idx="39">
                  <c:v>43802</c:v>
                </c:pt>
                <c:pt idx="40">
                  <c:v>43803</c:v>
                </c:pt>
                <c:pt idx="41">
                  <c:v>43804</c:v>
                </c:pt>
                <c:pt idx="42">
                  <c:v>43805</c:v>
                </c:pt>
                <c:pt idx="43">
                  <c:v>43808</c:v>
                </c:pt>
                <c:pt idx="44">
                  <c:v>43809</c:v>
                </c:pt>
                <c:pt idx="45">
                  <c:v>43810</c:v>
                </c:pt>
                <c:pt idx="46">
                  <c:v>43811</c:v>
                </c:pt>
                <c:pt idx="47">
                  <c:v>43812</c:v>
                </c:pt>
                <c:pt idx="48">
                  <c:v>43815</c:v>
                </c:pt>
                <c:pt idx="49">
                  <c:v>43816</c:v>
                </c:pt>
                <c:pt idx="50">
                  <c:v>43817</c:v>
                </c:pt>
                <c:pt idx="51">
                  <c:v>43818</c:v>
                </c:pt>
                <c:pt idx="52">
                  <c:v>43819</c:v>
                </c:pt>
                <c:pt idx="53">
                  <c:v>43822</c:v>
                </c:pt>
                <c:pt idx="54">
                  <c:v>43823</c:v>
                </c:pt>
                <c:pt idx="55">
                  <c:v>43824</c:v>
                </c:pt>
                <c:pt idx="56">
                  <c:v>43825</c:v>
                </c:pt>
                <c:pt idx="57">
                  <c:v>43826</c:v>
                </c:pt>
                <c:pt idx="58">
                  <c:v>43829</c:v>
                </c:pt>
                <c:pt idx="59">
                  <c:v>43830</c:v>
                </c:pt>
                <c:pt idx="60">
                  <c:v>43832</c:v>
                </c:pt>
                <c:pt idx="61">
                  <c:v>43833</c:v>
                </c:pt>
                <c:pt idx="62">
                  <c:v>43836</c:v>
                </c:pt>
                <c:pt idx="63">
                  <c:v>43837</c:v>
                </c:pt>
                <c:pt idx="64">
                  <c:v>43838</c:v>
                </c:pt>
                <c:pt idx="65">
                  <c:v>43839</c:v>
                </c:pt>
                <c:pt idx="66">
                  <c:v>43840</c:v>
                </c:pt>
                <c:pt idx="67">
                  <c:v>43843</c:v>
                </c:pt>
                <c:pt idx="68">
                  <c:v>43844</c:v>
                </c:pt>
                <c:pt idx="69">
                  <c:v>43845</c:v>
                </c:pt>
                <c:pt idx="70">
                  <c:v>43846</c:v>
                </c:pt>
                <c:pt idx="71">
                  <c:v>43847</c:v>
                </c:pt>
                <c:pt idx="72">
                  <c:v>43850</c:v>
                </c:pt>
                <c:pt idx="73">
                  <c:v>43851</c:v>
                </c:pt>
                <c:pt idx="74">
                  <c:v>43852</c:v>
                </c:pt>
                <c:pt idx="75">
                  <c:v>43853</c:v>
                </c:pt>
                <c:pt idx="76">
                  <c:v>43864</c:v>
                </c:pt>
                <c:pt idx="77">
                  <c:v>43865</c:v>
                </c:pt>
                <c:pt idx="78">
                  <c:v>43866</c:v>
                </c:pt>
                <c:pt idx="79">
                  <c:v>43867</c:v>
                </c:pt>
                <c:pt idx="80">
                  <c:v>43868</c:v>
                </c:pt>
                <c:pt idx="81">
                  <c:v>43871</c:v>
                </c:pt>
                <c:pt idx="82">
                  <c:v>43872</c:v>
                </c:pt>
                <c:pt idx="83">
                  <c:v>43873</c:v>
                </c:pt>
                <c:pt idx="84">
                  <c:v>43874</c:v>
                </c:pt>
                <c:pt idx="85">
                  <c:v>43875</c:v>
                </c:pt>
                <c:pt idx="86">
                  <c:v>43878</c:v>
                </c:pt>
                <c:pt idx="87">
                  <c:v>43879</c:v>
                </c:pt>
                <c:pt idx="88">
                  <c:v>43880</c:v>
                </c:pt>
                <c:pt idx="89">
                  <c:v>43881</c:v>
                </c:pt>
                <c:pt idx="90">
                  <c:v>43882</c:v>
                </c:pt>
                <c:pt idx="91">
                  <c:v>43885</c:v>
                </c:pt>
                <c:pt idx="92">
                  <c:v>43886</c:v>
                </c:pt>
                <c:pt idx="93">
                  <c:v>43887</c:v>
                </c:pt>
                <c:pt idx="94">
                  <c:v>43888</c:v>
                </c:pt>
                <c:pt idx="95">
                  <c:v>43889</c:v>
                </c:pt>
                <c:pt idx="96">
                  <c:v>43892</c:v>
                </c:pt>
                <c:pt idx="97">
                  <c:v>43893</c:v>
                </c:pt>
                <c:pt idx="98">
                  <c:v>43894</c:v>
                </c:pt>
                <c:pt idx="99">
                  <c:v>43895</c:v>
                </c:pt>
                <c:pt idx="100">
                  <c:v>43896</c:v>
                </c:pt>
                <c:pt idx="101">
                  <c:v>43899</c:v>
                </c:pt>
                <c:pt idx="102">
                  <c:v>43900</c:v>
                </c:pt>
                <c:pt idx="103">
                  <c:v>43901</c:v>
                </c:pt>
                <c:pt idx="104">
                  <c:v>43902</c:v>
                </c:pt>
                <c:pt idx="105">
                  <c:v>43903</c:v>
                </c:pt>
                <c:pt idx="106">
                  <c:v>43906</c:v>
                </c:pt>
                <c:pt idx="107">
                  <c:v>43907</c:v>
                </c:pt>
                <c:pt idx="108">
                  <c:v>43908</c:v>
                </c:pt>
                <c:pt idx="109">
                  <c:v>43909</c:v>
                </c:pt>
                <c:pt idx="110">
                  <c:v>43910</c:v>
                </c:pt>
                <c:pt idx="111">
                  <c:v>43913</c:v>
                </c:pt>
                <c:pt idx="112">
                  <c:v>43914</c:v>
                </c:pt>
                <c:pt idx="113">
                  <c:v>43915</c:v>
                </c:pt>
                <c:pt idx="114">
                  <c:v>43916</c:v>
                </c:pt>
                <c:pt idx="115">
                  <c:v>43917</c:v>
                </c:pt>
                <c:pt idx="116">
                  <c:v>43920</c:v>
                </c:pt>
                <c:pt idx="117">
                  <c:v>43921</c:v>
                </c:pt>
                <c:pt idx="118">
                  <c:v>43922</c:v>
                </c:pt>
                <c:pt idx="119">
                  <c:v>43923</c:v>
                </c:pt>
                <c:pt idx="120">
                  <c:v>43924</c:v>
                </c:pt>
                <c:pt idx="121">
                  <c:v>43928</c:v>
                </c:pt>
                <c:pt idx="122">
                  <c:v>43929</c:v>
                </c:pt>
                <c:pt idx="123">
                  <c:v>43930</c:v>
                </c:pt>
                <c:pt idx="124">
                  <c:v>43931</c:v>
                </c:pt>
                <c:pt idx="125">
                  <c:v>43934</c:v>
                </c:pt>
                <c:pt idx="126">
                  <c:v>43935</c:v>
                </c:pt>
                <c:pt idx="127">
                  <c:v>43936</c:v>
                </c:pt>
                <c:pt idx="128">
                  <c:v>43937</c:v>
                </c:pt>
                <c:pt idx="129">
                  <c:v>43938</c:v>
                </c:pt>
                <c:pt idx="130">
                  <c:v>43941</c:v>
                </c:pt>
                <c:pt idx="131">
                  <c:v>43942</c:v>
                </c:pt>
                <c:pt idx="132">
                  <c:v>43943</c:v>
                </c:pt>
                <c:pt idx="133">
                  <c:v>43944</c:v>
                </c:pt>
                <c:pt idx="134">
                  <c:v>43945</c:v>
                </c:pt>
                <c:pt idx="135">
                  <c:v>43948</c:v>
                </c:pt>
                <c:pt idx="136">
                  <c:v>43949</c:v>
                </c:pt>
                <c:pt idx="137">
                  <c:v>43950</c:v>
                </c:pt>
                <c:pt idx="138">
                  <c:v>43951</c:v>
                </c:pt>
                <c:pt idx="139">
                  <c:v>43957</c:v>
                </c:pt>
                <c:pt idx="140">
                  <c:v>43958</c:v>
                </c:pt>
                <c:pt idx="141">
                  <c:v>43959</c:v>
                </c:pt>
                <c:pt idx="142">
                  <c:v>43962</c:v>
                </c:pt>
                <c:pt idx="143">
                  <c:v>43963</c:v>
                </c:pt>
                <c:pt idx="144">
                  <c:v>43964</c:v>
                </c:pt>
                <c:pt idx="145">
                  <c:v>43965</c:v>
                </c:pt>
                <c:pt idx="146">
                  <c:v>43966</c:v>
                </c:pt>
                <c:pt idx="147">
                  <c:v>43969</c:v>
                </c:pt>
                <c:pt idx="148">
                  <c:v>43970</c:v>
                </c:pt>
                <c:pt idx="149">
                  <c:v>43971</c:v>
                </c:pt>
                <c:pt idx="150">
                  <c:v>43972</c:v>
                </c:pt>
                <c:pt idx="151">
                  <c:v>43973</c:v>
                </c:pt>
                <c:pt idx="152">
                  <c:v>43976</c:v>
                </c:pt>
                <c:pt idx="153">
                  <c:v>43977</c:v>
                </c:pt>
                <c:pt idx="154">
                  <c:v>43978</c:v>
                </c:pt>
                <c:pt idx="155">
                  <c:v>43979</c:v>
                </c:pt>
                <c:pt idx="156">
                  <c:v>43980</c:v>
                </c:pt>
                <c:pt idx="157">
                  <c:v>43983</c:v>
                </c:pt>
                <c:pt idx="158">
                  <c:v>43984</c:v>
                </c:pt>
                <c:pt idx="159">
                  <c:v>43985</c:v>
                </c:pt>
                <c:pt idx="160">
                  <c:v>43986</c:v>
                </c:pt>
                <c:pt idx="161">
                  <c:v>43987</c:v>
                </c:pt>
                <c:pt idx="162">
                  <c:v>43990</c:v>
                </c:pt>
                <c:pt idx="163">
                  <c:v>43991</c:v>
                </c:pt>
                <c:pt idx="164">
                  <c:v>43992</c:v>
                </c:pt>
                <c:pt idx="165">
                  <c:v>43993</c:v>
                </c:pt>
                <c:pt idx="166">
                  <c:v>43994</c:v>
                </c:pt>
                <c:pt idx="167">
                  <c:v>43997</c:v>
                </c:pt>
                <c:pt idx="168">
                  <c:v>43998</c:v>
                </c:pt>
                <c:pt idx="169">
                  <c:v>43999</c:v>
                </c:pt>
                <c:pt idx="170">
                  <c:v>44000</c:v>
                </c:pt>
                <c:pt idx="171">
                  <c:v>44001</c:v>
                </c:pt>
                <c:pt idx="172">
                  <c:v>44004</c:v>
                </c:pt>
                <c:pt idx="173">
                  <c:v>44005</c:v>
                </c:pt>
                <c:pt idx="174">
                  <c:v>44006</c:v>
                </c:pt>
                <c:pt idx="175">
                  <c:v>44011</c:v>
                </c:pt>
                <c:pt idx="176">
                  <c:v>44012</c:v>
                </c:pt>
                <c:pt idx="177">
                  <c:v>44013</c:v>
                </c:pt>
                <c:pt idx="178">
                  <c:v>44014</c:v>
                </c:pt>
                <c:pt idx="179">
                  <c:v>44015</c:v>
                </c:pt>
                <c:pt idx="180">
                  <c:v>44018</c:v>
                </c:pt>
                <c:pt idx="181">
                  <c:v>44019</c:v>
                </c:pt>
                <c:pt idx="182">
                  <c:v>44020</c:v>
                </c:pt>
                <c:pt idx="183">
                  <c:v>44021</c:v>
                </c:pt>
                <c:pt idx="184">
                  <c:v>44022</c:v>
                </c:pt>
                <c:pt idx="185">
                  <c:v>44025</c:v>
                </c:pt>
                <c:pt idx="186">
                  <c:v>44026</c:v>
                </c:pt>
                <c:pt idx="187">
                  <c:v>44027</c:v>
                </c:pt>
                <c:pt idx="188">
                  <c:v>44028</c:v>
                </c:pt>
                <c:pt idx="189">
                  <c:v>44029</c:v>
                </c:pt>
                <c:pt idx="190">
                  <c:v>44032</c:v>
                </c:pt>
                <c:pt idx="191">
                  <c:v>44033</c:v>
                </c:pt>
                <c:pt idx="192">
                  <c:v>44034</c:v>
                </c:pt>
                <c:pt idx="193">
                  <c:v>44035</c:v>
                </c:pt>
                <c:pt idx="194">
                  <c:v>44036</c:v>
                </c:pt>
                <c:pt idx="195">
                  <c:v>44039</c:v>
                </c:pt>
                <c:pt idx="196">
                  <c:v>44040</c:v>
                </c:pt>
                <c:pt idx="197">
                  <c:v>44041</c:v>
                </c:pt>
                <c:pt idx="198">
                  <c:v>44042</c:v>
                </c:pt>
                <c:pt idx="199">
                  <c:v>44043</c:v>
                </c:pt>
                <c:pt idx="200">
                  <c:v>44046</c:v>
                </c:pt>
                <c:pt idx="201">
                  <c:v>44047</c:v>
                </c:pt>
                <c:pt idx="202">
                  <c:v>44048</c:v>
                </c:pt>
                <c:pt idx="203">
                  <c:v>44049</c:v>
                </c:pt>
                <c:pt idx="204">
                  <c:v>44050</c:v>
                </c:pt>
                <c:pt idx="205">
                  <c:v>44053</c:v>
                </c:pt>
                <c:pt idx="206">
                  <c:v>44054</c:v>
                </c:pt>
                <c:pt idx="207">
                  <c:v>44055</c:v>
                </c:pt>
                <c:pt idx="208">
                  <c:v>44056</c:v>
                </c:pt>
                <c:pt idx="209">
                  <c:v>44057</c:v>
                </c:pt>
                <c:pt idx="210">
                  <c:v>44060</c:v>
                </c:pt>
                <c:pt idx="211">
                  <c:v>44061</c:v>
                </c:pt>
                <c:pt idx="212">
                  <c:v>44062</c:v>
                </c:pt>
                <c:pt idx="213">
                  <c:v>44063</c:v>
                </c:pt>
                <c:pt idx="214">
                  <c:v>44064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44074</c:v>
                </c:pt>
                <c:pt idx="221">
                  <c:v>44075</c:v>
                </c:pt>
                <c:pt idx="222">
                  <c:v>44076</c:v>
                </c:pt>
                <c:pt idx="223">
                  <c:v>44077</c:v>
                </c:pt>
                <c:pt idx="224">
                  <c:v>44078</c:v>
                </c:pt>
                <c:pt idx="225">
                  <c:v>44081</c:v>
                </c:pt>
                <c:pt idx="226">
                  <c:v>44082</c:v>
                </c:pt>
                <c:pt idx="227">
                  <c:v>44083</c:v>
                </c:pt>
                <c:pt idx="228">
                  <c:v>44084</c:v>
                </c:pt>
                <c:pt idx="229">
                  <c:v>44085</c:v>
                </c:pt>
                <c:pt idx="230">
                  <c:v>44088</c:v>
                </c:pt>
                <c:pt idx="231">
                  <c:v>44089</c:v>
                </c:pt>
                <c:pt idx="232">
                  <c:v>44090</c:v>
                </c:pt>
                <c:pt idx="233">
                  <c:v>44091</c:v>
                </c:pt>
                <c:pt idx="234">
                  <c:v>44092</c:v>
                </c:pt>
                <c:pt idx="235">
                  <c:v>44095</c:v>
                </c:pt>
                <c:pt idx="236">
                  <c:v>44096</c:v>
                </c:pt>
                <c:pt idx="237">
                  <c:v>44097</c:v>
                </c:pt>
                <c:pt idx="238">
                  <c:v>44098</c:v>
                </c:pt>
                <c:pt idx="239">
                  <c:v>44099</c:v>
                </c:pt>
                <c:pt idx="240">
                  <c:v>44102</c:v>
                </c:pt>
                <c:pt idx="241">
                  <c:v>44103</c:v>
                </c:pt>
                <c:pt idx="242">
                  <c:v>44104</c:v>
                </c:pt>
                <c:pt idx="243">
                  <c:v>44113</c:v>
                </c:pt>
                <c:pt idx="244">
                  <c:v>44116</c:v>
                </c:pt>
                <c:pt idx="245">
                  <c:v>44117</c:v>
                </c:pt>
                <c:pt idx="246">
                  <c:v>44118</c:v>
                </c:pt>
                <c:pt idx="247">
                  <c:v>44119</c:v>
                </c:pt>
                <c:pt idx="248">
                  <c:v>44120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44130</c:v>
                </c:pt>
                <c:pt idx="255">
                  <c:v>44131</c:v>
                </c:pt>
                <c:pt idx="256">
                  <c:v>44132</c:v>
                </c:pt>
                <c:pt idx="257">
                  <c:v>44133</c:v>
                </c:pt>
                <c:pt idx="258">
                  <c:v>44134</c:v>
                </c:pt>
                <c:pt idx="259">
                  <c:v>44137</c:v>
                </c:pt>
                <c:pt idx="260">
                  <c:v>44138</c:v>
                </c:pt>
                <c:pt idx="261">
                  <c:v>44139</c:v>
                </c:pt>
                <c:pt idx="262">
                  <c:v>44140</c:v>
                </c:pt>
                <c:pt idx="263">
                  <c:v>44141</c:v>
                </c:pt>
                <c:pt idx="264">
                  <c:v>44144</c:v>
                </c:pt>
                <c:pt idx="265">
                  <c:v>44145</c:v>
                </c:pt>
                <c:pt idx="266">
                  <c:v>44146</c:v>
                </c:pt>
                <c:pt idx="267">
                  <c:v>44147</c:v>
                </c:pt>
                <c:pt idx="268">
                  <c:v>44148</c:v>
                </c:pt>
                <c:pt idx="269">
                  <c:v>44151</c:v>
                </c:pt>
                <c:pt idx="270">
                  <c:v>44152</c:v>
                </c:pt>
                <c:pt idx="271">
                  <c:v>44153</c:v>
                </c:pt>
                <c:pt idx="272">
                  <c:v>44154</c:v>
                </c:pt>
                <c:pt idx="273">
                  <c:v>44155</c:v>
                </c:pt>
                <c:pt idx="274">
                  <c:v>44158</c:v>
                </c:pt>
                <c:pt idx="275">
                  <c:v>44159</c:v>
                </c:pt>
                <c:pt idx="276">
                  <c:v>44160</c:v>
                </c:pt>
                <c:pt idx="277">
                  <c:v>44161</c:v>
                </c:pt>
                <c:pt idx="278">
                  <c:v>44162</c:v>
                </c:pt>
                <c:pt idx="279">
                  <c:v>44165</c:v>
                </c:pt>
                <c:pt idx="280">
                  <c:v>44166</c:v>
                </c:pt>
                <c:pt idx="281">
                  <c:v>44167</c:v>
                </c:pt>
                <c:pt idx="282">
                  <c:v>44168</c:v>
                </c:pt>
                <c:pt idx="283">
                  <c:v>44169</c:v>
                </c:pt>
                <c:pt idx="284">
                  <c:v>44172</c:v>
                </c:pt>
                <c:pt idx="285">
                  <c:v>44173</c:v>
                </c:pt>
                <c:pt idx="286">
                  <c:v>44174</c:v>
                </c:pt>
                <c:pt idx="287">
                  <c:v>44175</c:v>
                </c:pt>
                <c:pt idx="288">
                  <c:v>44176</c:v>
                </c:pt>
                <c:pt idx="289">
                  <c:v>44179</c:v>
                </c:pt>
                <c:pt idx="290">
                  <c:v>44180</c:v>
                </c:pt>
                <c:pt idx="291">
                  <c:v>44181</c:v>
                </c:pt>
                <c:pt idx="292">
                  <c:v>44182</c:v>
                </c:pt>
                <c:pt idx="293">
                  <c:v>44183</c:v>
                </c:pt>
                <c:pt idx="294">
                  <c:v>44186</c:v>
                </c:pt>
                <c:pt idx="295">
                  <c:v>44187</c:v>
                </c:pt>
                <c:pt idx="296">
                  <c:v>44188</c:v>
                </c:pt>
                <c:pt idx="297">
                  <c:v>44189</c:v>
                </c:pt>
                <c:pt idx="298">
                  <c:v>44190</c:v>
                </c:pt>
                <c:pt idx="299">
                  <c:v>44193</c:v>
                </c:pt>
                <c:pt idx="300">
                  <c:v>44194</c:v>
                </c:pt>
                <c:pt idx="301">
                  <c:v>44195</c:v>
                </c:pt>
                <c:pt idx="302">
                  <c:v>44196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44207</c:v>
                </c:pt>
                <c:pt idx="309">
                  <c:v>44208</c:v>
                </c:pt>
                <c:pt idx="310">
                  <c:v>44209</c:v>
                </c:pt>
                <c:pt idx="311">
                  <c:v>44210</c:v>
                </c:pt>
                <c:pt idx="312">
                  <c:v>44211</c:v>
                </c:pt>
                <c:pt idx="313">
                  <c:v>44214</c:v>
                </c:pt>
                <c:pt idx="314">
                  <c:v>44215</c:v>
                </c:pt>
                <c:pt idx="315">
                  <c:v>44216</c:v>
                </c:pt>
                <c:pt idx="316">
                  <c:v>44217</c:v>
                </c:pt>
                <c:pt idx="317">
                  <c:v>44218</c:v>
                </c:pt>
                <c:pt idx="318">
                  <c:v>44221</c:v>
                </c:pt>
                <c:pt idx="319">
                  <c:v>44222</c:v>
                </c:pt>
                <c:pt idx="320">
                  <c:v>44223</c:v>
                </c:pt>
                <c:pt idx="321">
                  <c:v>44224</c:v>
                </c:pt>
                <c:pt idx="322">
                  <c:v>44225</c:v>
                </c:pt>
                <c:pt idx="323">
                  <c:v>44228</c:v>
                </c:pt>
                <c:pt idx="324">
                  <c:v>44229</c:v>
                </c:pt>
                <c:pt idx="325">
                  <c:v>44230</c:v>
                </c:pt>
                <c:pt idx="326">
                  <c:v>44231</c:v>
                </c:pt>
                <c:pt idx="327">
                  <c:v>44232</c:v>
                </c:pt>
                <c:pt idx="328">
                  <c:v>44235</c:v>
                </c:pt>
                <c:pt idx="329">
                  <c:v>44236</c:v>
                </c:pt>
                <c:pt idx="330">
                  <c:v>44237</c:v>
                </c:pt>
                <c:pt idx="331">
                  <c:v>44245</c:v>
                </c:pt>
                <c:pt idx="332">
                  <c:v>44246</c:v>
                </c:pt>
                <c:pt idx="333">
                  <c:v>44249</c:v>
                </c:pt>
                <c:pt idx="334">
                  <c:v>44250</c:v>
                </c:pt>
                <c:pt idx="335">
                  <c:v>44251</c:v>
                </c:pt>
                <c:pt idx="336">
                  <c:v>44252</c:v>
                </c:pt>
                <c:pt idx="337">
                  <c:v>44253</c:v>
                </c:pt>
                <c:pt idx="338">
                  <c:v>44256</c:v>
                </c:pt>
                <c:pt idx="339">
                  <c:v>44257</c:v>
                </c:pt>
                <c:pt idx="340">
                  <c:v>44258</c:v>
                </c:pt>
                <c:pt idx="341">
                  <c:v>44259</c:v>
                </c:pt>
                <c:pt idx="342">
                  <c:v>44260</c:v>
                </c:pt>
                <c:pt idx="343">
                  <c:v>44263</c:v>
                </c:pt>
                <c:pt idx="344">
                  <c:v>44264</c:v>
                </c:pt>
                <c:pt idx="345">
                  <c:v>44265</c:v>
                </c:pt>
                <c:pt idx="346">
                  <c:v>44266</c:v>
                </c:pt>
                <c:pt idx="347">
                  <c:v>44267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44277</c:v>
                </c:pt>
                <c:pt idx="354">
                  <c:v>44278</c:v>
                </c:pt>
                <c:pt idx="355">
                  <c:v>44279</c:v>
                </c:pt>
                <c:pt idx="356">
                  <c:v>44280</c:v>
                </c:pt>
                <c:pt idx="357">
                  <c:v>44281</c:v>
                </c:pt>
                <c:pt idx="358">
                  <c:v>44284</c:v>
                </c:pt>
                <c:pt idx="359">
                  <c:v>44285</c:v>
                </c:pt>
                <c:pt idx="360">
                  <c:v>44286</c:v>
                </c:pt>
                <c:pt idx="361">
                  <c:v>44287</c:v>
                </c:pt>
                <c:pt idx="362">
                  <c:v>44288</c:v>
                </c:pt>
                <c:pt idx="363">
                  <c:v>44292</c:v>
                </c:pt>
                <c:pt idx="364">
                  <c:v>44293</c:v>
                </c:pt>
                <c:pt idx="365">
                  <c:v>44294</c:v>
                </c:pt>
                <c:pt idx="366">
                  <c:v>44295</c:v>
                </c:pt>
                <c:pt idx="367">
                  <c:v>44298</c:v>
                </c:pt>
                <c:pt idx="368">
                  <c:v>44299</c:v>
                </c:pt>
                <c:pt idx="369">
                  <c:v>44300</c:v>
                </c:pt>
                <c:pt idx="370">
                  <c:v>44301</c:v>
                </c:pt>
                <c:pt idx="371">
                  <c:v>44302</c:v>
                </c:pt>
                <c:pt idx="372">
                  <c:v>44305</c:v>
                </c:pt>
                <c:pt idx="373">
                  <c:v>44306</c:v>
                </c:pt>
                <c:pt idx="374">
                  <c:v>44307</c:v>
                </c:pt>
                <c:pt idx="375">
                  <c:v>44308</c:v>
                </c:pt>
                <c:pt idx="376">
                  <c:v>44309</c:v>
                </c:pt>
                <c:pt idx="377">
                  <c:v>44312</c:v>
                </c:pt>
                <c:pt idx="378">
                  <c:v>44313</c:v>
                </c:pt>
                <c:pt idx="379">
                  <c:v>44314</c:v>
                </c:pt>
                <c:pt idx="380">
                  <c:v>44315</c:v>
                </c:pt>
                <c:pt idx="381">
                  <c:v>44316</c:v>
                </c:pt>
                <c:pt idx="382">
                  <c:v>44322</c:v>
                </c:pt>
              </c:numCache>
            </c:numRef>
          </c:cat>
          <c:val>
            <c:numRef>
              <c:f>筹优量化!$B$21:$B$403</c:f>
              <c:numCache>
                <c:formatCode>0.0000_ </c:formatCode>
                <c:ptCount val="383"/>
                <c:pt idx="0">
                  <c:v>1.1866000000000001</c:v>
                </c:pt>
                <c:pt idx="1">
                  <c:v>1.194</c:v>
                </c:pt>
                <c:pt idx="2">
                  <c:v>1.1895</c:v>
                </c:pt>
                <c:pt idx="3">
                  <c:v>1.1919999999999999</c:v>
                </c:pt>
                <c:pt idx="4">
                  <c:v>1.1865000000000001</c:v>
                </c:pt>
                <c:pt idx="5">
                  <c:v>1.1878</c:v>
                </c:pt>
                <c:pt idx="6">
                  <c:v>1.1907000000000001</c:v>
                </c:pt>
                <c:pt idx="7">
                  <c:v>1.1907000000000001</c:v>
                </c:pt>
                <c:pt idx="8">
                  <c:v>1.1888000000000001</c:v>
                </c:pt>
                <c:pt idx="9">
                  <c:v>1.1913</c:v>
                </c:pt>
                <c:pt idx="10">
                  <c:v>1.1896</c:v>
                </c:pt>
                <c:pt idx="11">
                  <c:v>1.1884999999999999</c:v>
                </c:pt>
                <c:pt idx="12">
                  <c:v>1.1896</c:v>
                </c:pt>
                <c:pt idx="13">
                  <c:v>1.1970000000000001</c:v>
                </c:pt>
                <c:pt idx="14">
                  <c:v>1.1953</c:v>
                </c:pt>
                <c:pt idx="15">
                  <c:v>1.1996</c:v>
                </c:pt>
                <c:pt idx="16">
                  <c:v>1.1956</c:v>
                </c:pt>
                <c:pt idx="17">
                  <c:v>1.1966000000000001</c:v>
                </c:pt>
                <c:pt idx="18">
                  <c:v>1.2010000000000001</c:v>
                </c:pt>
                <c:pt idx="19">
                  <c:v>1.1980999999999999</c:v>
                </c:pt>
                <c:pt idx="20">
                  <c:v>1.196</c:v>
                </c:pt>
                <c:pt idx="21">
                  <c:v>1.1963999999999999</c:v>
                </c:pt>
                <c:pt idx="22">
                  <c:v>1.1953</c:v>
                </c:pt>
                <c:pt idx="23">
                  <c:v>1.1938</c:v>
                </c:pt>
                <c:pt idx="24">
                  <c:v>1.1978</c:v>
                </c:pt>
                <c:pt idx="25">
                  <c:v>1.1976</c:v>
                </c:pt>
                <c:pt idx="26">
                  <c:v>1.2030000000000001</c:v>
                </c:pt>
                <c:pt idx="27">
                  <c:v>1.1994</c:v>
                </c:pt>
                <c:pt idx="28">
                  <c:v>1.2039</c:v>
                </c:pt>
                <c:pt idx="29">
                  <c:v>1.2088000000000001</c:v>
                </c:pt>
                <c:pt idx="30">
                  <c:v>1.2067000000000001</c:v>
                </c:pt>
                <c:pt idx="31">
                  <c:v>1.2038</c:v>
                </c:pt>
                <c:pt idx="32">
                  <c:v>1.1957</c:v>
                </c:pt>
                <c:pt idx="33">
                  <c:v>1.1794</c:v>
                </c:pt>
                <c:pt idx="34">
                  <c:v>1.1816</c:v>
                </c:pt>
                <c:pt idx="35">
                  <c:v>1.1811</c:v>
                </c:pt>
                <c:pt idx="36">
                  <c:v>1.1815</c:v>
                </c:pt>
                <c:pt idx="37">
                  <c:v>1.1797</c:v>
                </c:pt>
                <c:pt idx="38">
                  <c:v>1.1802999999999999</c:v>
                </c:pt>
                <c:pt idx="39">
                  <c:v>1.1826000000000001</c:v>
                </c:pt>
                <c:pt idx="40">
                  <c:v>1.1849000000000001</c:v>
                </c:pt>
                <c:pt idx="41">
                  <c:v>1.1890000000000001</c:v>
                </c:pt>
                <c:pt idx="42">
                  <c:v>1.1888000000000001</c:v>
                </c:pt>
                <c:pt idx="43">
                  <c:v>1.1877</c:v>
                </c:pt>
                <c:pt idx="44">
                  <c:v>1.1879999999999999</c:v>
                </c:pt>
                <c:pt idx="45">
                  <c:v>1.1898</c:v>
                </c:pt>
                <c:pt idx="46">
                  <c:v>1.1930000000000001</c:v>
                </c:pt>
                <c:pt idx="47">
                  <c:v>1.1961999999999999</c:v>
                </c:pt>
                <c:pt idx="48">
                  <c:v>1.1994</c:v>
                </c:pt>
                <c:pt idx="49">
                  <c:v>1.1973</c:v>
                </c:pt>
                <c:pt idx="50">
                  <c:v>1.1994</c:v>
                </c:pt>
                <c:pt idx="51">
                  <c:v>1.1975</c:v>
                </c:pt>
                <c:pt idx="52">
                  <c:v>1.1908000000000001</c:v>
                </c:pt>
                <c:pt idx="53">
                  <c:v>1.1907000000000001</c:v>
                </c:pt>
                <c:pt idx="54">
                  <c:v>1.1952</c:v>
                </c:pt>
                <c:pt idx="55">
                  <c:v>1.2014</c:v>
                </c:pt>
                <c:pt idx="56">
                  <c:v>1.2020999999999999</c:v>
                </c:pt>
                <c:pt idx="57">
                  <c:v>1.1960999999999999</c:v>
                </c:pt>
                <c:pt idx="58">
                  <c:v>1.1871</c:v>
                </c:pt>
                <c:pt idx="59">
                  <c:v>1.1902999999999999</c:v>
                </c:pt>
                <c:pt idx="60">
                  <c:v>1.1937</c:v>
                </c:pt>
                <c:pt idx="61">
                  <c:v>1.1976</c:v>
                </c:pt>
                <c:pt idx="62">
                  <c:v>1.1966000000000001</c:v>
                </c:pt>
                <c:pt idx="63">
                  <c:v>1.1969000000000001</c:v>
                </c:pt>
                <c:pt idx="64">
                  <c:v>1.1947000000000001</c:v>
                </c:pt>
                <c:pt idx="65">
                  <c:v>1.202</c:v>
                </c:pt>
                <c:pt idx="66">
                  <c:v>1.2047000000000001</c:v>
                </c:pt>
                <c:pt idx="67">
                  <c:v>1.2070000000000001</c:v>
                </c:pt>
                <c:pt idx="68">
                  <c:v>1.2058</c:v>
                </c:pt>
                <c:pt idx="69">
                  <c:v>1.2121999999999999</c:v>
                </c:pt>
                <c:pt idx="70">
                  <c:v>1.2119</c:v>
                </c:pt>
                <c:pt idx="71">
                  <c:v>1.2126999999999999</c:v>
                </c:pt>
                <c:pt idx="72">
                  <c:v>1.2132000000000001</c:v>
                </c:pt>
                <c:pt idx="73">
                  <c:v>1.2157</c:v>
                </c:pt>
                <c:pt idx="74">
                  <c:v>1.2172000000000001</c:v>
                </c:pt>
                <c:pt idx="75">
                  <c:v>1.2184999999999999</c:v>
                </c:pt>
                <c:pt idx="76">
                  <c:v>1.2156</c:v>
                </c:pt>
                <c:pt idx="77">
                  <c:v>1.206</c:v>
                </c:pt>
                <c:pt idx="78">
                  <c:v>1.2097</c:v>
                </c:pt>
                <c:pt idx="79">
                  <c:v>1.2130000000000001</c:v>
                </c:pt>
                <c:pt idx="80">
                  <c:v>1.2183999999999999</c:v>
                </c:pt>
                <c:pt idx="81">
                  <c:v>1.224</c:v>
                </c:pt>
                <c:pt idx="82">
                  <c:v>1.2270000000000001</c:v>
                </c:pt>
                <c:pt idx="83">
                  <c:v>1.2303999999999999</c:v>
                </c:pt>
                <c:pt idx="84">
                  <c:v>1.2355</c:v>
                </c:pt>
                <c:pt idx="85">
                  <c:v>1.2419</c:v>
                </c:pt>
                <c:pt idx="86">
                  <c:v>1.2484</c:v>
                </c:pt>
                <c:pt idx="87">
                  <c:v>1.2676000000000001</c:v>
                </c:pt>
                <c:pt idx="88">
                  <c:v>1.2705</c:v>
                </c:pt>
                <c:pt idx="89">
                  <c:v>1.2776000000000001</c:v>
                </c:pt>
                <c:pt idx="90">
                  <c:v>1.28</c:v>
                </c:pt>
                <c:pt idx="91">
                  <c:v>1.2988</c:v>
                </c:pt>
                <c:pt idx="92">
                  <c:v>1.2967</c:v>
                </c:pt>
                <c:pt idx="93">
                  <c:v>1.2814000000000001</c:v>
                </c:pt>
                <c:pt idx="94">
                  <c:v>1.2859</c:v>
                </c:pt>
                <c:pt idx="95">
                  <c:v>1.2679</c:v>
                </c:pt>
                <c:pt idx="96">
                  <c:v>1.2764</c:v>
                </c:pt>
                <c:pt idx="97">
                  <c:v>1.2866</c:v>
                </c:pt>
                <c:pt idx="98">
                  <c:v>1.2916000000000001</c:v>
                </c:pt>
                <c:pt idx="99">
                  <c:v>1.2942</c:v>
                </c:pt>
                <c:pt idx="100">
                  <c:v>1.2870999999999999</c:v>
                </c:pt>
                <c:pt idx="101">
                  <c:v>1.2827</c:v>
                </c:pt>
                <c:pt idx="102">
                  <c:v>1.2948999999999999</c:v>
                </c:pt>
                <c:pt idx="103">
                  <c:v>1.2921</c:v>
                </c:pt>
                <c:pt idx="104">
                  <c:v>1.2894000000000001</c:v>
                </c:pt>
                <c:pt idx="105">
                  <c:v>1.292</c:v>
                </c:pt>
                <c:pt idx="106">
                  <c:v>1.2858000000000001</c:v>
                </c:pt>
                <c:pt idx="107">
                  <c:v>1.2903</c:v>
                </c:pt>
                <c:pt idx="108">
                  <c:v>1.2911999999999999</c:v>
                </c:pt>
                <c:pt idx="109">
                  <c:v>1.2998000000000001</c:v>
                </c:pt>
                <c:pt idx="110">
                  <c:v>1.3012999999999999</c:v>
                </c:pt>
                <c:pt idx="111">
                  <c:v>1.2946</c:v>
                </c:pt>
                <c:pt idx="112">
                  <c:v>1.3024</c:v>
                </c:pt>
                <c:pt idx="113">
                  <c:v>1.3059000000000001</c:v>
                </c:pt>
                <c:pt idx="114">
                  <c:v>1.3073999999999999</c:v>
                </c:pt>
                <c:pt idx="115">
                  <c:v>1.3039000000000001</c:v>
                </c:pt>
                <c:pt idx="116">
                  <c:v>1.3</c:v>
                </c:pt>
                <c:pt idx="117">
                  <c:v>1.3042</c:v>
                </c:pt>
                <c:pt idx="118">
                  <c:v>1.3078000000000001</c:v>
                </c:pt>
                <c:pt idx="119">
                  <c:v>1.3082</c:v>
                </c:pt>
                <c:pt idx="120">
                  <c:v>1.3120000000000001</c:v>
                </c:pt>
                <c:pt idx="121">
                  <c:v>1.3183</c:v>
                </c:pt>
                <c:pt idx="122">
                  <c:v>1.3159000000000001</c:v>
                </c:pt>
                <c:pt idx="123">
                  <c:v>1.3184</c:v>
                </c:pt>
                <c:pt idx="124">
                  <c:v>1.3067</c:v>
                </c:pt>
                <c:pt idx="125">
                  <c:v>1.3047</c:v>
                </c:pt>
                <c:pt idx="126">
                  <c:v>1.3089999999999999</c:v>
                </c:pt>
                <c:pt idx="127">
                  <c:v>1.3073999999999999</c:v>
                </c:pt>
                <c:pt idx="128">
                  <c:v>1.3091999999999999</c:v>
                </c:pt>
                <c:pt idx="129">
                  <c:v>1.3084</c:v>
                </c:pt>
                <c:pt idx="130">
                  <c:v>1.3150999999999999</c:v>
                </c:pt>
                <c:pt idx="131">
                  <c:v>1.3150999999999999</c:v>
                </c:pt>
                <c:pt idx="132">
                  <c:v>1.3178000000000001</c:v>
                </c:pt>
                <c:pt idx="133">
                  <c:v>1.3150999999999999</c:v>
                </c:pt>
                <c:pt idx="134">
                  <c:v>1.3081</c:v>
                </c:pt>
                <c:pt idx="135">
                  <c:v>1.3082</c:v>
                </c:pt>
                <c:pt idx="136">
                  <c:v>1.3109999999999999</c:v>
                </c:pt>
                <c:pt idx="137">
                  <c:v>1.3048</c:v>
                </c:pt>
                <c:pt idx="138">
                  <c:v>1.3046</c:v>
                </c:pt>
                <c:pt idx="139">
                  <c:v>1.3160000000000001</c:v>
                </c:pt>
                <c:pt idx="140">
                  <c:v>1.3174999999999999</c:v>
                </c:pt>
                <c:pt idx="141">
                  <c:v>1.3180000000000001</c:v>
                </c:pt>
                <c:pt idx="142">
                  <c:v>1.3197000000000001</c:v>
                </c:pt>
                <c:pt idx="143">
                  <c:v>1.3229</c:v>
                </c:pt>
                <c:pt idx="144">
                  <c:v>1.3270999999999999</c:v>
                </c:pt>
                <c:pt idx="145">
                  <c:v>1.3249</c:v>
                </c:pt>
                <c:pt idx="146">
                  <c:v>1.3304</c:v>
                </c:pt>
                <c:pt idx="147">
                  <c:v>1.3322000000000001</c:v>
                </c:pt>
                <c:pt idx="148">
                  <c:v>1.3376999999999999</c:v>
                </c:pt>
                <c:pt idx="149">
                  <c:v>1.3319000000000001</c:v>
                </c:pt>
                <c:pt idx="150">
                  <c:v>1.325</c:v>
                </c:pt>
                <c:pt idx="151">
                  <c:v>1.3228</c:v>
                </c:pt>
                <c:pt idx="152">
                  <c:v>1.3260000000000001</c:v>
                </c:pt>
                <c:pt idx="153">
                  <c:v>1.3354999999999999</c:v>
                </c:pt>
                <c:pt idx="154">
                  <c:v>1.3303</c:v>
                </c:pt>
                <c:pt idx="155">
                  <c:v>1.3310999999999999</c:v>
                </c:pt>
                <c:pt idx="156">
                  <c:v>1.3347</c:v>
                </c:pt>
                <c:pt idx="157">
                  <c:v>1.3380000000000001</c:v>
                </c:pt>
                <c:pt idx="158">
                  <c:v>1.3376999999999999</c:v>
                </c:pt>
                <c:pt idx="159">
                  <c:v>1.3443000000000001</c:v>
                </c:pt>
                <c:pt idx="160">
                  <c:v>1.3416999999999999</c:v>
                </c:pt>
                <c:pt idx="161">
                  <c:v>1.3405</c:v>
                </c:pt>
                <c:pt idx="162">
                  <c:v>1.3382000000000001</c:v>
                </c:pt>
                <c:pt idx="163">
                  <c:v>1.3379000000000001</c:v>
                </c:pt>
                <c:pt idx="164">
                  <c:v>1.3389</c:v>
                </c:pt>
                <c:pt idx="165">
                  <c:v>1.341</c:v>
                </c:pt>
                <c:pt idx="166">
                  <c:v>1.3421000000000001</c:v>
                </c:pt>
                <c:pt idx="167">
                  <c:v>1.3424</c:v>
                </c:pt>
                <c:pt idx="168">
                  <c:v>1.3506</c:v>
                </c:pt>
                <c:pt idx="169">
                  <c:v>1.3452</c:v>
                </c:pt>
                <c:pt idx="170">
                  <c:v>1.3414999999999999</c:v>
                </c:pt>
                <c:pt idx="171">
                  <c:v>1.3438000000000001</c:v>
                </c:pt>
                <c:pt idx="172">
                  <c:v>1.3553999999999999</c:v>
                </c:pt>
                <c:pt idx="173">
                  <c:v>1.3566</c:v>
                </c:pt>
                <c:pt idx="174">
                  <c:v>1.3544</c:v>
                </c:pt>
                <c:pt idx="175">
                  <c:v>1.3584000000000001</c:v>
                </c:pt>
                <c:pt idx="176">
                  <c:v>1.3641000000000001</c:v>
                </c:pt>
                <c:pt idx="177">
                  <c:v>1.3613</c:v>
                </c:pt>
                <c:pt idx="178">
                  <c:v>1.3503000000000001</c:v>
                </c:pt>
                <c:pt idx="179">
                  <c:v>1.3466</c:v>
                </c:pt>
                <c:pt idx="180">
                  <c:v>1.3337000000000001</c:v>
                </c:pt>
                <c:pt idx="181">
                  <c:v>1.3411999999999999</c:v>
                </c:pt>
                <c:pt idx="182">
                  <c:v>1.3525</c:v>
                </c:pt>
                <c:pt idx="183">
                  <c:v>1.3641000000000001</c:v>
                </c:pt>
                <c:pt idx="184">
                  <c:v>1.3720000000000001</c:v>
                </c:pt>
                <c:pt idx="185">
                  <c:v>1.3791</c:v>
                </c:pt>
                <c:pt idx="186">
                  <c:v>1.3867</c:v>
                </c:pt>
                <c:pt idx="187">
                  <c:v>1.3774999999999999</c:v>
                </c:pt>
                <c:pt idx="188">
                  <c:v>1.3619000000000001</c:v>
                </c:pt>
                <c:pt idx="189">
                  <c:v>1.3644000000000001</c:v>
                </c:pt>
                <c:pt idx="190">
                  <c:v>1.3675999999999999</c:v>
                </c:pt>
                <c:pt idx="191">
                  <c:v>1.3728</c:v>
                </c:pt>
                <c:pt idx="192">
                  <c:v>1.3747</c:v>
                </c:pt>
                <c:pt idx="193">
                  <c:v>1.3752</c:v>
                </c:pt>
                <c:pt idx="194">
                  <c:v>1.3686</c:v>
                </c:pt>
                <c:pt idx="195">
                  <c:v>1.3758999999999999</c:v>
                </c:pt>
                <c:pt idx="196">
                  <c:v>1.3834</c:v>
                </c:pt>
                <c:pt idx="197">
                  <c:v>1.3854</c:v>
                </c:pt>
                <c:pt idx="198">
                  <c:v>1.3806</c:v>
                </c:pt>
                <c:pt idx="199">
                  <c:v>1.3876999999999999</c:v>
                </c:pt>
                <c:pt idx="200">
                  <c:v>1.3971</c:v>
                </c:pt>
                <c:pt idx="201">
                  <c:v>1.3936999999999999</c:v>
                </c:pt>
                <c:pt idx="202">
                  <c:v>1.4024000000000001</c:v>
                </c:pt>
                <c:pt idx="203">
                  <c:v>1.4016999999999999</c:v>
                </c:pt>
                <c:pt idx="204">
                  <c:v>1.3998999999999999</c:v>
                </c:pt>
                <c:pt idx="205">
                  <c:v>1.3928</c:v>
                </c:pt>
                <c:pt idx="206">
                  <c:v>1.3891</c:v>
                </c:pt>
                <c:pt idx="207">
                  <c:v>1.3889</c:v>
                </c:pt>
                <c:pt idx="208">
                  <c:v>1.3861000000000001</c:v>
                </c:pt>
                <c:pt idx="209">
                  <c:v>1.3811</c:v>
                </c:pt>
                <c:pt idx="210">
                  <c:v>1.3907</c:v>
                </c:pt>
                <c:pt idx="211">
                  <c:v>1.3953</c:v>
                </c:pt>
                <c:pt idx="212">
                  <c:v>1.3909</c:v>
                </c:pt>
                <c:pt idx="213">
                  <c:v>1.3863000000000001</c:v>
                </c:pt>
                <c:pt idx="214">
                  <c:v>1.3866000000000001</c:v>
                </c:pt>
                <c:pt idx="215">
                  <c:v>1.3925000000000001</c:v>
                </c:pt>
                <c:pt idx="216">
                  <c:v>1.3936999999999999</c:v>
                </c:pt>
                <c:pt idx="217">
                  <c:v>1.3789</c:v>
                </c:pt>
                <c:pt idx="218">
                  <c:v>1.3854</c:v>
                </c:pt>
                <c:pt idx="219">
                  <c:v>1.3839999999999999</c:v>
                </c:pt>
                <c:pt idx="220">
                  <c:v>1.3904000000000001</c:v>
                </c:pt>
                <c:pt idx="221">
                  <c:v>1.3895999999999999</c:v>
                </c:pt>
                <c:pt idx="222">
                  <c:v>1.3912</c:v>
                </c:pt>
                <c:pt idx="223">
                  <c:v>1.3869</c:v>
                </c:pt>
                <c:pt idx="224">
                  <c:v>1.3911</c:v>
                </c:pt>
                <c:pt idx="225">
                  <c:v>1.3885000000000001</c:v>
                </c:pt>
                <c:pt idx="226">
                  <c:v>1.3803000000000001</c:v>
                </c:pt>
                <c:pt idx="227">
                  <c:v>1.3665</c:v>
                </c:pt>
                <c:pt idx="228">
                  <c:v>1.3446</c:v>
                </c:pt>
                <c:pt idx="229">
                  <c:v>1.3553999999999999</c:v>
                </c:pt>
                <c:pt idx="230">
                  <c:v>1.3691</c:v>
                </c:pt>
                <c:pt idx="231">
                  <c:v>1.3722000000000001</c:v>
                </c:pt>
                <c:pt idx="232">
                  <c:v>1.3640000000000001</c:v>
                </c:pt>
                <c:pt idx="233">
                  <c:v>1.3613999999999999</c:v>
                </c:pt>
                <c:pt idx="234">
                  <c:v>1.3597999999999999</c:v>
                </c:pt>
                <c:pt idx="235">
                  <c:v>1.3673999999999999</c:v>
                </c:pt>
                <c:pt idx="236">
                  <c:v>1.3645</c:v>
                </c:pt>
                <c:pt idx="237">
                  <c:v>1.3713</c:v>
                </c:pt>
                <c:pt idx="238">
                  <c:v>1.3632</c:v>
                </c:pt>
                <c:pt idx="239">
                  <c:v>1.3595999999999999</c:v>
                </c:pt>
                <c:pt idx="240">
                  <c:v>1.3495999999999999</c:v>
                </c:pt>
                <c:pt idx="241">
                  <c:v>1.3560000000000001</c:v>
                </c:pt>
                <c:pt idx="242">
                  <c:v>1.3638999999999999</c:v>
                </c:pt>
                <c:pt idx="243">
                  <c:v>1.3702000000000001</c:v>
                </c:pt>
                <c:pt idx="244">
                  <c:v>1.3795999999999999</c:v>
                </c:pt>
                <c:pt idx="245">
                  <c:v>1.3838999999999999</c:v>
                </c:pt>
                <c:pt idx="246">
                  <c:v>1.3796999999999999</c:v>
                </c:pt>
                <c:pt idx="247">
                  <c:v>1.3748</c:v>
                </c:pt>
                <c:pt idx="248">
                  <c:v>1.3809</c:v>
                </c:pt>
                <c:pt idx="249">
                  <c:v>1.3882000000000001</c:v>
                </c:pt>
                <c:pt idx="250">
                  <c:v>1.3902000000000001</c:v>
                </c:pt>
                <c:pt idx="251">
                  <c:v>1.3835999999999999</c:v>
                </c:pt>
                <c:pt idx="252">
                  <c:v>1.3887</c:v>
                </c:pt>
                <c:pt idx="253">
                  <c:v>1.3831</c:v>
                </c:pt>
                <c:pt idx="254">
                  <c:v>1.3882000000000001</c:v>
                </c:pt>
                <c:pt idx="255">
                  <c:v>1.3922000000000001</c:v>
                </c:pt>
                <c:pt idx="256">
                  <c:v>1.3894</c:v>
                </c:pt>
                <c:pt idx="257">
                  <c:v>1.3853</c:v>
                </c:pt>
                <c:pt idx="258">
                  <c:v>1.3761000000000001</c:v>
                </c:pt>
                <c:pt idx="259">
                  <c:v>1.3759999999999999</c:v>
                </c:pt>
                <c:pt idx="260">
                  <c:v>1.381</c:v>
                </c:pt>
                <c:pt idx="261">
                  <c:v>1.3785000000000001</c:v>
                </c:pt>
                <c:pt idx="262">
                  <c:v>1.3758999999999999</c:v>
                </c:pt>
                <c:pt idx="263">
                  <c:v>1.3709</c:v>
                </c:pt>
                <c:pt idx="264">
                  <c:v>1.3826000000000001</c:v>
                </c:pt>
                <c:pt idx="265">
                  <c:v>1.3777999999999999</c:v>
                </c:pt>
                <c:pt idx="266">
                  <c:v>1.3689</c:v>
                </c:pt>
                <c:pt idx="267">
                  <c:v>1.3701000000000001</c:v>
                </c:pt>
                <c:pt idx="268">
                  <c:v>1.3655999999999999</c:v>
                </c:pt>
                <c:pt idx="269">
                  <c:v>1.3552999999999999</c:v>
                </c:pt>
                <c:pt idx="270">
                  <c:v>1.3498000000000001</c:v>
                </c:pt>
                <c:pt idx="271">
                  <c:v>1.3507</c:v>
                </c:pt>
                <c:pt idx="272">
                  <c:v>1.3561000000000001</c:v>
                </c:pt>
                <c:pt idx="273">
                  <c:v>1.3534999999999999</c:v>
                </c:pt>
                <c:pt idx="274">
                  <c:v>1.3548</c:v>
                </c:pt>
                <c:pt idx="275">
                  <c:v>1.3565</c:v>
                </c:pt>
                <c:pt idx="276">
                  <c:v>1.3523000000000001</c:v>
                </c:pt>
                <c:pt idx="277">
                  <c:v>1.3515999999999999</c:v>
                </c:pt>
                <c:pt idx="278">
                  <c:v>1.3480000000000001</c:v>
                </c:pt>
                <c:pt idx="279">
                  <c:v>1.3489</c:v>
                </c:pt>
                <c:pt idx="280">
                  <c:v>1.3495999999999999</c:v>
                </c:pt>
                <c:pt idx="281">
                  <c:v>1.349</c:v>
                </c:pt>
                <c:pt idx="282">
                  <c:v>1.3426</c:v>
                </c:pt>
                <c:pt idx="283">
                  <c:v>1.3418000000000001</c:v>
                </c:pt>
                <c:pt idx="284">
                  <c:v>1.3439000000000001</c:v>
                </c:pt>
                <c:pt idx="285">
                  <c:v>1.3409</c:v>
                </c:pt>
                <c:pt idx="286">
                  <c:v>1.3394999999999999</c:v>
                </c:pt>
                <c:pt idx="287">
                  <c:v>1.3411</c:v>
                </c:pt>
                <c:pt idx="288">
                  <c:v>1.3402000000000001</c:v>
                </c:pt>
                <c:pt idx="289">
                  <c:v>1.3411999999999999</c:v>
                </c:pt>
                <c:pt idx="290">
                  <c:v>1.3426</c:v>
                </c:pt>
                <c:pt idx="291">
                  <c:v>1.3383</c:v>
                </c:pt>
                <c:pt idx="292">
                  <c:v>1.3373999999999999</c:v>
                </c:pt>
                <c:pt idx="293">
                  <c:v>1.3415999999999999</c:v>
                </c:pt>
                <c:pt idx="294">
                  <c:v>1.3401000000000001</c:v>
                </c:pt>
                <c:pt idx="295">
                  <c:v>1.3387</c:v>
                </c:pt>
                <c:pt idx="296">
                  <c:v>1.3443000000000001</c:v>
                </c:pt>
                <c:pt idx="297">
                  <c:v>1.3433999999999999</c:v>
                </c:pt>
                <c:pt idx="298">
                  <c:v>1.3415999999999999</c:v>
                </c:pt>
                <c:pt idx="299">
                  <c:v>1.3372999999999999</c:v>
                </c:pt>
                <c:pt idx="300">
                  <c:v>1.3351999999999999</c:v>
                </c:pt>
                <c:pt idx="301">
                  <c:v>1.3327</c:v>
                </c:pt>
                <c:pt idx="302">
                  <c:v>1.3352999999999999</c:v>
                </c:pt>
                <c:pt idx="303">
                  <c:v>1.3362000000000001</c:v>
                </c:pt>
                <c:pt idx="304">
                  <c:v>1.3343</c:v>
                </c:pt>
                <c:pt idx="305">
                  <c:v>1.33</c:v>
                </c:pt>
                <c:pt idx="306">
                  <c:v>1.3144</c:v>
                </c:pt>
                <c:pt idx="307">
                  <c:v>1.3134999999999999</c:v>
                </c:pt>
                <c:pt idx="308">
                  <c:v>1.3121</c:v>
                </c:pt>
                <c:pt idx="309">
                  <c:v>1.32</c:v>
                </c:pt>
                <c:pt idx="310">
                  <c:v>1.3204</c:v>
                </c:pt>
                <c:pt idx="311">
                  <c:v>1.32</c:v>
                </c:pt>
                <c:pt idx="312">
                  <c:v>1.3298000000000001</c:v>
                </c:pt>
                <c:pt idx="313">
                  <c:v>1.3345</c:v>
                </c:pt>
                <c:pt idx="314">
                  <c:v>1.3346</c:v>
                </c:pt>
                <c:pt idx="315">
                  <c:v>1.3326</c:v>
                </c:pt>
                <c:pt idx="316">
                  <c:v>1.3317000000000001</c:v>
                </c:pt>
                <c:pt idx="317">
                  <c:v>1.3302</c:v>
                </c:pt>
                <c:pt idx="318">
                  <c:v>1.3302</c:v>
                </c:pt>
                <c:pt idx="319">
                  <c:v>1.3310999999999999</c:v>
                </c:pt>
                <c:pt idx="320">
                  <c:v>1.3315999999999999</c:v>
                </c:pt>
                <c:pt idx="321">
                  <c:v>1.33</c:v>
                </c:pt>
                <c:pt idx="322">
                  <c:v>1.3307</c:v>
                </c:pt>
                <c:pt idx="323">
                  <c:v>1.3331</c:v>
                </c:pt>
                <c:pt idx="324">
                  <c:v>1.3365</c:v>
                </c:pt>
                <c:pt idx="325">
                  <c:v>1.3349</c:v>
                </c:pt>
                <c:pt idx="326">
                  <c:v>1.3343</c:v>
                </c:pt>
                <c:pt idx="327">
                  <c:v>1.3346</c:v>
                </c:pt>
                <c:pt idx="328">
                  <c:v>1.3351</c:v>
                </c:pt>
                <c:pt idx="329">
                  <c:v>1.3363</c:v>
                </c:pt>
                <c:pt idx="330">
                  <c:v>1.3333999999999999</c:v>
                </c:pt>
                <c:pt idx="331">
                  <c:v>1.3293999999999999</c:v>
                </c:pt>
                <c:pt idx="332">
                  <c:v>1.3268</c:v>
                </c:pt>
                <c:pt idx="333">
                  <c:v>1.3288</c:v>
                </c:pt>
                <c:pt idx="334">
                  <c:v>1.3269</c:v>
                </c:pt>
                <c:pt idx="335">
                  <c:v>1.3265</c:v>
                </c:pt>
                <c:pt idx="336">
                  <c:v>1.3289</c:v>
                </c:pt>
                <c:pt idx="337">
                  <c:v>1.3333999999999999</c:v>
                </c:pt>
                <c:pt idx="338">
                  <c:v>1.3362000000000001</c:v>
                </c:pt>
                <c:pt idx="339">
                  <c:v>1.335</c:v>
                </c:pt>
                <c:pt idx="340">
                  <c:v>1.3360000000000001</c:v>
                </c:pt>
                <c:pt idx="341">
                  <c:v>1.3380000000000001</c:v>
                </c:pt>
                <c:pt idx="342">
                  <c:v>1.341</c:v>
                </c:pt>
                <c:pt idx="343">
                  <c:v>1.3447</c:v>
                </c:pt>
                <c:pt idx="344">
                  <c:v>1.3431999999999999</c:v>
                </c:pt>
                <c:pt idx="345">
                  <c:v>1.3472999999999999</c:v>
                </c:pt>
                <c:pt idx="346">
                  <c:v>1.3466</c:v>
                </c:pt>
                <c:pt idx="347">
                  <c:v>1.3469</c:v>
                </c:pt>
                <c:pt idx="348">
                  <c:v>1.3452999999999999</c:v>
                </c:pt>
                <c:pt idx="349">
                  <c:v>1.3488</c:v>
                </c:pt>
                <c:pt idx="350">
                  <c:v>1.3512999999999999</c:v>
                </c:pt>
                <c:pt idx="351">
                  <c:v>1.3527</c:v>
                </c:pt>
                <c:pt idx="352">
                  <c:v>1.3523000000000001</c:v>
                </c:pt>
                <c:pt idx="353">
                  <c:v>1.3549</c:v>
                </c:pt>
                <c:pt idx="354">
                  <c:v>1.3549</c:v>
                </c:pt>
                <c:pt idx="355">
                  <c:v>1.3507</c:v>
                </c:pt>
                <c:pt idx="356">
                  <c:v>1.3506</c:v>
                </c:pt>
                <c:pt idx="357">
                  <c:v>1.3547</c:v>
                </c:pt>
                <c:pt idx="358">
                  <c:v>1.3553999999999999</c:v>
                </c:pt>
                <c:pt idx="359">
                  <c:v>1.3555999999999999</c:v>
                </c:pt>
                <c:pt idx="360">
                  <c:v>1.3544</c:v>
                </c:pt>
                <c:pt idx="361">
                  <c:v>1.3553999999999999</c:v>
                </c:pt>
                <c:pt idx="362">
                  <c:v>1.3557999999999999</c:v>
                </c:pt>
                <c:pt idx="363">
                  <c:v>1.3568</c:v>
                </c:pt>
                <c:pt idx="364">
                  <c:v>1.355</c:v>
                </c:pt>
                <c:pt idx="365">
                  <c:v>1.355</c:v>
                </c:pt>
                <c:pt idx="366">
                  <c:v>1.3532999999999999</c:v>
                </c:pt>
                <c:pt idx="367">
                  <c:v>1.3512</c:v>
                </c:pt>
                <c:pt idx="368">
                  <c:v>1.3515999999999999</c:v>
                </c:pt>
                <c:pt idx="369">
                  <c:v>1.353</c:v>
                </c:pt>
                <c:pt idx="370">
                  <c:v>1.3519000000000001</c:v>
                </c:pt>
                <c:pt idx="371">
                  <c:v>1.3472999999999999</c:v>
                </c:pt>
                <c:pt idx="372">
                  <c:v>1.3531</c:v>
                </c:pt>
                <c:pt idx="373">
                  <c:v>1.3528</c:v>
                </c:pt>
                <c:pt idx="374">
                  <c:v>1.3551</c:v>
                </c:pt>
                <c:pt idx="375">
                  <c:v>1.3571</c:v>
                </c:pt>
                <c:pt idx="376">
                  <c:v>1.3567</c:v>
                </c:pt>
                <c:pt idx="377">
                  <c:v>1.3593</c:v>
                </c:pt>
                <c:pt idx="378">
                  <c:v>1.3604000000000001</c:v>
                </c:pt>
                <c:pt idx="379">
                  <c:v>1.3603000000000001</c:v>
                </c:pt>
                <c:pt idx="380">
                  <c:v>1.3635999999999999</c:v>
                </c:pt>
                <c:pt idx="381">
                  <c:v>1.3586</c:v>
                </c:pt>
                <c:pt idx="382">
                  <c:v>1.3607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BB-4866-B764-EE0FACF97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099824"/>
        <c:axId val="545100384"/>
      </c:lineChart>
      <c:catAx>
        <c:axId val="54509982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crossAx val="545100384"/>
        <c:crosses val="autoZero"/>
        <c:auto val="0"/>
        <c:lblAlgn val="ctr"/>
        <c:lblOffset val="100"/>
        <c:noMultiLvlLbl val="1"/>
      </c:catAx>
      <c:valAx>
        <c:axId val="545100384"/>
        <c:scaling>
          <c:orientation val="minMax"/>
          <c:min val="1.1200000000000001"/>
        </c:scaling>
        <c:delete val="0"/>
        <c:axPos val="l"/>
        <c:majorGridlines/>
        <c:numFmt formatCode="0.0000_ " sourceLinked="1"/>
        <c:majorTickMark val="none"/>
        <c:minorTickMark val="none"/>
        <c:tickLblPos val="nextTo"/>
        <c:spPr>
          <a:ln w="9525">
            <a:noFill/>
          </a:ln>
        </c:spPr>
        <c:crossAx val="54509982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4" l="0.70000000000000062" r="0.70000000000000062" t="0.750000000000004" header="0.30000000000000032" footer="0.3000000000000003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 sz="1600"/>
              <a:t>洛书瑞乾元封</a:t>
            </a:r>
            <a:endParaRPr lang="en-US" altLang="zh-CN" sz="16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洛书瑞乾元封!$B$20</c:f>
              <c:strCache>
                <c:ptCount val="1"/>
                <c:pt idx="0">
                  <c:v>累计净值</c:v>
                </c:pt>
              </c:strCache>
            </c:strRef>
          </c:tx>
          <c:marker>
            <c:symbol val="none"/>
          </c:marker>
          <c:cat>
            <c:numRef>
              <c:f>洛书瑞乾元封!$A$21:$A$438</c:f>
              <c:numCache>
                <c:formatCode>m/d/yyyy</c:formatCode>
                <c:ptCount val="418"/>
                <c:pt idx="0">
                  <c:v>43698</c:v>
                </c:pt>
                <c:pt idx="1">
                  <c:v>43699</c:v>
                </c:pt>
                <c:pt idx="2">
                  <c:v>43700</c:v>
                </c:pt>
                <c:pt idx="3">
                  <c:v>43703</c:v>
                </c:pt>
                <c:pt idx="4">
                  <c:v>43704</c:v>
                </c:pt>
                <c:pt idx="5">
                  <c:v>43705</c:v>
                </c:pt>
                <c:pt idx="6">
                  <c:v>43706</c:v>
                </c:pt>
                <c:pt idx="7">
                  <c:v>43707</c:v>
                </c:pt>
                <c:pt idx="8">
                  <c:v>43710</c:v>
                </c:pt>
                <c:pt idx="9">
                  <c:v>43711</c:v>
                </c:pt>
                <c:pt idx="10">
                  <c:v>43712</c:v>
                </c:pt>
                <c:pt idx="11">
                  <c:v>43713</c:v>
                </c:pt>
                <c:pt idx="12">
                  <c:v>43714</c:v>
                </c:pt>
                <c:pt idx="13">
                  <c:v>43717</c:v>
                </c:pt>
                <c:pt idx="14">
                  <c:v>43718</c:v>
                </c:pt>
                <c:pt idx="15">
                  <c:v>43719</c:v>
                </c:pt>
                <c:pt idx="16">
                  <c:v>43720</c:v>
                </c:pt>
                <c:pt idx="17">
                  <c:v>43724</c:v>
                </c:pt>
                <c:pt idx="18">
                  <c:v>43725</c:v>
                </c:pt>
                <c:pt idx="19">
                  <c:v>43726</c:v>
                </c:pt>
                <c:pt idx="20">
                  <c:v>43727</c:v>
                </c:pt>
                <c:pt idx="21">
                  <c:v>43728</c:v>
                </c:pt>
                <c:pt idx="22">
                  <c:v>43731</c:v>
                </c:pt>
                <c:pt idx="23">
                  <c:v>43732</c:v>
                </c:pt>
                <c:pt idx="24">
                  <c:v>43733</c:v>
                </c:pt>
                <c:pt idx="25">
                  <c:v>43734</c:v>
                </c:pt>
                <c:pt idx="26">
                  <c:v>43735</c:v>
                </c:pt>
                <c:pt idx="27">
                  <c:v>43738</c:v>
                </c:pt>
                <c:pt idx="28">
                  <c:v>43746</c:v>
                </c:pt>
                <c:pt idx="29">
                  <c:v>43747</c:v>
                </c:pt>
                <c:pt idx="30">
                  <c:v>43748</c:v>
                </c:pt>
                <c:pt idx="31">
                  <c:v>43749</c:v>
                </c:pt>
                <c:pt idx="32">
                  <c:v>43752</c:v>
                </c:pt>
                <c:pt idx="33">
                  <c:v>43753</c:v>
                </c:pt>
                <c:pt idx="34">
                  <c:v>43754</c:v>
                </c:pt>
                <c:pt idx="35">
                  <c:v>43755</c:v>
                </c:pt>
                <c:pt idx="36">
                  <c:v>43756</c:v>
                </c:pt>
                <c:pt idx="37">
                  <c:v>43759</c:v>
                </c:pt>
                <c:pt idx="38">
                  <c:v>43760</c:v>
                </c:pt>
                <c:pt idx="39">
                  <c:v>43761</c:v>
                </c:pt>
                <c:pt idx="40">
                  <c:v>43762</c:v>
                </c:pt>
                <c:pt idx="41">
                  <c:v>43763</c:v>
                </c:pt>
                <c:pt idx="42">
                  <c:v>43766</c:v>
                </c:pt>
                <c:pt idx="43">
                  <c:v>43767</c:v>
                </c:pt>
                <c:pt idx="44">
                  <c:v>43768</c:v>
                </c:pt>
                <c:pt idx="45">
                  <c:v>43769</c:v>
                </c:pt>
                <c:pt idx="46">
                  <c:v>43770</c:v>
                </c:pt>
                <c:pt idx="47">
                  <c:v>43773</c:v>
                </c:pt>
                <c:pt idx="48">
                  <c:v>43774</c:v>
                </c:pt>
                <c:pt idx="49">
                  <c:v>43775</c:v>
                </c:pt>
                <c:pt idx="50">
                  <c:v>43776</c:v>
                </c:pt>
                <c:pt idx="51">
                  <c:v>43777</c:v>
                </c:pt>
                <c:pt idx="52">
                  <c:v>43780</c:v>
                </c:pt>
                <c:pt idx="53">
                  <c:v>43781</c:v>
                </c:pt>
                <c:pt idx="54">
                  <c:v>43782</c:v>
                </c:pt>
                <c:pt idx="55">
                  <c:v>43783</c:v>
                </c:pt>
                <c:pt idx="56">
                  <c:v>43784</c:v>
                </c:pt>
                <c:pt idx="57">
                  <c:v>43787</c:v>
                </c:pt>
                <c:pt idx="58">
                  <c:v>43788</c:v>
                </c:pt>
                <c:pt idx="59">
                  <c:v>43789</c:v>
                </c:pt>
                <c:pt idx="60">
                  <c:v>43790</c:v>
                </c:pt>
                <c:pt idx="61">
                  <c:v>43791</c:v>
                </c:pt>
                <c:pt idx="62">
                  <c:v>43794</c:v>
                </c:pt>
                <c:pt idx="63">
                  <c:v>43795</c:v>
                </c:pt>
                <c:pt idx="64">
                  <c:v>43796</c:v>
                </c:pt>
                <c:pt idx="65">
                  <c:v>43797</c:v>
                </c:pt>
                <c:pt idx="66">
                  <c:v>43798</c:v>
                </c:pt>
                <c:pt idx="67">
                  <c:v>43801</c:v>
                </c:pt>
                <c:pt idx="68">
                  <c:v>43802</c:v>
                </c:pt>
                <c:pt idx="69">
                  <c:v>43803</c:v>
                </c:pt>
                <c:pt idx="70">
                  <c:v>43804</c:v>
                </c:pt>
                <c:pt idx="71">
                  <c:v>43805</c:v>
                </c:pt>
                <c:pt idx="72">
                  <c:v>43808</c:v>
                </c:pt>
                <c:pt idx="73">
                  <c:v>43809</c:v>
                </c:pt>
                <c:pt idx="74">
                  <c:v>43810</c:v>
                </c:pt>
                <c:pt idx="75">
                  <c:v>43811</c:v>
                </c:pt>
                <c:pt idx="76">
                  <c:v>43812</c:v>
                </c:pt>
                <c:pt idx="77">
                  <c:v>43815</c:v>
                </c:pt>
                <c:pt idx="78">
                  <c:v>43816</c:v>
                </c:pt>
                <c:pt idx="79">
                  <c:v>43817</c:v>
                </c:pt>
                <c:pt idx="80">
                  <c:v>43818</c:v>
                </c:pt>
                <c:pt idx="81">
                  <c:v>43819</c:v>
                </c:pt>
                <c:pt idx="82">
                  <c:v>43822</c:v>
                </c:pt>
                <c:pt idx="83">
                  <c:v>43823</c:v>
                </c:pt>
                <c:pt idx="84">
                  <c:v>43824</c:v>
                </c:pt>
                <c:pt idx="85">
                  <c:v>43825</c:v>
                </c:pt>
                <c:pt idx="86">
                  <c:v>43826</c:v>
                </c:pt>
                <c:pt idx="87">
                  <c:v>43829</c:v>
                </c:pt>
                <c:pt idx="88">
                  <c:v>43830</c:v>
                </c:pt>
                <c:pt idx="89">
                  <c:v>43832</c:v>
                </c:pt>
                <c:pt idx="90">
                  <c:v>43833</c:v>
                </c:pt>
                <c:pt idx="91">
                  <c:v>43836</c:v>
                </c:pt>
                <c:pt idx="92">
                  <c:v>43837</c:v>
                </c:pt>
                <c:pt idx="93">
                  <c:v>43838</c:v>
                </c:pt>
                <c:pt idx="94">
                  <c:v>43839</c:v>
                </c:pt>
                <c:pt idx="95">
                  <c:v>43840</c:v>
                </c:pt>
                <c:pt idx="96">
                  <c:v>43843</c:v>
                </c:pt>
                <c:pt idx="97">
                  <c:v>43844</c:v>
                </c:pt>
                <c:pt idx="98">
                  <c:v>43845</c:v>
                </c:pt>
                <c:pt idx="99">
                  <c:v>43846</c:v>
                </c:pt>
                <c:pt idx="100">
                  <c:v>43847</c:v>
                </c:pt>
                <c:pt idx="101">
                  <c:v>43850</c:v>
                </c:pt>
                <c:pt idx="102">
                  <c:v>43851</c:v>
                </c:pt>
                <c:pt idx="103">
                  <c:v>43852</c:v>
                </c:pt>
                <c:pt idx="104">
                  <c:v>43853</c:v>
                </c:pt>
                <c:pt idx="105">
                  <c:v>43864</c:v>
                </c:pt>
                <c:pt idx="106">
                  <c:v>43865</c:v>
                </c:pt>
                <c:pt idx="107">
                  <c:v>43866</c:v>
                </c:pt>
                <c:pt idx="108">
                  <c:v>43867</c:v>
                </c:pt>
                <c:pt idx="109">
                  <c:v>43868</c:v>
                </c:pt>
                <c:pt idx="110">
                  <c:v>43871</c:v>
                </c:pt>
                <c:pt idx="111">
                  <c:v>43872</c:v>
                </c:pt>
                <c:pt idx="112">
                  <c:v>43873</c:v>
                </c:pt>
                <c:pt idx="113">
                  <c:v>43874</c:v>
                </c:pt>
                <c:pt idx="114">
                  <c:v>43875</c:v>
                </c:pt>
                <c:pt idx="115">
                  <c:v>43878</c:v>
                </c:pt>
                <c:pt idx="116">
                  <c:v>43879</c:v>
                </c:pt>
                <c:pt idx="117">
                  <c:v>43880</c:v>
                </c:pt>
                <c:pt idx="118">
                  <c:v>43881</c:v>
                </c:pt>
                <c:pt idx="119">
                  <c:v>43882</c:v>
                </c:pt>
                <c:pt idx="120">
                  <c:v>43885</c:v>
                </c:pt>
                <c:pt idx="121">
                  <c:v>43886</c:v>
                </c:pt>
                <c:pt idx="122">
                  <c:v>43887</c:v>
                </c:pt>
                <c:pt idx="123">
                  <c:v>43888</c:v>
                </c:pt>
                <c:pt idx="124">
                  <c:v>43889</c:v>
                </c:pt>
                <c:pt idx="125">
                  <c:v>43892</c:v>
                </c:pt>
                <c:pt idx="126">
                  <c:v>43893</c:v>
                </c:pt>
                <c:pt idx="127">
                  <c:v>43894</c:v>
                </c:pt>
                <c:pt idx="128">
                  <c:v>43895</c:v>
                </c:pt>
                <c:pt idx="129">
                  <c:v>43896</c:v>
                </c:pt>
                <c:pt idx="130">
                  <c:v>43899</c:v>
                </c:pt>
                <c:pt idx="131">
                  <c:v>43900</c:v>
                </c:pt>
                <c:pt idx="132">
                  <c:v>43901</c:v>
                </c:pt>
                <c:pt idx="133">
                  <c:v>43902</c:v>
                </c:pt>
                <c:pt idx="134">
                  <c:v>43903</c:v>
                </c:pt>
                <c:pt idx="135">
                  <c:v>43906</c:v>
                </c:pt>
                <c:pt idx="136">
                  <c:v>43907</c:v>
                </c:pt>
                <c:pt idx="137">
                  <c:v>43908</c:v>
                </c:pt>
                <c:pt idx="138">
                  <c:v>43909</c:v>
                </c:pt>
                <c:pt idx="139">
                  <c:v>43910</c:v>
                </c:pt>
                <c:pt idx="140">
                  <c:v>43913</c:v>
                </c:pt>
                <c:pt idx="141">
                  <c:v>43914</c:v>
                </c:pt>
                <c:pt idx="142">
                  <c:v>43915</c:v>
                </c:pt>
                <c:pt idx="143">
                  <c:v>43916</c:v>
                </c:pt>
                <c:pt idx="144">
                  <c:v>43917</c:v>
                </c:pt>
                <c:pt idx="145">
                  <c:v>43920</c:v>
                </c:pt>
                <c:pt idx="146">
                  <c:v>43921</c:v>
                </c:pt>
                <c:pt idx="147">
                  <c:v>43922</c:v>
                </c:pt>
                <c:pt idx="148">
                  <c:v>43923</c:v>
                </c:pt>
                <c:pt idx="149">
                  <c:v>43924</c:v>
                </c:pt>
                <c:pt idx="150">
                  <c:v>43928</c:v>
                </c:pt>
                <c:pt idx="151">
                  <c:v>43929</c:v>
                </c:pt>
                <c:pt idx="152">
                  <c:v>43930</c:v>
                </c:pt>
                <c:pt idx="153">
                  <c:v>43931</c:v>
                </c:pt>
                <c:pt idx="154">
                  <c:v>43934</c:v>
                </c:pt>
                <c:pt idx="155">
                  <c:v>43935</c:v>
                </c:pt>
                <c:pt idx="156">
                  <c:v>43936</c:v>
                </c:pt>
                <c:pt idx="157">
                  <c:v>43937</c:v>
                </c:pt>
                <c:pt idx="158">
                  <c:v>43938</c:v>
                </c:pt>
                <c:pt idx="159">
                  <c:v>43941</c:v>
                </c:pt>
                <c:pt idx="160">
                  <c:v>43942</c:v>
                </c:pt>
                <c:pt idx="161">
                  <c:v>43943</c:v>
                </c:pt>
                <c:pt idx="162">
                  <c:v>43944</c:v>
                </c:pt>
                <c:pt idx="163">
                  <c:v>43945</c:v>
                </c:pt>
                <c:pt idx="164">
                  <c:v>43948</c:v>
                </c:pt>
                <c:pt idx="165">
                  <c:v>43949</c:v>
                </c:pt>
                <c:pt idx="166">
                  <c:v>43950</c:v>
                </c:pt>
                <c:pt idx="167">
                  <c:v>43951</c:v>
                </c:pt>
                <c:pt idx="168">
                  <c:v>43957</c:v>
                </c:pt>
                <c:pt idx="169">
                  <c:v>43958</c:v>
                </c:pt>
                <c:pt idx="170">
                  <c:v>43959</c:v>
                </c:pt>
                <c:pt idx="171">
                  <c:v>43962</c:v>
                </c:pt>
                <c:pt idx="172">
                  <c:v>43963</c:v>
                </c:pt>
                <c:pt idx="173">
                  <c:v>43964</c:v>
                </c:pt>
                <c:pt idx="174">
                  <c:v>43965</c:v>
                </c:pt>
                <c:pt idx="175">
                  <c:v>43966</c:v>
                </c:pt>
                <c:pt idx="176">
                  <c:v>43969</c:v>
                </c:pt>
                <c:pt idx="177">
                  <c:v>43970</c:v>
                </c:pt>
                <c:pt idx="178">
                  <c:v>43971</c:v>
                </c:pt>
                <c:pt idx="179">
                  <c:v>43972</c:v>
                </c:pt>
                <c:pt idx="180">
                  <c:v>43973</c:v>
                </c:pt>
                <c:pt idx="181">
                  <c:v>43976</c:v>
                </c:pt>
                <c:pt idx="182">
                  <c:v>43977</c:v>
                </c:pt>
                <c:pt idx="183">
                  <c:v>43978</c:v>
                </c:pt>
                <c:pt idx="184">
                  <c:v>43979</c:v>
                </c:pt>
                <c:pt idx="185">
                  <c:v>43980</c:v>
                </c:pt>
                <c:pt idx="186">
                  <c:v>43983</c:v>
                </c:pt>
                <c:pt idx="187">
                  <c:v>43984</c:v>
                </c:pt>
                <c:pt idx="188">
                  <c:v>43985</c:v>
                </c:pt>
                <c:pt idx="189">
                  <c:v>43986</c:v>
                </c:pt>
                <c:pt idx="190">
                  <c:v>43987</c:v>
                </c:pt>
                <c:pt idx="191">
                  <c:v>43990</c:v>
                </c:pt>
                <c:pt idx="192">
                  <c:v>43991</c:v>
                </c:pt>
                <c:pt idx="193">
                  <c:v>43992</c:v>
                </c:pt>
                <c:pt idx="194">
                  <c:v>43993</c:v>
                </c:pt>
                <c:pt idx="195">
                  <c:v>43994</c:v>
                </c:pt>
                <c:pt idx="196">
                  <c:v>43997</c:v>
                </c:pt>
                <c:pt idx="197">
                  <c:v>43998</c:v>
                </c:pt>
                <c:pt idx="198">
                  <c:v>43999</c:v>
                </c:pt>
                <c:pt idx="199">
                  <c:v>44000</c:v>
                </c:pt>
                <c:pt idx="200">
                  <c:v>44001</c:v>
                </c:pt>
                <c:pt idx="201">
                  <c:v>44004</c:v>
                </c:pt>
                <c:pt idx="202">
                  <c:v>44005</c:v>
                </c:pt>
                <c:pt idx="203">
                  <c:v>44006</c:v>
                </c:pt>
                <c:pt idx="204">
                  <c:v>44011</c:v>
                </c:pt>
                <c:pt idx="205">
                  <c:v>44012</c:v>
                </c:pt>
                <c:pt idx="206">
                  <c:v>44013</c:v>
                </c:pt>
                <c:pt idx="207">
                  <c:v>44014</c:v>
                </c:pt>
                <c:pt idx="208">
                  <c:v>44015</c:v>
                </c:pt>
                <c:pt idx="209">
                  <c:v>44018</c:v>
                </c:pt>
                <c:pt idx="210">
                  <c:v>44019</c:v>
                </c:pt>
                <c:pt idx="211">
                  <c:v>44020</c:v>
                </c:pt>
                <c:pt idx="212">
                  <c:v>44021</c:v>
                </c:pt>
                <c:pt idx="213">
                  <c:v>44022</c:v>
                </c:pt>
                <c:pt idx="214">
                  <c:v>44025</c:v>
                </c:pt>
                <c:pt idx="215">
                  <c:v>44026</c:v>
                </c:pt>
                <c:pt idx="216">
                  <c:v>44027</c:v>
                </c:pt>
                <c:pt idx="217">
                  <c:v>44028</c:v>
                </c:pt>
                <c:pt idx="218">
                  <c:v>44029</c:v>
                </c:pt>
                <c:pt idx="219">
                  <c:v>44032</c:v>
                </c:pt>
                <c:pt idx="220">
                  <c:v>44033</c:v>
                </c:pt>
                <c:pt idx="221">
                  <c:v>44034</c:v>
                </c:pt>
                <c:pt idx="222">
                  <c:v>44035</c:v>
                </c:pt>
                <c:pt idx="223">
                  <c:v>44036</c:v>
                </c:pt>
                <c:pt idx="224">
                  <c:v>44039</c:v>
                </c:pt>
                <c:pt idx="225">
                  <c:v>44040</c:v>
                </c:pt>
                <c:pt idx="226">
                  <c:v>44041</c:v>
                </c:pt>
                <c:pt idx="227">
                  <c:v>44042</c:v>
                </c:pt>
                <c:pt idx="228">
                  <c:v>44043</c:v>
                </c:pt>
                <c:pt idx="229">
                  <c:v>44046</c:v>
                </c:pt>
                <c:pt idx="230">
                  <c:v>44047</c:v>
                </c:pt>
                <c:pt idx="231">
                  <c:v>44048</c:v>
                </c:pt>
                <c:pt idx="232">
                  <c:v>44049</c:v>
                </c:pt>
                <c:pt idx="233">
                  <c:v>44050</c:v>
                </c:pt>
                <c:pt idx="234">
                  <c:v>44053</c:v>
                </c:pt>
                <c:pt idx="235">
                  <c:v>44054</c:v>
                </c:pt>
                <c:pt idx="236">
                  <c:v>44055</c:v>
                </c:pt>
                <c:pt idx="237">
                  <c:v>44056</c:v>
                </c:pt>
                <c:pt idx="238">
                  <c:v>44057</c:v>
                </c:pt>
                <c:pt idx="239">
                  <c:v>44060</c:v>
                </c:pt>
                <c:pt idx="240">
                  <c:v>44061</c:v>
                </c:pt>
                <c:pt idx="241">
                  <c:v>44062</c:v>
                </c:pt>
                <c:pt idx="242">
                  <c:v>44063</c:v>
                </c:pt>
                <c:pt idx="243">
                  <c:v>44064</c:v>
                </c:pt>
                <c:pt idx="244">
                  <c:v>44067</c:v>
                </c:pt>
                <c:pt idx="245">
                  <c:v>44068</c:v>
                </c:pt>
                <c:pt idx="246">
                  <c:v>44069</c:v>
                </c:pt>
                <c:pt idx="247">
                  <c:v>44070</c:v>
                </c:pt>
                <c:pt idx="248">
                  <c:v>44071</c:v>
                </c:pt>
                <c:pt idx="249">
                  <c:v>44074</c:v>
                </c:pt>
                <c:pt idx="250">
                  <c:v>44075</c:v>
                </c:pt>
                <c:pt idx="251">
                  <c:v>44076</c:v>
                </c:pt>
                <c:pt idx="252">
                  <c:v>44077</c:v>
                </c:pt>
                <c:pt idx="253">
                  <c:v>44078</c:v>
                </c:pt>
                <c:pt idx="254">
                  <c:v>44081</c:v>
                </c:pt>
                <c:pt idx="255">
                  <c:v>44082</c:v>
                </c:pt>
                <c:pt idx="256">
                  <c:v>44083</c:v>
                </c:pt>
                <c:pt idx="257">
                  <c:v>44084</c:v>
                </c:pt>
                <c:pt idx="258">
                  <c:v>44085</c:v>
                </c:pt>
                <c:pt idx="259">
                  <c:v>44088</c:v>
                </c:pt>
                <c:pt idx="260">
                  <c:v>44089</c:v>
                </c:pt>
                <c:pt idx="261">
                  <c:v>44090</c:v>
                </c:pt>
                <c:pt idx="262">
                  <c:v>44091</c:v>
                </c:pt>
                <c:pt idx="263">
                  <c:v>44092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44102</c:v>
                </c:pt>
                <c:pt idx="270">
                  <c:v>44103</c:v>
                </c:pt>
                <c:pt idx="271">
                  <c:v>44104</c:v>
                </c:pt>
                <c:pt idx="272">
                  <c:v>44113</c:v>
                </c:pt>
                <c:pt idx="273">
                  <c:v>44116</c:v>
                </c:pt>
                <c:pt idx="274">
                  <c:v>44117</c:v>
                </c:pt>
                <c:pt idx="275">
                  <c:v>44118</c:v>
                </c:pt>
                <c:pt idx="276">
                  <c:v>44119</c:v>
                </c:pt>
                <c:pt idx="277">
                  <c:v>44120</c:v>
                </c:pt>
                <c:pt idx="278">
                  <c:v>44123</c:v>
                </c:pt>
                <c:pt idx="279">
                  <c:v>44124</c:v>
                </c:pt>
                <c:pt idx="280">
                  <c:v>44125</c:v>
                </c:pt>
                <c:pt idx="281">
                  <c:v>44126</c:v>
                </c:pt>
                <c:pt idx="282">
                  <c:v>44127</c:v>
                </c:pt>
                <c:pt idx="283">
                  <c:v>44130</c:v>
                </c:pt>
                <c:pt idx="284">
                  <c:v>44131</c:v>
                </c:pt>
                <c:pt idx="285">
                  <c:v>44132</c:v>
                </c:pt>
                <c:pt idx="286">
                  <c:v>44133</c:v>
                </c:pt>
                <c:pt idx="287">
                  <c:v>44134</c:v>
                </c:pt>
                <c:pt idx="288">
                  <c:v>44137</c:v>
                </c:pt>
                <c:pt idx="289">
                  <c:v>44138</c:v>
                </c:pt>
                <c:pt idx="290">
                  <c:v>44139</c:v>
                </c:pt>
                <c:pt idx="291">
                  <c:v>44140</c:v>
                </c:pt>
                <c:pt idx="292">
                  <c:v>44141</c:v>
                </c:pt>
                <c:pt idx="293">
                  <c:v>44144</c:v>
                </c:pt>
                <c:pt idx="294">
                  <c:v>44145</c:v>
                </c:pt>
                <c:pt idx="295">
                  <c:v>44146</c:v>
                </c:pt>
                <c:pt idx="296">
                  <c:v>44147</c:v>
                </c:pt>
                <c:pt idx="297">
                  <c:v>44148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44158</c:v>
                </c:pt>
                <c:pt idx="304">
                  <c:v>44159</c:v>
                </c:pt>
                <c:pt idx="305">
                  <c:v>44160</c:v>
                </c:pt>
                <c:pt idx="306">
                  <c:v>44161</c:v>
                </c:pt>
                <c:pt idx="307">
                  <c:v>44162</c:v>
                </c:pt>
                <c:pt idx="308">
                  <c:v>44165</c:v>
                </c:pt>
                <c:pt idx="309">
                  <c:v>44166</c:v>
                </c:pt>
                <c:pt idx="310">
                  <c:v>44167</c:v>
                </c:pt>
                <c:pt idx="311">
                  <c:v>44168</c:v>
                </c:pt>
                <c:pt idx="312">
                  <c:v>44169</c:v>
                </c:pt>
                <c:pt idx="313">
                  <c:v>44172</c:v>
                </c:pt>
                <c:pt idx="314">
                  <c:v>44173</c:v>
                </c:pt>
                <c:pt idx="315">
                  <c:v>44174</c:v>
                </c:pt>
                <c:pt idx="316">
                  <c:v>44175</c:v>
                </c:pt>
                <c:pt idx="317">
                  <c:v>44176</c:v>
                </c:pt>
                <c:pt idx="318">
                  <c:v>44179</c:v>
                </c:pt>
                <c:pt idx="319">
                  <c:v>44180</c:v>
                </c:pt>
                <c:pt idx="320">
                  <c:v>44181</c:v>
                </c:pt>
                <c:pt idx="321">
                  <c:v>44182</c:v>
                </c:pt>
                <c:pt idx="322">
                  <c:v>44183</c:v>
                </c:pt>
                <c:pt idx="323">
                  <c:v>44186</c:v>
                </c:pt>
                <c:pt idx="324">
                  <c:v>44187</c:v>
                </c:pt>
                <c:pt idx="325">
                  <c:v>44188</c:v>
                </c:pt>
                <c:pt idx="326">
                  <c:v>44189</c:v>
                </c:pt>
                <c:pt idx="327">
                  <c:v>44190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44200</c:v>
                </c:pt>
                <c:pt idx="333">
                  <c:v>44201</c:v>
                </c:pt>
                <c:pt idx="334">
                  <c:v>44202</c:v>
                </c:pt>
                <c:pt idx="335">
                  <c:v>44203</c:v>
                </c:pt>
                <c:pt idx="336">
                  <c:v>44204</c:v>
                </c:pt>
                <c:pt idx="337">
                  <c:v>44207</c:v>
                </c:pt>
                <c:pt idx="338">
                  <c:v>44208</c:v>
                </c:pt>
                <c:pt idx="339">
                  <c:v>44209</c:v>
                </c:pt>
                <c:pt idx="340">
                  <c:v>44210</c:v>
                </c:pt>
                <c:pt idx="341">
                  <c:v>44211</c:v>
                </c:pt>
                <c:pt idx="342">
                  <c:v>44214</c:v>
                </c:pt>
                <c:pt idx="343">
                  <c:v>44215</c:v>
                </c:pt>
                <c:pt idx="344">
                  <c:v>44216</c:v>
                </c:pt>
                <c:pt idx="345">
                  <c:v>44217</c:v>
                </c:pt>
                <c:pt idx="346">
                  <c:v>44218</c:v>
                </c:pt>
                <c:pt idx="347">
                  <c:v>44221</c:v>
                </c:pt>
                <c:pt idx="348">
                  <c:v>44222</c:v>
                </c:pt>
                <c:pt idx="349">
                  <c:v>44223</c:v>
                </c:pt>
                <c:pt idx="350">
                  <c:v>44224</c:v>
                </c:pt>
                <c:pt idx="351">
                  <c:v>44225</c:v>
                </c:pt>
                <c:pt idx="352">
                  <c:v>44228</c:v>
                </c:pt>
                <c:pt idx="353">
                  <c:v>44229</c:v>
                </c:pt>
                <c:pt idx="354">
                  <c:v>44230</c:v>
                </c:pt>
                <c:pt idx="355">
                  <c:v>44231</c:v>
                </c:pt>
                <c:pt idx="356">
                  <c:v>44232</c:v>
                </c:pt>
                <c:pt idx="357">
                  <c:v>44235</c:v>
                </c:pt>
                <c:pt idx="358">
                  <c:v>44236</c:v>
                </c:pt>
                <c:pt idx="359">
                  <c:v>44237</c:v>
                </c:pt>
                <c:pt idx="360">
                  <c:v>44245</c:v>
                </c:pt>
                <c:pt idx="361">
                  <c:v>44246</c:v>
                </c:pt>
                <c:pt idx="362">
                  <c:v>44249</c:v>
                </c:pt>
                <c:pt idx="363">
                  <c:v>44250</c:v>
                </c:pt>
                <c:pt idx="364">
                  <c:v>44251</c:v>
                </c:pt>
                <c:pt idx="365">
                  <c:v>44252</c:v>
                </c:pt>
                <c:pt idx="366">
                  <c:v>44253</c:v>
                </c:pt>
                <c:pt idx="367">
                  <c:v>44256</c:v>
                </c:pt>
                <c:pt idx="368">
                  <c:v>44257</c:v>
                </c:pt>
                <c:pt idx="369">
                  <c:v>44258</c:v>
                </c:pt>
                <c:pt idx="370">
                  <c:v>44259</c:v>
                </c:pt>
                <c:pt idx="371">
                  <c:v>44260</c:v>
                </c:pt>
                <c:pt idx="372">
                  <c:v>44263</c:v>
                </c:pt>
                <c:pt idx="373">
                  <c:v>44264</c:v>
                </c:pt>
                <c:pt idx="374">
                  <c:v>44265</c:v>
                </c:pt>
                <c:pt idx="375">
                  <c:v>44266</c:v>
                </c:pt>
                <c:pt idx="376">
                  <c:v>44267</c:v>
                </c:pt>
                <c:pt idx="377">
                  <c:v>44270</c:v>
                </c:pt>
                <c:pt idx="378">
                  <c:v>44271</c:v>
                </c:pt>
                <c:pt idx="379">
                  <c:v>44272</c:v>
                </c:pt>
                <c:pt idx="380">
                  <c:v>44273</c:v>
                </c:pt>
                <c:pt idx="381">
                  <c:v>44274</c:v>
                </c:pt>
                <c:pt idx="382">
                  <c:v>44277</c:v>
                </c:pt>
                <c:pt idx="383">
                  <c:v>44278</c:v>
                </c:pt>
                <c:pt idx="384">
                  <c:v>44279</c:v>
                </c:pt>
                <c:pt idx="385">
                  <c:v>44280</c:v>
                </c:pt>
                <c:pt idx="386">
                  <c:v>44281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44292</c:v>
                </c:pt>
                <c:pt idx="393">
                  <c:v>44293</c:v>
                </c:pt>
                <c:pt idx="394">
                  <c:v>44294</c:v>
                </c:pt>
                <c:pt idx="395">
                  <c:v>44295</c:v>
                </c:pt>
                <c:pt idx="396">
                  <c:v>44298</c:v>
                </c:pt>
                <c:pt idx="397">
                  <c:v>44299</c:v>
                </c:pt>
                <c:pt idx="398">
                  <c:v>44300</c:v>
                </c:pt>
                <c:pt idx="399">
                  <c:v>44301</c:v>
                </c:pt>
                <c:pt idx="400">
                  <c:v>44302</c:v>
                </c:pt>
                <c:pt idx="401">
                  <c:v>44305</c:v>
                </c:pt>
                <c:pt idx="402">
                  <c:v>44306</c:v>
                </c:pt>
                <c:pt idx="403">
                  <c:v>44307</c:v>
                </c:pt>
                <c:pt idx="404">
                  <c:v>44308</c:v>
                </c:pt>
                <c:pt idx="405">
                  <c:v>44309</c:v>
                </c:pt>
                <c:pt idx="406">
                  <c:v>44312</c:v>
                </c:pt>
                <c:pt idx="407">
                  <c:v>44313</c:v>
                </c:pt>
                <c:pt idx="408">
                  <c:v>44314</c:v>
                </c:pt>
                <c:pt idx="409">
                  <c:v>44315</c:v>
                </c:pt>
                <c:pt idx="410">
                  <c:v>44316</c:v>
                </c:pt>
                <c:pt idx="411">
                  <c:v>44322</c:v>
                </c:pt>
                <c:pt idx="412">
                  <c:v>44323</c:v>
                </c:pt>
                <c:pt idx="413">
                  <c:v>44326</c:v>
                </c:pt>
                <c:pt idx="414">
                  <c:v>44327</c:v>
                </c:pt>
                <c:pt idx="415">
                  <c:v>44328</c:v>
                </c:pt>
                <c:pt idx="416">
                  <c:v>44329</c:v>
                </c:pt>
                <c:pt idx="417">
                  <c:v>44330</c:v>
                </c:pt>
              </c:numCache>
            </c:numRef>
          </c:cat>
          <c:val>
            <c:numRef>
              <c:f>洛书瑞乾元封!$B$21:$B$438</c:f>
              <c:numCache>
                <c:formatCode>0.0000_ </c:formatCode>
                <c:ptCount val="418"/>
                <c:pt idx="0">
                  <c:v>1.1870000000000001</c:v>
                </c:pt>
                <c:pt idx="1">
                  <c:v>1.18</c:v>
                </c:pt>
                <c:pt idx="2">
                  <c:v>1.1719999999999999</c:v>
                </c:pt>
                <c:pt idx="3">
                  <c:v>1.1719999999999999</c:v>
                </c:pt>
                <c:pt idx="4">
                  <c:v>1.173</c:v>
                </c:pt>
                <c:pt idx="5">
                  <c:v>1.1659999999999999</c:v>
                </c:pt>
                <c:pt idx="6">
                  <c:v>1.1639999999999999</c:v>
                </c:pt>
                <c:pt idx="7">
                  <c:v>1.161</c:v>
                </c:pt>
                <c:pt idx="8">
                  <c:v>1.1579999999999999</c:v>
                </c:pt>
                <c:pt idx="9">
                  <c:v>1.1559999999999999</c:v>
                </c:pt>
                <c:pt idx="10">
                  <c:v>1.1559999999999999</c:v>
                </c:pt>
                <c:pt idx="11">
                  <c:v>1.159</c:v>
                </c:pt>
                <c:pt idx="12">
                  <c:v>1.163</c:v>
                </c:pt>
                <c:pt idx="13">
                  <c:v>1.1579999999999999</c:v>
                </c:pt>
                <c:pt idx="14">
                  <c:v>1.155</c:v>
                </c:pt>
                <c:pt idx="15">
                  <c:v>1.153</c:v>
                </c:pt>
                <c:pt idx="16">
                  <c:v>1.169</c:v>
                </c:pt>
                <c:pt idx="17">
                  <c:v>1.1559999999999999</c:v>
                </c:pt>
                <c:pt idx="18">
                  <c:v>1.143</c:v>
                </c:pt>
                <c:pt idx="19">
                  <c:v>1.143</c:v>
                </c:pt>
                <c:pt idx="20">
                  <c:v>1.127</c:v>
                </c:pt>
                <c:pt idx="21">
                  <c:v>1.115</c:v>
                </c:pt>
                <c:pt idx="22">
                  <c:v>1.1060000000000001</c:v>
                </c:pt>
                <c:pt idx="23">
                  <c:v>1.1060000000000001</c:v>
                </c:pt>
                <c:pt idx="24">
                  <c:v>1.0980000000000001</c:v>
                </c:pt>
                <c:pt idx="25">
                  <c:v>1.0980000000000001</c:v>
                </c:pt>
                <c:pt idx="26">
                  <c:v>1.105</c:v>
                </c:pt>
                <c:pt idx="27">
                  <c:v>1.1120000000000001</c:v>
                </c:pt>
                <c:pt idx="28">
                  <c:v>1.1040000000000001</c:v>
                </c:pt>
                <c:pt idx="29">
                  <c:v>1.101</c:v>
                </c:pt>
                <c:pt idx="30">
                  <c:v>1.103</c:v>
                </c:pt>
                <c:pt idx="31">
                  <c:v>1.107</c:v>
                </c:pt>
                <c:pt idx="32">
                  <c:v>1.1120000000000001</c:v>
                </c:pt>
                <c:pt idx="33">
                  <c:v>1.1160000000000001</c:v>
                </c:pt>
                <c:pt idx="34">
                  <c:v>1.1160000000000001</c:v>
                </c:pt>
                <c:pt idx="35">
                  <c:v>1.111</c:v>
                </c:pt>
                <c:pt idx="36">
                  <c:v>1.1080000000000001</c:v>
                </c:pt>
                <c:pt idx="37">
                  <c:v>1.1100000000000001</c:v>
                </c:pt>
                <c:pt idx="38">
                  <c:v>1.107</c:v>
                </c:pt>
                <c:pt idx="39">
                  <c:v>1.1080000000000001</c:v>
                </c:pt>
                <c:pt idx="40">
                  <c:v>1.1120000000000001</c:v>
                </c:pt>
                <c:pt idx="41">
                  <c:v>1.1140000000000001</c:v>
                </c:pt>
                <c:pt idx="42">
                  <c:v>1.1120000000000001</c:v>
                </c:pt>
                <c:pt idx="43">
                  <c:v>1.1140000000000001</c:v>
                </c:pt>
                <c:pt idx="44">
                  <c:v>1.111</c:v>
                </c:pt>
                <c:pt idx="45">
                  <c:v>1.113</c:v>
                </c:pt>
                <c:pt idx="46">
                  <c:v>1.115</c:v>
                </c:pt>
                <c:pt idx="47">
                  <c:v>1.119</c:v>
                </c:pt>
                <c:pt idx="48">
                  <c:v>1.1140000000000001</c:v>
                </c:pt>
                <c:pt idx="49">
                  <c:v>1.119</c:v>
                </c:pt>
                <c:pt idx="50">
                  <c:v>1.1180000000000001</c:v>
                </c:pt>
                <c:pt idx="51">
                  <c:v>1.113</c:v>
                </c:pt>
                <c:pt idx="52">
                  <c:v>1.1100000000000001</c:v>
                </c:pt>
                <c:pt idx="53">
                  <c:v>1.1160000000000001</c:v>
                </c:pt>
                <c:pt idx="54">
                  <c:v>1.113</c:v>
                </c:pt>
                <c:pt idx="55">
                  <c:v>1.115</c:v>
                </c:pt>
                <c:pt idx="56">
                  <c:v>1.123</c:v>
                </c:pt>
                <c:pt idx="57">
                  <c:v>1.123</c:v>
                </c:pt>
                <c:pt idx="58">
                  <c:v>1.1240000000000001</c:v>
                </c:pt>
                <c:pt idx="59">
                  <c:v>1.127</c:v>
                </c:pt>
                <c:pt idx="60">
                  <c:v>1.113</c:v>
                </c:pt>
                <c:pt idx="61">
                  <c:v>1.1080000000000001</c:v>
                </c:pt>
                <c:pt idx="62">
                  <c:v>1.1140000000000001</c:v>
                </c:pt>
                <c:pt idx="63">
                  <c:v>1.113</c:v>
                </c:pt>
                <c:pt idx="64">
                  <c:v>1.113</c:v>
                </c:pt>
                <c:pt idx="65">
                  <c:v>1.1160000000000001</c:v>
                </c:pt>
                <c:pt idx="66">
                  <c:v>1.119</c:v>
                </c:pt>
                <c:pt idx="67">
                  <c:v>1.123</c:v>
                </c:pt>
                <c:pt idx="68">
                  <c:v>1.129</c:v>
                </c:pt>
                <c:pt idx="69">
                  <c:v>1.1240000000000001</c:v>
                </c:pt>
                <c:pt idx="70">
                  <c:v>1.121</c:v>
                </c:pt>
                <c:pt idx="71">
                  <c:v>1.115</c:v>
                </c:pt>
                <c:pt idx="72">
                  <c:v>1.1299999999999999</c:v>
                </c:pt>
                <c:pt idx="73">
                  <c:v>1.1339999999999999</c:v>
                </c:pt>
                <c:pt idx="74">
                  <c:v>1.1359999999999999</c:v>
                </c:pt>
                <c:pt idx="75">
                  <c:v>1.133</c:v>
                </c:pt>
                <c:pt idx="76">
                  <c:v>1.1299999999999999</c:v>
                </c:pt>
                <c:pt idx="77">
                  <c:v>1.1299999999999999</c:v>
                </c:pt>
                <c:pt idx="78">
                  <c:v>1.123</c:v>
                </c:pt>
                <c:pt idx="79">
                  <c:v>1.121</c:v>
                </c:pt>
                <c:pt idx="80">
                  <c:v>1.1200000000000001</c:v>
                </c:pt>
                <c:pt idx="81">
                  <c:v>1.1200000000000001</c:v>
                </c:pt>
                <c:pt idx="82">
                  <c:v>1.115</c:v>
                </c:pt>
                <c:pt idx="83">
                  <c:v>1.107</c:v>
                </c:pt>
                <c:pt idx="84">
                  <c:v>1.1040000000000001</c:v>
                </c:pt>
                <c:pt idx="85">
                  <c:v>1.1020000000000001</c:v>
                </c:pt>
                <c:pt idx="86">
                  <c:v>1.111</c:v>
                </c:pt>
                <c:pt idx="87">
                  <c:v>1.119</c:v>
                </c:pt>
                <c:pt idx="88">
                  <c:v>1.123</c:v>
                </c:pt>
                <c:pt idx="89">
                  <c:v>1.125</c:v>
                </c:pt>
                <c:pt idx="90">
                  <c:v>1.129</c:v>
                </c:pt>
                <c:pt idx="91">
                  <c:v>1.1459999999999999</c:v>
                </c:pt>
                <c:pt idx="92">
                  <c:v>1.155</c:v>
                </c:pt>
                <c:pt idx="93">
                  <c:v>1.1719999999999999</c:v>
                </c:pt>
                <c:pt idx="94">
                  <c:v>1.1619999999999999</c:v>
                </c:pt>
                <c:pt idx="95">
                  <c:v>1.1519999999999999</c:v>
                </c:pt>
                <c:pt idx="96">
                  <c:v>1.1579999999999999</c:v>
                </c:pt>
                <c:pt idx="97">
                  <c:v>1.163</c:v>
                </c:pt>
                <c:pt idx="98">
                  <c:v>1.161</c:v>
                </c:pt>
                <c:pt idx="99">
                  <c:v>1.1559999999999999</c:v>
                </c:pt>
                <c:pt idx="100">
                  <c:v>1.1619999999999999</c:v>
                </c:pt>
                <c:pt idx="101">
                  <c:v>1.165</c:v>
                </c:pt>
                <c:pt idx="102">
                  <c:v>1.153</c:v>
                </c:pt>
                <c:pt idx="103">
                  <c:v>1.147</c:v>
                </c:pt>
                <c:pt idx="104">
                  <c:v>1.135</c:v>
                </c:pt>
                <c:pt idx="105">
                  <c:v>1.0940000000000001</c:v>
                </c:pt>
                <c:pt idx="106">
                  <c:v>1.091</c:v>
                </c:pt>
                <c:pt idx="107">
                  <c:v>1.091</c:v>
                </c:pt>
                <c:pt idx="108">
                  <c:v>1.1020000000000001</c:v>
                </c:pt>
                <c:pt idx="109">
                  <c:v>1.105</c:v>
                </c:pt>
                <c:pt idx="110">
                  <c:v>1.1040000000000001</c:v>
                </c:pt>
                <c:pt idx="111">
                  <c:v>1.1020000000000001</c:v>
                </c:pt>
                <c:pt idx="112">
                  <c:v>1.107</c:v>
                </c:pt>
                <c:pt idx="113">
                  <c:v>1.1040000000000001</c:v>
                </c:pt>
                <c:pt idx="114">
                  <c:v>1.1020000000000001</c:v>
                </c:pt>
                <c:pt idx="115">
                  <c:v>1.1000000000000001</c:v>
                </c:pt>
                <c:pt idx="116">
                  <c:v>1.1000000000000001</c:v>
                </c:pt>
                <c:pt idx="117">
                  <c:v>1.1020000000000001</c:v>
                </c:pt>
                <c:pt idx="118">
                  <c:v>1.097</c:v>
                </c:pt>
                <c:pt idx="119">
                  <c:v>1.0980000000000001</c:v>
                </c:pt>
                <c:pt idx="120">
                  <c:v>1.107</c:v>
                </c:pt>
                <c:pt idx="121">
                  <c:v>1.1100000000000001</c:v>
                </c:pt>
                <c:pt idx="122">
                  <c:v>1.109</c:v>
                </c:pt>
                <c:pt idx="123">
                  <c:v>1.1160000000000001</c:v>
                </c:pt>
                <c:pt idx="124">
                  <c:v>1.119</c:v>
                </c:pt>
                <c:pt idx="125">
                  <c:v>1.115</c:v>
                </c:pt>
                <c:pt idx="126">
                  <c:v>1.0980000000000001</c:v>
                </c:pt>
                <c:pt idx="127">
                  <c:v>1.101</c:v>
                </c:pt>
                <c:pt idx="128">
                  <c:v>1.097</c:v>
                </c:pt>
                <c:pt idx="129">
                  <c:v>1.1020000000000001</c:v>
                </c:pt>
                <c:pt idx="130">
                  <c:v>1.125</c:v>
                </c:pt>
                <c:pt idx="131">
                  <c:v>1.135</c:v>
                </c:pt>
                <c:pt idx="132">
                  <c:v>1.1319999999999999</c:v>
                </c:pt>
                <c:pt idx="133">
                  <c:v>1.147</c:v>
                </c:pt>
                <c:pt idx="134">
                  <c:v>1.151</c:v>
                </c:pt>
                <c:pt idx="135">
                  <c:v>1.147</c:v>
                </c:pt>
                <c:pt idx="136">
                  <c:v>1.151</c:v>
                </c:pt>
                <c:pt idx="137">
                  <c:v>1.1679999999999999</c:v>
                </c:pt>
                <c:pt idx="138">
                  <c:v>1.1859999999999999</c:v>
                </c:pt>
                <c:pt idx="139">
                  <c:v>1.1739999999999999</c:v>
                </c:pt>
                <c:pt idx="140">
                  <c:v>1.1910000000000001</c:v>
                </c:pt>
                <c:pt idx="141">
                  <c:v>1.1910000000000001</c:v>
                </c:pt>
                <c:pt idx="142">
                  <c:v>1.1950000000000001</c:v>
                </c:pt>
                <c:pt idx="143">
                  <c:v>1.198</c:v>
                </c:pt>
                <c:pt idx="144">
                  <c:v>1.1950000000000001</c:v>
                </c:pt>
                <c:pt idx="145">
                  <c:v>1.214</c:v>
                </c:pt>
                <c:pt idx="146">
                  <c:v>1.208</c:v>
                </c:pt>
                <c:pt idx="147">
                  <c:v>1.226</c:v>
                </c:pt>
                <c:pt idx="148">
                  <c:v>1.212</c:v>
                </c:pt>
                <c:pt idx="149">
                  <c:v>1.1990000000000001</c:v>
                </c:pt>
                <c:pt idx="150">
                  <c:v>1.202</c:v>
                </c:pt>
                <c:pt idx="151">
                  <c:v>1.2090000000000001</c:v>
                </c:pt>
                <c:pt idx="152">
                  <c:v>1.204</c:v>
                </c:pt>
                <c:pt idx="153">
                  <c:v>1.2110000000000001</c:v>
                </c:pt>
                <c:pt idx="154">
                  <c:v>1.224</c:v>
                </c:pt>
                <c:pt idx="155">
                  <c:v>1.232</c:v>
                </c:pt>
                <c:pt idx="156">
                  <c:v>1.218</c:v>
                </c:pt>
                <c:pt idx="157">
                  <c:v>1.22</c:v>
                </c:pt>
                <c:pt idx="158">
                  <c:v>1.2150000000000001</c:v>
                </c:pt>
                <c:pt idx="159">
                  <c:v>1.216</c:v>
                </c:pt>
                <c:pt idx="160">
                  <c:v>1.2250000000000001</c:v>
                </c:pt>
                <c:pt idx="161">
                  <c:v>1.248</c:v>
                </c:pt>
                <c:pt idx="162">
                  <c:v>1.258</c:v>
                </c:pt>
                <c:pt idx="163">
                  <c:v>1.2450000000000001</c:v>
                </c:pt>
                <c:pt idx="164">
                  <c:v>1.262</c:v>
                </c:pt>
                <c:pt idx="165">
                  <c:v>1.2609999999999999</c:v>
                </c:pt>
                <c:pt idx="166">
                  <c:v>1.2430000000000001</c:v>
                </c:pt>
                <c:pt idx="167">
                  <c:v>1.232</c:v>
                </c:pt>
                <c:pt idx="168">
                  <c:v>1.2290000000000001</c:v>
                </c:pt>
                <c:pt idx="169">
                  <c:v>1.238</c:v>
                </c:pt>
                <c:pt idx="170">
                  <c:v>1.2470000000000001</c:v>
                </c:pt>
                <c:pt idx="171">
                  <c:v>1.2370000000000001</c:v>
                </c:pt>
                <c:pt idx="172">
                  <c:v>1.25</c:v>
                </c:pt>
                <c:pt idx="173">
                  <c:v>1.266</c:v>
                </c:pt>
                <c:pt idx="174">
                  <c:v>1.262</c:v>
                </c:pt>
                <c:pt idx="175">
                  <c:v>1.2569999999999999</c:v>
                </c:pt>
                <c:pt idx="176">
                  <c:v>1.286</c:v>
                </c:pt>
                <c:pt idx="177">
                  <c:v>1.31</c:v>
                </c:pt>
                <c:pt idx="178">
                  <c:v>1.3149999999999999</c:v>
                </c:pt>
                <c:pt idx="179">
                  <c:v>1.302</c:v>
                </c:pt>
                <c:pt idx="180">
                  <c:v>1.2969999999999999</c:v>
                </c:pt>
                <c:pt idx="181">
                  <c:v>1.288</c:v>
                </c:pt>
                <c:pt idx="182">
                  <c:v>1.274</c:v>
                </c:pt>
                <c:pt idx="183">
                  <c:v>1.2589999999999999</c:v>
                </c:pt>
                <c:pt idx="184">
                  <c:v>1.276</c:v>
                </c:pt>
                <c:pt idx="185">
                  <c:v>1.2929999999999999</c:v>
                </c:pt>
                <c:pt idx="186">
                  <c:v>1.33</c:v>
                </c:pt>
                <c:pt idx="187">
                  <c:v>1.331</c:v>
                </c:pt>
                <c:pt idx="188">
                  <c:v>1.33</c:v>
                </c:pt>
                <c:pt idx="189">
                  <c:v>1.3169999999999999</c:v>
                </c:pt>
                <c:pt idx="190">
                  <c:v>1.3109999999999999</c:v>
                </c:pt>
                <c:pt idx="191">
                  <c:v>1.3260000000000001</c:v>
                </c:pt>
                <c:pt idx="192">
                  <c:v>1.341</c:v>
                </c:pt>
                <c:pt idx="193">
                  <c:v>1.357</c:v>
                </c:pt>
                <c:pt idx="194">
                  <c:v>1.355</c:v>
                </c:pt>
                <c:pt idx="195">
                  <c:v>1.36</c:v>
                </c:pt>
                <c:pt idx="196">
                  <c:v>1.359</c:v>
                </c:pt>
                <c:pt idx="197">
                  <c:v>1.3560000000000001</c:v>
                </c:pt>
                <c:pt idx="198">
                  <c:v>1.3580000000000001</c:v>
                </c:pt>
                <c:pt idx="199">
                  <c:v>1.3660000000000001</c:v>
                </c:pt>
                <c:pt idx="200">
                  <c:v>1.371</c:v>
                </c:pt>
                <c:pt idx="201">
                  <c:v>1.3740000000000001</c:v>
                </c:pt>
                <c:pt idx="202">
                  <c:v>1.3680000000000001</c:v>
                </c:pt>
                <c:pt idx="203">
                  <c:v>1.3779999999999999</c:v>
                </c:pt>
                <c:pt idx="204">
                  <c:v>1.3680000000000001</c:v>
                </c:pt>
                <c:pt idx="205">
                  <c:v>1.38</c:v>
                </c:pt>
                <c:pt idx="206">
                  <c:v>1.395</c:v>
                </c:pt>
                <c:pt idx="207">
                  <c:v>1.41</c:v>
                </c:pt>
                <c:pt idx="208">
                  <c:v>1.431</c:v>
                </c:pt>
                <c:pt idx="209">
                  <c:v>1.4910000000000001</c:v>
                </c:pt>
                <c:pt idx="210">
                  <c:v>1.524</c:v>
                </c:pt>
                <c:pt idx="211">
                  <c:v>1.5469999999999999</c:v>
                </c:pt>
                <c:pt idx="212">
                  <c:v>1.577</c:v>
                </c:pt>
                <c:pt idx="213">
                  <c:v>1.56</c:v>
                </c:pt>
                <c:pt idx="214">
                  <c:v>1.62</c:v>
                </c:pt>
                <c:pt idx="215">
                  <c:v>1.6279999999999999</c:v>
                </c:pt>
                <c:pt idx="216">
                  <c:v>1.6140000000000001</c:v>
                </c:pt>
                <c:pt idx="217">
                  <c:v>1.5860000000000001</c:v>
                </c:pt>
                <c:pt idx="218">
                  <c:v>1.593</c:v>
                </c:pt>
                <c:pt idx="219">
                  <c:v>1.609</c:v>
                </c:pt>
                <c:pt idx="220">
                  <c:v>1.62</c:v>
                </c:pt>
                <c:pt idx="221">
                  <c:v>1.6459999999999999</c:v>
                </c:pt>
                <c:pt idx="222">
                  <c:v>1.627</c:v>
                </c:pt>
                <c:pt idx="223">
                  <c:v>1.615</c:v>
                </c:pt>
                <c:pt idx="224">
                  <c:v>1.625</c:v>
                </c:pt>
                <c:pt idx="225">
                  <c:v>1.6319999999999999</c:v>
                </c:pt>
                <c:pt idx="226">
                  <c:v>1.635</c:v>
                </c:pt>
                <c:pt idx="227">
                  <c:v>1.643</c:v>
                </c:pt>
                <c:pt idx="228">
                  <c:v>1.655</c:v>
                </c:pt>
                <c:pt idx="229">
                  <c:v>1.694</c:v>
                </c:pt>
                <c:pt idx="230">
                  <c:v>1.71</c:v>
                </c:pt>
                <c:pt idx="231">
                  <c:v>1.7210000000000001</c:v>
                </c:pt>
                <c:pt idx="232">
                  <c:v>1.7130000000000001</c:v>
                </c:pt>
                <c:pt idx="233">
                  <c:v>1.71</c:v>
                </c:pt>
                <c:pt idx="234">
                  <c:v>1.681</c:v>
                </c:pt>
                <c:pt idx="235">
                  <c:v>1.659</c:v>
                </c:pt>
                <c:pt idx="236">
                  <c:v>1.625</c:v>
                </c:pt>
                <c:pt idx="237">
                  <c:v>1.631</c:v>
                </c:pt>
                <c:pt idx="238">
                  <c:v>1.65</c:v>
                </c:pt>
                <c:pt idx="239">
                  <c:v>1.6739999999999999</c:v>
                </c:pt>
                <c:pt idx="240">
                  <c:v>1.696</c:v>
                </c:pt>
                <c:pt idx="241">
                  <c:v>1.71</c:v>
                </c:pt>
                <c:pt idx="242">
                  <c:v>1.704</c:v>
                </c:pt>
                <c:pt idx="243">
                  <c:v>1.6870000000000001</c:v>
                </c:pt>
                <c:pt idx="244">
                  <c:v>1.655</c:v>
                </c:pt>
                <c:pt idx="245">
                  <c:v>1.637</c:v>
                </c:pt>
                <c:pt idx="246">
                  <c:v>1.623</c:v>
                </c:pt>
                <c:pt idx="247">
                  <c:v>1.633</c:v>
                </c:pt>
                <c:pt idx="248">
                  <c:v>1.6459999999999999</c:v>
                </c:pt>
                <c:pt idx="249">
                  <c:v>1.661</c:v>
                </c:pt>
                <c:pt idx="250">
                  <c:v>1.669</c:v>
                </c:pt>
                <c:pt idx="251">
                  <c:v>1.6739999999999999</c:v>
                </c:pt>
                <c:pt idx="252">
                  <c:v>1.6839999999999999</c:v>
                </c:pt>
                <c:pt idx="253">
                  <c:v>1.6830000000000001</c:v>
                </c:pt>
                <c:pt idx="254">
                  <c:v>1.7050000000000001</c:v>
                </c:pt>
                <c:pt idx="255">
                  <c:v>1.7010000000000001</c:v>
                </c:pt>
                <c:pt idx="256">
                  <c:v>1.7130000000000001</c:v>
                </c:pt>
                <c:pt idx="257">
                  <c:v>1.7150000000000001</c:v>
                </c:pt>
                <c:pt idx="258">
                  <c:v>1.722</c:v>
                </c:pt>
                <c:pt idx="259">
                  <c:v>1.7310000000000001</c:v>
                </c:pt>
                <c:pt idx="260">
                  <c:v>1.732</c:v>
                </c:pt>
                <c:pt idx="261">
                  <c:v>1.716</c:v>
                </c:pt>
                <c:pt idx="262">
                  <c:v>1.7150000000000001</c:v>
                </c:pt>
                <c:pt idx="263">
                  <c:v>1.726</c:v>
                </c:pt>
                <c:pt idx="264">
                  <c:v>1.7330000000000001</c:v>
                </c:pt>
                <c:pt idx="265">
                  <c:v>1.7450000000000001</c:v>
                </c:pt>
                <c:pt idx="266">
                  <c:v>1.7390000000000001</c:v>
                </c:pt>
                <c:pt idx="267">
                  <c:v>1.712</c:v>
                </c:pt>
                <c:pt idx="268">
                  <c:v>1.704</c:v>
                </c:pt>
                <c:pt idx="269">
                  <c:v>1.732</c:v>
                </c:pt>
                <c:pt idx="270">
                  <c:v>1.746</c:v>
                </c:pt>
                <c:pt idx="271">
                  <c:v>1.746</c:v>
                </c:pt>
                <c:pt idx="272">
                  <c:v>1.7370000000000001</c:v>
                </c:pt>
                <c:pt idx="273">
                  <c:v>1.7509999999999999</c:v>
                </c:pt>
                <c:pt idx="274">
                  <c:v>1.7589999999999999</c:v>
                </c:pt>
                <c:pt idx="275">
                  <c:v>1.7310000000000001</c:v>
                </c:pt>
                <c:pt idx="276">
                  <c:v>1.71</c:v>
                </c:pt>
                <c:pt idx="277">
                  <c:v>1.6950000000000001</c:v>
                </c:pt>
                <c:pt idx="278">
                  <c:v>1.6850000000000001</c:v>
                </c:pt>
                <c:pt idx="279">
                  <c:v>1.679</c:v>
                </c:pt>
                <c:pt idx="280">
                  <c:v>1.6719999999999999</c:v>
                </c:pt>
                <c:pt idx="281">
                  <c:v>1.681</c:v>
                </c:pt>
                <c:pt idx="282">
                  <c:v>1.6779999999999999</c:v>
                </c:pt>
                <c:pt idx="283">
                  <c:v>1.6890000000000001</c:v>
                </c:pt>
                <c:pt idx="284">
                  <c:v>1.7190000000000001</c:v>
                </c:pt>
                <c:pt idx="285">
                  <c:v>1.7310000000000001</c:v>
                </c:pt>
                <c:pt idx="286">
                  <c:v>1.75</c:v>
                </c:pt>
                <c:pt idx="287">
                  <c:v>1.778</c:v>
                </c:pt>
                <c:pt idx="288">
                  <c:v>1.8260000000000001</c:v>
                </c:pt>
                <c:pt idx="289">
                  <c:v>1.825</c:v>
                </c:pt>
                <c:pt idx="290">
                  <c:v>1.825</c:v>
                </c:pt>
                <c:pt idx="291">
                  <c:v>1.835</c:v>
                </c:pt>
                <c:pt idx="292">
                  <c:v>1.8580000000000001</c:v>
                </c:pt>
                <c:pt idx="293">
                  <c:v>1.8839999999999999</c:v>
                </c:pt>
                <c:pt idx="294">
                  <c:v>1.8460000000000001</c:v>
                </c:pt>
                <c:pt idx="295">
                  <c:v>1.835</c:v>
                </c:pt>
                <c:pt idx="296">
                  <c:v>1.837</c:v>
                </c:pt>
                <c:pt idx="297">
                  <c:v>1.851</c:v>
                </c:pt>
                <c:pt idx="298">
                  <c:v>1.857</c:v>
                </c:pt>
                <c:pt idx="299">
                  <c:v>1.861</c:v>
                </c:pt>
                <c:pt idx="300">
                  <c:v>1.891</c:v>
                </c:pt>
                <c:pt idx="301">
                  <c:v>1.91</c:v>
                </c:pt>
                <c:pt idx="302">
                  <c:v>1.9039999999999999</c:v>
                </c:pt>
                <c:pt idx="303">
                  <c:v>1.8959999999999999</c:v>
                </c:pt>
                <c:pt idx="304">
                  <c:v>1.8759999999999999</c:v>
                </c:pt>
                <c:pt idx="305">
                  <c:v>1.859</c:v>
                </c:pt>
                <c:pt idx="306">
                  <c:v>1.865</c:v>
                </c:pt>
                <c:pt idx="307">
                  <c:v>1.887</c:v>
                </c:pt>
                <c:pt idx="308">
                  <c:v>1.909</c:v>
                </c:pt>
                <c:pt idx="309">
                  <c:v>1.9379999999999999</c:v>
                </c:pt>
                <c:pt idx="310">
                  <c:v>1.982</c:v>
                </c:pt>
                <c:pt idx="311">
                  <c:v>1.9690000000000001</c:v>
                </c:pt>
                <c:pt idx="312">
                  <c:v>1.9650000000000001</c:v>
                </c:pt>
                <c:pt idx="313">
                  <c:v>1.9910000000000001</c:v>
                </c:pt>
                <c:pt idx="314">
                  <c:v>1.996</c:v>
                </c:pt>
                <c:pt idx="315">
                  <c:v>2.012</c:v>
                </c:pt>
                <c:pt idx="316">
                  <c:v>2.0590000000000002</c:v>
                </c:pt>
                <c:pt idx="317">
                  <c:v>2.0859999999999999</c:v>
                </c:pt>
                <c:pt idx="318">
                  <c:v>2.0379999999999998</c:v>
                </c:pt>
                <c:pt idx="319">
                  <c:v>1.99</c:v>
                </c:pt>
                <c:pt idx="320">
                  <c:v>2.0070000000000001</c:v>
                </c:pt>
                <c:pt idx="321">
                  <c:v>2.0019999999999998</c:v>
                </c:pt>
                <c:pt idx="322">
                  <c:v>2.032</c:v>
                </c:pt>
                <c:pt idx="323">
                  <c:v>2.0489999999999999</c:v>
                </c:pt>
                <c:pt idx="324">
                  <c:v>2.036</c:v>
                </c:pt>
                <c:pt idx="325">
                  <c:v>1.9990000000000001</c:v>
                </c:pt>
                <c:pt idx="326">
                  <c:v>1.996</c:v>
                </c:pt>
                <c:pt idx="327">
                  <c:v>1.98</c:v>
                </c:pt>
                <c:pt idx="328">
                  <c:v>1.9690000000000001</c:v>
                </c:pt>
                <c:pt idx="329">
                  <c:v>1.9570000000000001</c:v>
                </c:pt>
                <c:pt idx="330">
                  <c:v>1.9610000000000001</c:v>
                </c:pt>
                <c:pt idx="331">
                  <c:v>1.9650000000000001</c:v>
                </c:pt>
                <c:pt idx="332">
                  <c:v>1.9610000000000001</c:v>
                </c:pt>
                <c:pt idx="333">
                  <c:v>1.976</c:v>
                </c:pt>
                <c:pt idx="334">
                  <c:v>1.9630000000000001</c:v>
                </c:pt>
                <c:pt idx="335">
                  <c:v>1.9590000000000001</c:v>
                </c:pt>
                <c:pt idx="336">
                  <c:v>1.9530000000000001</c:v>
                </c:pt>
                <c:pt idx="337">
                  <c:v>1.944</c:v>
                </c:pt>
                <c:pt idx="338">
                  <c:v>1.962</c:v>
                </c:pt>
                <c:pt idx="339">
                  <c:v>1.952</c:v>
                </c:pt>
                <c:pt idx="340">
                  <c:v>1.9379999999999999</c:v>
                </c:pt>
                <c:pt idx="341">
                  <c:v>1.9319999999999999</c:v>
                </c:pt>
                <c:pt idx="342">
                  <c:v>1.929</c:v>
                </c:pt>
                <c:pt idx="343">
                  <c:v>1.913</c:v>
                </c:pt>
                <c:pt idx="344">
                  <c:v>1.905</c:v>
                </c:pt>
                <c:pt idx="345">
                  <c:v>1.9059999999999999</c:v>
                </c:pt>
                <c:pt idx="346">
                  <c:v>1.903</c:v>
                </c:pt>
                <c:pt idx="347">
                  <c:v>1.901</c:v>
                </c:pt>
                <c:pt idx="348">
                  <c:v>1.899</c:v>
                </c:pt>
                <c:pt idx="349">
                  <c:v>1.9059999999999999</c:v>
                </c:pt>
                <c:pt idx="350">
                  <c:v>1.899</c:v>
                </c:pt>
                <c:pt idx="351">
                  <c:v>1.893</c:v>
                </c:pt>
                <c:pt idx="352">
                  <c:v>1.875</c:v>
                </c:pt>
                <c:pt idx="353">
                  <c:v>1.883</c:v>
                </c:pt>
                <c:pt idx="354">
                  <c:v>1.883</c:v>
                </c:pt>
                <c:pt idx="355">
                  <c:v>1.867</c:v>
                </c:pt>
                <c:pt idx="356">
                  <c:v>1.857</c:v>
                </c:pt>
                <c:pt idx="357">
                  <c:v>1.857</c:v>
                </c:pt>
                <c:pt idx="358">
                  <c:v>1.8640000000000001</c:v>
                </c:pt>
                <c:pt idx="359">
                  <c:v>1.867</c:v>
                </c:pt>
                <c:pt idx="360">
                  <c:v>1.8839999999999999</c:v>
                </c:pt>
                <c:pt idx="361">
                  <c:v>1.879</c:v>
                </c:pt>
                <c:pt idx="362">
                  <c:v>1.8759999999999999</c:v>
                </c:pt>
                <c:pt idx="363">
                  <c:v>1.87</c:v>
                </c:pt>
                <c:pt idx="364">
                  <c:v>1.859</c:v>
                </c:pt>
                <c:pt idx="365">
                  <c:v>1.871</c:v>
                </c:pt>
                <c:pt idx="366">
                  <c:v>1.875</c:v>
                </c:pt>
                <c:pt idx="367">
                  <c:v>1.889</c:v>
                </c:pt>
                <c:pt idx="368">
                  <c:v>1.8859999999999999</c:v>
                </c:pt>
                <c:pt idx="369">
                  <c:v>1.8879999999999999</c:v>
                </c:pt>
                <c:pt idx="370">
                  <c:v>1.8979999999999999</c:v>
                </c:pt>
                <c:pt idx="371">
                  <c:v>1.897</c:v>
                </c:pt>
                <c:pt idx="372">
                  <c:v>1.9139999999999999</c:v>
                </c:pt>
                <c:pt idx="373">
                  <c:v>1.919</c:v>
                </c:pt>
                <c:pt idx="374">
                  <c:v>1.9119999999999999</c:v>
                </c:pt>
                <c:pt idx="375">
                  <c:v>1.9079999999999999</c:v>
                </c:pt>
                <c:pt idx="376">
                  <c:v>1.9039999999999999</c:v>
                </c:pt>
                <c:pt idx="377">
                  <c:v>1.9019999999999999</c:v>
                </c:pt>
                <c:pt idx="378">
                  <c:v>1.911</c:v>
                </c:pt>
                <c:pt idx="379">
                  <c:v>1.913</c:v>
                </c:pt>
                <c:pt idx="380">
                  <c:v>1.911</c:v>
                </c:pt>
                <c:pt idx="381">
                  <c:v>1.913</c:v>
                </c:pt>
                <c:pt idx="382">
                  <c:v>1.905</c:v>
                </c:pt>
                <c:pt idx="383">
                  <c:v>1.9259999999999999</c:v>
                </c:pt>
                <c:pt idx="384">
                  <c:v>1.9339999999999999</c:v>
                </c:pt>
                <c:pt idx="385">
                  <c:v>1.94</c:v>
                </c:pt>
                <c:pt idx="386">
                  <c:v>1.92</c:v>
                </c:pt>
                <c:pt idx="387">
                  <c:v>1.907</c:v>
                </c:pt>
                <c:pt idx="388">
                  <c:v>1.907</c:v>
                </c:pt>
                <c:pt idx="389">
                  <c:v>1.903</c:v>
                </c:pt>
                <c:pt idx="390">
                  <c:v>1.901</c:v>
                </c:pt>
                <c:pt idx="391">
                  <c:v>1.901</c:v>
                </c:pt>
                <c:pt idx="392">
                  <c:v>1.899</c:v>
                </c:pt>
                <c:pt idx="393">
                  <c:v>1.897</c:v>
                </c:pt>
                <c:pt idx="394">
                  <c:v>1.887</c:v>
                </c:pt>
                <c:pt idx="395">
                  <c:v>1.88</c:v>
                </c:pt>
                <c:pt idx="396">
                  <c:v>1.875</c:v>
                </c:pt>
                <c:pt idx="397">
                  <c:v>1.8839999999999999</c:v>
                </c:pt>
                <c:pt idx="398">
                  <c:v>1.8939999999999999</c:v>
                </c:pt>
                <c:pt idx="399">
                  <c:v>1.8839999999999999</c:v>
                </c:pt>
                <c:pt idx="400">
                  <c:v>1.885</c:v>
                </c:pt>
                <c:pt idx="401">
                  <c:v>1.8979999999999999</c:v>
                </c:pt>
                <c:pt idx="402">
                  <c:v>1.897</c:v>
                </c:pt>
                <c:pt idx="403">
                  <c:v>1.9019999999999999</c:v>
                </c:pt>
                <c:pt idx="404">
                  <c:v>1.9079999999999999</c:v>
                </c:pt>
                <c:pt idx="405">
                  <c:v>1.9079999999999999</c:v>
                </c:pt>
                <c:pt idx="406">
                  <c:v>1.889</c:v>
                </c:pt>
                <c:pt idx="407">
                  <c:v>1.871</c:v>
                </c:pt>
                <c:pt idx="408">
                  <c:v>1.88</c:v>
                </c:pt>
                <c:pt idx="409">
                  <c:v>1.8939999999999999</c:v>
                </c:pt>
                <c:pt idx="410">
                  <c:v>1.893</c:v>
                </c:pt>
                <c:pt idx="411">
                  <c:v>1.9179999999999999</c:v>
                </c:pt>
                <c:pt idx="412">
                  <c:v>1.9319999999999999</c:v>
                </c:pt>
                <c:pt idx="413">
                  <c:v>1.9370000000000001</c:v>
                </c:pt>
                <c:pt idx="414">
                  <c:v>1.9419999999999999</c:v>
                </c:pt>
                <c:pt idx="415">
                  <c:v>1.956</c:v>
                </c:pt>
                <c:pt idx="416">
                  <c:v>1.9650000000000001</c:v>
                </c:pt>
                <c:pt idx="417">
                  <c:v>1.9610000000000001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67-4548-9CA7-1B155D67A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099824"/>
        <c:axId val="545100384"/>
      </c:lineChart>
      <c:catAx>
        <c:axId val="54509982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crossAx val="545100384"/>
        <c:crosses val="autoZero"/>
        <c:auto val="0"/>
        <c:lblAlgn val="ctr"/>
        <c:lblOffset val="100"/>
        <c:noMultiLvlLbl val="1"/>
      </c:catAx>
      <c:valAx>
        <c:axId val="545100384"/>
        <c:scaling>
          <c:orientation val="minMax"/>
          <c:min val="1.05"/>
        </c:scaling>
        <c:delete val="0"/>
        <c:axPos val="l"/>
        <c:majorGridlines/>
        <c:numFmt formatCode="0.0000_ " sourceLinked="1"/>
        <c:majorTickMark val="none"/>
        <c:minorTickMark val="none"/>
        <c:tickLblPos val="nextTo"/>
        <c:spPr>
          <a:ln w="9525">
            <a:noFill/>
          </a:ln>
        </c:spPr>
        <c:crossAx val="54509982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4" l="0.70000000000000062" r="0.70000000000000062" t="0.750000000000004" header="0.30000000000000032" footer="0.3000000000000003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 sz="1600"/>
              <a:t>品赋赤霄</a:t>
            </a:r>
            <a:endParaRPr lang="en-US" altLang="zh-CN" sz="16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品赋赤霄!$B$20</c:f>
              <c:strCache>
                <c:ptCount val="1"/>
                <c:pt idx="0">
                  <c:v>累计净值</c:v>
                </c:pt>
              </c:strCache>
            </c:strRef>
          </c:tx>
          <c:marker>
            <c:symbol val="none"/>
          </c:marker>
          <c:cat>
            <c:numRef>
              <c:f>品赋赤霄!$A$21:$A$325</c:f>
              <c:numCache>
                <c:formatCode>m/d/yyyy</c:formatCode>
                <c:ptCount val="305"/>
                <c:pt idx="0">
                  <c:v>43822</c:v>
                </c:pt>
                <c:pt idx="1">
                  <c:v>43823</c:v>
                </c:pt>
                <c:pt idx="2">
                  <c:v>43824</c:v>
                </c:pt>
                <c:pt idx="3">
                  <c:v>43825</c:v>
                </c:pt>
                <c:pt idx="4">
                  <c:v>43826</c:v>
                </c:pt>
                <c:pt idx="5">
                  <c:v>43829</c:v>
                </c:pt>
                <c:pt idx="6">
                  <c:v>43830</c:v>
                </c:pt>
                <c:pt idx="7">
                  <c:v>43832</c:v>
                </c:pt>
                <c:pt idx="8">
                  <c:v>43833</c:v>
                </c:pt>
                <c:pt idx="9">
                  <c:v>43836</c:v>
                </c:pt>
                <c:pt idx="10">
                  <c:v>43837</c:v>
                </c:pt>
                <c:pt idx="11">
                  <c:v>43838</c:v>
                </c:pt>
                <c:pt idx="12">
                  <c:v>43839</c:v>
                </c:pt>
                <c:pt idx="13">
                  <c:v>43840</c:v>
                </c:pt>
                <c:pt idx="14">
                  <c:v>43843</c:v>
                </c:pt>
                <c:pt idx="15">
                  <c:v>43844</c:v>
                </c:pt>
                <c:pt idx="16">
                  <c:v>43845</c:v>
                </c:pt>
                <c:pt idx="17">
                  <c:v>43846</c:v>
                </c:pt>
                <c:pt idx="18">
                  <c:v>43847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43864</c:v>
                </c:pt>
                <c:pt idx="24">
                  <c:v>43865</c:v>
                </c:pt>
                <c:pt idx="25">
                  <c:v>43866</c:v>
                </c:pt>
                <c:pt idx="26">
                  <c:v>43867</c:v>
                </c:pt>
                <c:pt idx="27">
                  <c:v>43868</c:v>
                </c:pt>
                <c:pt idx="28">
                  <c:v>43871</c:v>
                </c:pt>
                <c:pt idx="29">
                  <c:v>43872</c:v>
                </c:pt>
                <c:pt idx="30">
                  <c:v>43873</c:v>
                </c:pt>
                <c:pt idx="31">
                  <c:v>43874</c:v>
                </c:pt>
                <c:pt idx="32">
                  <c:v>43875</c:v>
                </c:pt>
                <c:pt idx="33">
                  <c:v>43878</c:v>
                </c:pt>
                <c:pt idx="34">
                  <c:v>43879</c:v>
                </c:pt>
                <c:pt idx="35">
                  <c:v>43880</c:v>
                </c:pt>
                <c:pt idx="36">
                  <c:v>43881</c:v>
                </c:pt>
                <c:pt idx="37">
                  <c:v>43882</c:v>
                </c:pt>
                <c:pt idx="38">
                  <c:v>43885</c:v>
                </c:pt>
                <c:pt idx="39">
                  <c:v>43886</c:v>
                </c:pt>
                <c:pt idx="40">
                  <c:v>43887</c:v>
                </c:pt>
                <c:pt idx="41">
                  <c:v>43888</c:v>
                </c:pt>
                <c:pt idx="42">
                  <c:v>43889</c:v>
                </c:pt>
                <c:pt idx="43">
                  <c:v>43892</c:v>
                </c:pt>
                <c:pt idx="44">
                  <c:v>43893</c:v>
                </c:pt>
                <c:pt idx="45">
                  <c:v>43894</c:v>
                </c:pt>
                <c:pt idx="46">
                  <c:v>43895</c:v>
                </c:pt>
                <c:pt idx="47">
                  <c:v>43896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43913</c:v>
                </c:pt>
                <c:pt idx="59">
                  <c:v>43914</c:v>
                </c:pt>
                <c:pt idx="60">
                  <c:v>43915</c:v>
                </c:pt>
                <c:pt idx="61">
                  <c:v>43916</c:v>
                </c:pt>
                <c:pt idx="62">
                  <c:v>43917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43928</c:v>
                </c:pt>
                <c:pt idx="69">
                  <c:v>43929</c:v>
                </c:pt>
                <c:pt idx="70">
                  <c:v>43930</c:v>
                </c:pt>
                <c:pt idx="71">
                  <c:v>43931</c:v>
                </c:pt>
                <c:pt idx="72">
                  <c:v>43934</c:v>
                </c:pt>
                <c:pt idx="73">
                  <c:v>43935</c:v>
                </c:pt>
                <c:pt idx="74">
                  <c:v>43936</c:v>
                </c:pt>
                <c:pt idx="75">
                  <c:v>43937</c:v>
                </c:pt>
                <c:pt idx="76">
                  <c:v>43938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43948</c:v>
                </c:pt>
                <c:pt idx="83">
                  <c:v>43949</c:v>
                </c:pt>
                <c:pt idx="84">
                  <c:v>43950</c:v>
                </c:pt>
                <c:pt idx="85">
                  <c:v>43951</c:v>
                </c:pt>
                <c:pt idx="86">
                  <c:v>43957</c:v>
                </c:pt>
                <c:pt idx="87">
                  <c:v>43958</c:v>
                </c:pt>
                <c:pt idx="88">
                  <c:v>43959</c:v>
                </c:pt>
                <c:pt idx="89">
                  <c:v>43962</c:v>
                </c:pt>
                <c:pt idx="90">
                  <c:v>43963</c:v>
                </c:pt>
                <c:pt idx="91">
                  <c:v>43964</c:v>
                </c:pt>
                <c:pt idx="92">
                  <c:v>43965</c:v>
                </c:pt>
                <c:pt idx="93">
                  <c:v>43966</c:v>
                </c:pt>
                <c:pt idx="94">
                  <c:v>43969</c:v>
                </c:pt>
                <c:pt idx="95">
                  <c:v>43970</c:v>
                </c:pt>
                <c:pt idx="96">
                  <c:v>43971</c:v>
                </c:pt>
                <c:pt idx="97">
                  <c:v>43972</c:v>
                </c:pt>
                <c:pt idx="98">
                  <c:v>43973</c:v>
                </c:pt>
                <c:pt idx="99">
                  <c:v>43976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43983</c:v>
                </c:pt>
                <c:pt idx="105">
                  <c:v>43984</c:v>
                </c:pt>
                <c:pt idx="106">
                  <c:v>43985</c:v>
                </c:pt>
                <c:pt idx="107">
                  <c:v>43986</c:v>
                </c:pt>
                <c:pt idx="108">
                  <c:v>43987</c:v>
                </c:pt>
                <c:pt idx="109">
                  <c:v>43990</c:v>
                </c:pt>
                <c:pt idx="110">
                  <c:v>43991</c:v>
                </c:pt>
                <c:pt idx="111">
                  <c:v>43992</c:v>
                </c:pt>
                <c:pt idx="112">
                  <c:v>43993</c:v>
                </c:pt>
                <c:pt idx="113">
                  <c:v>43994</c:v>
                </c:pt>
                <c:pt idx="114">
                  <c:v>43997</c:v>
                </c:pt>
                <c:pt idx="115">
                  <c:v>43998</c:v>
                </c:pt>
                <c:pt idx="116">
                  <c:v>43999</c:v>
                </c:pt>
                <c:pt idx="117">
                  <c:v>44000</c:v>
                </c:pt>
                <c:pt idx="118">
                  <c:v>44001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44011</c:v>
                </c:pt>
                <c:pt idx="123">
                  <c:v>44012</c:v>
                </c:pt>
                <c:pt idx="124">
                  <c:v>44013</c:v>
                </c:pt>
                <c:pt idx="125">
                  <c:v>44014</c:v>
                </c:pt>
                <c:pt idx="126">
                  <c:v>44015</c:v>
                </c:pt>
                <c:pt idx="127">
                  <c:v>44018</c:v>
                </c:pt>
                <c:pt idx="128">
                  <c:v>44019</c:v>
                </c:pt>
                <c:pt idx="129">
                  <c:v>44020</c:v>
                </c:pt>
                <c:pt idx="130">
                  <c:v>44021</c:v>
                </c:pt>
                <c:pt idx="131">
                  <c:v>44022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44032</c:v>
                </c:pt>
                <c:pt idx="138">
                  <c:v>44033</c:v>
                </c:pt>
                <c:pt idx="139">
                  <c:v>44034</c:v>
                </c:pt>
                <c:pt idx="140">
                  <c:v>44035</c:v>
                </c:pt>
                <c:pt idx="141">
                  <c:v>44036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44049</c:v>
                </c:pt>
                <c:pt idx="148">
                  <c:v>44050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44060</c:v>
                </c:pt>
                <c:pt idx="155">
                  <c:v>44061</c:v>
                </c:pt>
                <c:pt idx="156">
                  <c:v>44062</c:v>
                </c:pt>
                <c:pt idx="157">
                  <c:v>44063</c:v>
                </c:pt>
                <c:pt idx="158">
                  <c:v>44064</c:v>
                </c:pt>
                <c:pt idx="159">
                  <c:v>44067</c:v>
                </c:pt>
                <c:pt idx="160">
                  <c:v>44068</c:v>
                </c:pt>
                <c:pt idx="161">
                  <c:v>44069</c:v>
                </c:pt>
                <c:pt idx="162">
                  <c:v>44070</c:v>
                </c:pt>
                <c:pt idx="163">
                  <c:v>44071</c:v>
                </c:pt>
                <c:pt idx="164">
                  <c:v>44074</c:v>
                </c:pt>
                <c:pt idx="165">
                  <c:v>44075</c:v>
                </c:pt>
                <c:pt idx="166">
                  <c:v>44076</c:v>
                </c:pt>
                <c:pt idx="167">
                  <c:v>44077</c:v>
                </c:pt>
                <c:pt idx="168">
                  <c:v>44078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44088</c:v>
                </c:pt>
                <c:pt idx="175">
                  <c:v>44089</c:v>
                </c:pt>
                <c:pt idx="176">
                  <c:v>44090</c:v>
                </c:pt>
                <c:pt idx="177">
                  <c:v>44091</c:v>
                </c:pt>
                <c:pt idx="178">
                  <c:v>44092</c:v>
                </c:pt>
                <c:pt idx="179">
                  <c:v>44095</c:v>
                </c:pt>
                <c:pt idx="180">
                  <c:v>44096</c:v>
                </c:pt>
                <c:pt idx="181">
                  <c:v>44097</c:v>
                </c:pt>
                <c:pt idx="182">
                  <c:v>44098</c:v>
                </c:pt>
                <c:pt idx="183">
                  <c:v>44099</c:v>
                </c:pt>
                <c:pt idx="184">
                  <c:v>44102</c:v>
                </c:pt>
                <c:pt idx="185">
                  <c:v>44103</c:v>
                </c:pt>
                <c:pt idx="186">
                  <c:v>44104</c:v>
                </c:pt>
                <c:pt idx="187">
                  <c:v>44113</c:v>
                </c:pt>
                <c:pt idx="188">
                  <c:v>44116</c:v>
                </c:pt>
                <c:pt idx="189">
                  <c:v>44117</c:v>
                </c:pt>
                <c:pt idx="190">
                  <c:v>44118</c:v>
                </c:pt>
                <c:pt idx="191">
                  <c:v>44119</c:v>
                </c:pt>
                <c:pt idx="192">
                  <c:v>44120</c:v>
                </c:pt>
                <c:pt idx="193">
                  <c:v>44123</c:v>
                </c:pt>
                <c:pt idx="194">
                  <c:v>44124</c:v>
                </c:pt>
                <c:pt idx="195">
                  <c:v>44125</c:v>
                </c:pt>
                <c:pt idx="196">
                  <c:v>44126</c:v>
                </c:pt>
                <c:pt idx="197">
                  <c:v>44127</c:v>
                </c:pt>
                <c:pt idx="198">
                  <c:v>44130</c:v>
                </c:pt>
                <c:pt idx="199">
                  <c:v>44131</c:v>
                </c:pt>
                <c:pt idx="200">
                  <c:v>44132</c:v>
                </c:pt>
                <c:pt idx="201">
                  <c:v>44133</c:v>
                </c:pt>
                <c:pt idx="202">
                  <c:v>44134</c:v>
                </c:pt>
                <c:pt idx="203">
                  <c:v>44137</c:v>
                </c:pt>
                <c:pt idx="204">
                  <c:v>44138</c:v>
                </c:pt>
                <c:pt idx="205">
                  <c:v>44139</c:v>
                </c:pt>
                <c:pt idx="206">
                  <c:v>44140</c:v>
                </c:pt>
                <c:pt idx="207">
                  <c:v>44141</c:v>
                </c:pt>
                <c:pt idx="208">
                  <c:v>44144</c:v>
                </c:pt>
                <c:pt idx="209">
                  <c:v>44145</c:v>
                </c:pt>
                <c:pt idx="210">
                  <c:v>44146</c:v>
                </c:pt>
                <c:pt idx="211">
                  <c:v>44147</c:v>
                </c:pt>
                <c:pt idx="212">
                  <c:v>44148</c:v>
                </c:pt>
                <c:pt idx="213">
                  <c:v>44151</c:v>
                </c:pt>
                <c:pt idx="214">
                  <c:v>44152</c:v>
                </c:pt>
                <c:pt idx="215">
                  <c:v>44153</c:v>
                </c:pt>
                <c:pt idx="216">
                  <c:v>44154</c:v>
                </c:pt>
                <c:pt idx="217">
                  <c:v>44155</c:v>
                </c:pt>
                <c:pt idx="218">
                  <c:v>44158</c:v>
                </c:pt>
                <c:pt idx="219">
                  <c:v>44159</c:v>
                </c:pt>
                <c:pt idx="220">
                  <c:v>44160</c:v>
                </c:pt>
                <c:pt idx="221">
                  <c:v>44161</c:v>
                </c:pt>
                <c:pt idx="222">
                  <c:v>44162</c:v>
                </c:pt>
                <c:pt idx="223">
                  <c:v>44165</c:v>
                </c:pt>
                <c:pt idx="224">
                  <c:v>44166</c:v>
                </c:pt>
                <c:pt idx="225">
                  <c:v>44167</c:v>
                </c:pt>
                <c:pt idx="226">
                  <c:v>44168</c:v>
                </c:pt>
                <c:pt idx="227">
                  <c:v>44169</c:v>
                </c:pt>
                <c:pt idx="228">
                  <c:v>44172</c:v>
                </c:pt>
                <c:pt idx="229">
                  <c:v>44173</c:v>
                </c:pt>
                <c:pt idx="230">
                  <c:v>44174</c:v>
                </c:pt>
                <c:pt idx="231">
                  <c:v>44175</c:v>
                </c:pt>
                <c:pt idx="232">
                  <c:v>44176</c:v>
                </c:pt>
                <c:pt idx="233">
                  <c:v>44179</c:v>
                </c:pt>
                <c:pt idx="234">
                  <c:v>44180</c:v>
                </c:pt>
                <c:pt idx="235">
                  <c:v>44181</c:v>
                </c:pt>
                <c:pt idx="236">
                  <c:v>44182</c:v>
                </c:pt>
                <c:pt idx="237">
                  <c:v>44183</c:v>
                </c:pt>
                <c:pt idx="238">
                  <c:v>44186</c:v>
                </c:pt>
                <c:pt idx="239">
                  <c:v>44187</c:v>
                </c:pt>
                <c:pt idx="240">
                  <c:v>44188</c:v>
                </c:pt>
                <c:pt idx="241">
                  <c:v>44189</c:v>
                </c:pt>
                <c:pt idx="242">
                  <c:v>44190</c:v>
                </c:pt>
                <c:pt idx="243">
                  <c:v>44193</c:v>
                </c:pt>
                <c:pt idx="244">
                  <c:v>44194</c:v>
                </c:pt>
                <c:pt idx="245">
                  <c:v>44195</c:v>
                </c:pt>
                <c:pt idx="246">
                  <c:v>44196</c:v>
                </c:pt>
                <c:pt idx="247">
                  <c:v>44200</c:v>
                </c:pt>
                <c:pt idx="248">
                  <c:v>44201</c:v>
                </c:pt>
                <c:pt idx="249">
                  <c:v>44202</c:v>
                </c:pt>
                <c:pt idx="250">
                  <c:v>44203</c:v>
                </c:pt>
                <c:pt idx="251">
                  <c:v>44204</c:v>
                </c:pt>
                <c:pt idx="252">
                  <c:v>44207</c:v>
                </c:pt>
                <c:pt idx="253">
                  <c:v>44208</c:v>
                </c:pt>
                <c:pt idx="254">
                  <c:v>44209</c:v>
                </c:pt>
                <c:pt idx="255">
                  <c:v>44210</c:v>
                </c:pt>
                <c:pt idx="256">
                  <c:v>44211</c:v>
                </c:pt>
                <c:pt idx="257">
                  <c:v>44214</c:v>
                </c:pt>
                <c:pt idx="258">
                  <c:v>44215</c:v>
                </c:pt>
                <c:pt idx="259">
                  <c:v>44216</c:v>
                </c:pt>
                <c:pt idx="260">
                  <c:v>44217</c:v>
                </c:pt>
                <c:pt idx="261">
                  <c:v>44218</c:v>
                </c:pt>
                <c:pt idx="262">
                  <c:v>44221</c:v>
                </c:pt>
                <c:pt idx="263">
                  <c:v>44222</c:v>
                </c:pt>
                <c:pt idx="264">
                  <c:v>44223</c:v>
                </c:pt>
                <c:pt idx="265">
                  <c:v>44224</c:v>
                </c:pt>
                <c:pt idx="266">
                  <c:v>44225</c:v>
                </c:pt>
                <c:pt idx="267">
                  <c:v>44228</c:v>
                </c:pt>
                <c:pt idx="268">
                  <c:v>44229</c:v>
                </c:pt>
                <c:pt idx="269">
                  <c:v>44230</c:v>
                </c:pt>
                <c:pt idx="270">
                  <c:v>44231</c:v>
                </c:pt>
                <c:pt idx="271">
                  <c:v>44232</c:v>
                </c:pt>
                <c:pt idx="272">
                  <c:v>44235</c:v>
                </c:pt>
                <c:pt idx="273">
                  <c:v>44236</c:v>
                </c:pt>
                <c:pt idx="274">
                  <c:v>44237</c:v>
                </c:pt>
                <c:pt idx="275">
                  <c:v>44245</c:v>
                </c:pt>
                <c:pt idx="276">
                  <c:v>44246</c:v>
                </c:pt>
                <c:pt idx="277">
                  <c:v>44249</c:v>
                </c:pt>
                <c:pt idx="278">
                  <c:v>44250</c:v>
                </c:pt>
                <c:pt idx="279">
                  <c:v>44251</c:v>
                </c:pt>
                <c:pt idx="280">
                  <c:v>44252</c:v>
                </c:pt>
                <c:pt idx="281">
                  <c:v>44253</c:v>
                </c:pt>
                <c:pt idx="282">
                  <c:v>44256</c:v>
                </c:pt>
                <c:pt idx="283">
                  <c:v>44257</c:v>
                </c:pt>
                <c:pt idx="284">
                  <c:v>44258</c:v>
                </c:pt>
                <c:pt idx="285">
                  <c:v>44259</c:v>
                </c:pt>
                <c:pt idx="286">
                  <c:v>44260</c:v>
                </c:pt>
                <c:pt idx="287">
                  <c:v>44263</c:v>
                </c:pt>
                <c:pt idx="288">
                  <c:v>44264</c:v>
                </c:pt>
                <c:pt idx="289">
                  <c:v>44265</c:v>
                </c:pt>
                <c:pt idx="290">
                  <c:v>44266</c:v>
                </c:pt>
                <c:pt idx="291">
                  <c:v>44267</c:v>
                </c:pt>
                <c:pt idx="292">
                  <c:v>44270</c:v>
                </c:pt>
                <c:pt idx="293">
                  <c:v>44271</c:v>
                </c:pt>
                <c:pt idx="294">
                  <c:v>44272</c:v>
                </c:pt>
                <c:pt idx="295">
                  <c:v>44273</c:v>
                </c:pt>
                <c:pt idx="296">
                  <c:v>44274</c:v>
                </c:pt>
                <c:pt idx="297">
                  <c:v>44277</c:v>
                </c:pt>
                <c:pt idx="298">
                  <c:v>44278</c:v>
                </c:pt>
                <c:pt idx="299">
                  <c:v>44279</c:v>
                </c:pt>
                <c:pt idx="300">
                  <c:v>44280</c:v>
                </c:pt>
                <c:pt idx="301">
                  <c:v>44281</c:v>
                </c:pt>
                <c:pt idx="302">
                  <c:v>44284</c:v>
                </c:pt>
                <c:pt idx="303">
                  <c:v>44285</c:v>
                </c:pt>
                <c:pt idx="304">
                  <c:v>44286</c:v>
                </c:pt>
              </c:numCache>
            </c:numRef>
          </c:cat>
          <c:val>
            <c:numRef>
              <c:f>品赋赤霄!$B$21:$B$325</c:f>
              <c:numCache>
                <c:formatCode>0.0000_ </c:formatCode>
                <c:ptCount val="305"/>
                <c:pt idx="0">
                  <c:v>1.0002</c:v>
                </c:pt>
                <c:pt idx="1">
                  <c:v>1.0002</c:v>
                </c:pt>
                <c:pt idx="2">
                  <c:v>1.0002</c:v>
                </c:pt>
                <c:pt idx="3">
                  <c:v>1.0003</c:v>
                </c:pt>
                <c:pt idx="4">
                  <c:v>1.0003</c:v>
                </c:pt>
                <c:pt idx="5">
                  <c:v>1.0003</c:v>
                </c:pt>
                <c:pt idx="6">
                  <c:v>1.0003</c:v>
                </c:pt>
                <c:pt idx="7">
                  <c:v>0.99919999999999998</c:v>
                </c:pt>
                <c:pt idx="8">
                  <c:v>1.0017</c:v>
                </c:pt>
                <c:pt idx="9">
                  <c:v>1.0026999999999999</c:v>
                </c:pt>
                <c:pt idx="10">
                  <c:v>0.99909999999999999</c:v>
                </c:pt>
                <c:pt idx="11">
                  <c:v>0.99970000000000003</c:v>
                </c:pt>
                <c:pt idx="12">
                  <c:v>1.0059</c:v>
                </c:pt>
                <c:pt idx="13">
                  <c:v>1.0085</c:v>
                </c:pt>
                <c:pt idx="14">
                  <c:v>1.0109999999999999</c:v>
                </c:pt>
                <c:pt idx="15">
                  <c:v>1.0077</c:v>
                </c:pt>
                <c:pt idx="16">
                  <c:v>1.0097</c:v>
                </c:pt>
                <c:pt idx="17">
                  <c:v>1.0061</c:v>
                </c:pt>
                <c:pt idx="18">
                  <c:v>1.0071000000000001</c:v>
                </c:pt>
                <c:pt idx="19">
                  <c:v>1.0091000000000001</c:v>
                </c:pt>
                <c:pt idx="20">
                  <c:v>1.0091000000000001</c:v>
                </c:pt>
                <c:pt idx="21">
                  <c:v>1.004</c:v>
                </c:pt>
                <c:pt idx="22">
                  <c:v>1.0053000000000001</c:v>
                </c:pt>
                <c:pt idx="23">
                  <c:v>1.0079</c:v>
                </c:pt>
                <c:pt idx="24">
                  <c:v>0.99880000000000002</c:v>
                </c:pt>
                <c:pt idx="25">
                  <c:v>0.99939999999999996</c:v>
                </c:pt>
                <c:pt idx="26">
                  <c:v>0.996</c:v>
                </c:pt>
                <c:pt idx="27">
                  <c:v>0.99219999999999997</c:v>
                </c:pt>
                <c:pt idx="28">
                  <c:v>0.99660000000000004</c:v>
                </c:pt>
                <c:pt idx="29">
                  <c:v>0.99680000000000002</c:v>
                </c:pt>
                <c:pt idx="30">
                  <c:v>0.99690000000000001</c:v>
                </c:pt>
                <c:pt idx="31">
                  <c:v>0.998</c:v>
                </c:pt>
                <c:pt idx="32">
                  <c:v>1.0005999999999999</c:v>
                </c:pt>
                <c:pt idx="33">
                  <c:v>1.0001</c:v>
                </c:pt>
                <c:pt idx="34">
                  <c:v>1.0012000000000001</c:v>
                </c:pt>
                <c:pt idx="35">
                  <c:v>0.99950000000000006</c:v>
                </c:pt>
                <c:pt idx="36">
                  <c:v>1.0002</c:v>
                </c:pt>
                <c:pt idx="37">
                  <c:v>0.99680000000000002</c:v>
                </c:pt>
                <c:pt idx="38">
                  <c:v>1</c:v>
                </c:pt>
                <c:pt idx="39">
                  <c:v>0.99519999999999997</c:v>
                </c:pt>
                <c:pt idx="40">
                  <c:v>0.99480000000000002</c:v>
                </c:pt>
                <c:pt idx="41">
                  <c:v>1.0027999999999999</c:v>
                </c:pt>
                <c:pt idx="42">
                  <c:v>0.99690000000000001</c:v>
                </c:pt>
                <c:pt idx="43">
                  <c:v>1.0009999999999999</c:v>
                </c:pt>
                <c:pt idx="44">
                  <c:v>1.0092000000000001</c:v>
                </c:pt>
                <c:pt idx="45">
                  <c:v>1.0179</c:v>
                </c:pt>
                <c:pt idx="46">
                  <c:v>1.0165999999999999</c:v>
                </c:pt>
                <c:pt idx="47">
                  <c:v>1.0166999999999999</c:v>
                </c:pt>
                <c:pt idx="48">
                  <c:v>1.0193000000000001</c:v>
                </c:pt>
                <c:pt idx="49">
                  <c:v>1.0169999999999999</c:v>
                </c:pt>
                <c:pt idx="50">
                  <c:v>1.0210999999999999</c:v>
                </c:pt>
                <c:pt idx="51">
                  <c:v>1.0210999999999999</c:v>
                </c:pt>
                <c:pt idx="52">
                  <c:v>1.0209999999999999</c:v>
                </c:pt>
                <c:pt idx="53">
                  <c:v>1.0210999999999999</c:v>
                </c:pt>
                <c:pt idx="54">
                  <c:v>1.0244</c:v>
                </c:pt>
                <c:pt idx="55">
                  <c:v>1.0234000000000001</c:v>
                </c:pt>
                <c:pt idx="56">
                  <c:v>1.0243</c:v>
                </c:pt>
                <c:pt idx="57">
                  <c:v>1.0255000000000001</c:v>
                </c:pt>
                <c:pt idx="58">
                  <c:v>1.0202</c:v>
                </c:pt>
                <c:pt idx="59">
                  <c:v>1.0250999999999999</c:v>
                </c:pt>
                <c:pt idx="60">
                  <c:v>1.0316000000000001</c:v>
                </c:pt>
                <c:pt idx="61">
                  <c:v>1.0321</c:v>
                </c:pt>
                <c:pt idx="62">
                  <c:v>1.0315000000000001</c:v>
                </c:pt>
                <c:pt idx="63">
                  <c:v>1.0356000000000001</c:v>
                </c:pt>
                <c:pt idx="64">
                  <c:v>1.0395000000000001</c:v>
                </c:pt>
                <c:pt idx="65">
                  <c:v>1.0405</c:v>
                </c:pt>
                <c:pt idx="66">
                  <c:v>1.0389999999999999</c:v>
                </c:pt>
                <c:pt idx="67">
                  <c:v>1.0407999999999999</c:v>
                </c:pt>
                <c:pt idx="68">
                  <c:v>1.042</c:v>
                </c:pt>
                <c:pt idx="69">
                  <c:v>1.042</c:v>
                </c:pt>
                <c:pt idx="70">
                  <c:v>1.0415000000000001</c:v>
                </c:pt>
                <c:pt idx="71">
                  <c:v>1.0418000000000001</c:v>
                </c:pt>
                <c:pt idx="72">
                  <c:v>1.0418000000000001</c:v>
                </c:pt>
                <c:pt idx="73">
                  <c:v>1.0407</c:v>
                </c:pt>
                <c:pt idx="74">
                  <c:v>1.0392999999999999</c:v>
                </c:pt>
                <c:pt idx="75">
                  <c:v>1.0364</c:v>
                </c:pt>
                <c:pt idx="76">
                  <c:v>1.0386</c:v>
                </c:pt>
                <c:pt idx="77">
                  <c:v>1.0419</c:v>
                </c:pt>
                <c:pt idx="78">
                  <c:v>1.0429999999999999</c:v>
                </c:pt>
                <c:pt idx="79">
                  <c:v>1.0436000000000001</c:v>
                </c:pt>
                <c:pt idx="80">
                  <c:v>1.0439000000000001</c:v>
                </c:pt>
                <c:pt idx="81">
                  <c:v>1.044</c:v>
                </c:pt>
                <c:pt idx="82">
                  <c:v>1.0432999999999999</c:v>
                </c:pt>
                <c:pt idx="83">
                  <c:v>1.0447</c:v>
                </c:pt>
                <c:pt idx="84">
                  <c:v>1.0429999999999999</c:v>
                </c:pt>
                <c:pt idx="85">
                  <c:v>1.0305</c:v>
                </c:pt>
                <c:pt idx="86">
                  <c:v>1.0345</c:v>
                </c:pt>
                <c:pt idx="87">
                  <c:v>1.0348999999999999</c:v>
                </c:pt>
                <c:pt idx="88">
                  <c:v>1.0316000000000001</c:v>
                </c:pt>
                <c:pt idx="89">
                  <c:v>1.0319</c:v>
                </c:pt>
                <c:pt idx="90">
                  <c:v>1.0319</c:v>
                </c:pt>
                <c:pt idx="91">
                  <c:v>1.0342</c:v>
                </c:pt>
                <c:pt idx="92">
                  <c:v>1.0323</c:v>
                </c:pt>
                <c:pt idx="93">
                  <c:v>1.0325</c:v>
                </c:pt>
                <c:pt idx="94">
                  <c:v>1.0330999999999999</c:v>
                </c:pt>
                <c:pt idx="95">
                  <c:v>1.0343</c:v>
                </c:pt>
                <c:pt idx="96">
                  <c:v>1.0303</c:v>
                </c:pt>
                <c:pt idx="97">
                  <c:v>1.0297000000000001</c:v>
                </c:pt>
                <c:pt idx="98">
                  <c:v>1.0259</c:v>
                </c:pt>
                <c:pt idx="99">
                  <c:v>1.0347999999999999</c:v>
                </c:pt>
                <c:pt idx="100">
                  <c:v>1.0361</c:v>
                </c:pt>
                <c:pt idx="101">
                  <c:v>1.0359</c:v>
                </c:pt>
                <c:pt idx="102">
                  <c:v>1.0384</c:v>
                </c:pt>
                <c:pt idx="103">
                  <c:v>1.0396000000000001</c:v>
                </c:pt>
                <c:pt idx="104">
                  <c:v>1.0351999999999999</c:v>
                </c:pt>
                <c:pt idx="105">
                  <c:v>1.0349999999999999</c:v>
                </c:pt>
                <c:pt idx="106">
                  <c:v>1.0341</c:v>
                </c:pt>
                <c:pt idx="107">
                  <c:v>1.0378000000000001</c:v>
                </c:pt>
                <c:pt idx="108">
                  <c:v>1.0392999999999999</c:v>
                </c:pt>
                <c:pt idx="109">
                  <c:v>1.0396000000000001</c:v>
                </c:pt>
                <c:pt idx="110">
                  <c:v>1.0407999999999999</c:v>
                </c:pt>
                <c:pt idx="111">
                  <c:v>1.044</c:v>
                </c:pt>
                <c:pt idx="112">
                  <c:v>1.0441</c:v>
                </c:pt>
                <c:pt idx="113">
                  <c:v>1.0417000000000001</c:v>
                </c:pt>
                <c:pt idx="114">
                  <c:v>1.0522</c:v>
                </c:pt>
                <c:pt idx="115">
                  <c:v>1.0508999999999999</c:v>
                </c:pt>
                <c:pt idx="116">
                  <c:v>1.0525</c:v>
                </c:pt>
                <c:pt idx="117">
                  <c:v>1.0465</c:v>
                </c:pt>
                <c:pt idx="118">
                  <c:v>1.044</c:v>
                </c:pt>
                <c:pt idx="119">
                  <c:v>1.0475000000000001</c:v>
                </c:pt>
                <c:pt idx="120">
                  <c:v>1.0481</c:v>
                </c:pt>
                <c:pt idx="121">
                  <c:v>1.0503</c:v>
                </c:pt>
                <c:pt idx="122">
                  <c:v>1.0543</c:v>
                </c:pt>
                <c:pt idx="123">
                  <c:v>1.052</c:v>
                </c:pt>
                <c:pt idx="124">
                  <c:v>1.0547</c:v>
                </c:pt>
                <c:pt idx="125">
                  <c:v>1.0494000000000001</c:v>
                </c:pt>
                <c:pt idx="126">
                  <c:v>1.0475000000000001</c:v>
                </c:pt>
                <c:pt idx="127">
                  <c:v>1.0410999999999999</c:v>
                </c:pt>
                <c:pt idx="128">
                  <c:v>1.0426</c:v>
                </c:pt>
                <c:pt idx="129">
                  <c:v>1.0530999999999999</c:v>
                </c:pt>
                <c:pt idx="130">
                  <c:v>1.0609999999999999</c:v>
                </c:pt>
                <c:pt idx="131">
                  <c:v>1.0570999999999999</c:v>
                </c:pt>
                <c:pt idx="132">
                  <c:v>1.0653999999999999</c:v>
                </c:pt>
                <c:pt idx="133">
                  <c:v>1.0748</c:v>
                </c:pt>
                <c:pt idx="134">
                  <c:v>1.0666</c:v>
                </c:pt>
                <c:pt idx="135">
                  <c:v>1.0558000000000001</c:v>
                </c:pt>
                <c:pt idx="136">
                  <c:v>1.0642</c:v>
                </c:pt>
                <c:pt idx="137">
                  <c:v>1.0770999999999999</c:v>
                </c:pt>
                <c:pt idx="138">
                  <c:v>1.075</c:v>
                </c:pt>
                <c:pt idx="139">
                  <c:v>1.0727</c:v>
                </c:pt>
                <c:pt idx="140">
                  <c:v>1.0750999999999999</c:v>
                </c:pt>
                <c:pt idx="141">
                  <c:v>1.0757000000000001</c:v>
                </c:pt>
                <c:pt idx="142">
                  <c:v>1.0789</c:v>
                </c:pt>
                <c:pt idx="143">
                  <c:v>1.0862000000000001</c:v>
                </c:pt>
                <c:pt idx="144">
                  <c:v>1.0794999999999999</c:v>
                </c:pt>
                <c:pt idx="145">
                  <c:v>1.0789</c:v>
                </c:pt>
                <c:pt idx="146">
                  <c:v>1.0884</c:v>
                </c:pt>
                <c:pt idx="147">
                  <c:v>1.0889</c:v>
                </c:pt>
                <c:pt idx="148">
                  <c:v>1.0902000000000001</c:v>
                </c:pt>
                <c:pt idx="149">
                  <c:v>1.0884</c:v>
                </c:pt>
                <c:pt idx="150">
                  <c:v>1.0875999999999999</c:v>
                </c:pt>
                <c:pt idx="151">
                  <c:v>1.0875999999999999</c:v>
                </c:pt>
                <c:pt idx="152">
                  <c:v>1.0886</c:v>
                </c:pt>
                <c:pt idx="153">
                  <c:v>1.0879000000000001</c:v>
                </c:pt>
                <c:pt idx="154">
                  <c:v>1.0892999999999999</c:v>
                </c:pt>
                <c:pt idx="155">
                  <c:v>1.0904</c:v>
                </c:pt>
                <c:pt idx="156">
                  <c:v>1.0921000000000001</c:v>
                </c:pt>
                <c:pt idx="157">
                  <c:v>1.0924</c:v>
                </c:pt>
                <c:pt idx="158">
                  <c:v>1.0998000000000001</c:v>
                </c:pt>
                <c:pt idx="159">
                  <c:v>1.1020000000000001</c:v>
                </c:pt>
                <c:pt idx="160">
                  <c:v>1.1033999999999999</c:v>
                </c:pt>
                <c:pt idx="161">
                  <c:v>1.0974999999999999</c:v>
                </c:pt>
                <c:pt idx="162">
                  <c:v>1.0966</c:v>
                </c:pt>
                <c:pt idx="163">
                  <c:v>1.0926</c:v>
                </c:pt>
                <c:pt idx="164">
                  <c:v>1.0951</c:v>
                </c:pt>
                <c:pt idx="165">
                  <c:v>1.1001000000000001</c:v>
                </c:pt>
                <c:pt idx="166">
                  <c:v>1.1004</c:v>
                </c:pt>
                <c:pt idx="167">
                  <c:v>1.1042000000000001</c:v>
                </c:pt>
                <c:pt idx="168">
                  <c:v>1.1016999999999999</c:v>
                </c:pt>
                <c:pt idx="169">
                  <c:v>1.0949</c:v>
                </c:pt>
                <c:pt idx="170">
                  <c:v>1.0889</c:v>
                </c:pt>
                <c:pt idx="171">
                  <c:v>1.0831</c:v>
                </c:pt>
                <c:pt idx="172">
                  <c:v>1.0781000000000001</c:v>
                </c:pt>
                <c:pt idx="173">
                  <c:v>1.0831</c:v>
                </c:pt>
                <c:pt idx="174">
                  <c:v>1.0880000000000001</c:v>
                </c:pt>
                <c:pt idx="175">
                  <c:v>1.087</c:v>
                </c:pt>
                <c:pt idx="176">
                  <c:v>1.0854999999999999</c:v>
                </c:pt>
                <c:pt idx="177">
                  <c:v>1.0767</c:v>
                </c:pt>
                <c:pt idx="178">
                  <c:v>1.0782</c:v>
                </c:pt>
                <c:pt idx="179">
                  <c:v>1.0815999999999999</c:v>
                </c:pt>
                <c:pt idx="180">
                  <c:v>1.0786</c:v>
                </c:pt>
                <c:pt idx="181">
                  <c:v>1.0763</c:v>
                </c:pt>
                <c:pt idx="182">
                  <c:v>1.073</c:v>
                </c:pt>
                <c:pt idx="183">
                  <c:v>1.0712999999999999</c:v>
                </c:pt>
                <c:pt idx="184">
                  <c:v>1.0689</c:v>
                </c:pt>
                <c:pt idx="185">
                  <c:v>1.0668</c:v>
                </c:pt>
                <c:pt idx="186">
                  <c:v>1.0720000000000001</c:v>
                </c:pt>
                <c:pt idx="187">
                  <c:v>1.0740000000000001</c:v>
                </c:pt>
                <c:pt idx="188">
                  <c:v>1.075</c:v>
                </c:pt>
                <c:pt idx="189">
                  <c:v>1.0759000000000001</c:v>
                </c:pt>
                <c:pt idx="190">
                  <c:v>1.0743</c:v>
                </c:pt>
                <c:pt idx="191">
                  <c:v>1.0737000000000001</c:v>
                </c:pt>
                <c:pt idx="192">
                  <c:v>1.0773999999999999</c:v>
                </c:pt>
                <c:pt idx="193">
                  <c:v>1.0820000000000001</c:v>
                </c:pt>
                <c:pt idx="194">
                  <c:v>1.0792999999999999</c:v>
                </c:pt>
                <c:pt idx="195">
                  <c:v>1.0769</c:v>
                </c:pt>
                <c:pt idx="196">
                  <c:v>1.0759000000000001</c:v>
                </c:pt>
                <c:pt idx="197">
                  <c:v>1.0759000000000001</c:v>
                </c:pt>
                <c:pt idx="198">
                  <c:v>1.0780000000000001</c:v>
                </c:pt>
                <c:pt idx="199">
                  <c:v>1.0804</c:v>
                </c:pt>
                <c:pt idx="200">
                  <c:v>1.0821000000000001</c:v>
                </c:pt>
                <c:pt idx="201">
                  <c:v>1.0788</c:v>
                </c:pt>
                <c:pt idx="202">
                  <c:v>1.0781000000000001</c:v>
                </c:pt>
                <c:pt idx="203">
                  <c:v>1.0782</c:v>
                </c:pt>
                <c:pt idx="204">
                  <c:v>1.0792999999999999</c:v>
                </c:pt>
                <c:pt idx="205">
                  <c:v>1.0806</c:v>
                </c:pt>
                <c:pt idx="206">
                  <c:v>1.0855999999999999</c:v>
                </c:pt>
                <c:pt idx="207">
                  <c:v>1.0854999999999999</c:v>
                </c:pt>
                <c:pt idx="208">
                  <c:v>1.0865</c:v>
                </c:pt>
                <c:pt idx="209">
                  <c:v>1.0844</c:v>
                </c:pt>
                <c:pt idx="210">
                  <c:v>1.08</c:v>
                </c:pt>
                <c:pt idx="211">
                  <c:v>1.0808</c:v>
                </c:pt>
                <c:pt idx="212">
                  <c:v>1.083</c:v>
                </c:pt>
                <c:pt idx="213">
                  <c:v>1.0831</c:v>
                </c:pt>
                <c:pt idx="214">
                  <c:v>1.0827</c:v>
                </c:pt>
                <c:pt idx="215">
                  <c:v>1.0819000000000001</c:v>
                </c:pt>
                <c:pt idx="216">
                  <c:v>1.0781000000000001</c:v>
                </c:pt>
                <c:pt idx="217">
                  <c:v>1.0772999999999999</c:v>
                </c:pt>
                <c:pt idx="218">
                  <c:v>1.071</c:v>
                </c:pt>
                <c:pt idx="219">
                  <c:v>1.0718000000000001</c:v>
                </c:pt>
                <c:pt idx="220">
                  <c:v>1.0732999999999999</c:v>
                </c:pt>
                <c:pt idx="221">
                  <c:v>1.069</c:v>
                </c:pt>
                <c:pt idx="222">
                  <c:v>1.0670999999999999</c:v>
                </c:pt>
                <c:pt idx="223">
                  <c:v>1.0670999999999999</c:v>
                </c:pt>
                <c:pt idx="224">
                  <c:v>1.0633999999999999</c:v>
                </c:pt>
                <c:pt idx="225">
                  <c:v>1.0673999999999999</c:v>
                </c:pt>
                <c:pt idx="226">
                  <c:v>1.0663</c:v>
                </c:pt>
                <c:pt idx="227">
                  <c:v>1.0668</c:v>
                </c:pt>
                <c:pt idx="228">
                  <c:v>1.0685</c:v>
                </c:pt>
                <c:pt idx="229">
                  <c:v>1.0663</c:v>
                </c:pt>
                <c:pt idx="230">
                  <c:v>1.0617000000000001</c:v>
                </c:pt>
                <c:pt idx="231">
                  <c:v>1.0609999999999999</c:v>
                </c:pt>
                <c:pt idx="232">
                  <c:v>1.0617000000000001</c:v>
                </c:pt>
                <c:pt idx="233">
                  <c:v>1.0584</c:v>
                </c:pt>
                <c:pt idx="234">
                  <c:v>1.0563</c:v>
                </c:pt>
                <c:pt idx="235">
                  <c:v>1.0529999999999999</c:v>
                </c:pt>
                <c:pt idx="236">
                  <c:v>1.0467</c:v>
                </c:pt>
                <c:pt idx="237">
                  <c:v>1.0444</c:v>
                </c:pt>
                <c:pt idx="238">
                  <c:v>1.0364</c:v>
                </c:pt>
                <c:pt idx="239">
                  <c:v>1.0310999999999999</c:v>
                </c:pt>
                <c:pt idx="240">
                  <c:v>1.0289999999999999</c:v>
                </c:pt>
                <c:pt idx="241">
                  <c:v>1.026</c:v>
                </c:pt>
                <c:pt idx="242">
                  <c:v>1.0259</c:v>
                </c:pt>
                <c:pt idx="243">
                  <c:v>1.0266999999999999</c:v>
                </c:pt>
                <c:pt idx="244">
                  <c:v>1.0233000000000001</c:v>
                </c:pt>
                <c:pt idx="245">
                  <c:v>1.0276000000000001</c:v>
                </c:pt>
                <c:pt idx="246">
                  <c:v>1.0287999999999999</c:v>
                </c:pt>
                <c:pt idx="247">
                  <c:v>1.0313000000000001</c:v>
                </c:pt>
                <c:pt idx="248">
                  <c:v>1.0328999999999999</c:v>
                </c:pt>
                <c:pt idx="249">
                  <c:v>1.0328999999999999</c:v>
                </c:pt>
                <c:pt idx="250">
                  <c:v>1.0367</c:v>
                </c:pt>
                <c:pt idx="251">
                  <c:v>1.0310999999999999</c:v>
                </c:pt>
                <c:pt idx="252">
                  <c:v>1.0374000000000001</c:v>
                </c:pt>
                <c:pt idx="253">
                  <c:v>1.0398000000000001</c:v>
                </c:pt>
                <c:pt idx="254">
                  <c:v>1.0461</c:v>
                </c:pt>
                <c:pt idx="255">
                  <c:v>1.0426</c:v>
                </c:pt>
                <c:pt idx="256">
                  <c:v>1.0478000000000001</c:v>
                </c:pt>
                <c:pt idx="257">
                  <c:v>1.0478000000000001</c:v>
                </c:pt>
                <c:pt idx="258">
                  <c:v>1.0479000000000001</c:v>
                </c:pt>
                <c:pt idx="259">
                  <c:v>1.0479000000000001</c:v>
                </c:pt>
                <c:pt idx="260">
                  <c:v>1.0482</c:v>
                </c:pt>
                <c:pt idx="261">
                  <c:v>1.0485</c:v>
                </c:pt>
                <c:pt idx="262">
                  <c:v>1.0488</c:v>
                </c:pt>
                <c:pt idx="263">
                  <c:v>1.0491999999999999</c:v>
                </c:pt>
                <c:pt idx="264">
                  <c:v>1.0495000000000001</c:v>
                </c:pt>
                <c:pt idx="265">
                  <c:v>1.0498000000000001</c:v>
                </c:pt>
                <c:pt idx="266">
                  <c:v>1.0504</c:v>
                </c:pt>
                <c:pt idx="267">
                  <c:v>1.0508999999999999</c:v>
                </c:pt>
                <c:pt idx="268">
                  <c:v>1.0513999999999999</c:v>
                </c:pt>
                <c:pt idx="269">
                  <c:v>1.0519000000000001</c:v>
                </c:pt>
                <c:pt idx="270">
                  <c:v>1.0526</c:v>
                </c:pt>
                <c:pt idx="271">
                  <c:v>1.0531999999999999</c:v>
                </c:pt>
                <c:pt idx="272">
                  <c:v>1.0537000000000001</c:v>
                </c:pt>
                <c:pt idx="273">
                  <c:v>1.0545</c:v>
                </c:pt>
                <c:pt idx="274">
                  <c:v>1.0537000000000001</c:v>
                </c:pt>
                <c:pt idx="275">
                  <c:v>1.0537000000000001</c:v>
                </c:pt>
                <c:pt idx="276">
                  <c:v>1.0532999999999999</c:v>
                </c:pt>
                <c:pt idx="277">
                  <c:v>1.0533999999999999</c:v>
                </c:pt>
                <c:pt idx="278">
                  <c:v>1.0528</c:v>
                </c:pt>
                <c:pt idx="279">
                  <c:v>1.0525</c:v>
                </c:pt>
                <c:pt idx="280">
                  <c:v>1.0528</c:v>
                </c:pt>
                <c:pt idx="281">
                  <c:v>1.0531999999999999</c:v>
                </c:pt>
                <c:pt idx="282">
                  <c:v>1.0537000000000001</c:v>
                </c:pt>
                <c:pt idx="283">
                  <c:v>1.0533999999999999</c:v>
                </c:pt>
                <c:pt idx="284">
                  <c:v>1.0536000000000001</c:v>
                </c:pt>
                <c:pt idx="285">
                  <c:v>1.0531999999999999</c:v>
                </c:pt>
                <c:pt idx="286">
                  <c:v>1.0538000000000001</c:v>
                </c:pt>
                <c:pt idx="287">
                  <c:v>1.0546</c:v>
                </c:pt>
                <c:pt idx="288">
                  <c:v>1.0547</c:v>
                </c:pt>
                <c:pt idx="289">
                  <c:v>1.0543</c:v>
                </c:pt>
                <c:pt idx="290">
                  <c:v>1.0549999999999999</c:v>
                </c:pt>
                <c:pt idx="291">
                  <c:v>1.0558000000000001</c:v>
                </c:pt>
                <c:pt idx="292">
                  <c:v>1.0557000000000001</c:v>
                </c:pt>
                <c:pt idx="293">
                  <c:v>1.0566</c:v>
                </c:pt>
                <c:pt idx="294">
                  <c:v>1.0570999999999999</c:v>
                </c:pt>
                <c:pt idx="295">
                  <c:v>1.0581</c:v>
                </c:pt>
                <c:pt idx="296">
                  <c:v>1.0592999999999999</c:v>
                </c:pt>
                <c:pt idx="297">
                  <c:v>1.0606</c:v>
                </c:pt>
                <c:pt idx="298">
                  <c:v>1.0619000000000001</c:v>
                </c:pt>
                <c:pt idx="299">
                  <c:v>1.0606</c:v>
                </c:pt>
                <c:pt idx="300">
                  <c:v>1.0610999999999999</c:v>
                </c:pt>
                <c:pt idx="301">
                  <c:v>1.0605</c:v>
                </c:pt>
                <c:pt idx="302">
                  <c:v>1.0619000000000001</c:v>
                </c:pt>
                <c:pt idx="303">
                  <c:v>1.0609</c:v>
                </c:pt>
                <c:pt idx="304">
                  <c:v>1.0610999999999999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12-44FD-8999-7629DC12A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099824"/>
        <c:axId val="545100384"/>
      </c:lineChart>
      <c:catAx>
        <c:axId val="54509982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crossAx val="545100384"/>
        <c:crosses val="autoZero"/>
        <c:auto val="0"/>
        <c:lblAlgn val="ctr"/>
        <c:lblOffset val="100"/>
        <c:noMultiLvlLbl val="1"/>
      </c:catAx>
      <c:valAx>
        <c:axId val="545100384"/>
        <c:scaling>
          <c:orientation val="minMax"/>
          <c:min val="0.98"/>
        </c:scaling>
        <c:delete val="0"/>
        <c:axPos val="l"/>
        <c:majorGridlines/>
        <c:numFmt formatCode="0.0000_ " sourceLinked="1"/>
        <c:majorTickMark val="none"/>
        <c:minorTickMark val="none"/>
        <c:tickLblPos val="nextTo"/>
        <c:spPr>
          <a:ln w="9525">
            <a:noFill/>
          </a:ln>
        </c:spPr>
        <c:crossAx val="54509982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4" l="0.70000000000000062" r="0.70000000000000062" t="0.750000000000004" header="0.30000000000000032" footer="0.3000000000000003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 sz="1600"/>
              <a:t>龙珠聚配</a:t>
            </a:r>
            <a:endParaRPr lang="en-US" altLang="zh-CN" sz="16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'龙珠聚配 '!$B$20</c:f>
              <c:strCache>
                <c:ptCount val="1"/>
                <c:pt idx="0">
                  <c:v>累计净值</c:v>
                </c:pt>
              </c:strCache>
            </c:strRef>
          </c:tx>
          <c:marker>
            <c:symbol val="none"/>
          </c:marker>
          <c:cat>
            <c:numRef>
              <c:f>'龙珠聚配 '!$A$21:$A$83</c:f>
              <c:numCache>
                <c:formatCode>m/d/yyyy</c:formatCode>
                <c:ptCount val="63"/>
                <c:pt idx="0">
                  <c:v>44169</c:v>
                </c:pt>
                <c:pt idx="1">
                  <c:v>44172</c:v>
                </c:pt>
                <c:pt idx="2">
                  <c:v>44173</c:v>
                </c:pt>
                <c:pt idx="3">
                  <c:v>44174</c:v>
                </c:pt>
                <c:pt idx="4">
                  <c:v>44175</c:v>
                </c:pt>
                <c:pt idx="5">
                  <c:v>44176</c:v>
                </c:pt>
                <c:pt idx="6">
                  <c:v>44179</c:v>
                </c:pt>
                <c:pt idx="7">
                  <c:v>44180</c:v>
                </c:pt>
                <c:pt idx="8">
                  <c:v>44181</c:v>
                </c:pt>
                <c:pt idx="9">
                  <c:v>44182</c:v>
                </c:pt>
                <c:pt idx="10">
                  <c:v>44183</c:v>
                </c:pt>
                <c:pt idx="11">
                  <c:v>44186</c:v>
                </c:pt>
                <c:pt idx="12">
                  <c:v>44187</c:v>
                </c:pt>
                <c:pt idx="13">
                  <c:v>44188</c:v>
                </c:pt>
                <c:pt idx="14">
                  <c:v>44189</c:v>
                </c:pt>
                <c:pt idx="15">
                  <c:v>44190</c:v>
                </c:pt>
                <c:pt idx="16">
                  <c:v>44193</c:v>
                </c:pt>
                <c:pt idx="17">
                  <c:v>44194</c:v>
                </c:pt>
                <c:pt idx="18">
                  <c:v>44195</c:v>
                </c:pt>
                <c:pt idx="19">
                  <c:v>44196</c:v>
                </c:pt>
                <c:pt idx="20">
                  <c:v>44200</c:v>
                </c:pt>
                <c:pt idx="21">
                  <c:v>44201</c:v>
                </c:pt>
                <c:pt idx="22">
                  <c:v>44202</c:v>
                </c:pt>
                <c:pt idx="23">
                  <c:v>44203</c:v>
                </c:pt>
                <c:pt idx="24">
                  <c:v>44204</c:v>
                </c:pt>
                <c:pt idx="25">
                  <c:v>44207</c:v>
                </c:pt>
                <c:pt idx="26">
                  <c:v>44208</c:v>
                </c:pt>
                <c:pt idx="27">
                  <c:v>44209</c:v>
                </c:pt>
                <c:pt idx="28">
                  <c:v>44210</c:v>
                </c:pt>
                <c:pt idx="29">
                  <c:v>44211</c:v>
                </c:pt>
                <c:pt idx="30">
                  <c:v>44214</c:v>
                </c:pt>
                <c:pt idx="31">
                  <c:v>44215</c:v>
                </c:pt>
                <c:pt idx="32">
                  <c:v>44216</c:v>
                </c:pt>
                <c:pt idx="33">
                  <c:v>44217</c:v>
                </c:pt>
                <c:pt idx="34">
                  <c:v>44218</c:v>
                </c:pt>
                <c:pt idx="35">
                  <c:v>44221</c:v>
                </c:pt>
                <c:pt idx="36">
                  <c:v>44222</c:v>
                </c:pt>
                <c:pt idx="37">
                  <c:v>44223</c:v>
                </c:pt>
                <c:pt idx="38">
                  <c:v>44224</c:v>
                </c:pt>
                <c:pt idx="39">
                  <c:v>44225</c:v>
                </c:pt>
                <c:pt idx="40">
                  <c:v>44228</c:v>
                </c:pt>
                <c:pt idx="41">
                  <c:v>44229</c:v>
                </c:pt>
                <c:pt idx="42">
                  <c:v>44230</c:v>
                </c:pt>
                <c:pt idx="43">
                  <c:v>44231</c:v>
                </c:pt>
                <c:pt idx="44">
                  <c:v>44232</c:v>
                </c:pt>
                <c:pt idx="45">
                  <c:v>44235</c:v>
                </c:pt>
                <c:pt idx="46">
                  <c:v>44236</c:v>
                </c:pt>
                <c:pt idx="47">
                  <c:v>44237</c:v>
                </c:pt>
                <c:pt idx="48">
                  <c:v>44245</c:v>
                </c:pt>
                <c:pt idx="49">
                  <c:v>44246</c:v>
                </c:pt>
                <c:pt idx="50">
                  <c:v>44249</c:v>
                </c:pt>
                <c:pt idx="51">
                  <c:v>44250</c:v>
                </c:pt>
                <c:pt idx="52">
                  <c:v>44251</c:v>
                </c:pt>
                <c:pt idx="53">
                  <c:v>44252</c:v>
                </c:pt>
                <c:pt idx="54">
                  <c:v>44253</c:v>
                </c:pt>
                <c:pt idx="55">
                  <c:v>44256</c:v>
                </c:pt>
                <c:pt idx="56">
                  <c:v>44257</c:v>
                </c:pt>
                <c:pt idx="57">
                  <c:v>44258</c:v>
                </c:pt>
                <c:pt idx="58">
                  <c:v>44259</c:v>
                </c:pt>
                <c:pt idx="59">
                  <c:v>44260</c:v>
                </c:pt>
                <c:pt idx="60">
                  <c:v>44263</c:v>
                </c:pt>
                <c:pt idx="61">
                  <c:v>44264</c:v>
                </c:pt>
                <c:pt idx="62">
                  <c:v>44265</c:v>
                </c:pt>
              </c:numCache>
            </c:numRef>
          </c:cat>
          <c:val>
            <c:numRef>
              <c:f>'龙珠聚配 '!$B$21:$B$83</c:f>
              <c:numCache>
                <c:formatCode>0.0000_ </c:formatCode>
                <c:ptCount val="63"/>
                <c:pt idx="0">
                  <c:v>1.004</c:v>
                </c:pt>
                <c:pt idx="1">
                  <c:v>1.0029999999999999</c:v>
                </c:pt>
                <c:pt idx="2">
                  <c:v>1.004</c:v>
                </c:pt>
                <c:pt idx="3">
                  <c:v>1.004</c:v>
                </c:pt>
                <c:pt idx="4">
                  <c:v>1.0029999999999999</c:v>
                </c:pt>
                <c:pt idx="5">
                  <c:v>0.997</c:v>
                </c:pt>
                <c:pt idx="6">
                  <c:v>1.002</c:v>
                </c:pt>
                <c:pt idx="7">
                  <c:v>1.004</c:v>
                </c:pt>
                <c:pt idx="8">
                  <c:v>1.002</c:v>
                </c:pt>
                <c:pt idx="9">
                  <c:v>1.006</c:v>
                </c:pt>
                <c:pt idx="10">
                  <c:v>1.002</c:v>
                </c:pt>
                <c:pt idx="11">
                  <c:v>1.0009999999999999</c:v>
                </c:pt>
                <c:pt idx="12">
                  <c:v>0.997</c:v>
                </c:pt>
                <c:pt idx="13">
                  <c:v>0.995</c:v>
                </c:pt>
                <c:pt idx="14">
                  <c:v>0.98899999999999999</c:v>
                </c:pt>
                <c:pt idx="15">
                  <c:v>0.99399999999999999</c:v>
                </c:pt>
                <c:pt idx="16">
                  <c:v>0.98599999999999999</c:v>
                </c:pt>
                <c:pt idx="17">
                  <c:v>0.98099999999999998</c:v>
                </c:pt>
                <c:pt idx="18">
                  <c:v>0.97899999999999998</c:v>
                </c:pt>
                <c:pt idx="19">
                  <c:v>0.98699999999999999</c:v>
                </c:pt>
                <c:pt idx="20">
                  <c:v>1.002</c:v>
                </c:pt>
                <c:pt idx="21">
                  <c:v>0.995</c:v>
                </c:pt>
                <c:pt idx="22">
                  <c:v>0.99199999999999999</c:v>
                </c:pt>
                <c:pt idx="23">
                  <c:v>0.99199999999999999</c:v>
                </c:pt>
                <c:pt idx="24">
                  <c:v>0.98699999999999999</c:v>
                </c:pt>
                <c:pt idx="25">
                  <c:v>0.97499999999999998</c:v>
                </c:pt>
                <c:pt idx="26">
                  <c:v>0.97199999999999998</c:v>
                </c:pt>
                <c:pt idx="27">
                  <c:v>0.95599999999999996</c:v>
                </c:pt>
                <c:pt idx="28">
                  <c:v>0.95499999999999996</c:v>
                </c:pt>
                <c:pt idx="29">
                  <c:v>0.97499999999999998</c:v>
                </c:pt>
                <c:pt idx="30">
                  <c:v>0.99099999999999999</c:v>
                </c:pt>
                <c:pt idx="31">
                  <c:v>0.99199999999999999</c:v>
                </c:pt>
                <c:pt idx="32">
                  <c:v>0.99099999999999999</c:v>
                </c:pt>
                <c:pt idx="33">
                  <c:v>0.99</c:v>
                </c:pt>
                <c:pt idx="34">
                  <c:v>0.98299999999999998</c:v>
                </c:pt>
                <c:pt idx="35">
                  <c:v>0.98299999999999998</c:v>
                </c:pt>
                <c:pt idx="36">
                  <c:v>0.97499999999999998</c:v>
                </c:pt>
                <c:pt idx="37">
                  <c:v>0.97399999999999998</c:v>
                </c:pt>
                <c:pt idx="38">
                  <c:v>0.96599999999999997</c:v>
                </c:pt>
                <c:pt idx="39">
                  <c:v>0.96</c:v>
                </c:pt>
                <c:pt idx="40">
                  <c:v>0.95899999999999996</c:v>
                </c:pt>
                <c:pt idx="41">
                  <c:v>0.95699999999999996</c:v>
                </c:pt>
                <c:pt idx="42">
                  <c:v>0.95199999999999996</c:v>
                </c:pt>
                <c:pt idx="43">
                  <c:v>0.95199999999999996</c:v>
                </c:pt>
                <c:pt idx="44">
                  <c:v>0.91700000000000004</c:v>
                </c:pt>
                <c:pt idx="45">
                  <c:v>0.90700000000000003</c:v>
                </c:pt>
                <c:pt idx="46">
                  <c:v>0.92100000000000004</c:v>
                </c:pt>
                <c:pt idx="47">
                  <c:v>0.92400000000000004</c:v>
                </c:pt>
                <c:pt idx="48">
                  <c:v>0.94299999999999995</c:v>
                </c:pt>
                <c:pt idx="49">
                  <c:v>0.97399999999999998</c:v>
                </c:pt>
                <c:pt idx="50">
                  <c:v>0.98399999999999999</c:v>
                </c:pt>
                <c:pt idx="51">
                  <c:v>0.97499999999999998</c:v>
                </c:pt>
                <c:pt idx="52">
                  <c:v>0.97099999999999997</c:v>
                </c:pt>
                <c:pt idx="53">
                  <c:v>0.96299999999999997</c:v>
                </c:pt>
                <c:pt idx="54">
                  <c:v>0.96299999999999997</c:v>
                </c:pt>
                <c:pt idx="55">
                  <c:v>0.98899999999999999</c:v>
                </c:pt>
                <c:pt idx="56">
                  <c:v>0.98099999999999998</c:v>
                </c:pt>
                <c:pt idx="57">
                  <c:v>0.98599999999999999</c:v>
                </c:pt>
                <c:pt idx="58">
                  <c:v>0.96899999999999997</c:v>
                </c:pt>
                <c:pt idx="59">
                  <c:v>0.98</c:v>
                </c:pt>
                <c:pt idx="60">
                  <c:v>0.95899999999999996</c:v>
                </c:pt>
                <c:pt idx="61">
                  <c:v>0.95599999999999996</c:v>
                </c:pt>
                <c:pt idx="62">
                  <c:v>0.95599999999999996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5B-4D25-BC39-811F66B0E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099824"/>
        <c:axId val="545100384"/>
      </c:lineChart>
      <c:catAx>
        <c:axId val="54509982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crossAx val="545100384"/>
        <c:crosses val="autoZero"/>
        <c:auto val="0"/>
        <c:lblAlgn val="ctr"/>
        <c:lblOffset val="100"/>
        <c:noMultiLvlLbl val="1"/>
      </c:catAx>
      <c:valAx>
        <c:axId val="545100384"/>
        <c:scaling>
          <c:orientation val="minMax"/>
          <c:min val="0.9"/>
        </c:scaling>
        <c:delete val="0"/>
        <c:axPos val="l"/>
        <c:majorGridlines/>
        <c:numFmt formatCode="0.0000_ " sourceLinked="1"/>
        <c:majorTickMark val="none"/>
        <c:minorTickMark val="none"/>
        <c:tickLblPos val="nextTo"/>
        <c:spPr>
          <a:ln w="9525">
            <a:noFill/>
          </a:ln>
        </c:spPr>
        <c:crossAx val="54509982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4" l="0.70000000000000062" r="0.70000000000000062" t="0.750000000000004" header="0.30000000000000032" footer="0.3000000000000003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 sz="1600"/>
              <a:t>鼎一兑弈</a:t>
            </a:r>
            <a:endParaRPr lang="en-US" altLang="zh-CN" sz="16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鼎一兑弈!$B$20</c:f>
              <c:strCache>
                <c:ptCount val="1"/>
                <c:pt idx="0">
                  <c:v>累计净值</c:v>
                </c:pt>
              </c:strCache>
            </c:strRef>
          </c:tx>
          <c:marker>
            <c:symbol val="none"/>
          </c:marker>
          <c:cat>
            <c:numRef>
              <c:f>鼎一兑弈!$A$21:$A$213</c:f>
              <c:numCache>
                <c:formatCode>m/d/yyyy</c:formatCode>
                <c:ptCount val="193"/>
                <c:pt idx="0">
                  <c:v>43983</c:v>
                </c:pt>
                <c:pt idx="1">
                  <c:v>43984</c:v>
                </c:pt>
                <c:pt idx="2">
                  <c:v>43985</c:v>
                </c:pt>
                <c:pt idx="3">
                  <c:v>43986</c:v>
                </c:pt>
                <c:pt idx="4">
                  <c:v>43987</c:v>
                </c:pt>
                <c:pt idx="5">
                  <c:v>43990</c:v>
                </c:pt>
                <c:pt idx="6">
                  <c:v>43991</c:v>
                </c:pt>
                <c:pt idx="7">
                  <c:v>43992</c:v>
                </c:pt>
                <c:pt idx="8">
                  <c:v>43993</c:v>
                </c:pt>
                <c:pt idx="9">
                  <c:v>43994</c:v>
                </c:pt>
                <c:pt idx="10">
                  <c:v>43997</c:v>
                </c:pt>
                <c:pt idx="11">
                  <c:v>43998</c:v>
                </c:pt>
                <c:pt idx="12">
                  <c:v>43999</c:v>
                </c:pt>
                <c:pt idx="13">
                  <c:v>44000</c:v>
                </c:pt>
                <c:pt idx="14">
                  <c:v>44001</c:v>
                </c:pt>
                <c:pt idx="15">
                  <c:v>44004</c:v>
                </c:pt>
                <c:pt idx="16">
                  <c:v>44005</c:v>
                </c:pt>
                <c:pt idx="17">
                  <c:v>44006</c:v>
                </c:pt>
                <c:pt idx="18">
                  <c:v>44011</c:v>
                </c:pt>
                <c:pt idx="19">
                  <c:v>44012</c:v>
                </c:pt>
                <c:pt idx="20">
                  <c:v>44013</c:v>
                </c:pt>
                <c:pt idx="21">
                  <c:v>44014</c:v>
                </c:pt>
                <c:pt idx="22">
                  <c:v>44015</c:v>
                </c:pt>
                <c:pt idx="23">
                  <c:v>44018</c:v>
                </c:pt>
                <c:pt idx="24">
                  <c:v>44019</c:v>
                </c:pt>
                <c:pt idx="25">
                  <c:v>44020</c:v>
                </c:pt>
                <c:pt idx="26">
                  <c:v>44021</c:v>
                </c:pt>
                <c:pt idx="27">
                  <c:v>44022</c:v>
                </c:pt>
                <c:pt idx="28">
                  <c:v>44025</c:v>
                </c:pt>
                <c:pt idx="29">
                  <c:v>44026</c:v>
                </c:pt>
                <c:pt idx="30">
                  <c:v>44027</c:v>
                </c:pt>
                <c:pt idx="31">
                  <c:v>44028</c:v>
                </c:pt>
                <c:pt idx="32">
                  <c:v>44029</c:v>
                </c:pt>
                <c:pt idx="33">
                  <c:v>44032</c:v>
                </c:pt>
                <c:pt idx="34">
                  <c:v>44033</c:v>
                </c:pt>
                <c:pt idx="35">
                  <c:v>44034</c:v>
                </c:pt>
                <c:pt idx="36">
                  <c:v>44035</c:v>
                </c:pt>
                <c:pt idx="37">
                  <c:v>44036</c:v>
                </c:pt>
                <c:pt idx="38">
                  <c:v>44039</c:v>
                </c:pt>
                <c:pt idx="39">
                  <c:v>44040</c:v>
                </c:pt>
                <c:pt idx="40">
                  <c:v>44041</c:v>
                </c:pt>
                <c:pt idx="41">
                  <c:v>44042</c:v>
                </c:pt>
                <c:pt idx="42">
                  <c:v>44043</c:v>
                </c:pt>
                <c:pt idx="43">
                  <c:v>44046</c:v>
                </c:pt>
                <c:pt idx="44">
                  <c:v>44047</c:v>
                </c:pt>
                <c:pt idx="45">
                  <c:v>44048</c:v>
                </c:pt>
                <c:pt idx="46">
                  <c:v>44049</c:v>
                </c:pt>
                <c:pt idx="47">
                  <c:v>44050</c:v>
                </c:pt>
                <c:pt idx="48">
                  <c:v>44053</c:v>
                </c:pt>
                <c:pt idx="49">
                  <c:v>44054</c:v>
                </c:pt>
                <c:pt idx="50">
                  <c:v>44055</c:v>
                </c:pt>
                <c:pt idx="51">
                  <c:v>44056</c:v>
                </c:pt>
                <c:pt idx="52">
                  <c:v>44057</c:v>
                </c:pt>
                <c:pt idx="53">
                  <c:v>44060</c:v>
                </c:pt>
                <c:pt idx="54">
                  <c:v>44061</c:v>
                </c:pt>
                <c:pt idx="55">
                  <c:v>44062</c:v>
                </c:pt>
                <c:pt idx="56">
                  <c:v>44063</c:v>
                </c:pt>
                <c:pt idx="57">
                  <c:v>44064</c:v>
                </c:pt>
                <c:pt idx="58">
                  <c:v>44067</c:v>
                </c:pt>
                <c:pt idx="59">
                  <c:v>44068</c:v>
                </c:pt>
                <c:pt idx="60">
                  <c:v>44069</c:v>
                </c:pt>
                <c:pt idx="61">
                  <c:v>44070</c:v>
                </c:pt>
                <c:pt idx="62">
                  <c:v>44071</c:v>
                </c:pt>
                <c:pt idx="63">
                  <c:v>44074</c:v>
                </c:pt>
                <c:pt idx="64">
                  <c:v>44075</c:v>
                </c:pt>
                <c:pt idx="65">
                  <c:v>44076</c:v>
                </c:pt>
                <c:pt idx="66">
                  <c:v>44077</c:v>
                </c:pt>
                <c:pt idx="67">
                  <c:v>44078</c:v>
                </c:pt>
                <c:pt idx="68">
                  <c:v>44081</c:v>
                </c:pt>
                <c:pt idx="69">
                  <c:v>44082</c:v>
                </c:pt>
                <c:pt idx="70">
                  <c:v>44083</c:v>
                </c:pt>
                <c:pt idx="71">
                  <c:v>44084</c:v>
                </c:pt>
                <c:pt idx="72">
                  <c:v>44085</c:v>
                </c:pt>
                <c:pt idx="73">
                  <c:v>44088</c:v>
                </c:pt>
                <c:pt idx="74">
                  <c:v>44089</c:v>
                </c:pt>
                <c:pt idx="75">
                  <c:v>44090</c:v>
                </c:pt>
                <c:pt idx="76">
                  <c:v>44091</c:v>
                </c:pt>
                <c:pt idx="77">
                  <c:v>44092</c:v>
                </c:pt>
                <c:pt idx="78">
                  <c:v>44095</c:v>
                </c:pt>
                <c:pt idx="79">
                  <c:v>44096</c:v>
                </c:pt>
                <c:pt idx="80">
                  <c:v>44097</c:v>
                </c:pt>
                <c:pt idx="81">
                  <c:v>44098</c:v>
                </c:pt>
                <c:pt idx="82">
                  <c:v>44099</c:v>
                </c:pt>
                <c:pt idx="83">
                  <c:v>44102</c:v>
                </c:pt>
                <c:pt idx="84">
                  <c:v>44103</c:v>
                </c:pt>
                <c:pt idx="85">
                  <c:v>44104</c:v>
                </c:pt>
                <c:pt idx="86">
                  <c:v>44113</c:v>
                </c:pt>
                <c:pt idx="87">
                  <c:v>44116</c:v>
                </c:pt>
                <c:pt idx="88">
                  <c:v>44117</c:v>
                </c:pt>
                <c:pt idx="89">
                  <c:v>44118</c:v>
                </c:pt>
                <c:pt idx="90">
                  <c:v>44119</c:v>
                </c:pt>
                <c:pt idx="91">
                  <c:v>44120</c:v>
                </c:pt>
                <c:pt idx="92">
                  <c:v>44123</c:v>
                </c:pt>
                <c:pt idx="93">
                  <c:v>44124</c:v>
                </c:pt>
                <c:pt idx="94">
                  <c:v>44125</c:v>
                </c:pt>
                <c:pt idx="95">
                  <c:v>44126</c:v>
                </c:pt>
                <c:pt idx="96">
                  <c:v>44127</c:v>
                </c:pt>
                <c:pt idx="97">
                  <c:v>44130</c:v>
                </c:pt>
                <c:pt idx="98">
                  <c:v>44131</c:v>
                </c:pt>
                <c:pt idx="99">
                  <c:v>44132</c:v>
                </c:pt>
                <c:pt idx="100">
                  <c:v>44133</c:v>
                </c:pt>
                <c:pt idx="101">
                  <c:v>44134</c:v>
                </c:pt>
                <c:pt idx="102">
                  <c:v>44137</c:v>
                </c:pt>
                <c:pt idx="103">
                  <c:v>44138</c:v>
                </c:pt>
                <c:pt idx="104">
                  <c:v>44139</c:v>
                </c:pt>
                <c:pt idx="105">
                  <c:v>44140</c:v>
                </c:pt>
                <c:pt idx="106">
                  <c:v>44141</c:v>
                </c:pt>
                <c:pt idx="107">
                  <c:v>44144</c:v>
                </c:pt>
                <c:pt idx="108">
                  <c:v>44145</c:v>
                </c:pt>
                <c:pt idx="109">
                  <c:v>44146</c:v>
                </c:pt>
                <c:pt idx="110">
                  <c:v>44147</c:v>
                </c:pt>
                <c:pt idx="111">
                  <c:v>44148</c:v>
                </c:pt>
                <c:pt idx="112">
                  <c:v>44151</c:v>
                </c:pt>
                <c:pt idx="113">
                  <c:v>44152</c:v>
                </c:pt>
                <c:pt idx="114">
                  <c:v>44153</c:v>
                </c:pt>
                <c:pt idx="115">
                  <c:v>44154</c:v>
                </c:pt>
                <c:pt idx="116">
                  <c:v>44155</c:v>
                </c:pt>
                <c:pt idx="117">
                  <c:v>44158</c:v>
                </c:pt>
                <c:pt idx="118">
                  <c:v>44159</c:v>
                </c:pt>
                <c:pt idx="119">
                  <c:v>44160</c:v>
                </c:pt>
                <c:pt idx="120">
                  <c:v>44161</c:v>
                </c:pt>
                <c:pt idx="121">
                  <c:v>44162</c:v>
                </c:pt>
                <c:pt idx="122">
                  <c:v>44165</c:v>
                </c:pt>
                <c:pt idx="123">
                  <c:v>44166</c:v>
                </c:pt>
                <c:pt idx="124">
                  <c:v>44167</c:v>
                </c:pt>
                <c:pt idx="125">
                  <c:v>44168</c:v>
                </c:pt>
                <c:pt idx="126">
                  <c:v>44169</c:v>
                </c:pt>
                <c:pt idx="127">
                  <c:v>44172</c:v>
                </c:pt>
                <c:pt idx="128">
                  <c:v>44173</c:v>
                </c:pt>
                <c:pt idx="129">
                  <c:v>44174</c:v>
                </c:pt>
                <c:pt idx="130">
                  <c:v>44175</c:v>
                </c:pt>
                <c:pt idx="131">
                  <c:v>44176</c:v>
                </c:pt>
                <c:pt idx="132">
                  <c:v>44179</c:v>
                </c:pt>
                <c:pt idx="133">
                  <c:v>44180</c:v>
                </c:pt>
                <c:pt idx="134">
                  <c:v>44181</c:v>
                </c:pt>
                <c:pt idx="135">
                  <c:v>44182</c:v>
                </c:pt>
                <c:pt idx="136">
                  <c:v>44183</c:v>
                </c:pt>
                <c:pt idx="137">
                  <c:v>44186</c:v>
                </c:pt>
                <c:pt idx="138">
                  <c:v>44187</c:v>
                </c:pt>
                <c:pt idx="139">
                  <c:v>44188</c:v>
                </c:pt>
                <c:pt idx="140">
                  <c:v>44189</c:v>
                </c:pt>
                <c:pt idx="141">
                  <c:v>44190</c:v>
                </c:pt>
                <c:pt idx="142">
                  <c:v>44193</c:v>
                </c:pt>
                <c:pt idx="143">
                  <c:v>44194</c:v>
                </c:pt>
                <c:pt idx="144">
                  <c:v>44195</c:v>
                </c:pt>
                <c:pt idx="145">
                  <c:v>44196</c:v>
                </c:pt>
                <c:pt idx="146">
                  <c:v>44200</c:v>
                </c:pt>
                <c:pt idx="147">
                  <c:v>44201</c:v>
                </c:pt>
                <c:pt idx="148">
                  <c:v>44202</c:v>
                </c:pt>
                <c:pt idx="149">
                  <c:v>44203</c:v>
                </c:pt>
                <c:pt idx="150">
                  <c:v>44204</c:v>
                </c:pt>
                <c:pt idx="151">
                  <c:v>44207</c:v>
                </c:pt>
                <c:pt idx="152">
                  <c:v>44208</c:v>
                </c:pt>
                <c:pt idx="153">
                  <c:v>44209</c:v>
                </c:pt>
                <c:pt idx="154">
                  <c:v>44210</c:v>
                </c:pt>
                <c:pt idx="155">
                  <c:v>44211</c:v>
                </c:pt>
                <c:pt idx="156">
                  <c:v>44214</c:v>
                </c:pt>
                <c:pt idx="157">
                  <c:v>44215</c:v>
                </c:pt>
                <c:pt idx="158">
                  <c:v>44216</c:v>
                </c:pt>
                <c:pt idx="159">
                  <c:v>44217</c:v>
                </c:pt>
                <c:pt idx="160">
                  <c:v>44218</c:v>
                </c:pt>
                <c:pt idx="161">
                  <c:v>44221</c:v>
                </c:pt>
                <c:pt idx="162">
                  <c:v>44222</c:v>
                </c:pt>
                <c:pt idx="163">
                  <c:v>44223</c:v>
                </c:pt>
                <c:pt idx="164">
                  <c:v>44224</c:v>
                </c:pt>
                <c:pt idx="165">
                  <c:v>44225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44232</c:v>
                </c:pt>
                <c:pt idx="171">
                  <c:v>44235</c:v>
                </c:pt>
                <c:pt idx="172">
                  <c:v>44236</c:v>
                </c:pt>
                <c:pt idx="173">
                  <c:v>44237</c:v>
                </c:pt>
                <c:pt idx="174">
                  <c:v>44245</c:v>
                </c:pt>
                <c:pt idx="175">
                  <c:v>44246</c:v>
                </c:pt>
                <c:pt idx="176">
                  <c:v>44249</c:v>
                </c:pt>
                <c:pt idx="177">
                  <c:v>44250</c:v>
                </c:pt>
                <c:pt idx="178">
                  <c:v>44251</c:v>
                </c:pt>
                <c:pt idx="179">
                  <c:v>44252</c:v>
                </c:pt>
                <c:pt idx="180">
                  <c:v>44253</c:v>
                </c:pt>
                <c:pt idx="181">
                  <c:v>44256</c:v>
                </c:pt>
                <c:pt idx="182">
                  <c:v>44257</c:v>
                </c:pt>
                <c:pt idx="183">
                  <c:v>44258</c:v>
                </c:pt>
                <c:pt idx="184">
                  <c:v>44259</c:v>
                </c:pt>
                <c:pt idx="185">
                  <c:v>44260</c:v>
                </c:pt>
                <c:pt idx="186">
                  <c:v>44263</c:v>
                </c:pt>
                <c:pt idx="187">
                  <c:v>44264</c:v>
                </c:pt>
                <c:pt idx="188">
                  <c:v>44265</c:v>
                </c:pt>
                <c:pt idx="189">
                  <c:v>44266</c:v>
                </c:pt>
                <c:pt idx="190">
                  <c:v>44267</c:v>
                </c:pt>
                <c:pt idx="191">
                  <c:v>44270</c:v>
                </c:pt>
                <c:pt idx="192">
                  <c:v>44271</c:v>
                </c:pt>
              </c:numCache>
            </c:numRef>
          </c:cat>
          <c:val>
            <c:numRef>
              <c:f>鼎一兑弈!$B$21:$B$213</c:f>
              <c:numCache>
                <c:formatCode>0.0000_ </c:formatCode>
                <c:ptCount val="193"/>
                <c:pt idx="0">
                  <c:v>1.232</c:v>
                </c:pt>
                <c:pt idx="1">
                  <c:v>1.234</c:v>
                </c:pt>
                <c:pt idx="2">
                  <c:v>1.244</c:v>
                </c:pt>
                <c:pt idx="3">
                  <c:v>1.25</c:v>
                </c:pt>
                <c:pt idx="4">
                  <c:v>1.248</c:v>
                </c:pt>
                <c:pt idx="5">
                  <c:v>1.242</c:v>
                </c:pt>
                <c:pt idx="6">
                  <c:v>1.2390000000000001</c:v>
                </c:pt>
                <c:pt idx="7">
                  <c:v>1.2470000000000001</c:v>
                </c:pt>
                <c:pt idx="8">
                  <c:v>1.2390000000000001</c:v>
                </c:pt>
                <c:pt idx="9">
                  <c:v>1.2689999999999999</c:v>
                </c:pt>
                <c:pt idx="10">
                  <c:v>1.25</c:v>
                </c:pt>
                <c:pt idx="11">
                  <c:v>1.2350000000000001</c:v>
                </c:pt>
                <c:pt idx="12">
                  <c:v>1.228</c:v>
                </c:pt>
                <c:pt idx="13">
                  <c:v>1.2170000000000001</c:v>
                </c:pt>
                <c:pt idx="14">
                  <c:v>1.2250000000000001</c:v>
                </c:pt>
                <c:pt idx="15">
                  <c:v>1.218</c:v>
                </c:pt>
                <c:pt idx="16">
                  <c:v>1.2130000000000001</c:v>
                </c:pt>
                <c:pt idx="17">
                  <c:v>1.2090000000000001</c:v>
                </c:pt>
                <c:pt idx="18">
                  <c:v>1.2130000000000001</c:v>
                </c:pt>
                <c:pt idx="19">
                  <c:v>1.2110000000000001</c:v>
                </c:pt>
                <c:pt idx="20">
                  <c:v>1.2110000000000001</c:v>
                </c:pt>
                <c:pt idx="21">
                  <c:v>1.21</c:v>
                </c:pt>
                <c:pt idx="22">
                  <c:v>1.2130000000000001</c:v>
                </c:pt>
                <c:pt idx="23">
                  <c:v>1.214</c:v>
                </c:pt>
                <c:pt idx="24">
                  <c:v>1.2130000000000001</c:v>
                </c:pt>
                <c:pt idx="25">
                  <c:v>1.2150000000000001</c:v>
                </c:pt>
                <c:pt idx="26">
                  <c:v>1.214</c:v>
                </c:pt>
                <c:pt idx="27">
                  <c:v>1.216</c:v>
                </c:pt>
                <c:pt idx="28">
                  <c:v>1.2130000000000001</c:v>
                </c:pt>
                <c:pt idx="29">
                  <c:v>1.21</c:v>
                </c:pt>
                <c:pt idx="30">
                  <c:v>1.21</c:v>
                </c:pt>
                <c:pt idx="31">
                  <c:v>1.2030000000000001</c:v>
                </c:pt>
                <c:pt idx="32">
                  <c:v>1.2030000000000001</c:v>
                </c:pt>
                <c:pt idx="33">
                  <c:v>1.204</c:v>
                </c:pt>
                <c:pt idx="34">
                  <c:v>1.2050000000000001</c:v>
                </c:pt>
                <c:pt idx="35">
                  <c:v>1.2090000000000001</c:v>
                </c:pt>
                <c:pt idx="36">
                  <c:v>1.2050000000000001</c:v>
                </c:pt>
                <c:pt idx="37">
                  <c:v>1.204</c:v>
                </c:pt>
                <c:pt idx="38">
                  <c:v>1.2010000000000001</c:v>
                </c:pt>
                <c:pt idx="39">
                  <c:v>1.2090000000000001</c:v>
                </c:pt>
                <c:pt idx="40">
                  <c:v>1.2050000000000001</c:v>
                </c:pt>
                <c:pt idx="41">
                  <c:v>1.2030000000000001</c:v>
                </c:pt>
                <c:pt idx="42">
                  <c:v>1.202</c:v>
                </c:pt>
                <c:pt idx="43">
                  <c:v>1.208</c:v>
                </c:pt>
                <c:pt idx="44">
                  <c:v>1.21</c:v>
                </c:pt>
                <c:pt idx="45">
                  <c:v>1.2150000000000001</c:v>
                </c:pt>
                <c:pt idx="46">
                  <c:v>1.2190000000000001</c:v>
                </c:pt>
                <c:pt idx="47">
                  <c:v>1.2210000000000001</c:v>
                </c:pt>
                <c:pt idx="48">
                  <c:v>1.222</c:v>
                </c:pt>
                <c:pt idx="49">
                  <c:v>1.2250000000000001</c:v>
                </c:pt>
                <c:pt idx="50">
                  <c:v>1.228</c:v>
                </c:pt>
                <c:pt idx="51">
                  <c:v>1.226</c:v>
                </c:pt>
                <c:pt idx="52">
                  <c:v>1.2250000000000001</c:v>
                </c:pt>
                <c:pt idx="53">
                  <c:v>1.2230000000000001</c:v>
                </c:pt>
                <c:pt idx="54">
                  <c:v>1.226</c:v>
                </c:pt>
                <c:pt idx="55">
                  <c:v>1.2290000000000001</c:v>
                </c:pt>
                <c:pt idx="56">
                  <c:v>1.232</c:v>
                </c:pt>
                <c:pt idx="57">
                  <c:v>1.2390000000000001</c:v>
                </c:pt>
                <c:pt idx="58">
                  <c:v>1.2310000000000001</c:v>
                </c:pt>
                <c:pt idx="59">
                  <c:v>1.23</c:v>
                </c:pt>
                <c:pt idx="60">
                  <c:v>1.226</c:v>
                </c:pt>
                <c:pt idx="61">
                  <c:v>1.22</c:v>
                </c:pt>
                <c:pt idx="62">
                  <c:v>1.222</c:v>
                </c:pt>
                <c:pt idx="63">
                  <c:v>1.2270000000000001</c:v>
                </c:pt>
                <c:pt idx="64">
                  <c:v>1.23</c:v>
                </c:pt>
                <c:pt idx="65">
                  <c:v>1.24</c:v>
                </c:pt>
                <c:pt idx="66">
                  <c:v>1.256</c:v>
                </c:pt>
                <c:pt idx="67">
                  <c:v>1.2589999999999999</c:v>
                </c:pt>
                <c:pt idx="68">
                  <c:v>1.262</c:v>
                </c:pt>
                <c:pt idx="69">
                  <c:v>1.2649999999999999</c:v>
                </c:pt>
                <c:pt idx="70">
                  <c:v>1.3</c:v>
                </c:pt>
                <c:pt idx="71">
                  <c:v>1.3029999999999999</c:v>
                </c:pt>
                <c:pt idx="72">
                  <c:v>1.2989999999999999</c:v>
                </c:pt>
                <c:pt idx="73">
                  <c:v>1.3</c:v>
                </c:pt>
                <c:pt idx="74">
                  <c:v>1.2989999999999999</c:v>
                </c:pt>
                <c:pt idx="75">
                  <c:v>1.28</c:v>
                </c:pt>
                <c:pt idx="76">
                  <c:v>1.2689999999999999</c:v>
                </c:pt>
                <c:pt idx="77">
                  <c:v>1.2629999999999999</c:v>
                </c:pt>
                <c:pt idx="78">
                  <c:v>1.256</c:v>
                </c:pt>
                <c:pt idx="79">
                  <c:v>1.266</c:v>
                </c:pt>
                <c:pt idx="80">
                  <c:v>1.2709999999999999</c:v>
                </c:pt>
                <c:pt idx="81">
                  <c:v>1.2749999999999999</c:v>
                </c:pt>
                <c:pt idx="82">
                  <c:v>1.2689999999999999</c:v>
                </c:pt>
                <c:pt idx="83">
                  <c:v>1.2609999999999999</c:v>
                </c:pt>
                <c:pt idx="84">
                  <c:v>1.264</c:v>
                </c:pt>
                <c:pt idx="85">
                  <c:v>1.2689999999999999</c:v>
                </c:pt>
                <c:pt idx="86">
                  <c:v>1.258</c:v>
                </c:pt>
                <c:pt idx="87">
                  <c:v>1.274</c:v>
                </c:pt>
                <c:pt idx="88">
                  <c:v>1.2709999999999999</c:v>
                </c:pt>
                <c:pt idx="89">
                  <c:v>1.2689999999999999</c:v>
                </c:pt>
                <c:pt idx="90">
                  <c:v>1.2589999999999999</c:v>
                </c:pt>
                <c:pt idx="91">
                  <c:v>1.2529999999999999</c:v>
                </c:pt>
                <c:pt idx="92">
                  <c:v>1.2529999999999999</c:v>
                </c:pt>
                <c:pt idx="93">
                  <c:v>1.2490000000000001</c:v>
                </c:pt>
                <c:pt idx="94">
                  <c:v>1.244</c:v>
                </c:pt>
                <c:pt idx="95">
                  <c:v>1.246</c:v>
                </c:pt>
                <c:pt idx="96">
                  <c:v>1.236</c:v>
                </c:pt>
                <c:pt idx="97">
                  <c:v>1.2430000000000001</c:v>
                </c:pt>
                <c:pt idx="98">
                  <c:v>1.254</c:v>
                </c:pt>
                <c:pt idx="99">
                  <c:v>1.256</c:v>
                </c:pt>
                <c:pt idx="100">
                  <c:v>1.2649999999999999</c:v>
                </c:pt>
                <c:pt idx="101">
                  <c:v>1.3009999999999999</c:v>
                </c:pt>
                <c:pt idx="102">
                  <c:v>1.3069999999999999</c:v>
                </c:pt>
                <c:pt idx="103">
                  <c:v>1.3069999999999999</c:v>
                </c:pt>
                <c:pt idx="104">
                  <c:v>1.319</c:v>
                </c:pt>
                <c:pt idx="105">
                  <c:v>1.3129999999999999</c:v>
                </c:pt>
                <c:pt idx="106">
                  <c:v>1.319</c:v>
                </c:pt>
                <c:pt idx="107">
                  <c:v>1.3380000000000001</c:v>
                </c:pt>
                <c:pt idx="108">
                  <c:v>1.325</c:v>
                </c:pt>
                <c:pt idx="109">
                  <c:v>1.323</c:v>
                </c:pt>
                <c:pt idx="110">
                  <c:v>1.3169999999999999</c:v>
                </c:pt>
                <c:pt idx="111">
                  <c:v>1.306</c:v>
                </c:pt>
                <c:pt idx="112">
                  <c:v>1.319</c:v>
                </c:pt>
                <c:pt idx="113">
                  <c:v>1.3080000000000001</c:v>
                </c:pt>
                <c:pt idx="114">
                  <c:v>1.304</c:v>
                </c:pt>
                <c:pt idx="115">
                  <c:v>1.2969999999999999</c:v>
                </c:pt>
                <c:pt idx="116">
                  <c:v>1.2929999999999999</c:v>
                </c:pt>
                <c:pt idx="117">
                  <c:v>1.288</c:v>
                </c:pt>
                <c:pt idx="118">
                  <c:v>1.2889999999999999</c:v>
                </c:pt>
                <c:pt idx="119">
                  <c:v>1.32</c:v>
                </c:pt>
                <c:pt idx="120">
                  <c:v>1.3120000000000001</c:v>
                </c:pt>
                <c:pt idx="121">
                  <c:v>1.31</c:v>
                </c:pt>
                <c:pt idx="122">
                  <c:v>1.3120000000000001</c:v>
                </c:pt>
                <c:pt idx="123">
                  <c:v>1.3320000000000001</c:v>
                </c:pt>
                <c:pt idx="124">
                  <c:v>1.3320000000000001</c:v>
                </c:pt>
                <c:pt idx="125">
                  <c:v>1.319</c:v>
                </c:pt>
                <c:pt idx="126">
                  <c:v>1.3140000000000001</c:v>
                </c:pt>
                <c:pt idx="127">
                  <c:v>1.32</c:v>
                </c:pt>
                <c:pt idx="128">
                  <c:v>1.3160000000000001</c:v>
                </c:pt>
                <c:pt idx="129">
                  <c:v>1.3129999999999999</c:v>
                </c:pt>
                <c:pt idx="130">
                  <c:v>1.3320000000000001</c:v>
                </c:pt>
                <c:pt idx="131">
                  <c:v>1.323</c:v>
                </c:pt>
                <c:pt idx="132">
                  <c:v>1.3140000000000001</c:v>
                </c:pt>
                <c:pt idx="133">
                  <c:v>1.3009999999999999</c:v>
                </c:pt>
                <c:pt idx="134">
                  <c:v>1.2969999999999999</c:v>
                </c:pt>
                <c:pt idx="135">
                  <c:v>1.3029999999999999</c:v>
                </c:pt>
                <c:pt idx="136">
                  <c:v>1.33</c:v>
                </c:pt>
                <c:pt idx="137">
                  <c:v>1.347</c:v>
                </c:pt>
                <c:pt idx="138">
                  <c:v>1.367</c:v>
                </c:pt>
                <c:pt idx="139">
                  <c:v>1.395</c:v>
                </c:pt>
                <c:pt idx="140">
                  <c:v>1.381</c:v>
                </c:pt>
                <c:pt idx="141">
                  <c:v>1.375</c:v>
                </c:pt>
                <c:pt idx="142">
                  <c:v>1.3720000000000001</c:v>
                </c:pt>
                <c:pt idx="143">
                  <c:v>1.3720000000000001</c:v>
                </c:pt>
                <c:pt idx="144">
                  <c:v>1.36</c:v>
                </c:pt>
                <c:pt idx="145">
                  <c:v>1.349</c:v>
                </c:pt>
                <c:pt idx="146">
                  <c:v>1.3360000000000001</c:v>
                </c:pt>
                <c:pt idx="147">
                  <c:v>1.3440000000000001</c:v>
                </c:pt>
                <c:pt idx="148">
                  <c:v>1.335</c:v>
                </c:pt>
                <c:pt idx="149">
                  <c:v>1.3360000000000001</c:v>
                </c:pt>
                <c:pt idx="150">
                  <c:v>1.347</c:v>
                </c:pt>
                <c:pt idx="151">
                  <c:v>1.3560000000000001</c:v>
                </c:pt>
                <c:pt idx="152">
                  <c:v>1.3779999999999999</c:v>
                </c:pt>
                <c:pt idx="153">
                  <c:v>1.37</c:v>
                </c:pt>
                <c:pt idx="154">
                  <c:v>1.3620000000000001</c:v>
                </c:pt>
                <c:pt idx="155">
                  <c:v>1.341</c:v>
                </c:pt>
                <c:pt idx="156">
                  <c:v>1.339</c:v>
                </c:pt>
                <c:pt idx="157">
                  <c:v>1.3380000000000001</c:v>
                </c:pt>
                <c:pt idx="158">
                  <c:v>1.329</c:v>
                </c:pt>
                <c:pt idx="159">
                  <c:v>1.3109999999999999</c:v>
                </c:pt>
                <c:pt idx="160">
                  <c:v>1.3169999999999999</c:v>
                </c:pt>
                <c:pt idx="161">
                  <c:v>1.32</c:v>
                </c:pt>
                <c:pt idx="162">
                  <c:v>1.3169999999999999</c:v>
                </c:pt>
                <c:pt idx="163">
                  <c:v>1.3160000000000001</c:v>
                </c:pt>
                <c:pt idx="164">
                  <c:v>1.3129999999999999</c:v>
                </c:pt>
                <c:pt idx="165">
                  <c:v>1.31</c:v>
                </c:pt>
                <c:pt idx="166">
                  <c:v>1.2989999999999999</c:v>
                </c:pt>
                <c:pt idx="167">
                  <c:v>1.3089999999999999</c:v>
                </c:pt>
                <c:pt idx="168">
                  <c:v>1.3089999999999999</c:v>
                </c:pt>
                <c:pt idx="169">
                  <c:v>1.3</c:v>
                </c:pt>
                <c:pt idx="170">
                  <c:v>1.3160000000000001</c:v>
                </c:pt>
                <c:pt idx="171">
                  <c:v>1.323</c:v>
                </c:pt>
                <c:pt idx="172">
                  <c:v>1.3320000000000001</c:v>
                </c:pt>
                <c:pt idx="173">
                  <c:v>1.337</c:v>
                </c:pt>
                <c:pt idx="174">
                  <c:v>1.347</c:v>
                </c:pt>
                <c:pt idx="175">
                  <c:v>1.3420000000000001</c:v>
                </c:pt>
                <c:pt idx="176">
                  <c:v>1.36</c:v>
                </c:pt>
                <c:pt idx="177">
                  <c:v>1.367</c:v>
                </c:pt>
                <c:pt idx="178">
                  <c:v>1.367</c:v>
                </c:pt>
                <c:pt idx="179">
                  <c:v>1.38</c:v>
                </c:pt>
                <c:pt idx="180">
                  <c:v>1.379</c:v>
                </c:pt>
                <c:pt idx="181">
                  <c:v>1.3819999999999999</c:v>
                </c:pt>
                <c:pt idx="182">
                  <c:v>1.3720000000000001</c:v>
                </c:pt>
                <c:pt idx="183">
                  <c:v>1.3620000000000001</c:v>
                </c:pt>
                <c:pt idx="184">
                  <c:v>1.357</c:v>
                </c:pt>
                <c:pt idx="185">
                  <c:v>1.371</c:v>
                </c:pt>
                <c:pt idx="186">
                  <c:v>1.391</c:v>
                </c:pt>
                <c:pt idx="187">
                  <c:v>1.367</c:v>
                </c:pt>
                <c:pt idx="188">
                  <c:v>1.3660000000000001</c:v>
                </c:pt>
                <c:pt idx="189">
                  <c:v>1.3580000000000001</c:v>
                </c:pt>
                <c:pt idx="190">
                  <c:v>1.355</c:v>
                </c:pt>
                <c:pt idx="191">
                  <c:v>1.345</c:v>
                </c:pt>
                <c:pt idx="192">
                  <c:v>1.3420000000000001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02-4103-9150-5D6644C93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099824"/>
        <c:axId val="545100384"/>
      </c:lineChart>
      <c:catAx>
        <c:axId val="54509982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crossAx val="545100384"/>
        <c:crosses val="autoZero"/>
        <c:auto val="0"/>
        <c:lblAlgn val="ctr"/>
        <c:lblOffset val="100"/>
        <c:noMultiLvlLbl val="1"/>
      </c:catAx>
      <c:valAx>
        <c:axId val="545100384"/>
        <c:scaling>
          <c:orientation val="minMax"/>
          <c:min val="1.2"/>
        </c:scaling>
        <c:delete val="0"/>
        <c:axPos val="l"/>
        <c:majorGridlines/>
        <c:numFmt formatCode="0.0000_ " sourceLinked="1"/>
        <c:majorTickMark val="none"/>
        <c:minorTickMark val="none"/>
        <c:tickLblPos val="nextTo"/>
        <c:spPr>
          <a:ln w="9525">
            <a:noFill/>
          </a:ln>
        </c:spPr>
        <c:crossAx val="54509982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4" l="0.70000000000000062" r="0.70000000000000062" t="0.750000000000004" header="0.30000000000000032" footer="0.3000000000000003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 sz="1600"/>
              <a:t>抱朴聚配量化选股</a:t>
            </a:r>
            <a:endParaRPr lang="en-US" altLang="zh-CN" sz="16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抱朴聚配!$B$20</c:f>
              <c:strCache>
                <c:ptCount val="1"/>
                <c:pt idx="0">
                  <c:v>累计净值</c:v>
                </c:pt>
              </c:strCache>
            </c:strRef>
          </c:tx>
          <c:marker>
            <c:symbol val="none"/>
          </c:marker>
          <c:cat>
            <c:numRef>
              <c:f>抱朴聚配!$A$21:$A$55</c:f>
              <c:numCache>
                <c:formatCode>m/d/yyyy</c:formatCode>
                <c:ptCount val="35"/>
                <c:pt idx="0">
                  <c:v>44155</c:v>
                </c:pt>
                <c:pt idx="1">
                  <c:v>44158</c:v>
                </c:pt>
                <c:pt idx="2">
                  <c:v>44159</c:v>
                </c:pt>
                <c:pt idx="3">
                  <c:v>44160</c:v>
                </c:pt>
                <c:pt idx="4">
                  <c:v>44161</c:v>
                </c:pt>
                <c:pt idx="5">
                  <c:v>44162</c:v>
                </c:pt>
                <c:pt idx="6">
                  <c:v>44165</c:v>
                </c:pt>
                <c:pt idx="7">
                  <c:v>44166</c:v>
                </c:pt>
                <c:pt idx="8">
                  <c:v>44167</c:v>
                </c:pt>
                <c:pt idx="9">
                  <c:v>44168</c:v>
                </c:pt>
                <c:pt idx="10">
                  <c:v>44169</c:v>
                </c:pt>
                <c:pt idx="11">
                  <c:v>44172</c:v>
                </c:pt>
                <c:pt idx="12">
                  <c:v>44173</c:v>
                </c:pt>
                <c:pt idx="13">
                  <c:v>44174</c:v>
                </c:pt>
                <c:pt idx="14">
                  <c:v>44175</c:v>
                </c:pt>
                <c:pt idx="15">
                  <c:v>44176</c:v>
                </c:pt>
                <c:pt idx="16">
                  <c:v>44179</c:v>
                </c:pt>
                <c:pt idx="17">
                  <c:v>44180</c:v>
                </c:pt>
                <c:pt idx="18">
                  <c:v>44181</c:v>
                </c:pt>
                <c:pt idx="19">
                  <c:v>44182</c:v>
                </c:pt>
                <c:pt idx="20">
                  <c:v>44183</c:v>
                </c:pt>
                <c:pt idx="21">
                  <c:v>44186</c:v>
                </c:pt>
                <c:pt idx="22">
                  <c:v>44187</c:v>
                </c:pt>
                <c:pt idx="23">
                  <c:v>44188</c:v>
                </c:pt>
                <c:pt idx="24">
                  <c:v>44189</c:v>
                </c:pt>
                <c:pt idx="25">
                  <c:v>44190</c:v>
                </c:pt>
                <c:pt idx="26">
                  <c:v>44193</c:v>
                </c:pt>
                <c:pt idx="27">
                  <c:v>44194</c:v>
                </c:pt>
                <c:pt idx="28">
                  <c:v>44195</c:v>
                </c:pt>
                <c:pt idx="29">
                  <c:v>44196</c:v>
                </c:pt>
                <c:pt idx="30">
                  <c:v>44200</c:v>
                </c:pt>
                <c:pt idx="31">
                  <c:v>44201</c:v>
                </c:pt>
                <c:pt idx="32">
                  <c:v>44202</c:v>
                </c:pt>
                <c:pt idx="33">
                  <c:v>44203</c:v>
                </c:pt>
                <c:pt idx="34">
                  <c:v>44204</c:v>
                </c:pt>
              </c:numCache>
            </c:numRef>
          </c:cat>
          <c:val>
            <c:numRef>
              <c:f>抱朴聚配!$B$21:$B$55</c:f>
              <c:numCache>
                <c:formatCode>0.0000_ </c:formatCode>
                <c:ptCount val="35"/>
                <c:pt idx="0">
                  <c:v>1.036</c:v>
                </c:pt>
                <c:pt idx="1">
                  <c:v>1.0329999999999999</c:v>
                </c:pt>
                <c:pt idx="2">
                  <c:v>1.032</c:v>
                </c:pt>
                <c:pt idx="3">
                  <c:v>1.03</c:v>
                </c:pt>
                <c:pt idx="4">
                  <c:v>1.0289999999999999</c:v>
                </c:pt>
                <c:pt idx="5">
                  <c:v>1.0309999999999999</c:v>
                </c:pt>
                <c:pt idx="6">
                  <c:v>1.0269999999999999</c:v>
                </c:pt>
                <c:pt idx="7">
                  <c:v>1.04</c:v>
                </c:pt>
                <c:pt idx="8">
                  <c:v>1.0389999999999999</c:v>
                </c:pt>
                <c:pt idx="9">
                  <c:v>1.036</c:v>
                </c:pt>
                <c:pt idx="10">
                  <c:v>1.0329999999999999</c:v>
                </c:pt>
                <c:pt idx="11">
                  <c:v>1.0309999999999999</c:v>
                </c:pt>
                <c:pt idx="12">
                  <c:v>1.0309999999999999</c:v>
                </c:pt>
                <c:pt idx="13">
                  <c:v>1.0309999999999999</c:v>
                </c:pt>
                <c:pt idx="14">
                  <c:v>1.03</c:v>
                </c:pt>
                <c:pt idx="15">
                  <c:v>1.0249999999999999</c:v>
                </c:pt>
                <c:pt idx="16">
                  <c:v>1.03</c:v>
                </c:pt>
                <c:pt idx="17">
                  <c:v>1.03</c:v>
                </c:pt>
                <c:pt idx="18">
                  <c:v>1.0309999999999999</c:v>
                </c:pt>
                <c:pt idx="19">
                  <c:v>1.036</c:v>
                </c:pt>
                <c:pt idx="20">
                  <c:v>1.032</c:v>
                </c:pt>
                <c:pt idx="21">
                  <c:v>1.0309999999999999</c:v>
                </c:pt>
                <c:pt idx="22">
                  <c:v>1.026</c:v>
                </c:pt>
                <c:pt idx="23">
                  <c:v>1.0229999999999999</c:v>
                </c:pt>
                <c:pt idx="24">
                  <c:v>1.0169999999999999</c:v>
                </c:pt>
                <c:pt idx="25">
                  <c:v>1.02</c:v>
                </c:pt>
                <c:pt idx="26">
                  <c:v>1.0129999999999999</c:v>
                </c:pt>
                <c:pt idx="27">
                  <c:v>1.008</c:v>
                </c:pt>
                <c:pt idx="28">
                  <c:v>1.004</c:v>
                </c:pt>
                <c:pt idx="29">
                  <c:v>1.012</c:v>
                </c:pt>
                <c:pt idx="30">
                  <c:v>1.0309999999999999</c:v>
                </c:pt>
                <c:pt idx="31">
                  <c:v>1.0229999999999999</c:v>
                </c:pt>
                <c:pt idx="32">
                  <c:v>1.0209999999999999</c:v>
                </c:pt>
                <c:pt idx="33">
                  <c:v>1.022</c:v>
                </c:pt>
                <c:pt idx="34">
                  <c:v>1.0189999999999999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89-461A-845E-14399E67F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099824"/>
        <c:axId val="545100384"/>
      </c:lineChart>
      <c:catAx>
        <c:axId val="54509982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crossAx val="545100384"/>
        <c:crosses val="autoZero"/>
        <c:auto val="0"/>
        <c:lblAlgn val="ctr"/>
        <c:lblOffset val="100"/>
        <c:noMultiLvlLbl val="1"/>
      </c:catAx>
      <c:valAx>
        <c:axId val="545100384"/>
        <c:scaling>
          <c:orientation val="minMax"/>
          <c:min val="0.99"/>
        </c:scaling>
        <c:delete val="0"/>
        <c:axPos val="l"/>
        <c:majorGridlines/>
        <c:numFmt formatCode="0.0000_ " sourceLinked="1"/>
        <c:majorTickMark val="none"/>
        <c:minorTickMark val="none"/>
        <c:tickLblPos val="nextTo"/>
        <c:spPr>
          <a:ln w="9525">
            <a:noFill/>
          </a:ln>
        </c:spPr>
        <c:crossAx val="54509982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4" l="0.70000000000000062" r="0.70000000000000062" t="0.750000000000004" header="0.30000000000000032" footer="0.3000000000000003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 sz="1600"/>
              <a:t>沪深</a:t>
            </a:r>
            <a:r>
              <a:rPr lang="en-US" altLang="zh-CN" sz="1600"/>
              <a:t>300</a:t>
            </a:r>
            <a:r>
              <a:rPr lang="zh-CN" altLang="en-US" sz="1600"/>
              <a:t>单利宝</a:t>
            </a:r>
            <a:r>
              <a:rPr lang="en-US" altLang="zh-CN" sz="1600"/>
              <a:t>1</a:t>
            </a:r>
            <a:r>
              <a:rPr lang="zh-CN" altLang="en-US" sz="1600"/>
              <a:t>号</a:t>
            </a:r>
            <a:endParaRPr lang="en-US" altLang="zh-CN" sz="16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沪深300单利宝1号!$B$20</c:f>
              <c:strCache>
                <c:ptCount val="1"/>
                <c:pt idx="0">
                  <c:v>累计净值</c:v>
                </c:pt>
              </c:strCache>
            </c:strRef>
          </c:tx>
          <c:marker>
            <c:symbol val="none"/>
          </c:marker>
          <c:cat>
            <c:numRef>
              <c:f>沪深300单利宝1号!$A$21:$A$298</c:f>
              <c:numCache>
                <c:formatCode>m/d/yyyy</c:formatCode>
                <c:ptCount val="278"/>
                <c:pt idx="0">
                  <c:v>43699</c:v>
                </c:pt>
                <c:pt idx="1">
                  <c:v>43700</c:v>
                </c:pt>
                <c:pt idx="2">
                  <c:v>43703</c:v>
                </c:pt>
                <c:pt idx="3">
                  <c:v>43704</c:v>
                </c:pt>
                <c:pt idx="4">
                  <c:v>43705</c:v>
                </c:pt>
                <c:pt idx="5">
                  <c:v>43706</c:v>
                </c:pt>
                <c:pt idx="6">
                  <c:v>43707</c:v>
                </c:pt>
                <c:pt idx="7">
                  <c:v>43710</c:v>
                </c:pt>
                <c:pt idx="8">
                  <c:v>43711</c:v>
                </c:pt>
                <c:pt idx="9">
                  <c:v>43712</c:v>
                </c:pt>
                <c:pt idx="10">
                  <c:v>43713</c:v>
                </c:pt>
                <c:pt idx="11">
                  <c:v>43714</c:v>
                </c:pt>
                <c:pt idx="12">
                  <c:v>43717</c:v>
                </c:pt>
                <c:pt idx="13">
                  <c:v>43718</c:v>
                </c:pt>
                <c:pt idx="14">
                  <c:v>43719</c:v>
                </c:pt>
                <c:pt idx="15">
                  <c:v>43720</c:v>
                </c:pt>
                <c:pt idx="16">
                  <c:v>43724</c:v>
                </c:pt>
                <c:pt idx="17">
                  <c:v>43725</c:v>
                </c:pt>
                <c:pt idx="18">
                  <c:v>43726</c:v>
                </c:pt>
                <c:pt idx="19">
                  <c:v>43727</c:v>
                </c:pt>
                <c:pt idx="20">
                  <c:v>43728</c:v>
                </c:pt>
                <c:pt idx="21">
                  <c:v>43731</c:v>
                </c:pt>
                <c:pt idx="22">
                  <c:v>43732</c:v>
                </c:pt>
                <c:pt idx="23">
                  <c:v>43733</c:v>
                </c:pt>
                <c:pt idx="24">
                  <c:v>43734</c:v>
                </c:pt>
                <c:pt idx="25">
                  <c:v>43735</c:v>
                </c:pt>
                <c:pt idx="26">
                  <c:v>43738</c:v>
                </c:pt>
                <c:pt idx="27">
                  <c:v>43746</c:v>
                </c:pt>
                <c:pt idx="28">
                  <c:v>43747</c:v>
                </c:pt>
                <c:pt idx="29">
                  <c:v>43748</c:v>
                </c:pt>
                <c:pt idx="30">
                  <c:v>43749</c:v>
                </c:pt>
                <c:pt idx="31">
                  <c:v>43752</c:v>
                </c:pt>
                <c:pt idx="32">
                  <c:v>43753</c:v>
                </c:pt>
                <c:pt idx="33">
                  <c:v>43754</c:v>
                </c:pt>
                <c:pt idx="34">
                  <c:v>43755</c:v>
                </c:pt>
                <c:pt idx="35">
                  <c:v>43756</c:v>
                </c:pt>
                <c:pt idx="36">
                  <c:v>43759</c:v>
                </c:pt>
                <c:pt idx="37">
                  <c:v>43760</c:v>
                </c:pt>
                <c:pt idx="38">
                  <c:v>43761</c:v>
                </c:pt>
                <c:pt idx="39">
                  <c:v>43762</c:v>
                </c:pt>
                <c:pt idx="40">
                  <c:v>43763</c:v>
                </c:pt>
                <c:pt idx="41">
                  <c:v>43766</c:v>
                </c:pt>
                <c:pt idx="42">
                  <c:v>43767</c:v>
                </c:pt>
                <c:pt idx="43">
                  <c:v>43768</c:v>
                </c:pt>
                <c:pt idx="44">
                  <c:v>43769</c:v>
                </c:pt>
                <c:pt idx="45">
                  <c:v>43770</c:v>
                </c:pt>
                <c:pt idx="46">
                  <c:v>43773</c:v>
                </c:pt>
                <c:pt idx="47">
                  <c:v>43774</c:v>
                </c:pt>
                <c:pt idx="48">
                  <c:v>43775</c:v>
                </c:pt>
                <c:pt idx="49">
                  <c:v>43776</c:v>
                </c:pt>
                <c:pt idx="50">
                  <c:v>43777</c:v>
                </c:pt>
                <c:pt idx="51">
                  <c:v>43780</c:v>
                </c:pt>
                <c:pt idx="52">
                  <c:v>43781</c:v>
                </c:pt>
                <c:pt idx="53">
                  <c:v>43782</c:v>
                </c:pt>
                <c:pt idx="54">
                  <c:v>43783</c:v>
                </c:pt>
                <c:pt idx="55">
                  <c:v>43784</c:v>
                </c:pt>
                <c:pt idx="56">
                  <c:v>43787</c:v>
                </c:pt>
                <c:pt idx="57">
                  <c:v>43788</c:v>
                </c:pt>
                <c:pt idx="58">
                  <c:v>43789</c:v>
                </c:pt>
                <c:pt idx="59">
                  <c:v>43790</c:v>
                </c:pt>
                <c:pt idx="60">
                  <c:v>43791</c:v>
                </c:pt>
                <c:pt idx="61">
                  <c:v>43794</c:v>
                </c:pt>
                <c:pt idx="62">
                  <c:v>43795</c:v>
                </c:pt>
                <c:pt idx="63">
                  <c:v>43796</c:v>
                </c:pt>
                <c:pt idx="64">
                  <c:v>43797</c:v>
                </c:pt>
                <c:pt idx="65">
                  <c:v>43798</c:v>
                </c:pt>
                <c:pt idx="66">
                  <c:v>43801</c:v>
                </c:pt>
                <c:pt idx="67">
                  <c:v>43802</c:v>
                </c:pt>
                <c:pt idx="68">
                  <c:v>43803</c:v>
                </c:pt>
                <c:pt idx="69">
                  <c:v>43804</c:v>
                </c:pt>
                <c:pt idx="70">
                  <c:v>43805</c:v>
                </c:pt>
                <c:pt idx="71">
                  <c:v>43808</c:v>
                </c:pt>
                <c:pt idx="72">
                  <c:v>43809</c:v>
                </c:pt>
                <c:pt idx="73">
                  <c:v>43810</c:v>
                </c:pt>
                <c:pt idx="74">
                  <c:v>43811</c:v>
                </c:pt>
                <c:pt idx="75">
                  <c:v>43812</c:v>
                </c:pt>
                <c:pt idx="76">
                  <c:v>43815</c:v>
                </c:pt>
                <c:pt idx="77">
                  <c:v>43816</c:v>
                </c:pt>
                <c:pt idx="78">
                  <c:v>43817</c:v>
                </c:pt>
                <c:pt idx="79">
                  <c:v>43818</c:v>
                </c:pt>
                <c:pt idx="80">
                  <c:v>43819</c:v>
                </c:pt>
                <c:pt idx="81">
                  <c:v>43822</c:v>
                </c:pt>
                <c:pt idx="82">
                  <c:v>43823</c:v>
                </c:pt>
                <c:pt idx="83">
                  <c:v>43824</c:v>
                </c:pt>
                <c:pt idx="84">
                  <c:v>43825</c:v>
                </c:pt>
                <c:pt idx="85">
                  <c:v>43826</c:v>
                </c:pt>
                <c:pt idx="86">
                  <c:v>43829</c:v>
                </c:pt>
                <c:pt idx="87">
                  <c:v>43830</c:v>
                </c:pt>
                <c:pt idx="88">
                  <c:v>43832</c:v>
                </c:pt>
                <c:pt idx="89">
                  <c:v>43833</c:v>
                </c:pt>
                <c:pt idx="90">
                  <c:v>43836</c:v>
                </c:pt>
                <c:pt idx="91">
                  <c:v>43837</c:v>
                </c:pt>
                <c:pt idx="92">
                  <c:v>43838</c:v>
                </c:pt>
                <c:pt idx="93">
                  <c:v>43839</c:v>
                </c:pt>
                <c:pt idx="94">
                  <c:v>43840</c:v>
                </c:pt>
                <c:pt idx="95">
                  <c:v>43843</c:v>
                </c:pt>
                <c:pt idx="96">
                  <c:v>43844</c:v>
                </c:pt>
                <c:pt idx="97">
                  <c:v>43845</c:v>
                </c:pt>
                <c:pt idx="98">
                  <c:v>43846</c:v>
                </c:pt>
                <c:pt idx="99">
                  <c:v>43847</c:v>
                </c:pt>
                <c:pt idx="100">
                  <c:v>43850</c:v>
                </c:pt>
                <c:pt idx="101">
                  <c:v>43851</c:v>
                </c:pt>
                <c:pt idx="102">
                  <c:v>43852</c:v>
                </c:pt>
                <c:pt idx="103">
                  <c:v>43853</c:v>
                </c:pt>
                <c:pt idx="104">
                  <c:v>43864</c:v>
                </c:pt>
                <c:pt idx="105">
                  <c:v>43865</c:v>
                </c:pt>
                <c:pt idx="106">
                  <c:v>43866</c:v>
                </c:pt>
                <c:pt idx="107">
                  <c:v>43867</c:v>
                </c:pt>
                <c:pt idx="108">
                  <c:v>43868</c:v>
                </c:pt>
                <c:pt idx="109">
                  <c:v>43871</c:v>
                </c:pt>
                <c:pt idx="110">
                  <c:v>43872</c:v>
                </c:pt>
                <c:pt idx="111">
                  <c:v>43873</c:v>
                </c:pt>
                <c:pt idx="112">
                  <c:v>43874</c:v>
                </c:pt>
                <c:pt idx="113">
                  <c:v>43875</c:v>
                </c:pt>
                <c:pt idx="114">
                  <c:v>43878</c:v>
                </c:pt>
                <c:pt idx="115">
                  <c:v>43879</c:v>
                </c:pt>
                <c:pt idx="116">
                  <c:v>43880</c:v>
                </c:pt>
                <c:pt idx="117">
                  <c:v>43881</c:v>
                </c:pt>
                <c:pt idx="118">
                  <c:v>43882</c:v>
                </c:pt>
                <c:pt idx="119">
                  <c:v>43885</c:v>
                </c:pt>
                <c:pt idx="120">
                  <c:v>43886</c:v>
                </c:pt>
                <c:pt idx="121">
                  <c:v>43887</c:v>
                </c:pt>
                <c:pt idx="122">
                  <c:v>43888</c:v>
                </c:pt>
                <c:pt idx="123">
                  <c:v>43889</c:v>
                </c:pt>
                <c:pt idx="124">
                  <c:v>43892</c:v>
                </c:pt>
                <c:pt idx="125">
                  <c:v>43893</c:v>
                </c:pt>
                <c:pt idx="126">
                  <c:v>43894</c:v>
                </c:pt>
                <c:pt idx="127">
                  <c:v>43895</c:v>
                </c:pt>
                <c:pt idx="128">
                  <c:v>43896</c:v>
                </c:pt>
                <c:pt idx="129">
                  <c:v>43899</c:v>
                </c:pt>
                <c:pt idx="130">
                  <c:v>43900</c:v>
                </c:pt>
                <c:pt idx="131">
                  <c:v>43901</c:v>
                </c:pt>
                <c:pt idx="132">
                  <c:v>43902</c:v>
                </c:pt>
                <c:pt idx="133">
                  <c:v>43903</c:v>
                </c:pt>
                <c:pt idx="134">
                  <c:v>43906</c:v>
                </c:pt>
                <c:pt idx="135">
                  <c:v>43907</c:v>
                </c:pt>
                <c:pt idx="136">
                  <c:v>43908</c:v>
                </c:pt>
                <c:pt idx="137">
                  <c:v>43909</c:v>
                </c:pt>
                <c:pt idx="138">
                  <c:v>43910</c:v>
                </c:pt>
                <c:pt idx="139">
                  <c:v>43913</c:v>
                </c:pt>
                <c:pt idx="140">
                  <c:v>43914</c:v>
                </c:pt>
                <c:pt idx="141">
                  <c:v>43915</c:v>
                </c:pt>
                <c:pt idx="142">
                  <c:v>43916</c:v>
                </c:pt>
                <c:pt idx="143">
                  <c:v>43917</c:v>
                </c:pt>
                <c:pt idx="144">
                  <c:v>43920</c:v>
                </c:pt>
                <c:pt idx="145">
                  <c:v>43921</c:v>
                </c:pt>
                <c:pt idx="146">
                  <c:v>43922</c:v>
                </c:pt>
                <c:pt idx="147">
                  <c:v>43923</c:v>
                </c:pt>
                <c:pt idx="148">
                  <c:v>43924</c:v>
                </c:pt>
                <c:pt idx="149">
                  <c:v>43928</c:v>
                </c:pt>
                <c:pt idx="150">
                  <c:v>43929</c:v>
                </c:pt>
                <c:pt idx="151">
                  <c:v>43930</c:v>
                </c:pt>
                <c:pt idx="152">
                  <c:v>43931</c:v>
                </c:pt>
                <c:pt idx="153">
                  <c:v>43934</c:v>
                </c:pt>
                <c:pt idx="154">
                  <c:v>43935</c:v>
                </c:pt>
                <c:pt idx="155">
                  <c:v>43936</c:v>
                </c:pt>
                <c:pt idx="156">
                  <c:v>43937</c:v>
                </c:pt>
                <c:pt idx="157">
                  <c:v>43938</c:v>
                </c:pt>
                <c:pt idx="158">
                  <c:v>43941</c:v>
                </c:pt>
                <c:pt idx="159">
                  <c:v>43942</c:v>
                </c:pt>
                <c:pt idx="160">
                  <c:v>43943</c:v>
                </c:pt>
                <c:pt idx="161">
                  <c:v>43944</c:v>
                </c:pt>
                <c:pt idx="162">
                  <c:v>43945</c:v>
                </c:pt>
                <c:pt idx="163">
                  <c:v>43948</c:v>
                </c:pt>
                <c:pt idx="164">
                  <c:v>43949</c:v>
                </c:pt>
                <c:pt idx="165">
                  <c:v>43950</c:v>
                </c:pt>
                <c:pt idx="166">
                  <c:v>43951</c:v>
                </c:pt>
                <c:pt idx="167">
                  <c:v>43957</c:v>
                </c:pt>
                <c:pt idx="168">
                  <c:v>43958</c:v>
                </c:pt>
                <c:pt idx="169">
                  <c:v>43959</c:v>
                </c:pt>
                <c:pt idx="170">
                  <c:v>43962</c:v>
                </c:pt>
                <c:pt idx="171">
                  <c:v>43963</c:v>
                </c:pt>
                <c:pt idx="172">
                  <c:v>43964</c:v>
                </c:pt>
                <c:pt idx="173">
                  <c:v>43965</c:v>
                </c:pt>
                <c:pt idx="174">
                  <c:v>43966</c:v>
                </c:pt>
                <c:pt idx="175">
                  <c:v>43969</c:v>
                </c:pt>
                <c:pt idx="176">
                  <c:v>43970</c:v>
                </c:pt>
                <c:pt idx="177">
                  <c:v>43971</c:v>
                </c:pt>
                <c:pt idx="178">
                  <c:v>43972</c:v>
                </c:pt>
                <c:pt idx="179">
                  <c:v>43973</c:v>
                </c:pt>
                <c:pt idx="180">
                  <c:v>43976</c:v>
                </c:pt>
                <c:pt idx="181">
                  <c:v>43977</c:v>
                </c:pt>
                <c:pt idx="182">
                  <c:v>43978</c:v>
                </c:pt>
                <c:pt idx="183">
                  <c:v>43979</c:v>
                </c:pt>
                <c:pt idx="184">
                  <c:v>43980</c:v>
                </c:pt>
                <c:pt idx="185">
                  <c:v>43983</c:v>
                </c:pt>
                <c:pt idx="186">
                  <c:v>43984</c:v>
                </c:pt>
                <c:pt idx="187">
                  <c:v>43985</c:v>
                </c:pt>
                <c:pt idx="188">
                  <c:v>43986</c:v>
                </c:pt>
                <c:pt idx="189">
                  <c:v>43987</c:v>
                </c:pt>
                <c:pt idx="190">
                  <c:v>43990</c:v>
                </c:pt>
                <c:pt idx="191">
                  <c:v>43991</c:v>
                </c:pt>
                <c:pt idx="192">
                  <c:v>43992</c:v>
                </c:pt>
                <c:pt idx="193">
                  <c:v>43993</c:v>
                </c:pt>
                <c:pt idx="194">
                  <c:v>43994</c:v>
                </c:pt>
                <c:pt idx="195">
                  <c:v>43997</c:v>
                </c:pt>
                <c:pt idx="196">
                  <c:v>43998</c:v>
                </c:pt>
                <c:pt idx="197">
                  <c:v>43999</c:v>
                </c:pt>
                <c:pt idx="198">
                  <c:v>44000</c:v>
                </c:pt>
                <c:pt idx="199">
                  <c:v>44001</c:v>
                </c:pt>
                <c:pt idx="200">
                  <c:v>44004</c:v>
                </c:pt>
                <c:pt idx="201">
                  <c:v>44005</c:v>
                </c:pt>
                <c:pt idx="202">
                  <c:v>44006</c:v>
                </c:pt>
                <c:pt idx="203">
                  <c:v>44011</c:v>
                </c:pt>
                <c:pt idx="204">
                  <c:v>44012</c:v>
                </c:pt>
                <c:pt idx="205">
                  <c:v>44013</c:v>
                </c:pt>
                <c:pt idx="206">
                  <c:v>44014</c:v>
                </c:pt>
                <c:pt idx="207">
                  <c:v>44015</c:v>
                </c:pt>
                <c:pt idx="208">
                  <c:v>44018</c:v>
                </c:pt>
                <c:pt idx="209">
                  <c:v>44019</c:v>
                </c:pt>
                <c:pt idx="210">
                  <c:v>44020</c:v>
                </c:pt>
                <c:pt idx="211">
                  <c:v>44021</c:v>
                </c:pt>
                <c:pt idx="212">
                  <c:v>44022</c:v>
                </c:pt>
                <c:pt idx="213">
                  <c:v>44025</c:v>
                </c:pt>
                <c:pt idx="214">
                  <c:v>44026</c:v>
                </c:pt>
                <c:pt idx="215">
                  <c:v>44027</c:v>
                </c:pt>
                <c:pt idx="216">
                  <c:v>44028</c:v>
                </c:pt>
                <c:pt idx="217">
                  <c:v>44029</c:v>
                </c:pt>
                <c:pt idx="218">
                  <c:v>44032</c:v>
                </c:pt>
                <c:pt idx="219">
                  <c:v>44033</c:v>
                </c:pt>
                <c:pt idx="220">
                  <c:v>44034</c:v>
                </c:pt>
                <c:pt idx="221">
                  <c:v>44035</c:v>
                </c:pt>
                <c:pt idx="222">
                  <c:v>44036</c:v>
                </c:pt>
                <c:pt idx="223">
                  <c:v>44039</c:v>
                </c:pt>
                <c:pt idx="224">
                  <c:v>44040</c:v>
                </c:pt>
                <c:pt idx="225">
                  <c:v>44041</c:v>
                </c:pt>
                <c:pt idx="226">
                  <c:v>44042</c:v>
                </c:pt>
                <c:pt idx="227">
                  <c:v>44043</c:v>
                </c:pt>
                <c:pt idx="228">
                  <c:v>44046</c:v>
                </c:pt>
                <c:pt idx="229">
                  <c:v>44047</c:v>
                </c:pt>
                <c:pt idx="230">
                  <c:v>44048</c:v>
                </c:pt>
                <c:pt idx="231">
                  <c:v>44049</c:v>
                </c:pt>
                <c:pt idx="232">
                  <c:v>44050</c:v>
                </c:pt>
                <c:pt idx="233">
                  <c:v>44053</c:v>
                </c:pt>
                <c:pt idx="234">
                  <c:v>44054</c:v>
                </c:pt>
                <c:pt idx="235">
                  <c:v>44055</c:v>
                </c:pt>
                <c:pt idx="236">
                  <c:v>44056</c:v>
                </c:pt>
                <c:pt idx="237">
                  <c:v>44057</c:v>
                </c:pt>
                <c:pt idx="238">
                  <c:v>44060</c:v>
                </c:pt>
                <c:pt idx="239">
                  <c:v>44061</c:v>
                </c:pt>
                <c:pt idx="240">
                  <c:v>44062</c:v>
                </c:pt>
                <c:pt idx="241">
                  <c:v>44063</c:v>
                </c:pt>
                <c:pt idx="242">
                  <c:v>44064</c:v>
                </c:pt>
                <c:pt idx="243">
                  <c:v>44067</c:v>
                </c:pt>
                <c:pt idx="244">
                  <c:v>44068</c:v>
                </c:pt>
                <c:pt idx="245">
                  <c:v>44069</c:v>
                </c:pt>
                <c:pt idx="246">
                  <c:v>44070</c:v>
                </c:pt>
                <c:pt idx="247">
                  <c:v>44071</c:v>
                </c:pt>
                <c:pt idx="248">
                  <c:v>44074</c:v>
                </c:pt>
                <c:pt idx="249">
                  <c:v>44075</c:v>
                </c:pt>
                <c:pt idx="250">
                  <c:v>44076</c:v>
                </c:pt>
                <c:pt idx="251">
                  <c:v>44077</c:v>
                </c:pt>
                <c:pt idx="252">
                  <c:v>44078</c:v>
                </c:pt>
                <c:pt idx="253">
                  <c:v>44081</c:v>
                </c:pt>
                <c:pt idx="254">
                  <c:v>44082</c:v>
                </c:pt>
                <c:pt idx="255">
                  <c:v>44083</c:v>
                </c:pt>
                <c:pt idx="256">
                  <c:v>44084</c:v>
                </c:pt>
                <c:pt idx="257">
                  <c:v>44085</c:v>
                </c:pt>
                <c:pt idx="258">
                  <c:v>44088</c:v>
                </c:pt>
                <c:pt idx="259">
                  <c:v>44089</c:v>
                </c:pt>
                <c:pt idx="260">
                  <c:v>44090</c:v>
                </c:pt>
                <c:pt idx="261">
                  <c:v>44091</c:v>
                </c:pt>
                <c:pt idx="262">
                  <c:v>44092</c:v>
                </c:pt>
                <c:pt idx="263">
                  <c:v>44095</c:v>
                </c:pt>
                <c:pt idx="264">
                  <c:v>44096</c:v>
                </c:pt>
                <c:pt idx="265">
                  <c:v>44097</c:v>
                </c:pt>
                <c:pt idx="266">
                  <c:v>44098</c:v>
                </c:pt>
                <c:pt idx="267">
                  <c:v>44099</c:v>
                </c:pt>
                <c:pt idx="268">
                  <c:v>44102</c:v>
                </c:pt>
                <c:pt idx="269">
                  <c:v>44103</c:v>
                </c:pt>
                <c:pt idx="270">
                  <c:v>44104</c:v>
                </c:pt>
                <c:pt idx="271">
                  <c:v>44113</c:v>
                </c:pt>
                <c:pt idx="272">
                  <c:v>44116</c:v>
                </c:pt>
                <c:pt idx="273">
                  <c:v>44117</c:v>
                </c:pt>
                <c:pt idx="274">
                  <c:v>44118</c:v>
                </c:pt>
                <c:pt idx="275">
                  <c:v>44119</c:v>
                </c:pt>
                <c:pt idx="276">
                  <c:v>44120</c:v>
                </c:pt>
                <c:pt idx="277">
                  <c:v>44123</c:v>
                </c:pt>
              </c:numCache>
            </c:numRef>
          </c:cat>
          <c:val>
            <c:numRef>
              <c:f>沪深300单利宝1号!$B$21:$B$298</c:f>
              <c:numCache>
                <c:formatCode>0.0000_ </c:formatCode>
                <c:ptCount val="278"/>
                <c:pt idx="0">
                  <c:v>1.1249</c:v>
                </c:pt>
                <c:pt idx="1">
                  <c:v>1.1247</c:v>
                </c:pt>
                <c:pt idx="2">
                  <c:v>1.1259999999999999</c:v>
                </c:pt>
                <c:pt idx="3">
                  <c:v>1.1251</c:v>
                </c:pt>
                <c:pt idx="4">
                  <c:v>1.1248</c:v>
                </c:pt>
                <c:pt idx="5">
                  <c:v>1.1269</c:v>
                </c:pt>
                <c:pt idx="6">
                  <c:v>1.1287</c:v>
                </c:pt>
                <c:pt idx="7">
                  <c:v>1.1258999999999999</c:v>
                </c:pt>
                <c:pt idx="8">
                  <c:v>1.1292</c:v>
                </c:pt>
                <c:pt idx="9">
                  <c:v>1.1292</c:v>
                </c:pt>
                <c:pt idx="10">
                  <c:v>1.1236999999999999</c:v>
                </c:pt>
                <c:pt idx="11">
                  <c:v>1.1251</c:v>
                </c:pt>
                <c:pt idx="12">
                  <c:v>1.127</c:v>
                </c:pt>
                <c:pt idx="13">
                  <c:v>1.1253</c:v>
                </c:pt>
                <c:pt idx="14">
                  <c:v>1.1247</c:v>
                </c:pt>
                <c:pt idx="15">
                  <c:v>1.1242000000000001</c:v>
                </c:pt>
                <c:pt idx="16">
                  <c:v>1.1261000000000001</c:v>
                </c:pt>
                <c:pt idx="17">
                  <c:v>1.1274999999999999</c:v>
                </c:pt>
                <c:pt idx="18">
                  <c:v>1.1275999999999999</c:v>
                </c:pt>
                <c:pt idx="19">
                  <c:v>1.1291</c:v>
                </c:pt>
                <c:pt idx="20">
                  <c:v>1.1295999999999999</c:v>
                </c:pt>
                <c:pt idx="21">
                  <c:v>1.1292</c:v>
                </c:pt>
                <c:pt idx="22">
                  <c:v>1.1286</c:v>
                </c:pt>
                <c:pt idx="23">
                  <c:v>1.1262000000000001</c:v>
                </c:pt>
                <c:pt idx="24">
                  <c:v>1.1258999999999999</c:v>
                </c:pt>
                <c:pt idx="25">
                  <c:v>1.1271</c:v>
                </c:pt>
                <c:pt idx="26">
                  <c:v>1.1273</c:v>
                </c:pt>
                <c:pt idx="27">
                  <c:v>1.1293</c:v>
                </c:pt>
                <c:pt idx="28">
                  <c:v>1.1315</c:v>
                </c:pt>
                <c:pt idx="29">
                  <c:v>1.1327</c:v>
                </c:pt>
                <c:pt idx="30">
                  <c:v>1.1308</c:v>
                </c:pt>
                <c:pt idx="31">
                  <c:v>1.1312</c:v>
                </c:pt>
                <c:pt idx="32">
                  <c:v>1.1302000000000001</c:v>
                </c:pt>
                <c:pt idx="33">
                  <c:v>1.1328</c:v>
                </c:pt>
                <c:pt idx="34">
                  <c:v>1.1341000000000001</c:v>
                </c:pt>
                <c:pt idx="35">
                  <c:v>1.1356999999999999</c:v>
                </c:pt>
                <c:pt idx="36">
                  <c:v>1.1375999999999999</c:v>
                </c:pt>
                <c:pt idx="37">
                  <c:v>1.1375</c:v>
                </c:pt>
                <c:pt idx="38">
                  <c:v>1.1369</c:v>
                </c:pt>
                <c:pt idx="39">
                  <c:v>1.135</c:v>
                </c:pt>
                <c:pt idx="40">
                  <c:v>1.1349</c:v>
                </c:pt>
                <c:pt idx="41">
                  <c:v>1.1355999999999999</c:v>
                </c:pt>
                <c:pt idx="42">
                  <c:v>1.1335999999999999</c:v>
                </c:pt>
                <c:pt idx="43">
                  <c:v>1.1366000000000001</c:v>
                </c:pt>
                <c:pt idx="44">
                  <c:v>1.1366000000000001</c:v>
                </c:pt>
                <c:pt idx="45">
                  <c:v>1.1348</c:v>
                </c:pt>
                <c:pt idx="46">
                  <c:v>1.1356999999999999</c:v>
                </c:pt>
                <c:pt idx="47">
                  <c:v>1.1358999999999999</c:v>
                </c:pt>
                <c:pt idx="48">
                  <c:v>1.1372</c:v>
                </c:pt>
                <c:pt idx="49">
                  <c:v>1.1369</c:v>
                </c:pt>
                <c:pt idx="50">
                  <c:v>1.1355</c:v>
                </c:pt>
                <c:pt idx="51">
                  <c:v>1.135</c:v>
                </c:pt>
                <c:pt idx="52">
                  <c:v>1.1388</c:v>
                </c:pt>
                <c:pt idx="53">
                  <c:v>1.1388</c:v>
                </c:pt>
                <c:pt idx="54">
                  <c:v>1.1380999999999999</c:v>
                </c:pt>
                <c:pt idx="55">
                  <c:v>1.1358999999999999</c:v>
                </c:pt>
                <c:pt idx="56">
                  <c:v>1.1369</c:v>
                </c:pt>
                <c:pt idx="57">
                  <c:v>1.1378999999999999</c:v>
                </c:pt>
                <c:pt idx="58">
                  <c:v>1.1375999999999999</c:v>
                </c:pt>
                <c:pt idx="59">
                  <c:v>1.1375999999999999</c:v>
                </c:pt>
                <c:pt idx="60">
                  <c:v>1.1399999999999999</c:v>
                </c:pt>
                <c:pt idx="61">
                  <c:v>1.1403000000000001</c:v>
                </c:pt>
                <c:pt idx="62">
                  <c:v>1.1412</c:v>
                </c:pt>
                <c:pt idx="63">
                  <c:v>1.1393</c:v>
                </c:pt>
                <c:pt idx="64">
                  <c:v>1.1385000000000001</c:v>
                </c:pt>
                <c:pt idx="65">
                  <c:v>1.1389</c:v>
                </c:pt>
                <c:pt idx="66">
                  <c:v>1.1392</c:v>
                </c:pt>
                <c:pt idx="67">
                  <c:v>1.1398999999999999</c:v>
                </c:pt>
                <c:pt idx="68">
                  <c:v>1.1395999999999999</c:v>
                </c:pt>
                <c:pt idx="69">
                  <c:v>1.1382000000000001</c:v>
                </c:pt>
                <c:pt idx="70">
                  <c:v>1.1393</c:v>
                </c:pt>
                <c:pt idx="71">
                  <c:v>1.1378999999999999</c:v>
                </c:pt>
                <c:pt idx="72">
                  <c:v>1.1375999999999999</c:v>
                </c:pt>
                <c:pt idx="73">
                  <c:v>1.1384000000000001</c:v>
                </c:pt>
                <c:pt idx="74">
                  <c:v>1.1377999999999999</c:v>
                </c:pt>
                <c:pt idx="75">
                  <c:v>1.1386000000000001</c:v>
                </c:pt>
                <c:pt idx="76">
                  <c:v>1.1397999999999999</c:v>
                </c:pt>
                <c:pt idx="77">
                  <c:v>1.1345000000000001</c:v>
                </c:pt>
                <c:pt idx="78">
                  <c:v>1.1355</c:v>
                </c:pt>
                <c:pt idx="79">
                  <c:v>1.1349</c:v>
                </c:pt>
                <c:pt idx="80">
                  <c:v>1.1337999999999999</c:v>
                </c:pt>
                <c:pt idx="81">
                  <c:v>1.1356999999999999</c:v>
                </c:pt>
                <c:pt idx="82">
                  <c:v>1.1389</c:v>
                </c:pt>
                <c:pt idx="83">
                  <c:v>1.1403000000000001</c:v>
                </c:pt>
                <c:pt idx="84">
                  <c:v>1.1413</c:v>
                </c:pt>
                <c:pt idx="85">
                  <c:v>1.1375999999999999</c:v>
                </c:pt>
                <c:pt idx="86">
                  <c:v>1.1397999999999999</c:v>
                </c:pt>
                <c:pt idx="87">
                  <c:v>1.1403000000000001</c:v>
                </c:pt>
                <c:pt idx="88">
                  <c:v>1.1394</c:v>
                </c:pt>
                <c:pt idx="89">
                  <c:v>1.1413</c:v>
                </c:pt>
                <c:pt idx="90">
                  <c:v>1.1437999999999999</c:v>
                </c:pt>
                <c:pt idx="91">
                  <c:v>1.1446000000000001</c:v>
                </c:pt>
                <c:pt idx="92">
                  <c:v>1.1439999999999999</c:v>
                </c:pt>
                <c:pt idx="93">
                  <c:v>1.1476</c:v>
                </c:pt>
                <c:pt idx="94">
                  <c:v>1.147</c:v>
                </c:pt>
                <c:pt idx="95">
                  <c:v>1.1497999999999999</c:v>
                </c:pt>
                <c:pt idx="96">
                  <c:v>1.1455</c:v>
                </c:pt>
                <c:pt idx="97">
                  <c:v>1.1471</c:v>
                </c:pt>
                <c:pt idx="98">
                  <c:v>1.1477999999999999</c:v>
                </c:pt>
                <c:pt idx="99">
                  <c:v>1.1474</c:v>
                </c:pt>
                <c:pt idx="100">
                  <c:v>1.1494</c:v>
                </c:pt>
                <c:pt idx="101">
                  <c:v>1.1496999999999999</c:v>
                </c:pt>
                <c:pt idx="102">
                  <c:v>1.1517999999999999</c:v>
                </c:pt>
                <c:pt idx="103">
                  <c:v>1.1584000000000001</c:v>
                </c:pt>
                <c:pt idx="104">
                  <c:v>1.1698999999999999</c:v>
                </c:pt>
                <c:pt idx="105">
                  <c:v>1.161</c:v>
                </c:pt>
                <c:pt idx="106">
                  <c:v>1.1638999999999999</c:v>
                </c:pt>
                <c:pt idx="107">
                  <c:v>1.1609</c:v>
                </c:pt>
                <c:pt idx="108">
                  <c:v>1.1631</c:v>
                </c:pt>
                <c:pt idx="109">
                  <c:v>1.1651</c:v>
                </c:pt>
                <c:pt idx="110">
                  <c:v>1.1649</c:v>
                </c:pt>
                <c:pt idx="111">
                  <c:v>1.1687000000000001</c:v>
                </c:pt>
                <c:pt idx="112">
                  <c:v>1.1662999999999999</c:v>
                </c:pt>
                <c:pt idx="113">
                  <c:v>1.1685000000000001</c:v>
                </c:pt>
                <c:pt idx="114">
                  <c:v>1.1654</c:v>
                </c:pt>
                <c:pt idx="115">
                  <c:v>1.1688000000000001</c:v>
                </c:pt>
                <c:pt idx="116">
                  <c:v>1.1688000000000001</c:v>
                </c:pt>
                <c:pt idx="117">
                  <c:v>1.1718999999999999</c:v>
                </c:pt>
                <c:pt idx="118">
                  <c:v>1.1702999999999999</c:v>
                </c:pt>
                <c:pt idx="119">
                  <c:v>1.1719999999999999</c:v>
                </c:pt>
                <c:pt idx="120">
                  <c:v>1.1755</c:v>
                </c:pt>
                <c:pt idx="121">
                  <c:v>1.1712</c:v>
                </c:pt>
                <c:pt idx="122">
                  <c:v>1.1738</c:v>
                </c:pt>
                <c:pt idx="123">
                  <c:v>1.1759999999999999</c:v>
                </c:pt>
                <c:pt idx="124">
                  <c:v>1.1749000000000001</c:v>
                </c:pt>
                <c:pt idx="125">
                  <c:v>1.1795</c:v>
                </c:pt>
                <c:pt idx="126">
                  <c:v>1.1821999999999999</c:v>
                </c:pt>
                <c:pt idx="127">
                  <c:v>1.1806000000000001</c:v>
                </c:pt>
                <c:pt idx="128">
                  <c:v>1.1806000000000001</c:v>
                </c:pt>
                <c:pt idx="129">
                  <c:v>1.1825000000000001</c:v>
                </c:pt>
                <c:pt idx="130">
                  <c:v>1.1849000000000001</c:v>
                </c:pt>
                <c:pt idx="131">
                  <c:v>1.1855</c:v>
                </c:pt>
                <c:pt idx="132">
                  <c:v>1.1896</c:v>
                </c:pt>
                <c:pt idx="133">
                  <c:v>1.1927000000000001</c:v>
                </c:pt>
                <c:pt idx="134">
                  <c:v>1.1931</c:v>
                </c:pt>
                <c:pt idx="135">
                  <c:v>1.1977</c:v>
                </c:pt>
                <c:pt idx="136">
                  <c:v>1.1980999999999999</c:v>
                </c:pt>
                <c:pt idx="137">
                  <c:v>1.2017</c:v>
                </c:pt>
                <c:pt idx="138">
                  <c:v>1.2022999999999999</c:v>
                </c:pt>
                <c:pt idx="139">
                  <c:v>1.1979</c:v>
                </c:pt>
                <c:pt idx="140">
                  <c:v>1.2004999999999999</c:v>
                </c:pt>
                <c:pt idx="141">
                  <c:v>1.2009000000000001</c:v>
                </c:pt>
                <c:pt idx="142">
                  <c:v>1.2029000000000001</c:v>
                </c:pt>
                <c:pt idx="143">
                  <c:v>1.2018</c:v>
                </c:pt>
                <c:pt idx="144">
                  <c:v>1.2032</c:v>
                </c:pt>
                <c:pt idx="145">
                  <c:v>1.2045999999999999</c:v>
                </c:pt>
                <c:pt idx="146">
                  <c:v>1.2050000000000001</c:v>
                </c:pt>
                <c:pt idx="147">
                  <c:v>1.2074</c:v>
                </c:pt>
                <c:pt idx="148">
                  <c:v>1.2051000000000001</c:v>
                </c:pt>
                <c:pt idx="149">
                  <c:v>1.2040999999999999</c:v>
                </c:pt>
                <c:pt idx="150">
                  <c:v>1.2055</c:v>
                </c:pt>
                <c:pt idx="151">
                  <c:v>1.2055</c:v>
                </c:pt>
                <c:pt idx="152">
                  <c:v>1.2056</c:v>
                </c:pt>
                <c:pt idx="153">
                  <c:v>1.2060999999999999</c:v>
                </c:pt>
                <c:pt idx="154">
                  <c:v>1.212</c:v>
                </c:pt>
                <c:pt idx="155">
                  <c:v>1.2078</c:v>
                </c:pt>
                <c:pt idx="156">
                  <c:v>1.2076</c:v>
                </c:pt>
                <c:pt idx="157">
                  <c:v>1.2091000000000001</c:v>
                </c:pt>
                <c:pt idx="158">
                  <c:v>1.2117</c:v>
                </c:pt>
                <c:pt idx="159">
                  <c:v>1.2129000000000001</c:v>
                </c:pt>
                <c:pt idx="160">
                  <c:v>1.2141</c:v>
                </c:pt>
                <c:pt idx="161">
                  <c:v>1.2128000000000001</c:v>
                </c:pt>
                <c:pt idx="162">
                  <c:v>1.2096</c:v>
                </c:pt>
                <c:pt idx="163">
                  <c:v>1.2083999999999999</c:v>
                </c:pt>
                <c:pt idx="164">
                  <c:v>1.2112000000000001</c:v>
                </c:pt>
                <c:pt idx="165">
                  <c:v>1.2114</c:v>
                </c:pt>
                <c:pt idx="166">
                  <c:v>1.2071000000000001</c:v>
                </c:pt>
                <c:pt idx="167">
                  <c:v>1.2104999999999999</c:v>
                </c:pt>
                <c:pt idx="168">
                  <c:v>1.2099</c:v>
                </c:pt>
                <c:pt idx="169">
                  <c:v>1.2103999999999999</c:v>
                </c:pt>
                <c:pt idx="170">
                  <c:v>1.2111000000000001</c:v>
                </c:pt>
                <c:pt idx="171">
                  <c:v>1.2129000000000001</c:v>
                </c:pt>
                <c:pt idx="172">
                  <c:v>1.2122999999999999</c:v>
                </c:pt>
                <c:pt idx="173">
                  <c:v>1.2109000000000001</c:v>
                </c:pt>
                <c:pt idx="174">
                  <c:v>1.2108000000000001</c:v>
                </c:pt>
                <c:pt idx="175">
                  <c:v>1.2087000000000001</c:v>
                </c:pt>
                <c:pt idx="176">
                  <c:v>1.2119</c:v>
                </c:pt>
                <c:pt idx="177">
                  <c:v>1.2107000000000001</c:v>
                </c:pt>
                <c:pt idx="178">
                  <c:v>1.2104999999999999</c:v>
                </c:pt>
                <c:pt idx="179">
                  <c:v>1.2102999999999999</c:v>
                </c:pt>
                <c:pt idx="180">
                  <c:v>1.2125999999999999</c:v>
                </c:pt>
                <c:pt idx="181">
                  <c:v>1.2148000000000001</c:v>
                </c:pt>
                <c:pt idx="182">
                  <c:v>1.2134</c:v>
                </c:pt>
                <c:pt idx="183">
                  <c:v>1.214</c:v>
                </c:pt>
                <c:pt idx="184">
                  <c:v>1.216</c:v>
                </c:pt>
                <c:pt idx="185">
                  <c:v>1.2135</c:v>
                </c:pt>
                <c:pt idx="186">
                  <c:v>1.2128000000000001</c:v>
                </c:pt>
                <c:pt idx="187">
                  <c:v>1.2121</c:v>
                </c:pt>
                <c:pt idx="188">
                  <c:v>1.2138</c:v>
                </c:pt>
                <c:pt idx="189">
                  <c:v>1.2154</c:v>
                </c:pt>
                <c:pt idx="190">
                  <c:v>1.2168000000000001</c:v>
                </c:pt>
                <c:pt idx="191">
                  <c:v>1.2177</c:v>
                </c:pt>
                <c:pt idx="192">
                  <c:v>1.2191000000000001</c:v>
                </c:pt>
                <c:pt idx="193">
                  <c:v>1.2232000000000001</c:v>
                </c:pt>
                <c:pt idx="194">
                  <c:v>1.2223999999999999</c:v>
                </c:pt>
                <c:pt idx="195">
                  <c:v>1.2234</c:v>
                </c:pt>
                <c:pt idx="196">
                  <c:v>1.2238</c:v>
                </c:pt>
                <c:pt idx="197">
                  <c:v>1.2233000000000001</c:v>
                </c:pt>
                <c:pt idx="198">
                  <c:v>1.2196</c:v>
                </c:pt>
                <c:pt idx="199">
                  <c:v>1.2116</c:v>
                </c:pt>
                <c:pt idx="200">
                  <c:v>1.21</c:v>
                </c:pt>
                <c:pt idx="201">
                  <c:v>1.2152000000000001</c:v>
                </c:pt>
                <c:pt idx="202">
                  <c:v>1.2143999999999999</c:v>
                </c:pt>
                <c:pt idx="203">
                  <c:v>1.216</c:v>
                </c:pt>
                <c:pt idx="204">
                  <c:v>1.2183999999999999</c:v>
                </c:pt>
                <c:pt idx="205">
                  <c:v>1.2212000000000001</c:v>
                </c:pt>
                <c:pt idx="206">
                  <c:v>1.2123999999999999</c:v>
                </c:pt>
                <c:pt idx="207">
                  <c:v>1.2141</c:v>
                </c:pt>
                <c:pt idx="208">
                  <c:v>1.1919999999999999</c:v>
                </c:pt>
                <c:pt idx="209">
                  <c:v>1.194</c:v>
                </c:pt>
                <c:pt idx="210">
                  <c:v>1.2063999999999999</c:v>
                </c:pt>
                <c:pt idx="211">
                  <c:v>1.212</c:v>
                </c:pt>
                <c:pt idx="212">
                  <c:v>1.2084999999999999</c:v>
                </c:pt>
                <c:pt idx="213">
                  <c:v>1.2149000000000001</c:v>
                </c:pt>
                <c:pt idx="214">
                  <c:v>1.2214</c:v>
                </c:pt>
                <c:pt idx="215">
                  <c:v>1.2132000000000001</c:v>
                </c:pt>
                <c:pt idx="216">
                  <c:v>1.2152000000000001</c:v>
                </c:pt>
                <c:pt idx="217">
                  <c:v>1.2241</c:v>
                </c:pt>
                <c:pt idx="218">
                  <c:v>1.2303999999999999</c:v>
                </c:pt>
                <c:pt idx="219">
                  <c:v>1.2311000000000001</c:v>
                </c:pt>
                <c:pt idx="220">
                  <c:v>1.2292000000000001</c:v>
                </c:pt>
                <c:pt idx="221">
                  <c:v>1.2301</c:v>
                </c:pt>
                <c:pt idx="222">
                  <c:v>1.2346999999999999</c:v>
                </c:pt>
                <c:pt idx="223">
                  <c:v>1.2371000000000001</c:v>
                </c:pt>
                <c:pt idx="224">
                  <c:v>1.24</c:v>
                </c:pt>
                <c:pt idx="225">
                  <c:v>1.2341</c:v>
                </c:pt>
                <c:pt idx="226">
                  <c:v>1.2330000000000001</c:v>
                </c:pt>
                <c:pt idx="227">
                  <c:v>1.2369000000000001</c:v>
                </c:pt>
                <c:pt idx="228">
                  <c:v>1.2392000000000001</c:v>
                </c:pt>
                <c:pt idx="229">
                  <c:v>1.2366999999999999</c:v>
                </c:pt>
                <c:pt idx="230">
                  <c:v>1.2418</c:v>
                </c:pt>
                <c:pt idx="231">
                  <c:v>1.2426999999999999</c:v>
                </c:pt>
                <c:pt idx="232">
                  <c:v>1.2390000000000001</c:v>
                </c:pt>
                <c:pt idx="233">
                  <c:v>1.2393000000000001</c:v>
                </c:pt>
                <c:pt idx="234">
                  <c:v>1.2388999999999999</c:v>
                </c:pt>
                <c:pt idx="235">
                  <c:v>1.2452000000000001</c:v>
                </c:pt>
                <c:pt idx="236">
                  <c:v>1.2433000000000001</c:v>
                </c:pt>
                <c:pt idx="237">
                  <c:v>1.2438</c:v>
                </c:pt>
                <c:pt idx="238">
                  <c:v>1.2394000000000001</c:v>
                </c:pt>
                <c:pt idx="239">
                  <c:v>1.2407999999999999</c:v>
                </c:pt>
                <c:pt idx="240">
                  <c:v>1.2392000000000001</c:v>
                </c:pt>
                <c:pt idx="241">
                  <c:v>1.2419</c:v>
                </c:pt>
                <c:pt idx="242">
                  <c:v>1.2442</c:v>
                </c:pt>
                <c:pt idx="243">
                  <c:v>1.2443</c:v>
                </c:pt>
                <c:pt idx="244">
                  <c:v>1.2445999999999999</c:v>
                </c:pt>
                <c:pt idx="245">
                  <c:v>1.2437</c:v>
                </c:pt>
                <c:pt idx="246">
                  <c:v>1.2444</c:v>
                </c:pt>
                <c:pt idx="247">
                  <c:v>1.2418</c:v>
                </c:pt>
                <c:pt idx="248">
                  <c:v>1.2393000000000001</c:v>
                </c:pt>
                <c:pt idx="249">
                  <c:v>1.2439</c:v>
                </c:pt>
                <c:pt idx="250">
                  <c:v>1.2441</c:v>
                </c:pt>
                <c:pt idx="251">
                  <c:v>1.2454000000000001</c:v>
                </c:pt>
                <c:pt idx="252">
                  <c:v>1.2452000000000001</c:v>
                </c:pt>
                <c:pt idx="253">
                  <c:v>1.2432000000000001</c:v>
                </c:pt>
                <c:pt idx="254">
                  <c:v>1.2445999999999999</c:v>
                </c:pt>
                <c:pt idx="255">
                  <c:v>1.2422</c:v>
                </c:pt>
                <c:pt idx="256">
                  <c:v>1.2436</c:v>
                </c:pt>
                <c:pt idx="257">
                  <c:v>1.2482</c:v>
                </c:pt>
                <c:pt idx="258">
                  <c:v>1.2509999999999999</c:v>
                </c:pt>
                <c:pt idx="259">
                  <c:v>1.2504999999999999</c:v>
                </c:pt>
                <c:pt idx="260">
                  <c:v>1.2521</c:v>
                </c:pt>
                <c:pt idx="261">
                  <c:v>1.2478</c:v>
                </c:pt>
                <c:pt idx="262">
                  <c:v>1.2470000000000001</c:v>
                </c:pt>
                <c:pt idx="263">
                  <c:v>1.2451000000000001</c:v>
                </c:pt>
                <c:pt idx="264">
                  <c:v>1.2470000000000001</c:v>
                </c:pt>
                <c:pt idx="265">
                  <c:v>1.2502</c:v>
                </c:pt>
                <c:pt idx="266">
                  <c:v>1.2479</c:v>
                </c:pt>
                <c:pt idx="267">
                  <c:v>1.246</c:v>
                </c:pt>
                <c:pt idx="268">
                  <c:v>1.2457</c:v>
                </c:pt>
                <c:pt idx="269">
                  <c:v>1.2436</c:v>
                </c:pt>
                <c:pt idx="270">
                  <c:v>1.25</c:v>
                </c:pt>
                <c:pt idx="271">
                  <c:v>1.2487999999999999</c:v>
                </c:pt>
                <c:pt idx="272">
                  <c:v>1.2486999999999999</c:v>
                </c:pt>
                <c:pt idx="273">
                  <c:v>1.2475000000000001</c:v>
                </c:pt>
                <c:pt idx="274">
                  <c:v>1.2458</c:v>
                </c:pt>
                <c:pt idx="275">
                  <c:v>1.2446999999999999</c:v>
                </c:pt>
                <c:pt idx="276">
                  <c:v>1.2446999999999999</c:v>
                </c:pt>
                <c:pt idx="277">
                  <c:v>1.2459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D3-4961-9E5F-79ECE4F10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099824"/>
        <c:axId val="545100384"/>
      </c:lineChart>
      <c:catAx>
        <c:axId val="54509982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crossAx val="545100384"/>
        <c:crosses val="autoZero"/>
        <c:auto val="0"/>
        <c:lblAlgn val="ctr"/>
        <c:lblOffset val="100"/>
        <c:noMultiLvlLbl val="1"/>
      </c:catAx>
      <c:valAx>
        <c:axId val="545100384"/>
        <c:scaling>
          <c:orientation val="minMax"/>
        </c:scaling>
        <c:delete val="0"/>
        <c:axPos val="l"/>
        <c:majorGridlines/>
        <c:numFmt formatCode="0.0000_ " sourceLinked="1"/>
        <c:majorTickMark val="none"/>
        <c:minorTickMark val="none"/>
        <c:tickLblPos val="nextTo"/>
        <c:spPr>
          <a:ln w="9525">
            <a:noFill/>
          </a:ln>
        </c:spPr>
        <c:crossAx val="54509982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4" l="0.70000000000000062" r="0.70000000000000062" t="0.750000000000004" header="0.30000000000000032" footer="0.3000000000000003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 sz="1600"/>
              <a:t>格量稳健一号</a:t>
            </a:r>
            <a:endParaRPr lang="en-US" altLang="zh-CN" sz="16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格量稳健1号!$B$20</c:f>
              <c:strCache>
                <c:ptCount val="1"/>
                <c:pt idx="0">
                  <c:v>累计净值</c:v>
                </c:pt>
              </c:strCache>
            </c:strRef>
          </c:tx>
          <c:marker>
            <c:symbol val="none"/>
          </c:marker>
          <c:cat>
            <c:numRef>
              <c:f>格量稳健1号!$A$21:$A$252</c:f>
              <c:numCache>
                <c:formatCode>m/d/yyyy</c:formatCode>
                <c:ptCount val="232"/>
                <c:pt idx="0">
                  <c:v>43700</c:v>
                </c:pt>
                <c:pt idx="1">
                  <c:v>43703</c:v>
                </c:pt>
                <c:pt idx="2">
                  <c:v>43704</c:v>
                </c:pt>
                <c:pt idx="3">
                  <c:v>43705</c:v>
                </c:pt>
                <c:pt idx="4">
                  <c:v>43706</c:v>
                </c:pt>
                <c:pt idx="5">
                  <c:v>43707</c:v>
                </c:pt>
                <c:pt idx="6">
                  <c:v>43710</c:v>
                </c:pt>
                <c:pt idx="7">
                  <c:v>43711</c:v>
                </c:pt>
                <c:pt idx="8">
                  <c:v>43712</c:v>
                </c:pt>
                <c:pt idx="9">
                  <c:v>43713</c:v>
                </c:pt>
                <c:pt idx="10">
                  <c:v>43714</c:v>
                </c:pt>
                <c:pt idx="11">
                  <c:v>43717</c:v>
                </c:pt>
                <c:pt idx="12">
                  <c:v>43718</c:v>
                </c:pt>
                <c:pt idx="13">
                  <c:v>43719</c:v>
                </c:pt>
                <c:pt idx="14">
                  <c:v>43720</c:v>
                </c:pt>
                <c:pt idx="15">
                  <c:v>43724</c:v>
                </c:pt>
                <c:pt idx="16">
                  <c:v>43725</c:v>
                </c:pt>
                <c:pt idx="17">
                  <c:v>43726</c:v>
                </c:pt>
                <c:pt idx="18">
                  <c:v>43727</c:v>
                </c:pt>
                <c:pt idx="19">
                  <c:v>43728</c:v>
                </c:pt>
                <c:pt idx="20">
                  <c:v>43731</c:v>
                </c:pt>
                <c:pt idx="21">
                  <c:v>43732</c:v>
                </c:pt>
                <c:pt idx="22">
                  <c:v>43733</c:v>
                </c:pt>
                <c:pt idx="23">
                  <c:v>43734</c:v>
                </c:pt>
                <c:pt idx="24">
                  <c:v>43735</c:v>
                </c:pt>
                <c:pt idx="25">
                  <c:v>43738</c:v>
                </c:pt>
                <c:pt idx="26">
                  <c:v>43746</c:v>
                </c:pt>
                <c:pt idx="27">
                  <c:v>43747</c:v>
                </c:pt>
                <c:pt idx="28">
                  <c:v>43748</c:v>
                </c:pt>
                <c:pt idx="29">
                  <c:v>43749</c:v>
                </c:pt>
                <c:pt idx="30">
                  <c:v>43752</c:v>
                </c:pt>
                <c:pt idx="31">
                  <c:v>43753</c:v>
                </c:pt>
                <c:pt idx="32">
                  <c:v>43754</c:v>
                </c:pt>
                <c:pt idx="33">
                  <c:v>43755</c:v>
                </c:pt>
                <c:pt idx="34">
                  <c:v>43756</c:v>
                </c:pt>
                <c:pt idx="35">
                  <c:v>43759</c:v>
                </c:pt>
                <c:pt idx="36">
                  <c:v>43760</c:v>
                </c:pt>
                <c:pt idx="37">
                  <c:v>43761</c:v>
                </c:pt>
                <c:pt idx="38">
                  <c:v>43762</c:v>
                </c:pt>
                <c:pt idx="39">
                  <c:v>43763</c:v>
                </c:pt>
                <c:pt idx="40">
                  <c:v>43766</c:v>
                </c:pt>
                <c:pt idx="41">
                  <c:v>43767</c:v>
                </c:pt>
                <c:pt idx="42">
                  <c:v>43768</c:v>
                </c:pt>
                <c:pt idx="43">
                  <c:v>43769</c:v>
                </c:pt>
                <c:pt idx="44">
                  <c:v>43770</c:v>
                </c:pt>
                <c:pt idx="45">
                  <c:v>43773</c:v>
                </c:pt>
                <c:pt idx="46">
                  <c:v>43774</c:v>
                </c:pt>
                <c:pt idx="47">
                  <c:v>43775</c:v>
                </c:pt>
                <c:pt idx="48">
                  <c:v>43776</c:v>
                </c:pt>
                <c:pt idx="49">
                  <c:v>43777</c:v>
                </c:pt>
                <c:pt idx="50">
                  <c:v>43780</c:v>
                </c:pt>
                <c:pt idx="51">
                  <c:v>43781</c:v>
                </c:pt>
                <c:pt idx="52">
                  <c:v>43782</c:v>
                </c:pt>
                <c:pt idx="53">
                  <c:v>43783</c:v>
                </c:pt>
                <c:pt idx="54">
                  <c:v>43784</c:v>
                </c:pt>
                <c:pt idx="55">
                  <c:v>43787</c:v>
                </c:pt>
                <c:pt idx="56">
                  <c:v>43788</c:v>
                </c:pt>
                <c:pt idx="57">
                  <c:v>43789</c:v>
                </c:pt>
                <c:pt idx="58">
                  <c:v>43790</c:v>
                </c:pt>
                <c:pt idx="59">
                  <c:v>43791</c:v>
                </c:pt>
                <c:pt idx="60">
                  <c:v>43794</c:v>
                </c:pt>
                <c:pt idx="61">
                  <c:v>43795</c:v>
                </c:pt>
                <c:pt idx="62">
                  <c:v>43796</c:v>
                </c:pt>
                <c:pt idx="63">
                  <c:v>43797</c:v>
                </c:pt>
                <c:pt idx="64">
                  <c:v>43798</c:v>
                </c:pt>
                <c:pt idx="65">
                  <c:v>43801</c:v>
                </c:pt>
                <c:pt idx="66">
                  <c:v>43802</c:v>
                </c:pt>
                <c:pt idx="67">
                  <c:v>43803</c:v>
                </c:pt>
                <c:pt idx="68">
                  <c:v>43804</c:v>
                </c:pt>
                <c:pt idx="69">
                  <c:v>43805</c:v>
                </c:pt>
                <c:pt idx="70">
                  <c:v>43808</c:v>
                </c:pt>
                <c:pt idx="71">
                  <c:v>43809</c:v>
                </c:pt>
                <c:pt idx="72">
                  <c:v>43810</c:v>
                </c:pt>
                <c:pt idx="73">
                  <c:v>43811</c:v>
                </c:pt>
                <c:pt idx="74">
                  <c:v>43812</c:v>
                </c:pt>
                <c:pt idx="75">
                  <c:v>43815</c:v>
                </c:pt>
                <c:pt idx="76">
                  <c:v>43816</c:v>
                </c:pt>
                <c:pt idx="77">
                  <c:v>43817</c:v>
                </c:pt>
                <c:pt idx="78">
                  <c:v>43818</c:v>
                </c:pt>
                <c:pt idx="79">
                  <c:v>43819</c:v>
                </c:pt>
                <c:pt idx="80">
                  <c:v>43822</c:v>
                </c:pt>
                <c:pt idx="81">
                  <c:v>43823</c:v>
                </c:pt>
                <c:pt idx="82">
                  <c:v>43824</c:v>
                </c:pt>
                <c:pt idx="83">
                  <c:v>43825</c:v>
                </c:pt>
                <c:pt idx="84">
                  <c:v>43826</c:v>
                </c:pt>
                <c:pt idx="85">
                  <c:v>43829</c:v>
                </c:pt>
                <c:pt idx="86">
                  <c:v>43830</c:v>
                </c:pt>
                <c:pt idx="87">
                  <c:v>43832</c:v>
                </c:pt>
                <c:pt idx="88">
                  <c:v>43833</c:v>
                </c:pt>
                <c:pt idx="89">
                  <c:v>43836</c:v>
                </c:pt>
                <c:pt idx="90">
                  <c:v>43837</c:v>
                </c:pt>
                <c:pt idx="91">
                  <c:v>43838</c:v>
                </c:pt>
                <c:pt idx="92">
                  <c:v>43839</c:v>
                </c:pt>
                <c:pt idx="93">
                  <c:v>43840</c:v>
                </c:pt>
                <c:pt idx="94">
                  <c:v>43843</c:v>
                </c:pt>
                <c:pt idx="95">
                  <c:v>43844</c:v>
                </c:pt>
                <c:pt idx="96">
                  <c:v>43845</c:v>
                </c:pt>
                <c:pt idx="97">
                  <c:v>43846</c:v>
                </c:pt>
                <c:pt idx="98">
                  <c:v>43847</c:v>
                </c:pt>
                <c:pt idx="99">
                  <c:v>43850</c:v>
                </c:pt>
                <c:pt idx="100">
                  <c:v>43851</c:v>
                </c:pt>
                <c:pt idx="101">
                  <c:v>43852</c:v>
                </c:pt>
                <c:pt idx="102">
                  <c:v>43853</c:v>
                </c:pt>
                <c:pt idx="103">
                  <c:v>43864</c:v>
                </c:pt>
                <c:pt idx="104">
                  <c:v>43865</c:v>
                </c:pt>
                <c:pt idx="105">
                  <c:v>43866</c:v>
                </c:pt>
                <c:pt idx="106">
                  <c:v>43867</c:v>
                </c:pt>
                <c:pt idx="107">
                  <c:v>43868</c:v>
                </c:pt>
                <c:pt idx="108">
                  <c:v>43871</c:v>
                </c:pt>
                <c:pt idx="109">
                  <c:v>43872</c:v>
                </c:pt>
                <c:pt idx="110">
                  <c:v>43873</c:v>
                </c:pt>
                <c:pt idx="111">
                  <c:v>43874</c:v>
                </c:pt>
                <c:pt idx="112">
                  <c:v>43875</c:v>
                </c:pt>
                <c:pt idx="113">
                  <c:v>43878</c:v>
                </c:pt>
                <c:pt idx="114">
                  <c:v>43879</c:v>
                </c:pt>
                <c:pt idx="115">
                  <c:v>43880</c:v>
                </c:pt>
                <c:pt idx="116">
                  <c:v>43881</c:v>
                </c:pt>
                <c:pt idx="117">
                  <c:v>43882</c:v>
                </c:pt>
                <c:pt idx="118">
                  <c:v>43885</c:v>
                </c:pt>
                <c:pt idx="119">
                  <c:v>43886</c:v>
                </c:pt>
                <c:pt idx="120">
                  <c:v>43887</c:v>
                </c:pt>
                <c:pt idx="121">
                  <c:v>43888</c:v>
                </c:pt>
                <c:pt idx="122">
                  <c:v>43889</c:v>
                </c:pt>
                <c:pt idx="123">
                  <c:v>43892</c:v>
                </c:pt>
                <c:pt idx="124">
                  <c:v>43893</c:v>
                </c:pt>
                <c:pt idx="125">
                  <c:v>43894</c:v>
                </c:pt>
                <c:pt idx="126">
                  <c:v>43895</c:v>
                </c:pt>
                <c:pt idx="127">
                  <c:v>43896</c:v>
                </c:pt>
                <c:pt idx="128">
                  <c:v>43899</c:v>
                </c:pt>
                <c:pt idx="129">
                  <c:v>43900</c:v>
                </c:pt>
                <c:pt idx="130">
                  <c:v>43901</c:v>
                </c:pt>
                <c:pt idx="131">
                  <c:v>43902</c:v>
                </c:pt>
                <c:pt idx="132">
                  <c:v>43903</c:v>
                </c:pt>
                <c:pt idx="133">
                  <c:v>43906</c:v>
                </c:pt>
                <c:pt idx="134">
                  <c:v>43907</c:v>
                </c:pt>
                <c:pt idx="135">
                  <c:v>43908</c:v>
                </c:pt>
                <c:pt idx="136">
                  <c:v>43909</c:v>
                </c:pt>
                <c:pt idx="137">
                  <c:v>43910</c:v>
                </c:pt>
                <c:pt idx="138">
                  <c:v>43913</c:v>
                </c:pt>
                <c:pt idx="139">
                  <c:v>43914</c:v>
                </c:pt>
                <c:pt idx="140">
                  <c:v>43915</c:v>
                </c:pt>
                <c:pt idx="141">
                  <c:v>43916</c:v>
                </c:pt>
                <c:pt idx="142">
                  <c:v>43917</c:v>
                </c:pt>
                <c:pt idx="143">
                  <c:v>43920</c:v>
                </c:pt>
                <c:pt idx="144">
                  <c:v>43921</c:v>
                </c:pt>
                <c:pt idx="145">
                  <c:v>43922</c:v>
                </c:pt>
                <c:pt idx="146">
                  <c:v>43923</c:v>
                </c:pt>
                <c:pt idx="147">
                  <c:v>43924</c:v>
                </c:pt>
                <c:pt idx="148">
                  <c:v>43928</c:v>
                </c:pt>
                <c:pt idx="149">
                  <c:v>43929</c:v>
                </c:pt>
                <c:pt idx="150">
                  <c:v>43930</c:v>
                </c:pt>
                <c:pt idx="151">
                  <c:v>43931</c:v>
                </c:pt>
                <c:pt idx="152">
                  <c:v>43934</c:v>
                </c:pt>
                <c:pt idx="153">
                  <c:v>43935</c:v>
                </c:pt>
                <c:pt idx="154">
                  <c:v>43936</c:v>
                </c:pt>
                <c:pt idx="155">
                  <c:v>43937</c:v>
                </c:pt>
                <c:pt idx="156">
                  <c:v>43938</c:v>
                </c:pt>
                <c:pt idx="157">
                  <c:v>43941</c:v>
                </c:pt>
                <c:pt idx="158">
                  <c:v>43942</c:v>
                </c:pt>
                <c:pt idx="159">
                  <c:v>43943</c:v>
                </c:pt>
                <c:pt idx="160">
                  <c:v>43944</c:v>
                </c:pt>
                <c:pt idx="161">
                  <c:v>43945</c:v>
                </c:pt>
                <c:pt idx="162">
                  <c:v>43948</c:v>
                </c:pt>
                <c:pt idx="163">
                  <c:v>43949</c:v>
                </c:pt>
                <c:pt idx="164">
                  <c:v>43950</c:v>
                </c:pt>
                <c:pt idx="165">
                  <c:v>43951</c:v>
                </c:pt>
                <c:pt idx="166">
                  <c:v>43957</c:v>
                </c:pt>
                <c:pt idx="167">
                  <c:v>43958</c:v>
                </c:pt>
                <c:pt idx="168">
                  <c:v>43959</c:v>
                </c:pt>
                <c:pt idx="169">
                  <c:v>43962</c:v>
                </c:pt>
                <c:pt idx="170">
                  <c:v>43963</c:v>
                </c:pt>
                <c:pt idx="171">
                  <c:v>43964</c:v>
                </c:pt>
                <c:pt idx="172">
                  <c:v>43965</c:v>
                </c:pt>
                <c:pt idx="173">
                  <c:v>43966</c:v>
                </c:pt>
                <c:pt idx="174">
                  <c:v>43969</c:v>
                </c:pt>
                <c:pt idx="175">
                  <c:v>43970</c:v>
                </c:pt>
                <c:pt idx="176">
                  <c:v>43971</c:v>
                </c:pt>
                <c:pt idx="177">
                  <c:v>43972</c:v>
                </c:pt>
                <c:pt idx="178">
                  <c:v>43973</c:v>
                </c:pt>
                <c:pt idx="179">
                  <c:v>43976</c:v>
                </c:pt>
                <c:pt idx="180">
                  <c:v>43977</c:v>
                </c:pt>
                <c:pt idx="181">
                  <c:v>43978</c:v>
                </c:pt>
                <c:pt idx="182">
                  <c:v>43979</c:v>
                </c:pt>
                <c:pt idx="183">
                  <c:v>43980</c:v>
                </c:pt>
                <c:pt idx="184">
                  <c:v>43983</c:v>
                </c:pt>
                <c:pt idx="185">
                  <c:v>43984</c:v>
                </c:pt>
                <c:pt idx="186">
                  <c:v>43985</c:v>
                </c:pt>
                <c:pt idx="187">
                  <c:v>43986</c:v>
                </c:pt>
                <c:pt idx="188">
                  <c:v>43987</c:v>
                </c:pt>
                <c:pt idx="189">
                  <c:v>43990</c:v>
                </c:pt>
                <c:pt idx="190">
                  <c:v>43991</c:v>
                </c:pt>
                <c:pt idx="191">
                  <c:v>43992</c:v>
                </c:pt>
                <c:pt idx="192">
                  <c:v>43993</c:v>
                </c:pt>
                <c:pt idx="193">
                  <c:v>43994</c:v>
                </c:pt>
                <c:pt idx="194">
                  <c:v>43997</c:v>
                </c:pt>
                <c:pt idx="195">
                  <c:v>43998</c:v>
                </c:pt>
                <c:pt idx="196">
                  <c:v>43999</c:v>
                </c:pt>
                <c:pt idx="197">
                  <c:v>44000</c:v>
                </c:pt>
                <c:pt idx="198">
                  <c:v>44001</c:v>
                </c:pt>
                <c:pt idx="199">
                  <c:v>44004</c:v>
                </c:pt>
                <c:pt idx="200">
                  <c:v>44005</c:v>
                </c:pt>
                <c:pt idx="201">
                  <c:v>44006</c:v>
                </c:pt>
                <c:pt idx="202">
                  <c:v>44011</c:v>
                </c:pt>
                <c:pt idx="203">
                  <c:v>44012</c:v>
                </c:pt>
                <c:pt idx="204">
                  <c:v>44013</c:v>
                </c:pt>
                <c:pt idx="205">
                  <c:v>44014</c:v>
                </c:pt>
                <c:pt idx="206">
                  <c:v>44015</c:v>
                </c:pt>
                <c:pt idx="207">
                  <c:v>44018</c:v>
                </c:pt>
                <c:pt idx="208">
                  <c:v>44019</c:v>
                </c:pt>
                <c:pt idx="209">
                  <c:v>44020</c:v>
                </c:pt>
                <c:pt idx="210">
                  <c:v>44021</c:v>
                </c:pt>
                <c:pt idx="211">
                  <c:v>44022</c:v>
                </c:pt>
                <c:pt idx="212">
                  <c:v>44025</c:v>
                </c:pt>
                <c:pt idx="213">
                  <c:v>44026</c:v>
                </c:pt>
                <c:pt idx="214">
                  <c:v>44027</c:v>
                </c:pt>
                <c:pt idx="215">
                  <c:v>44028</c:v>
                </c:pt>
                <c:pt idx="216">
                  <c:v>44029</c:v>
                </c:pt>
                <c:pt idx="217">
                  <c:v>44032</c:v>
                </c:pt>
                <c:pt idx="218">
                  <c:v>44033</c:v>
                </c:pt>
                <c:pt idx="219">
                  <c:v>44034</c:v>
                </c:pt>
                <c:pt idx="220">
                  <c:v>44035</c:v>
                </c:pt>
                <c:pt idx="221">
                  <c:v>44036</c:v>
                </c:pt>
                <c:pt idx="222">
                  <c:v>44039</c:v>
                </c:pt>
                <c:pt idx="223">
                  <c:v>44040</c:v>
                </c:pt>
                <c:pt idx="224">
                  <c:v>44041</c:v>
                </c:pt>
                <c:pt idx="225">
                  <c:v>44042</c:v>
                </c:pt>
                <c:pt idx="226">
                  <c:v>44043</c:v>
                </c:pt>
                <c:pt idx="227">
                  <c:v>44046</c:v>
                </c:pt>
                <c:pt idx="228">
                  <c:v>44047</c:v>
                </c:pt>
                <c:pt idx="229">
                  <c:v>44048</c:v>
                </c:pt>
                <c:pt idx="230">
                  <c:v>44049</c:v>
                </c:pt>
                <c:pt idx="231">
                  <c:v>44050</c:v>
                </c:pt>
              </c:numCache>
            </c:numRef>
          </c:cat>
          <c:val>
            <c:numRef>
              <c:f>格量稳健1号!$B$21:$B$252</c:f>
              <c:numCache>
                <c:formatCode>0.0000_ </c:formatCode>
                <c:ptCount val="232"/>
                <c:pt idx="0">
                  <c:v>1.47</c:v>
                </c:pt>
                <c:pt idx="1">
                  <c:v>1.4710000000000001</c:v>
                </c:pt>
                <c:pt idx="2">
                  <c:v>1.474</c:v>
                </c:pt>
                <c:pt idx="3">
                  <c:v>1.47</c:v>
                </c:pt>
                <c:pt idx="4">
                  <c:v>1.4690000000000001</c:v>
                </c:pt>
                <c:pt idx="5">
                  <c:v>1.4690000000000001</c:v>
                </c:pt>
                <c:pt idx="6">
                  <c:v>1.466</c:v>
                </c:pt>
                <c:pt idx="7">
                  <c:v>1.4690000000000001</c:v>
                </c:pt>
                <c:pt idx="8">
                  <c:v>1.4710000000000001</c:v>
                </c:pt>
                <c:pt idx="9">
                  <c:v>1.4696</c:v>
                </c:pt>
                <c:pt idx="10">
                  <c:v>1.4665999999999999</c:v>
                </c:pt>
                <c:pt idx="11">
                  <c:v>1.4656</c:v>
                </c:pt>
                <c:pt idx="12">
                  <c:v>1.4665999999999999</c:v>
                </c:pt>
                <c:pt idx="13">
                  <c:v>1.4656</c:v>
                </c:pt>
                <c:pt idx="14">
                  <c:v>1.4636</c:v>
                </c:pt>
                <c:pt idx="15">
                  <c:v>1.4656</c:v>
                </c:pt>
                <c:pt idx="16">
                  <c:v>1.4696</c:v>
                </c:pt>
                <c:pt idx="17">
                  <c:v>1.4705999999999999</c:v>
                </c:pt>
                <c:pt idx="18">
                  <c:v>1.4705999999999999</c:v>
                </c:pt>
                <c:pt idx="19">
                  <c:v>1.4705999999999999</c:v>
                </c:pt>
                <c:pt idx="20">
                  <c:v>1.4696</c:v>
                </c:pt>
                <c:pt idx="21">
                  <c:v>1.4716</c:v>
                </c:pt>
                <c:pt idx="22">
                  <c:v>1.4725999999999999</c:v>
                </c:pt>
                <c:pt idx="23">
                  <c:v>1.4705999999999999</c:v>
                </c:pt>
                <c:pt idx="24">
                  <c:v>1.4716</c:v>
                </c:pt>
                <c:pt idx="25">
                  <c:v>1.4716</c:v>
                </c:pt>
                <c:pt idx="26">
                  <c:v>1.4736</c:v>
                </c:pt>
                <c:pt idx="27">
                  <c:v>1.4745999999999999</c:v>
                </c:pt>
                <c:pt idx="28">
                  <c:v>1.4745999999999999</c:v>
                </c:pt>
                <c:pt idx="29">
                  <c:v>1.4765999999999999</c:v>
                </c:pt>
                <c:pt idx="30">
                  <c:v>1.4745999999999999</c:v>
                </c:pt>
                <c:pt idx="31">
                  <c:v>1.4765999999999999</c:v>
                </c:pt>
                <c:pt idx="32">
                  <c:v>1.4785999999999999</c:v>
                </c:pt>
                <c:pt idx="33">
                  <c:v>1.4796</c:v>
                </c:pt>
                <c:pt idx="34">
                  <c:v>1.4796</c:v>
                </c:pt>
                <c:pt idx="35">
                  <c:v>1.4825999999999999</c:v>
                </c:pt>
                <c:pt idx="36">
                  <c:v>1.4825999999999999</c:v>
                </c:pt>
                <c:pt idx="37">
                  <c:v>1.4816</c:v>
                </c:pt>
                <c:pt idx="38">
                  <c:v>1.4845999999999999</c:v>
                </c:pt>
                <c:pt idx="39">
                  <c:v>1.4845999999999999</c:v>
                </c:pt>
                <c:pt idx="40">
                  <c:v>1.4856</c:v>
                </c:pt>
                <c:pt idx="41">
                  <c:v>1.4865999999999999</c:v>
                </c:pt>
                <c:pt idx="42">
                  <c:v>1.4845999999999999</c:v>
                </c:pt>
                <c:pt idx="43">
                  <c:v>1.4865999999999999</c:v>
                </c:pt>
                <c:pt idx="44">
                  <c:v>1.4885999999999999</c:v>
                </c:pt>
                <c:pt idx="45">
                  <c:v>1.4905999999999999</c:v>
                </c:pt>
                <c:pt idx="46">
                  <c:v>1.4916</c:v>
                </c:pt>
                <c:pt idx="47">
                  <c:v>1.4896</c:v>
                </c:pt>
                <c:pt idx="48">
                  <c:v>1.4916</c:v>
                </c:pt>
                <c:pt idx="49">
                  <c:v>1.4905999999999999</c:v>
                </c:pt>
                <c:pt idx="50">
                  <c:v>1.4925999999999999</c:v>
                </c:pt>
                <c:pt idx="51">
                  <c:v>1.4936</c:v>
                </c:pt>
                <c:pt idx="52">
                  <c:v>1.4925999999999999</c:v>
                </c:pt>
                <c:pt idx="53">
                  <c:v>1.4976</c:v>
                </c:pt>
                <c:pt idx="54">
                  <c:v>1.4985999999999999</c:v>
                </c:pt>
                <c:pt idx="55">
                  <c:v>1.4976</c:v>
                </c:pt>
                <c:pt idx="56">
                  <c:v>1.4956</c:v>
                </c:pt>
                <c:pt idx="57">
                  <c:v>1.4896</c:v>
                </c:pt>
                <c:pt idx="58">
                  <c:v>1.4896</c:v>
                </c:pt>
                <c:pt idx="59">
                  <c:v>1.4936</c:v>
                </c:pt>
                <c:pt idx="60">
                  <c:v>1.4905999999999999</c:v>
                </c:pt>
                <c:pt idx="61">
                  <c:v>1.4925999999999999</c:v>
                </c:pt>
                <c:pt idx="62">
                  <c:v>1.4936</c:v>
                </c:pt>
                <c:pt idx="63">
                  <c:v>1.4936</c:v>
                </c:pt>
                <c:pt idx="64">
                  <c:v>1.4925999999999999</c:v>
                </c:pt>
                <c:pt idx="65">
                  <c:v>1.4925999999999999</c:v>
                </c:pt>
                <c:pt idx="66">
                  <c:v>1.4925999999999999</c:v>
                </c:pt>
                <c:pt idx="67">
                  <c:v>1.4905999999999999</c:v>
                </c:pt>
                <c:pt idx="68">
                  <c:v>1.4916</c:v>
                </c:pt>
                <c:pt idx="69">
                  <c:v>1.4916</c:v>
                </c:pt>
                <c:pt idx="70">
                  <c:v>1.4865999999999999</c:v>
                </c:pt>
                <c:pt idx="71">
                  <c:v>1.4845999999999999</c:v>
                </c:pt>
                <c:pt idx="72">
                  <c:v>1.4876</c:v>
                </c:pt>
                <c:pt idx="73">
                  <c:v>1.4876</c:v>
                </c:pt>
                <c:pt idx="74">
                  <c:v>1.4896</c:v>
                </c:pt>
                <c:pt idx="75">
                  <c:v>1.4885999999999999</c:v>
                </c:pt>
                <c:pt idx="76">
                  <c:v>1.4845999999999999</c:v>
                </c:pt>
                <c:pt idx="77">
                  <c:v>1.4856</c:v>
                </c:pt>
                <c:pt idx="78">
                  <c:v>1.4845999999999999</c:v>
                </c:pt>
                <c:pt idx="79">
                  <c:v>1.4805999999999999</c:v>
                </c:pt>
                <c:pt idx="80">
                  <c:v>1.4865999999999999</c:v>
                </c:pt>
                <c:pt idx="81">
                  <c:v>1.4876</c:v>
                </c:pt>
                <c:pt idx="82">
                  <c:v>1.4876</c:v>
                </c:pt>
                <c:pt idx="83">
                  <c:v>1.4885999999999999</c:v>
                </c:pt>
                <c:pt idx="84">
                  <c:v>1.4876</c:v>
                </c:pt>
                <c:pt idx="85">
                  <c:v>1.4876</c:v>
                </c:pt>
                <c:pt idx="86">
                  <c:v>1.4885999999999999</c:v>
                </c:pt>
                <c:pt idx="87">
                  <c:v>1.4885999999999999</c:v>
                </c:pt>
                <c:pt idx="88">
                  <c:v>1.4896</c:v>
                </c:pt>
                <c:pt idx="89">
                  <c:v>1.4885999999999999</c:v>
                </c:pt>
                <c:pt idx="90">
                  <c:v>1.4905999999999999</c:v>
                </c:pt>
                <c:pt idx="91">
                  <c:v>1.4916</c:v>
                </c:pt>
                <c:pt idx="92">
                  <c:v>1.4925999999999999</c:v>
                </c:pt>
                <c:pt idx="93">
                  <c:v>1.4925999999999999</c:v>
                </c:pt>
                <c:pt idx="94">
                  <c:v>1.4945999999999999</c:v>
                </c:pt>
                <c:pt idx="95">
                  <c:v>1.4916</c:v>
                </c:pt>
                <c:pt idx="96">
                  <c:v>1.4925999999999999</c:v>
                </c:pt>
                <c:pt idx="97">
                  <c:v>1.4936</c:v>
                </c:pt>
                <c:pt idx="98">
                  <c:v>1.4936</c:v>
                </c:pt>
                <c:pt idx="99">
                  <c:v>1.4956</c:v>
                </c:pt>
                <c:pt idx="100">
                  <c:v>1.4965999999999999</c:v>
                </c:pt>
                <c:pt idx="101">
                  <c:v>1.4956</c:v>
                </c:pt>
                <c:pt idx="102">
                  <c:v>1.5005999999999999</c:v>
                </c:pt>
                <c:pt idx="103">
                  <c:v>1.5025999999999999</c:v>
                </c:pt>
                <c:pt idx="104">
                  <c:v>1.5036</c:v>
                </c:pt>
                <c:pt idx="105">
                  <c:v>1.5036</c:v>
                </c:pt>
                <c:pt idx="106">
                  <c:v>1.5045999999999999</c:v>
                </c:pt>
                <c:pt idx="107">
                  <c:v>1.5045999999999999</c:v>
                </c:pt>
                <c:pt idx="108">
                  <c:v>1.5065999999999999</c:v>
                </c:pt>
                <c:pt idx="109">
                  <c:v>1.5085999999999999</c:v>
                </c:pt>
                <c:pt idx="110">
                  <c:v>1.5096000000000001</c:v>
                </c:pt>
                <c:pt idx="111">
                  <c:v>1.5096000000000001</c:v>
                </c:pt>
                <c:pt idx="112">
                  <c:v>1.5096000000000001</c:v>
                </c:pt>
                <c:pt idx="113">
                  <c:v>1.5076000000000001</c:v>
                </c:pt>
                <c:pt idx="114">
                  <c:v>1.5096000000000001</c:v>
                </c:pt>
                <c:pt idx="115">
                  <c:v>1.5096000000000001</c:v>
                </c:pt>
                <c:pt idx="116">
                  <c:v>1.5105999999999999</c:v>
                </c:pt>
                <c:pt idx="117">
                  <c:v>1.5125999999999999</c:v>
                </c:pt>
                <c:pt idx="118">
                  <c:v>1.5125999999999999</c:v>
                </c:pt>
                <c:pt idx="119">
                  <c:v>1.5165999999999999</c:v>
                </c:pt>
                <c:pt idx="120">
                  <c:v>1.5196000000000001</c:v>
                </c:pt>
                <c:pt idx="121">
                  <c:v>1.5196000000000001</c:v>
                </c:pt>
                <c:pt idx="122">
                  <c:v>1.5246</c:v>
                </c:pt>
                <c:pt idx="123">
                  <c:v>1.5246</c:v>
                </c:pt>
                <c:pt idx="124">
                  <c:v>1.5256000000000001</c:v>
                </c:pt>
                <c:pt idx="125">
                  <c:v>1.5266</c:v>
                </c:pt>
                <c:pt idx="126">
                  <c:v>1.5276000000000001</c:v>
                </c:pt>
                <c:pt idx="127">
                  <c:v>1.5296000000000001</c:v>
                </c:pt>
                <c:pt idx="128">
                  <c:v>1.5336000000000001</c:v>
                </c:pt>
                <c:pt idx="129">
                  <c:v>1.5296000000000001</c:v>
                </c:pt>
                <c:pt idx="130">
                  <c:v>1.5336000000000001</c:v>
                </c:pt>
                <c:pt idx="131">
                  <c:v>1.5366</c:v>
                </c:pt>
                <c:pt idx="132">
                  <c:v>1.5376000000000001</c:v>
                </c:pt>
                <c:pt idx="133">
                  <c:v>1.5406</c:v>
                </c:pt>
                <c:pt idx="134">
                  <c:v>1.5416000000000001</c:v>
                </c:pt>
                <c:pt idx="135">
                  <c:v>1.5456000000000001</c:v>
                </c:pt>
                <c:pt idx="136">
                  <c:v>1.5476000000000001</c:v>
                </c:pt>
                <c:pt idx="137">
                  <c:v>1.5486</c:v>
                </c:pt>
                <c:pt idx="138">
                  <c:v>1.5486</c:v>
                </c:pt>
                <c:pt idx="139">
                  <c:v>1.5476000000000001</c:v>
                </c:pt>
                <c:pt idx="140">
                  <c:v>1.5496000000000001</c:v>
                </c:pt>
                <c:pt idx="141">
                  <c:v>1.5506</c:v>
                </c:pt>
                <c:pt idx="142">
                  <c:v>1.5496000000000001</c:v>
                </c:pt>
                <c:pt idx="143">
                  <c:v>1.5506</c:v>
                </c:pt>
                <c:pt idx="144">
                  <c:v>1.5496000000000001</c:v>
                </c:pt>
                <c:pt idx="145">
                  <c:v>1.5496000000000001</c:v>
                </c:pt>
                <c:pt idx="146">
                  <c:v>1.5516000000000001</c:v>
                </c:pt>
                <c:pt idx="147">
                  <c:v>1.5496000000000001</c:v>
                </c:pt>
                <c:pt idx="148">
                  <c:v>1.5506</c:v>
                </c:pt>
                <c:pt idx="149">
                  <c:v>1.5496000000000001</c:v>
                </c:pt>
                <c:pt idx="150">
                  <c:v>1.5516000000000001</c:v>
                </c:pt>
                <c:pt idx="151">
                  <c:v>1.5526</c:v>
                </c:pt>
                <c:pt idx="152">
                  <c:v>1.5516000000000001</c:v>
                </c:pt>
                <c:pt idx="153">
                  <c:v>1.5546</c:v>
                </c:pt>
                <c:pt idx="154">
                  <c:v>1.5566</c:v>
                </c:pt>
                <c:pt idx="155">
                  <c:v>1.5576000000000001</c:v>
                </c:pt>
                <c:pt idx="156">
                  <c:v>1.5586</c:v>
                </c:pt>
                <c:pt idx="157">
                  <c:v>1.5586</c:v>
                </c:pt>
                <c:pt idx="158">
                  <c:v>1.5596000000000001</c:v>
                </c:pt>
                <c:pt idx="159">
                  <c:v>1.5596000000000001</c:v>
                </c:pt>
                <c:pt idx="160">
                  <c:v>1.5606</c:v>
                </c:pt>
                <c:pt idx="161">
                  <c:v>1.5596000000000001</c:v>
                </c:pt>
                <c:pt idx="162">
                  <c:v>1.5586</c:v>
                </c:pt>
                <c:pt idx="163">
                  <c:v>1.5586</c:v>
                </c:pt>
                <c:pt idx="164">
                  <c:v>1.5596000000000001</c:v>
                </c:pt>
                <c:pt idx="165">
                  <c:v>1.5566</c:v>
                </c:pt>
                <c:pt idx="166">
                  <c:v>1.5576000000000001</c:v>
                </c:pt>
                <c:pt idx="167">
                  <c:v>1.5586</c:v>
                </c:pt>
                <c:pt idx="168">
                  <c:v>1.5606</c:v>
                </c:pt>
                <c:pt idx="169">
                  <c:v>1.5616000000000001</c:v>
                </c:pt>
                <c:pt idx="170">
                  <c:v>1.5646</c:v>
                </c:pt>
                <c:pt idx="171">
                  <c:v>1.5646</c:v>
                </c:pt>
                <c:pt idx="172">
                  <c:v>1.5656000000000001</c:v>
                </c:pt>
                <c:pt idx="173">
                  <c:v>1.5636000000000001</c:v>
                </c:pt>
                <c:pt idx="174">
                  <c:v>1.5636000000000001</c:v>
                </c:pt>
                <c:pt idx="175">
                  <c:v>1.5646</c:v>
                </c:pt>
                <c:pt idx="176">
                  <c:v>1.5656000000000001</c:v>
                </c:pt>
                <c:pt idx="177">
                  <c:v>1.5646</c:v>
                </c:pt>
                <c:pt idx="178">
                  <c:v>1.5626</c:v>
                </c:pt>
                <c:pt idx="179">
                  <c:v>1.5606</c:v>
                </c:pt>
                <c:pt idx="180">
                  <c:v>1.5636000000000001</c:v>
                </c:pt>
                <c:pt idx="181">
                  <c:v>1.5646</c:v>
                </c:pt>
                <c:pt idx="182">
                  <c:v>1.5636000000000001</c:v>
                </c:pt>
                <c:pt idx="183">
                  <c:v>1.5666</c:v>
                </c:pt>
                <c:pt idx="184">
                  <c:v>1.5686</c:v>
                </c:pt>
                <c:pt idx="185">
                  <c:v>1.5686</c:v>
                </c:pt>
                <c:pt idx="186">
                  <c:v>1.5696000000000001</c:v>
                </c:pt>
                <c:pt idx="187">
                  <c:v>1.5706</c:v>
                </c:pt>
                <c:pt idx="188">
                  <c:v>1.5716000000000001</c:v>
                </c:pt>
                <c:pt idx="189">
                  <c:v>1.5716000000000001</c:v>
                </c:pt>
                <c:pt idx="190">
                  <c:v>1.5726</c:v>
                </c:pt>
                <c:pt idx="191">
                  <c:v>1.5726</c:v>
                </c:pt>
                <c:pt idx="192">
                  <c:v>1.5716000000000001</c:v>
                </c:pt>
                <c:pt idx="193">
                  <c:v>1.5716000000000001</c:v>
                </c:pt>
                <c:pt idx="194">
                  <c:v>1.5726</c:v>
                </c:pt>
                <c:pt idx="195">
                  <c:v>1.5706</c:v>
                </c:pt>
                <c:pt idx="196">
                  <c:v>1.5696000000000001</c:v>
                </c:pt>
                <c:pt idx="197">
                  <c:v>1.5676000000000001</c:v>
                </c:pt>
                <c:pt idx="198">
                  <c:v>1.5536000000000001</c:v>
                </c:pt>
                <c:pt idx="199">
                  <c:v>1.5416000000000001</c:v>
                </c:pt>
                <c:pt idx="200">
                  <c:v>1.5426</c:v>
                </c:pt>
                <c:pt idx="201">
                  <c:v>1.5426</c:v>
                </c:pt>
                <c:pt idx="202">
                  <c:v>1.5436000000000001</c:v>
                </c:pt>
                <c:pt idx="203">
                  <c:v>1.5446</c:v>
                </c:pt>
                <c:pt idx="204">
                  <c:v>1.5446</c:v>
                </c:pt>
                <c:pt idx="205">
                  <c:v>1.5416000000000001</c:v>
                </c:pt>
                <c:pt idx="206">
                  <c:v>1.5396000000000001</c:v>
                </c:pt>
                <c:pt idx="207">
                  <c:v>1.5386</c:v>
                </c:pt>
                <c:pt idx="208">
                  <c:v>1.5416000000000001</c:v>
                </c:pt>
                <c:pt idx="209">
                  <c:v>1.5416000000000001</c:v>
                </c:pt>
                <c:pt idx="210">
                  <c:v>1.5416000000000001</c:v>
                </c:pt>
                <c:pt idx="211">
                  <c:v>1.5426</c:v>
                </c:pt>
                <c:pt idx="212">
                  <c:v>1.5476000000000001</c:v>
                </c:pt>
                <c:pt idx="213">
                  <c:v>1.5486</c:v>
                </c:pt>
                <c:pt idx="214">
                  <c:v>1.5486</c:v>
                </c:pt>
                <c:pt idx="215">
                  <c:v>1.5536000000000001</c:v>
                </c:pt>
                <c:pt idx="216">
                  <c:v>1.5566</c:v>
                </c:pt>
                <c:pt idx="217">
                  <c:v>1.5556000000000001</c:v>
                </c:pt>
                <c:pt idx="218">
                  <c:v>1.5566</c:v>
                </c:pt>
                <c:pt idx="219">
                  <c:v>1.5566</c:v>
                </c:pt>
                <c:pt idx="220">
                  <c:v>1.5576000000000001</c:v>
                </c:pt>
                <c:pt idx="221">
                  <c:v>1.5566</c:v>
                </c:pt>
                <c:pt idx="222">
                  <c:v>1.5576000000000001</c:v>
                </c:pt>
                <c:pt idx="223">
                  <c:v>1.5576000000000001</c:v>
                </c:pt>
                <c:pt idx="224">
                  <c:v>1.5566</c:v>
                </c:pt>
                <c:pt idx="225">
                  <c:v>1.5576000000000001</c:v>
                </c:pt>
                <c:pt idx="226">
                  <c:v>1.5596000000000001</c:v>
                </c:pt>
                <c:pt idx="227">
                  <c:v>1.5606</c:v>
                </c:pt>
                <c:pt idx="228">
                  <c:v>1.5596000000000001</c:v>
                </c:pt>
                <c:pt idx="229">
                  <c:v>1.5596000000000001</c:v>
                </c:pt>
                <c:pt idx="230">
                  <c:v>1.5596000000000001</c:v>
                </c:pt>
                <c:pt idx="231">
                  <c:v>1.5586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B3-4BCA-AE4B-703870F2E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099824"/>
        <c:axId val="545100384"/>
      </c:lineChart>
      <c:catAx>
        <c:axId val="54509982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crossAx val="545100384"/>
        <c:crosses val="autoZero"/>
        <c:auto val="0"/>
        <c:lblAlgn val="ctr"/>
        <c:lblOffset val="100"/>
        <c:noMultiLvlLbl val="1"/>
      </c:catAx>
      <c:valAx>
        <c:axId val="545100384"/>
        <c:scaling>
          <c:orientation val="minMax"/>
          <c:min val="1.46"/>
        </c:scaling>
        <c:delete val="0"/>
        <c:axPos val="l"/>
        <c:majorGridlines/>
        <c:numFmt formatCode="0.0000_ " sourceLinked="1"/>
        <c:majorTickMark val="none"/>
        <c:minorTickMark val="none"/>
        <c:tickLblPos val="nextTo"/>
        <c:spPr>
          <a:ln w="9525">
            <a:noFill/>
          </a:ln>
        </c:spPr>
        <c:crossAx val="54509982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4" l="0.70000000000000062" r="0.70000000000000062" t="0.750000000000004" header="0.30000000000000032" footer="0.3000000000000003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 sz="1600"/>
              <a:t>银极启航</a:t>
            </a:r>
            <a:r>
              <a:rPr lang="en-US" altLang="zh-CN" sz="1600"/>
              <a:t>-SER992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银极启航!$B$20</c:f>
              <c:strCache>
                <c:ptCount val="1"/>
                <c:pt idx="0">
                  <c:v>累计净值</c:v>
                </c:pt>
              </c:strCache>
            </c:strRef>
          </c:tx>
          <c:marker>
            <c:symbol val="none"/>
          </c:marker>
          <c:cat>
            <c:numRef>
              <c:f>银极启航!$A$21:$A$107</c:f>
              <c:numCache>
                <c:formatCode>m/d/yyyy</c:formatCode>
                <c:ptCount val="87"/>
                <c:pt idx="0">
                  <c:v>43928</c:v>
                </c:pt>
                <c:pt idx="1">
                  <c:v>43929</c:v>
                </c:pt>
                <c:pt idx="2">
                  <c:v>43930</c:v>
                </c:pt>
                <c:pt idx="3">
                  <c:v>43931</c:v>
                </c:pt>
                <c:pt idx="4">
                  <c:v>43934</c:v>
                </c:pt>
                <c:pt idx="5">
                  <c:v>43935</c:v>
                </c:pt>
                <c:pt idx="6">
                  <c:v>43936</c:v>
                </c:pt>
                <c:pt idx="7">
                  <c:v>43937</c:v>
                </c:pt>
                <c:pt idx="8">
                  <c:v>43938</c:v>
                </c:pt>
                <c:pt idx="9">
                  <c:v>43941</c:v>
                </c:pt>
                <c:pt idx="10">
                  <c:v>43942</c:v>
                </c:pt>
                <c:pt idx="11">
                  <c:v>43943</c:v>
                </c:pt>
                <c:pt idx="12">
                  <c:v>43944</c:v>
                </c:pt>
                <c:pt idx="13">
                  <c:v>43945</c:v>
                </c:pt>
                <c:pt idx="14">
                  <c:v>43948</c:v>
                </c:pt>
                <c:pt idx="15">
                  <c:v>43949</c:v>
                </c:pt>
                <c:pt idx="16">
                  <c:v>43950</c:v>
                </c:pt>
                <c:pt idx="17">
                  <c:v>43951</c:v>
                </c:pt>
                <c:pt idx="18">
                  <c:v>43957</c:v>
                </c:pt>
                <c:pt idx="19">
                  <c:v>43958</c:v>
                </c:pt>
                <c:pt idx="20">
                  <c:v>43959</c:v>
                </c:pt>
                <c:pt idx="21">
                  <c:v>43962</c:v>
                </c:pt>
                <c:pt idx="22">
                  <c:v>43963</c:v>
                </c:pt>
                <c:pt idx="23">
                  <c:v>43964</c:v>
                </c:pt>
                <c:pt idx="24">
                  <c:v>43965</c:v>
                </c:pt>
                <c:pt idx="25">
                  <c:v>43966</c:v>
                </c:pt>
                <c:pt idx="26">
                  <c:v>43969</c:v>
                </c:pt>
                <c:pt idx="27">
                  <c:v>43970</c:v>
                </c:pt>
                <c:pt idx="28">
                  <c:v>43971</c:v>
                </c:pt>
                <c:pt idx="29">
                  <c:v>43972</c:v>
                </c:pt>
                <c:pt idx="30">
                  <c:v>43973</c:v>
                </c:pt>
                <c:pt idx="31">
                  <c:v>43976</c:v>
                </c:pt>
                <c:pt idx="32">
                  <c:v>43977</c:v>
                </c:pt>
                <c:pt idx="33">
                  <c:v>43978</c:v>
                </c:pt>
                <c:pt idx="34">
                  <c:v>43979</c:v>
                </c:pt>
                <c:pt idx="35">
                  <c:v>43980</c:v>
                </c:pt>
                <c:pt idx="36">
                  <c:v>43983</c:v>
                </c:pt>
                <c:pt idx="37">
                  <c:v>43984</c:v>
                </c:pt>
                <c:pt idx="38">
                  <c:v>43985</c:v>
                </c:pt>
                <c:pt idx="39">
                  <c:v>43986</c:v>
                </c:pt>
                <c:pt idx="40">
                  <c:v>43987</c:v>
                </c:pt>
                <c:pt idx="41">
                  <c:v>43990</c:v>
                </c:pt>
                <c:pt idx="42">
                  <c:v>43991</c:v>
                </c:pt>
                <c:pt idx="43">
                  <c:v>43992</c:v>
                </c:pt>
                <c:pt idx="44">
                  <c:v>43993</c:v>
                </c:pt>
                <c:pt idx="45">
                  <c:v>43994</c:v>
                </c:pt>
                <c:pt idx="46">
                  <c:v>43997</c:v>
                </c:pt>
                <c:pt idx="47">
                  <c:v>43998</c:v>
                </c:pt>
                <c:pt idx="48">
                  <c:v>43999</c:v>
                </c:pt>
                <c:pt idx="49">
                  <c:v>44000</c:v>
                </c:pt>
                <c:pt idx="50">
                  <c:v>44001</c:v>
                </c:pt>
                <c:pt idx="51">
                  <c:v>44004</c:v>
                </c:pt>
                <c:pt idx="52">
                  <c:v>44005</c:v>
                </c:pt>
                <c:pt idx="53">
                  <c:v>44006</c:v>
                </c:pt>
                <c:pt idx="54">
                  <c:v>44011</c:v>
                </c:pt>
                <c:pt idx="55">
                  <c:v>44012</c:v>
                </c:pt>
                <c:pt idx="56">
                  <c:v>44013</c:v>
                </c:pt>
                <c:pt idx="57">
                  <c:v>44014</c:v>
                </c:pt>
                <c:pt idx="58">
                  <c:v>44015</c:v>
                </c:pt>
                <c:pt idx="59">
                  <c:v>44018</c:v>
                </c:pt>
                <c:pt idx="60">
                  <c:v>44019</c:v>
                </c:pt>
                <c:pt idx="61">
                  <c:v>44020</c:v>
                </c:pt>
                <c:pt idx="62">
                  <c:v>44021</c:v>
                </c:pt>
                <c:pt idx="63">
                  <c:v>44022</c:v>
                </c:pt>
                <c:pt idx="64">
                  <c:v>44025</c:v>
                </c:pt>
                <c:pt idx="65">
                  <c:v>44026</c:v>
                </c:pt>
                <c:pt idx="66">
                  <c:v>44027</c:v>
                </c:pt>
                <c:pt idx="67">
                  <c:v>44028</c:v>
                </c:pt>
                <c:pt idx="68">
                  <c:v>44029</c:v>
                </c:pt>
                <c:pt idx="69">
                  <c:v>44032</c:v>
                </c:pt>
                <c:pt idx="70">
                  <c:v>44033</c:v>
                </c:pt>
                <c:pt idx="71">
                  <c:v>44034</c:v>
                </c:pt>
                <c:pt idx="72">
                  <c:v>44035</c:v>
                </c:pt>
                <c:pt idx="73">
                  <c:v>44036</c:v>
                </c:pt>
                <c:pt idx="74">
                  <c:v>44039</c:v>
                </c:pt>
                <c:pt idx="75">
                  <c:v>44040</c:v>
                </c:pt>
                <c:pt idx="76">
                  <c:v>44041</c:v>
                </c:pt>
                <c:pt idx="77">
                  <c:v>44042</c:v>
                </c:pt>
                <c:pt idx="78">
                  <c:v>44043</c:v>
                </c:pt>
                <c:pt idx="79">
                  <c:v>44046</c:v>
                </c:pt>
                <c:pt idx="80">
                  <c:v>44047</c:v>
                </c:pt>
                <c:pt idx="81">
                  <c:v>44048</c:v>
                </c:pt>
                <c:pt idx="82">
                  <c:v>44049</c:v>
                </c:pt>
                <c:pt idx="83">
                  <c:v>44050</c:v>
                </c:pt>
                <c:pt idx="84">
                  <c:v>44053</c:v>
                </c:pt>
                <c:pt idx="85">
                  <c:v>44054</c:v>
                </c:pt>
                <c:pt idx="86">
                  <c:v>44055</c:v>
                </c:pt>
              </c:numCache>
            </c:numRef>
          </c:cat>
          <c:val>
            <c:numRef>
              <c:f>银极启航!$B$21:$B$107</c:f>
              <c:numCache>
                <c:formatCode>0.0000_ </c:formatCode>
                <c:ptCount val="87"/>
                <c:pt idx="0">
                  <c:v>1</c:v>
                </c:pt>
                <c:pt idx="1">
                  <c:v>0.999</c:v>
                </c:pt>
                <c:pt idx="2">
                  <c:v>0.999</c:v>
                </c:pt>
                <c:pt idx="3">
                  <c:v>0.999</c:v>
                </c:pt>
                <c:pt idx="4">
                  <c:v>1</c:v>
                </c:pt>
                <c:pt idx="5">
                  <c:v>1</c:v>
                </c:pt>
                <c:pt idx="6">
                  <c:v>0.998</c:v>
                </c:pt>
                <c:pt idx="7">
                  <c:v>0.998</c:v>
                </c:pt>
                <c:pt idx="8">
                  <c:v>1.0029999999999999</c:v>
                </c:pt>
                <c:pt idx="9">
                  <c:v>1.002</c:v>
                </c:pt>
                <c:pt idx="10">
                  <c:v>1.0069999999999999</c:v>
                </c:pt>
                <c:pt idx="11">
                  <c:v>1.004</c:v>
                </c:pt>
                <c:pt idx="12">
                  <c:v>1.0049999999999999</c:v>
                </c:pt>
                <c:pt idx="13">
                  <c:v>1.006</c:v>
                </c:pt>
                <c:pt idx="14">
                  <c:v>1.0049999999999999</c:v>
                </c:pt>
                <c:pt idx="15">
                  <c:v>1.006</c:v>
                </c:pt>
                <c:pt idx="16">
                  <c:v>1.0049999999999999</c:v>
                </c:pt>
                <c:pt idx="17">
                  <c:v>1.006</c:v>
                </c:pt>
                <c:pt idx="18">
                  <c:v>1.0049999999999999</c:v>
                </c:pt>
                <c:pt idx="19">
                  <c:v>1.006</c:v>
                </c:pt>
                <c:pt idx="20">
                  <c:v>1.006</c:v>
                </c:pt>
                <c:pt idx="21">
                  <c:v>1.008</c:v>
                </c:pt>
                <c:pt idx="22">
                  <c:v>1.0069999999999999</c:v>
                </c:pt>
                <c:pt idx="23">
                  <c:v>1.006</c:v>
                </c:pt>
                <c:pt idx="24">
                  <c:v>1.01</c:v>
                </c:pt>
                <c:pt idx="25">
                  <c:v>1.0109999999999999</c:v>
                </c:pt>
                <c:pt idx="26">
                  <c:v>1.012</c:v>
                </c:pt>
                <c:pt idx="27">
                  <c:v>1.01</c:v>
                </c:pt>
                <c:pt idx="28">
                  <c:v>1.012</c:v>
                </c:pt>
                <c:pt idx="29">
                  <c:v>1.0149999999999999</c:v>
                </c:pt>
                <c:pt idx="30">
                  <c:v>1.016</c:v>
                </c:pt>
                <c:pt idx="31">
                  <c:v>1.012</c:v>
                </c:pt>
                <c:pt idx="32">
                  <c:v>1.014</c:v>
                </c:pt>
                <c:pt idx="33">
                  <c:v>1.0149999999999999</c:v>
                </c:pt>
                <c:pt idx="34">
                  <c:v>1.016</c:v>
                </c:pt>
                <c:pt idx="35">
                  <c:v>1.0169999999999999</c:v>
                </c:pt>
                <c:pt idx="36">
                  <c:v>1.018</c:v>
                </c:pt>
                <c:pt idx="37">
                  <c:v>1.0149999999999999</c:v>
                </c:pt>
                <c:pt idx="38">
                  <c:v>1.0089999999999999</c:v>
                </c:pt>
                <c:pt idx="39">
                  <c:v>1.016</c:v>
                </c:pt>
                <c:pt idx="40">
                  <c:v>1.022</c:v>
                </c:pt>
                <c:pt idx="41">
                  <c:v>1.0189999999999999</c:v>
                </c:pt>
                <c:pt idx="42">
                  <c:v>1.024</c:v>
                </c:pt>
                <c:pt idx="43">
                  <c:v>1.0209999999999999</c:v>
                </c:pt>
                <c:pt idx="44">
                  <c:v>1.024</c:v>
                </c:pt>
                <c:pt idx="45">
                  <c:v>1.018</c:v>
                </c:pt>
                <c:pt idx="46">
                  <c:v>1.0049999999999999</c:v>
                </c:pt>
                <c:pt idx="47">
                  <c:v>1.0169999999999999</c:v>
                </c:pt>
                <c:pt idx="48">
                  <c:v>1.014</c:v>
                </c:pt>
                <c:pt idx="49">
                  <c:v>1.01</c:v>
                </c:pt>
                <c:pt idx="50">
                  <c:v>0.997</c:v>
                </c:pt>
                <c:pt idx="51">
                  <c:v>1.0049999999999999</c:v>
                </c:pt>
                <c:pt idx="52">
                  <c:v>1.0069999999999999</c:v>
                </c:pt>
                <c:pt idx="53">
                  <c:v>1.006</c:v>
                </c:pt>
                <c:pt idx="54">
                  <c:v>1.0149999999999999</c:v>
                </c:pt>
                <c:pt idx="55">
                  <c:v>1.0089999999999999</c:v>
                </c:pt>
                <c:pt idx="56">
                  <c:v>1.0109999999999999</c:v>
                </c:pt>
                <c:pt idx="57">
                  <c:v>0.97099999999999997</c:v>
                </c:pt>
                <c:pt idx="58">
                  <c:v>0.97199999999999998</c:v>
                </c:pt>
                <c:pt idx="59">
                  <c:v>0.97099999999999997</c:v>
                </c:pt>
                <c:pt idx="60">
                  <c:v>0.95499999999999996</c:v>
                </c:pt>
                <c:pt idx="61">
                  <c:v>0.95599999999999996</c:v>
                </c:pt>
                <c:pt idx="62">
                  <c:v>0.95699999999999996</c:v>
                </c:pt>
                <c:pt idx="63">
                  <c:v>0.95599999999999996</c:v>
                </c:pt>
                <c:pt idx="64">
                  <c:v>0.95699999999999996</c:v>
                </c:pt>
                <c:pt idx="65">
                  <c:v>0.95599999999999996</c:v>
                </c:pt>
                <c:pt idx="66">
                  <c:v>0.95699999999999996</c:v>
                </c:pt>
                <c:pt idx="67">
                  <c:v>0.96299999999999997</c:v>
                </c:pt>
                <c:pt idx="68">
                  <c:v>0.94799999999999995</c:v>
                </c:pt>
                <c:pt idx="69">
                  <c:v>0.95</c:v>
                </c:pt>
                <c:pt idx="70">
                  <c:v>0.95199999999999996</c:v>
                </c:pt>
                <c:pt idx="71">
                  <c:v>0.95399999999999996</c:v>
                </c:pt>
                <c:pt idx="72">
                  <c:v>0.94899999999999995</c:v>
                </c:pt>
                <c:pt idx="73">
                  <c:v>0.93899999999999995</c:v>
                </c:pt>
                <c:pt idx="74">
                  <c:v>0.93400000000000005</c:v>
                </c:pt>
                <c:pt idx="75">
                  <c:v>0.92900000000000005</c:v>
                </c:pt>
                <c:pt idx="76">
                  <c:v>0.93300000000000005</c:v>
                </c:pt>
                <c:pt idx="77">
                  <c:v>0.95099999999999996</c:v>
                </c:pt>
                <c:pt idx="78">
                  <c:v>0.96299999999999997</c:v>
                </c:pt>
                <c:pt idx="79">
                  <c:v>0.92600000000000005</c:v>
                </c:pt>
                <c:pt idx="80">
                  <c:v>0.92900000000000005</c:v>
                </c:pt>
                <c:pt idx="81">
                  <c:v>0.93</c:v>
                </c:pt>
                <c:pt idx="82">
                  <c:v>0.92900000000000005</c:v>
                </c:pt>
                <c:pt idx="83">
                  <c:v>0.95399999999999996</c:v>
                </c:pt>
                <c:pt idx="84">
                  <c:v>0.93899999999999995</c:v>
                </c:pt>
                <c:pt idx="85">
                  <c:v>0.92400000000000004</c:v>
                </c:pt>
                <c:pt idx="86">
                  <c:v>0.92400000000000004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C5-4496-9024-93BD98A1F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099824"/>
        <c:axId val="545100384"/>
      </c:lineChart>
      <c:catAx>
        <c:axId val="54509982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crossAx val="545100384"/>
        <c:crosses val="autoZero"/>
        <c:auto val="0"/>
        <c:lblAlgn val="ctr"/>
        <c:lblOffset val="100"/>
        <c:noMultiLvlLbl val="1"/>
      </c:catAx>
      <c:valAx>
        <c:axId val="545100384"/>
        <c:scaling>
          <c:orientation val="minMax"/>
          <c:min val="0.95000000000000007"/>
        </c:scaling>
        <c:delete val="0"/>
        <c:axPos val="l"/>
        <c:majorGridlines/>
        <c:numFmt formatCode="0.0000_ " sourceLinked="1"/>
        <c:majorTickMark val="none"/>
        <c:minorTickMark val="none"/>
        <c:tickLblPos val="nextTo"/>
        <c:spPr>
          <a:ln w="9525">
            <a:noFill/>
          </a:ln>
        </c:spPr>
        <c:crossAx val="54509982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4" l="0.70000000000000062" r="0.70000000000000062" t="0.750000000000004" header="0.30000000000000032" footer="0.3000000000000003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 sz="1600"/>
              <a:t>思博量道十五号</a:t>
            </a:r>
            <a:endParaRPr lang="en-US" altLang="zh-CN" sz="16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思博量道十五号!$B$20</c:f>
              <c:strCache>
                <c:ptCount val="1"/>
                <c:pt idx="0">
                  <c:v>累计净值</c:v>
                </c:pt>
              </c:strCache>
            </c:strRef>
          </c:tx>
          <c:marker>
            <c:symbol val="none"/>
          </c:marker>
          <c:cat>
            <c:numRef>
              <c:f>思博量道十五号!$A$21:$A$174</c:f>
              <c:numCache>
                <c:formatCode>m/d/yyyy</c:formatCode>
                <c:ptCount val="154"/>
                <c:pt idx="0">
                  <c:v>43781</c:v>
                </c:pt>
                <c:pt idx="1">
                  <c:v>43782</c:v>
                </c:pt>
                <c:pt idx="2">
                  <c:v>43783</c:v>
                </c:pt>
                <c:pt idx="3">
                  <c:v>43784</c:v>
                </c:pt>
                <c:pt idx="4">
                  <c:v>43787</c:v>
                </c:pt>
                <c:pt idx="5">
                  <c:v>43788</c:v>
                </c:pt>
                <c:pt idx="6">
                  <c:v>43789</c:v>
                </c:pt>
                <c:pt idx="7">
                  <c:v>43790</c:v>
                </c:pt>
                <c:pt idx="8">
                  <c:v>43791</c:v>
                </c:pt>
                <c:pt idx="9">
                  <c:v>43794</c:v>
                </c:pt>
                <c:pt idx="10">
                  <c:v>43795</c:v>
                </c:pt>
                <c:pt idx="11">
                  <c:v>43796</c:v>
                </c:pt>
                <c:pt idx="12">
                  <c:v>43797</c:v>
                </c:pt>
                <c:pt idx="13">
                  <c:v>43798</c:v>
                </c:pt>
                <c:pt idx="14">
                  <c:v>43801</c:v>
                </c:pt>
                <c:pt idx="15">
                  <c:v>43802</c:v>
                </c:pt>
                <c:pt idx="16">
                  <c:v>43803</c:v>
                </c:pt>
                <c:pt idx="17">
                  <c:v>43804</c:v>
                </c:pt>
                <c:pt idx="18">
                  <c:v>43805</c:v>
                </c:pt>
                <c:pt idx="19">
                  <c:v>43808</c:v>
                </c:pt>
                <c:pt idx="20">
                  <c:v>43809</c:v>
                </c:pt>
                <c:pt idx="21">
                  <c:v>43810</c:v>
                </c:pt>
                <c:pt idx="22">
                  <c:v>43811</c:v>
                </c:pt>
                <c:pt idx="23">
                  <c:v>43812</c:v>
                </c:pt>
                <c:pt idx="24">
                  <c:v>43815</c:v>
                </c:pt>
                <c:pt idx="25">
                  <c:v>43816</c:v>
                </c:pt>
                <c:pt idx="26">
                  <c:v>43817</c:v>
                </c:pt>
                <c:pt idx="27">
                  <c:v>43818</c:v>
                </c:pt>
                <c:pt idx="28">
                  <c:v>43819</c:v>
                </c:pt>
                <c:pt idx="29">
                  <c:v>43822</c:v>
                </c:pt>
                <c:pt idx="30">
                  <c:v>43823</c:v>
                </c:pt>
                <c:pt idx="31">
                  <c:v>43824</c:v>
                </c:pt>
                <c:pt idx="32">
                  <c:v>43825</c:v>
                </c:pt>
                <c:pt idx="33">
                  <c:v>43826</c:v>
                </c:pt>
                <c:pt idx="34">
                  <c:v>43829</c:v>
                </c:pt>
                <c:pt idx="35">
                  <c:v>43830</c:v>
                </c:pt>
                <c:pt idx="36">
                  <c:v>43832</c:v>
                </c:pt>
                <c:pt idx="37">
                  <c:v>43833</c:v>
                </c:pt>
                <c:pt idx="38">
                  <c:v>43836</c:v>
                </c:pt>
                <c:pt idx="39">
                  <c:v>43837</c:v>
                </c:pt>
                <c:pt idx="40">
                  <c:v>43838</c:v>
                </c:pt>
                <c:pt idx="41">
                  <c:v>43839</c:v>
                </c:pt>
                <c:pt idx="42">
                  <c:v>43840</c:v>
                </c:pt>
                <c:pt idx="43">
                  <c:v>43843</c:v>
                </c:pt>
                <c:pt idx="44">
                  <c:v>43844</c:v>
                </c:pt>
                <c:pt idx="45">
                  <c:v>43845</c:v>
                </c:pt>
                <c:pt idx="46">
                  <c:v>43846</c:v>
                </c:pt>
                <c:pt idx="47">
                  <c:v>43847</c:v>
                </c:pt>
                <c:pt idx="48">
                  <c:v>43850</c:v>
                </c:pt>
                <c:pt idx="49">
                  <c:v>43851</c:v>
                </c:pt>
                <c:pt idx="50">
                  <c:v>43852</c:v>
                </c:pt>
                <c:pt idx="51">
                  <c:v>43853</c:v>
                </c:pt>
                <c:pt idx="52">
                  <c:v>43864</c:v>
                </c:pt>
                <c:pt idx="53">
                  <c:v>43865</c:v>
                </c:pt>
                <c:pt idx="54">
                  <c:v>43866</c:v>
                </c:pt>
                <c:pt idx="55">
                  <c:v>43867</c:v>
                </c:pt>
                <c:pt idx="56">
                  <c:v>43868</c:v>
                </c:pt>
                <c:pt idx="57">
                  <c:v>43871</c:v>
                </c:pt>
                <c:pt idx="58">
                  <c:v>43872</c:v>
                </c:pt>
                <c:pt idx="59">
                  <c:v>43873</c:v>
                </c:pt>
                <c:pt idx="60">
                  <c:v>43874</c:v>
                </c:pt>
                <c:pt idx="61">
                  <c:v>43875</c:v>
                </c:pt>
                <c:pt idx="62">
                  <c:v>43878</c:v>
                </c:pt>
                <c:pt idx="63">
                  <c:v>43879</c:v>
                </c:pt>
                <c:pt idx="64">
                  <c:v>43880</c:v>
                </c:pt>
                <c:pt idx="65">
                  <c:v>43881</c:v>
                </c:pt>
                <c:pt idx="66">
                  <c:v>43882</c:v>
                </c:pt>
                <c:pt idx="67">
                  <c:v>43885</c:v>
                </c:pt>
                <c:pt idx="68">
                  <c:v>43886</c:v>
                </c:pt>
                <c:pt idx="69">
                  <c:v>43887</c:v>
                </c:pt>
                <c:pt idx="70">
                  <c:v>43888</c:v>
                </c:pt>
                <c:pt idx="71">
                  <c:v>43889</c:v>
                </c:pt>
                <c:pt idx="72">
                  <c:v>43892</c:v>
                </c:pt>
                <c:pt idx="73">
                  <c:v>43893</c:v>
                </c:pt>
                <c:pt idx="74">
                  <c:v>43894</c:v>
                </c:pt>
                <c:pt idx="75">
                  <c:v>43895</c:v>
                </c:pt>
                <c:pt idx="76">
                  <c:v>43896</c:v>
                </c:pt>
                <c:pt idx="77">
                  <c:v>43899</c:v>
                </c:pt>
                <c:pt idx="78">
                  <c:v>43900</c:v>
                </c:pt>
                <c:pt idx="79">
                  <c:v>43901</c:v>
                </c:pt>
                <c:pt idx="80">
                  <c:v>43902</c:v>
                </c:pt>
                <c:pt idx="81">
                  <c:v>43903</c:v>
                </c:pt>
                <c:pt idx="82">
                  <c:v>43906</c:v>
                </c:pt>
                <c:pt idx="83">
                  <c:v>43907</c:v>
                </c:pt>
                <c:pt idx="84">
                  <c:v>43908</c:v>
                </c:pt>
                <c:pt idx="85">
                  <c:v>43909</c:v>
                </c:pt>
                <c:pt idx="86">
                  <c:v>43910</c:v>
                </c:pt>
                <c:pt idx="87">
                  <c:v>43913</c:v>
                </c:pt>
                <c:pt idx="88">
                  <c:v>43914</c:v>
                </c:pt>
                <c:pt idx="89">
                  <c:v>43915</c:v>
                </c:pt>
                <c:pt idx="90">
                  <c:v>43916</c:v>
                </c:pt>
                <c:pt idx="91">
                  <c:v>43917</c:v>
                </c:pt>
                <c:pt idx="92">
                  <c:v>43920</c:v>
                </c:pt>
                <c:pt idx="93">
                  <c:v>43921</c:v>
                </c:pt>
                <c:pt idx="94">
                  <c:v>43922</c:v>
                </c:pt>
                <c:pt idx="95">
                  <c:v>43923</c:v>
                </c:pt>
                <c:pt idx="96">
                  <c:v>43924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43934</c:v>
                </c:pt>
                <c:pt idx="102">
                  <c:v>43935</c:v>
                </c:pt>
                <c:pt idx="103">
                  <c:v>43936</c:v>
                </c:pt>
                <c:pt idx="104">
                  <c:v>43937</c:v>
                </c:pt>
                <c:pt idx="105">
                  <c:v>43938</c:v>
                </c:pt>
                <c:pt idx="106">
                  <c:v>43941</c:v>
                </c:pt>
                <c:pt idx="107">
                  <c:v>43942</c:v>
                </c:pt>
                <c:pt idx="108">
                  <c:v>43943</c:v>
                </c:pt>
                <c:pt idx="109">
                  <c:v>43944</c:v>
                </c:pt>
                <c:pt idx="110">
                  <c:v>43945</c:v>
                </c:pt>
                <c:pt idx="111">
                  <c:v>43948</c:v>
                </c:pt>
                <c:pt idx="112">
                  <c:v>43949</c:v>
                </c:pt>
                <c:pt idx="113">
                  <c:v>43950</c:v>
                </c:pt>
                <c:pt idx="114">
                  <c:v>43951</c:v>
                </c:pt>
                <c:pt idx="115">
                  <c:v>43957</c:v>
                </c:pt>
                <c:pt idx="116">
                  <c:v>43958</c:v>
                </c:pt>
                <c:pt idx="117">
                  <c:v>43959</c:v>
                </c:pt>
                <c:pt idx="118">
                  <c:v>43962</c:v>
                </c:pt>
                <c:pt idx="119">
                  <c:v>43963</c:v>
                </c:pt>
                <c:pt idx="120">
                  <c:v>43964</c:v>
                </c:pt>
                <c:pt idx="121">
                  <c:v>43965</c:v>
                </c:pt>
                <c:pt idx="122">
                  <c:v>43966</c:v>
                </c:pt>
                <c:pt idx="123">
                  <c:v>43969</c:v>
                </c:pt>
                <c:pt idx="124">
                  <c:v>43970</c:v>
                </c:pt>
                <c:pt idx="125">
                  <c:v>43971</c:v>
                </c:pt>
                <c:pt idx="126">
                  <c:v>43972</c:v>
                </c:pt>
                <c:pt idx="127">
                  <c:v>43973</c:v>
                </c:pt>
                <c:pt idx="128">
                  <c:v>43976</c:v>
                </c:pt>
                <c:pt idx="129">
                  <c:v>43977</c:v>
                </c:pt>
                <c:pt idx="130">
                  <c:v>43978</c:v>
                </c:pt>
                <c:pt idx="131">
                  <c:v>43979</c:v>
                </c:pt>
                <c:pt idx="132">
                  <c:v>43980</c:v>
                </c:pt>
                <c:pt idx="133">
                  <c:v>43983</c:v>
                </c:pt>
                <c:pt idx="134">
                  <c:v>43984</c:v>
                </c:pt>
                <c:pt idx="135">
                  <c:v>43985</c:v>
                </c:pt>
                <c:pt idx="136">
                  <c:v>43986</c:v>
                </c:pt>
                <c:pt idx="137">
                  <c:v>43987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43997</c:v>
                </c:pt>
                <c:pt idx="144">
                  <c:v>43998</c:v>
                </c:pt>
                <c:pt idx="145">
                  <c:v>43999</c:v>
                </c:pt>
                <c:pt idx="146">
                  <c:v>44000</c:v>
                </c:pt>
                <c:pt idx="147">
                  <c:v>44001</c:v>
                </c:pt>
                <c:pt idx="148">
                  <c:v>44004</c:v>
                </c:pt>
                <c:pt idx="149">
                  <c:v>44005</c:v>
                </c:pt>
                <c:pt idx="150">
                  <c:v>44006</c:v>
                </c:pt>
                <c:pt idx="151">
                  <c:v>44011</c:v>
                </c:pt>
                <c:pt idx="152">
                  <c:v>44012</c:v>
                </c:pt>
                <c:pt idx="153">
                  <c:v>44013</c:v>
                </c:pt>
              </c:numCache>
            </c:numRef>
          </c:cat>
          <c:val>
            <c:numRef>
              <c:f>思博量道十五号!$B$21:$B$174</c:f>
              <c:numCache>
                <c:formatCode>0.0000_ </c:formatCode>
                <c:ptCount val="154"/>
                <c:pt idx="0">
                  <c:v>1.1961999999999999</c:v>
                </c:pt>
                <c:pt idx="1">
                  <c:v>1.1961999999999999</c:v>
                </c:pt>
                <c:pt idx="2">
                  <c:v>1.1912</c:v>
                </c:pt>
                <c:pt idx="3">
                  <c:v>1.196</c:v>
                </c:pt>
                <c:pt idx="4">
                  <c:v>1.1921999999999999</c:v>
                </c:pt>
                <c:pt idx="5">
                  <c:v>1.1972</c:v>
                </c:pt>
                <c:pt idx="6">
                  <c:v>1.2014</c:v>
                </c:pt>
                <c:pt idx="7">
                  <c:v>1.1992</c:v>
                </c:pt>
                <c:pt idx="8">
                  <c:v>1.2028000000000001</c:v>
                </c:pt>
                <c:pt idx="9">
                  <c:v>1.2021999999999999</c:v>
                </c:pt>
                <c:pt idx="10">
                  <c:v>1.2044999999999999</c:v>
                </c:pt>
                <c:pt idx="11">
                  <c:v>1.2031000000000001</c:v>
                </c:pt>
                <c:pt idx="12">
                  <c:v>1.2036</c:v>
                </c:pt>
                <c:pt idx="13">
                  <c:v>1.2087000000000001</c:v>
                </c:pt>
                <c:pt idx="14">
                  <c:v>1.1996</c:v>
                </c:pt>
                <c:pt idx="15">
                  <c:v>1.2012</c:v>
                </c:pt>
                <c:pt idx="16">
                  <c:v>1.1994</c:v>
                </c:pt>
                <c:pt idx="17">
                  <c:v>1.1962999999999999</c:v>
                </c:pt>
                <c:pt idx="18">
                  <c:v>1.1924999999999999</c:v>
                </c:pt>
                <c:pt idx="19">
                  <c:v>1.1928000000000001</c:v>
                </c:pt>
                <c:pt idx="20">
                  <c:v>1.1875</c:v>
                </c:pt>
                <c:pt idx="21">
                  <c:v>1.1827000000000001</c:v>
                </c:pt>
                <c:pt idx="22">
                  <c:v>1.1843999999999999</c:v>
                </c:pt>
                <c:pt idx="23">
                  <c:v>1.1776</c:v>
                </c:pt>
                <c:pt idx="24">
                  <c:v>1.1777</c:v>
                </c:pt>
                <c:pt idx="25">
                  <c:v>1.1778</c:v>
                </c:pt>
                <c:pt idx="26">
                  <c:v>1.1767000000000001</c:v>
                </c:pt>
                <c:pt idx="27">
                  <c:v>1.1761999999999999</c:v>
                </c:pt>
                <c:pt idx="28">
                  <c:v>1.179</c:v>
                </c:pt>
                <c:pt idx="29">
                  <c:v>1.1828000000000001</c:v>
                </c:pt>
                <c:pt idx="30">
                  <c:v>1.1860999999999999</c:v>
                </c:pt>
                <c:pt idx="31">
                  <c:v>1.1855</c:v>
                </c:pt>
                <c:pt idx="32">
                  <c:v>1.1831</c:v>
                </c:pt>
                <c:pt idx="33">
                  <c:v>1.1812</c:v>
                </c:pt>
                <c:pt idx="34">
                  <c:v>1.1851</c:v>
                </c:pt>
                <c:pt idx="35">
                  <c:v>1.1888000000000001</c:v>
                </c:pt>
                <c:pt idx="36">
                  <c:v>1.1933</c:v>
                </c:pt>
                <c:pt idx="37">
                  <c:v>1.1892</c:v>
                </c:pt>
                <c:pt idx="38">
                  <c:v>1.1839</c:v>
                </c:pt>
                <c:pt idx="39">
                  <c:v>1.1901999999999999</c:v>
                </c:pt>
                <c:pt idx="40">
                  <c:v>1.1950000000000001</c:v>
                </c:pt>
                <c:pt idx="41">
                  <c:v>1.196</c:v>
                </c:pt>
                <c:pt idx="42">
                  <c:v>1.196</c:v>
                </c:pt>
                <c:pt idx="43">
                  <c:v>1.1966000000000001</c:v>
                </c:pt>
                <c:pt idx="44">
                  <c:v>1.1983999999999999</c:v>
                </c:pt>
                <c:pt idx="45">
                  <c:v>1.2019</c:v>
                </c:pt>
                <c:pt idx="46">
                  <c:v>1.202</c:v>
                </c:pt>
                <c:pt idx="47">
                  <c:v>1.2013</c:v>
                </c:pt>
                <c:pt idx="48">
                  <c:v>1.2002999999999999</c:v>
                </c:pt>
                <c:pt idx="49">
                  <c:v>1.2024999999999999</c:v>
                </c:pt>
                <c:pt idx="50">
                  <c:v>1.2052</c:v>
                </c:pt>
                <c:pt idx="51">
                  <c:v>1.2038</c:v>
                </c:pt>
                <c:pt idx="52">
                  <c:v>1.2490000000000001</c:v>
                </c:pt>
                <c:pt idx="53">
                  <c:v>1.2524</c:v>
                </c:pt>
                <c:pt idx="54">
                  <c:v>1.2546999999999999</c:v>
                </c:pt>
                <c:pt idx="55">
                  <c:v>1.2603</c:v>
                </c:pt>
                <c:pt idx="56">
                  <c:v>1.2625999999999999</c:v>
                </c:pt>
                <c:pt idx="57">
                  <c:v>1.2615000000000001</c:v>
                </c:pt>
                <c:pt idx="58">
                  <c:v>1.2607999999999999</c:v>
                </c:pt>
                <c:pt idx="59">
                  <c:v>1.2615000000000001</c:v>
                </c:pt>
                <c:pt idx="60">
                  <c:v>1.2623</c:v>
                </c:pt>
                <c:pt idx="61">
                  <c:v>1.2633000000000001</c:v>
                </c:pt>
                <c:pt idx="62">
                  <c:v>1.2654000000000001</c:v>
                </c:pt>
                <c:pt idx="63">
                  <c:v>1.2645999999999999</c:v>
                </c:pt>
                <c:pt idx="64">
                  <c:v>1.2643</c:v>
                </c:pt>
                <c:pt idx="65">
                  <c:v>1.2701</c:v>
                </c:pt>
                <c:pt idx="66">
                  <c:v>1.2710999999999999</c:v>
                </c:pt>
                <c:pt idx="67">
                  <c:v>1.2777000000000001</c:v>
                </c:pt>
                <c:pt idx="68">
                  <c:v>1.2786999999999999</c:v>
                </c:pt>
                <c:pt idx="69">
                  <c:v>1.2794000000000001</c:v>
                </c:pt>
                <c:pt idx="70">
                  <c:v>1.2825</c:v>
                </c:pt>
                <c:pt idx="71">
                  <c:v>1.2904</c:v>
                </c:pt>
                <c:pt idx="72">
                  <c:v>1.2842</c:v>
                </c:pt>
                <c:pt idx="73">
                  <c:v>1.3169999999999999</c:v>
                </c:pt>
                <c:pt idx="74">
                  <c:v>1.3171999999999999</c:v>
                </c:pt>
                <c:pt idx="75">
                  <c:v>1.3209</c:v>
                </c:pt>
                <c:pt idx="76">
                  <c:v>1.3187</c:v>
                </c:pt>
                <c:pt idx="77">
                  <c:v>1.3113999999999999</c:v>
                </c:pt>
                <c:pt idx="78">
                  <c:v>1.3037000000000001</c:v>
                </c:pt>
                <c:pt idx="79">
                  <c:v>1.3104</c:v>
                </c:pt>
                <c:pt idx="80">
                  <c:v>1.3166</c:v>
                </c:pt>
                <c:pt idx="81">
                  <c:v>1.3089</c:v>
                </c:pt>
                <c:pt idx="82">
                  <c:v>1.3151999999999999</c:v>
                </c:pt>
                <c:pt idx="83">
                  <c:v>1.3205</c:v>
                </c:pt>
                <c:pt idx="84">
                  <c:v>1.3258000000000001</c:v>
                </c:pt>
                <c:pt idx="85">
                  <c:v>1.3309</c:v>
                </c:pt>
                <c:pt idx="86">
                  <c:v>1.3187</c:v>
                </c:pt>
                <c:pt idx="87">
                  <c:v>1.3351</c:v>
                </c:pt>
                <c:pt idx="88">
                  <c:v>1.3242</c:v>
                </c:pt>
                <c:pt idx="89">
                  <c:v>1.319</c:v>
                </c:pt>
                <c:pt idx="90">
                  <c:v>1.3207</c:v>
                </c:pt>
                <c:pt idx="91">
                  <c:v>1.3211999999999999</c:v>
                </c:pt>
                <c:pt idx="92">
                  <c:v>1.3225</c:v>
                </c:pt>
                <c:pt idx="93">
                  <c:v>1.3230999999999999</c:v>
                </c:pt>
                <c:pt idx="94">
                  <c:v>1.3217000000000001</c:v>
                </c:pt>
                <c:pt idx="95">
                  <c:v>1.3267</c:v>
                </c:pt>
                <c:pt idx="96">
                  <c:v>1.3228</c:v>
                </c:pt>
                <c:pt idx="97">
                  <c:v>1.3214999999999999</c:v>
                </c:pt>
                <c:pt idx="98">
                  <c:v>1.3186</c:v>
                </c:pt>
                <c:pt idx="99">
                  <c:v>1.3190999999999999</c:v>
                </c:pt>
                <c:pt idx="100">
                  <c:v>1.3218000000000001</c:v>
                </c:pt>
                <c:pt idx="101">
                  <c:v>1.3221000000000001</c:v>
                </c:pt>
                <c:pt idx="102">
                  <c:v>1.3221000000000001</c:v>
                </c:pt>
                <c:pt idx="103">
                  <c:v>1.323</c:v>
                </c:pt>
                <c:pt idx="104">
                  <c:v>1.3212999999999999</c:v>
                </c:pt>
                <c:pt idx="105">
                  <c:v>1.3288</c:v>
                </c:pt>
                <c:pt idx="106">
                  <c:v>1.3280000000000001</c:v>
                </c:pt>
                <c:pt idx="107">
                  <c:v>1.3273999999999999</c:v>
                </c:pt>
                <c:pt idx="108">
                  <c:v>1.3275999999999999</c:v>
                </c:pt>
                <c:pt idx="109">
                  <c:v>1.3232999999999999</c:v>
                </c:pt>
                <c:pt idx="110">
                  <c:v>1.3272999999999999</c:v>
                </c:pt>
                <c:pt idx="111">
                  <c:v>1.3302</c:v>
                </c:pt>
                <c:pt idx="112">
                  <c:v>1.3312999999999999</c:v>
                </c:pt>
                <c:pt idx="113">
                  <c:v>1.3340000000000001</c:v>
                </c:pt>
                <c:pt idx="114">
                  <c:v>1.3362000000000001</c:v>
                </c:pt>
                <c:pt idx="115">
                  <c:v>1.3363</c:v>
                </c:pt>
                <c:pt idx="116">
                  <c:v>1.3357000000000001</c:v>
                </c:pt>
                <c:pt idx="117">
                  <c:v>1.3396999999999999</c:v>
                </c:pt>
                <c:pt idx="118">
                  <c:v>1.3367</c:v>
                </c:pt>
                <c:pt idx="119">
                  <c:v>1.3374999999999999</c:v>
                </c:pt>
                <c:pt idx="120">
                  <c:v>1.3387</c:v>
                </c:pt>
                <c:pt idx="121">
                  <c:v>1.3368</c:v>
                </c:pt>
                <c:pt idx="122">
                  <c:v>1.3347</c:v>
                </c:pt>
                <c:pt idx="123">
                  <c:v>1.3289</c:v>
                </c:pt>
                <c:pt idx="124">
                  <c:v>1.3364</c:v>
                </c:pt>
                <c:pt idx="125">
                  <c:v>1.3344</c:v>
                </c:pt>
                <c:pt idx="126">
                  <c:v>1.3345</c:v>
                </c:pt>
                <c:pt idx="127">
                  <c:v>1.3340000000000001</c:v>
                </c:pt>
                <c:pt idx="128">
                  <c:v>1.335</c:v>
                </c:pt>
                <c:pt idx="129">
                  <c:v>1.3343</c:v>
                </c:pt>
                <c:pt idx="130">
                  <c:v>1.3341000000000001</c:v>
                </c:pt>
                <c:pt idx="131">
                  <c:v>1.3331</c:v>
                </c:pt>
                <c:pt idx="132">
                  <c:v>1.3321000000000001</c:v>
                </c:pt>
                <c:pt idx="133">
                  <c:v>1.3297000000000001</c:v>
                </c:pt>
                <c:pt idx="134">
                  <c:v>1.3324</c:v>
                </c:pt>
                <c:pt idx="135">
                  <c:v>1.3324</c:v>
                </c:pt>
                <c:pt idx="136">
                  <c:v>1.3328</c:v>
                </c:pt>
                <c:pt idx="137">
                  <c:v>1.3332999999999999</c:v>
                </c:pt>
                <c:pt idx="138">
                  <c:v>1.333</c:v>
                </c:pt>
                <c:pt idx="139">
                  <c:v>1.3278000000000001</c:v>
                </c:pt>
                <c:pt idx="140">
                  <c:v>1.3255999999999999</c:v>
                </c:pt>
                <c:pt idx="141">
                  <c:v>1.3275999999999999</c:v>
                </c:pt>
                <c:pt idx="142">
                  <c:v>1.3248</c:v>
                </c:pt>
                <c:pt idx="143">
                  <c:v>1.3198000000000001</c:v>
                </c:pt>
                <c:pt idx="144">
                  <c:v>1.3242</c:v>
                </c:pt>
                <c:pt idx="145">
                  <c:v>1.3282</c:v>
                </c:pt>
                <c:pt idx="146">
                  <c:v>1.3279000000000001</c:v>
                </c:pt>
                <c:pt idx="147">
                  <c:v>1.3301000000000001</c:v>
                </c:pt>
                <c:pt idx="148">
                  <c:v>1.3283</c:v>
                </c:pt>
                <c:pt idx="149">
                  <c:v>1.3262</c:v>
                </c:pt>
                <c:pt idx="150">
                  <c:v>1.3295999999999999</c:v>
                </c:pt>
                <c:pt idx="151">
                  <c:v>1.3259000000000001</c:v>
                </c:pt>
                <c:pt idx="152">
                  <c:v>1.3238000000000001</c:v>
                </c:pt>
                <c:pt idx="153">
                  <c:v>1.3221000000000001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87-4300-B79A-5679ABCCE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90966736"/>
        <c:axId val="-490983056"/>
      </c:lineChart>
      <c:catAx>
        <c:axId val="-49096673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crossAx val="-490983056"/>
        <c:crosses val="autoZero"/>
        <c:auto val="0"/>
        <c:lblAlgn val="ctr"/>
        <c:lblOffset val="100"/>
        <c:noMultiLvlLbl val="1"/>
      </c:catAx>
      <c:valAx>
        <c:axId val="-490983056"/>
        <c:scaling>
          <c:orientation val="minMax"/>
        </c:scaling>
        <c:delete val="0"/>
        <c:axPos val="l"/>
        <c:majorGridlines/>
        <c:numFmt formatCode="0.0000_ " sourceLinked="1"/>
        <c:majorTickMark val="none"/>
        <c:minorTickMark val="none"/>
        <c:tickLblPos val="nextTo"/>
        <c:spPr>
          <a:ln w="9525">
            <a:noFill/>
          </a:ln>
        </c:spPr>
        <c:crossAx val="-490966736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4" l="0.70000000000000062" r="0.70000000000000062" t="0.750000000000004" header="0.30000000000000032" footer="0.3000000000000003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 sz="1600"/>
              <a:t>顽岩烽火</a:t>
            </a:r>
            <a:endParaRPr lang="en-US" altLang="zh-CN" sz="16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顽岩烽火!$B$20</c:f>
              <c:strCache>
                <c:ptCount val="1"/>
                <c:pt idx="0">
                  <c:v>累计净值</c:v>
                </c:pt>
              </c:strCache>
            </c:strRef>
          </c:tx>
          <c:marker>
            <c:symbol val="none"/>
          </c:marker>
          <c:cat>
            <c:numRef>
              <c:f>顽岩烽火!$A$21:$A$194</c:f>
              <c:numCache>
                <c:formatCode>m/d/yyyy</c:formatCode>
                <c:ptCount val="174"/>
                <c:pt idx="0">
                  <c:v>43710</c:v>
                </c:pt>
                <c:pt idx="1">
                  <c:v>43711</c:v>
                </c:pt>
                <c:pt idx="2">
                  <c:v>43712</c:v>
                </c:pt>
                <c:pt idx="3">
                  <c:v>43713</c:v>
                </c:pt>
                <c:pt idx="4">
                  <c:v>43714</c:v>
                </c:pt>
                <c:pt idx="5">
                  <c:v>43717</c:v>
                </c:pt>
                <c:pt idx="6">
                  <c:v>43718</c:v>
                </c:pt>
                <c:pt idx="7">
                  <c:v>43719</c:v>
                </c:pt>
                <c:pt idx="8">
                  <c:v>43720</c:v>
                </c:pt>
                <c:pt idx="9">
                  <c:v>43724</c:v>
                </c:pt>
                <c:pt idx="10">
                  <c:v>43725</c:v>
                </c:pt>
                <c:pt idx="11">
                  <c:v>43726</c:v>
                </c:pt>
                <c:pt idx="12">
                  <c:v>43727</c:v>
                </c:pt>
                <c:pt idx="13">
                  <c:v>43728</c:v>
                </c:pt>
                <c:pt idx="14">
                  <c:v>43731</c:v>
                </c:pt>
                <c:pt idx="15">
                  <c:v>43732</c:v>
                </c:pt>
                <c:pt idx="16">
                  <c:v>43733</c:v>
                </c:pt>
                <c:pt idx="17">
                  <c:v>43734</c:v>
                </c:pt>
                <c:pt idx="18">
                  <c:v>43735</c:v>
                </c:pt>
                <c:pt idx="19">
                  <c:v>43738</c:v>
                </c:pt>
                <c:pt idx="20">
                  <c:v>43746</c:v>
                </c:pt>
                <c:pt idx="21">
                  <c:v>43747</c:v>
                </c:pt>
                <c:pt idx="22">
                  <c:v>43748</c:v>
                </c:pt>
                <c:pt idx="23">
                  <c:v>43749</c:v>
                </c:pt>
                <c:pt idx="24">
                  <c:v>43752</c:v>
                </c:pt>
                <c:pt idx="25">
                  <c:v>43753</c:v>
                </c:pt>
                <c:pt idx="26">
                  <c:v>43754</c:v>
                </c:pt>
                <c:pt idx="27">
                  <c:v>43755</c:v>
                </c:pt>
                <c:pt idx="28">
                  <c:v>43756</c:v>
                </c:pt>
                <c:pt idx="29">
                  <c:v>43759</c:v>
                </c:pt>
                <c:pt idx="30">
                  <c:v>43760</c:v>
                </c:pt>
                <c:pt idx="31">
                  <c:v>43761</c:v>
                </c:pt>
                <c:pt idx="32">
                  <c:v>43762</c:v>
                </c:pt>
                <c:pt idx="33">
                  <c:v>43763</c:v>
                </c:pt>
                <c:pt idx="34">
                  <c:v>43766</c:v>
                </c:pt>
                <c:pt idx="35">
                  <c:v>43767</c:v>
                </c:pt>
                <c:pt idx="36">
                  <c:v>43768</c:v>
                </c:pt>
                <c:pt idx="37">
                  <c:v>43769</c:v>
                </c:pt>
                <c:pt idx="38">
                  <c:v>43770</c:v>
                </c:pt>
                <c:pt idx="39">
                  <c:v>43773</c:v>
                </c:pt>
                <c:pt idx="40">
                  <c:v>43774</c:v>
                </c:pt>
                <c:pt idx="41">
                  <c:v>43775</c:v>
                </c:pt>
                <c:pt idx="42">
                  <c:v>43776</c:v>
                </c:pt>
                <c:pt idx="43">
                  <c:v>43777</c:v>
                </c:pt>
                <c:pt idx="44">
                  <c:v>43780</c:v>
                </c:pt>
                <c:pt idx="45">
                  <c:v>43781</c:v>
                </c:pt>
                <c:pt idx="46">
                  <c:v>43782</c:v>
                </c:pt>
                <c:pt idx="47">
                  <c:v>43783</c:v>
                </c:pt>
                <c:pt idx="48">
                  <c:v>43784</c:v>
                </c:pt>
                <c:pt idx="49">
                  <c:v>43787</c:v>
                </c:pt>
                <c:pt idx="50">
                  <c:v>43788</c:v>
                </c:pt>
                <c:pt idx="51">
                  <c:v>43789</c:v>
                </c:pt>
                <c:pt idx="52">
                  <c:v>43790</c:v>
                </c:pt>
                <c:pt idx="53">
                  <c:v>43791</c:v>
                </c:pt>
                <c:pt idx="54">
                  <c:v>43794</c:v>
                </c:pt>
                <c:pt idx="55">
                  <c:v>43795</c:v>
                </c:pt>
                <c:pt idx="56">
                  <c:v>43796</c:v>
                </c:pt>
                <c:pt idx="57">
                  <c:v>43797</c:v>
                </c:pt>
                <c:pt idx="58">
                  <c:v>43798</c:v>
                </c:pt>
                <c:pt idx="59">
                  <c:v>43801</c:v>
                </c:pt>
                <c:pt idx="60">
                  <c:v>43802</c:v>
                </c:pt>
                <c:pt idx="61">
                  <c:v>43803</c:v>
                </c:pt>
                <c:pt idx="62">
                  <c:v>43804</c:v>
                </c:pt>
                <c:pt idx="63">
                  <c:v>43805</c:v>
                </c:pt>
                <c:pt idx="64">
                  <c:v>43808</c:v>
                </c:pt>
                <c:pt idx="65">
                  <c:v>43809</c:v>
                </c:pt>
                <c:pt idx="66">
                  <c:v>43810</c:v>
                </c:pt>
                <c:pt idx="67">
                  <c:v>43811</c:v>
                </c:pt>
                <c:pt idx="68">
                  <c:v>43812</c:v>
                </c:pt>
                <c:pt idx="69">
                  <c:v>43815</c:v>
                </c:pt>
                <c:pt idx="70">
                  <c:v>43816</c:v>
                </c:pt>
                <c:pt idx="71">
                  <c:v>43817</c:v>
                </c:pt>
                <c:pt idx="72">
                  <c:v>43818</c:v>
                </c:pt>
                <c:pt idx="73">
                  <c:v>43819</c:v>
                </c:pt>
                <c:pt idx="74">
                  <c:v>43822</c:v>
                </c:pt>
                <c:pt idx="75">
                  <c:v>43823</c:v>
                </c:pt>
                <c:pt idx="76">
                  <c:v>43824</c:v>
                </c:pt>
                <c:pt idx="77">
                  <c:v>43825</c:v>
                </c:pt>
                <c:pt idx="78">
                  <c:v>43826</c:v>
                </c:pt>
                <c:pt idx="79">
                  <c:v>43829</c:v>
                </c:pt>
                <c:pt idx="80">
                  <c:v>43830</c:v>
                </c:pt>
                <c:pt idx="81">
                  <c:v>43832</c:v>
                </c:pt>
                <c:pt idx="82">
                  <c:v>43833</c:v>
                </c:pt>
                <c:pt idx="83">
                  <c:v>43836</c:v>
                </c:pt>
                <c:pt idx="84">
                  <c:v>43837</c:v>
                </c:pt>
                <c:pt idx="85">
                  <c:v>43838</c:v>
                </c:pt>
                <c:pt idx="86">
                  <c:v>43839</c:v>
                </c:pt>
                <c:pt idx="87">
                  <c:v>43840</c:v>
                </c:pt>
                <c:pt idx="88">
                  <c:v>43843</c:v>
                </c:pt>
                <c:pt idx="89">
                  <c:v>43844</c:v>
                </c:pt>
                <c:pt idx="90">
                  <c:v>43845</c:v>
                </c:pt>
                <c:pt idx="91">
                  <c:v>43846</c:v>
                </c:pt>
                <c:pt idx="92">
                  <c:v>43847</c:v>
                </c:pt>
                <c:pt idx="93">
                  <c:v>43850</c:v>
                </c:pt>
                <c:pt idx="94">
                  <c:v>43851</c:v>
                </c:pt>
                <c:pt idx="95">
                  <c:v>43852</c:v>
                </c:pt>
                <c:pt idx="96">
                  <c:v>43853</c:v>
                </c:pt>
                <c:pt idx="97">
                  <c:v>43864</c:v>
                </c:pt>
                <c:pt idx="98">
                  <c:v>43865</c:v>
                </c:pt>
                <c:pt idx="99">
                  <c:v>43866</c:v>
                </c:pt>
                <c:pt idx="100">
                  <c:v>43867</c:v>
                </c:pt>
                <c:pt idx="101">
                  <c:v>43868</c:v>
                </c:pt>
                <c:pt idx="102">
                  <c:v>43871</c:v>
                </c:pt>
                <c:pt idx="103">
                  <c:v>43872</c:v>
                </c:pt>
                <c:pt idx="104">
                  <c:v>43873</c:v>
                </c:pt>
                <c:pt idx="105">
                  <c:v>43874</c:v>
                </c:pt>
                <c:pt idx="106">
                  <c:v>43875</c:v>
                </c:pt>
                <c:pt idx="107">
                  <c:v>43878</c:v>
                </c:pt>
                <c:pt idx="108">
                  <c:v>43879</c:v>
                </c:pt>
                <c:pt idx="109">
                  <c:v>43880</c:v>
                </c:pt>
                <c:pt idx="110">
                  <c:v>43881</c:v>
                </c:pt>
                <c:pt idx="111">
                  <c:v>43882</c:v>
                </c:pt>
                <c:pt idx="112">
                  <c:v>43885</c:v>
                </c:pt>
                <c:pt idx="113">
                  <c:v>43886</c:v>
                </c:pt>
                <c:pt idx="114">
                  <c:v>43887</c:v>
                </c:pt>
                <c:pt idx="115">
                  <c:v>43888</c:v>
                </c:pt>
                <c:pt idx="116">
                  <c:v>43889</c:v>
                </c:pt>
                <c:pt idx="117">
                  <c:v>43892</c:v>
                </c:pt>
                <c:pt idx="118">
                  <c:v>43893</c:v>
                </c:pt>
                <c:pt idx="119">
                  <c:v>43894</c:v>
                </c:pt>
                <c:pt idx="120">
                  <c:v>43895</c:v>
                </c:pt>
                <c:pt idx="121">
                  <c:v>43896</c:v>
                </c:pt>
                <c:pt idx="122">
                  <c:v>43899</c:v>
                </c:pt>
                <c:pt idx="123">
                  <c:v>43900</c:v>
                </c:pt>
                <c:pt idx="124">
                  <c:v>43901</c:v>
                </c:pt>
                <c:pt idx="125">
                  <c:v>43902</c:v>
                </c:pt>
                <c:pt idx="126">
                  <c:v>43903</c:v>
                </c:pt>
                <c:pt idx="127">
                  <c:v>43906</c:v>
                </c:pt>
                <c:pt idx="128">
                  <c:v>43907</c:v>
                </c:pt>
                <c:pt idx="129">
                  <c:v>43908</c:v>
                </c:pt>
                <c:pt idx="130">
                  <c:v>43909</c:v>
                </c:pt>
                <c:pt idx="131">
                  <c:v>43910</c:v>
                </c:pt>
                <c:pt idx="132">
                  <c:v>43913</c:v>
                </c:pt>
                <c:pt idx="133">
                  <c:v>43914</c:v>
                </c:pt>
                <c:pt idx="134">
                  <c:v>43915</c:v>
                </c:pt>
                <c:pt idx="135">
                  <c:v>43916</c:v>
                </c:pt>
                <c:pt idx="136">
                  <c:v>43917</c:v>
                </c:pt>
                <c:pt idx="137">
                  <c:v>43920</c:v>
                </c:pt>
                <c:pt idx="138">
                  <c:v>43921</c:v>
                </c:pt>
                <c:pt idx="139">
                  <c:v>43922</c:v>
                </c:pt>
                <c:pt idx="140">
                  <c:v>43923</c:v>
                </c:pt>
                <c:pt idx="141">
                  <c:v>43924</c:v>
                </c:pt>
                <c:pt idx="142">
                  <c:v>43928</c:v>
                </c:pt>
                <c:pt idx="143">
                  <c:v>43929</c:v>
                </c:pt>
                <c:pt idx="144">
                  <c:v>43930</c:v>
                </c:pt>
                <c:pt idx="145">
                  <c:v>43931</c:v>
                </c:pt>
                <c:pt idx="146">
                  <c:v>43934</c:v>
                </c:pt>
                <c:pt idx="147">
                  <c:v>43935</c:v>
                </c:pt>
                <c:pt idx="148">
                  <c:v>43936</c:v>
                </c:pt>
                <c:pt idx="149">
                  <c:v>43937</c:v>
                </c:pt>
                <c:pt idx="150">
                  <c:v>43938</c:v>
                </c:pt>
                <c:pt idx="151">
                  <c:v>43941</c:v>
                </c:pt>
                <c:pt idx="152">
                  <c:v>43942</c:v>
                </c:pt>
                <c:pt idx="153">
                  <c:v>43943</c:v>
                </c:pt>
                <c:pt idx="154">
                  <c:v>43944</c:v>
                </c:pt>
                <c:pt idx="155">
                  <c:v>43945</c:v>
                </c:pt>
                <c:pt idx="156">
                  <c:v>43948</c:v>
                </c:pt>
                <c:pt idx="157">
                  <c:v>43949</c:v>
                </c:pt>
                <c:pt idx="158">
                  <c:v>43950</c:v>
                </c:pt>
                <c:pt idx="159">
                  <c:v>43951</c:v>
                </c:pt>
                <c:pt idx="160">
                  <c:v>43957</c:v>
                </c:pt>
                <c:pt idx="161">
                  <c:v>43958</c:v>
                </c:pt>
                <c:pt idx="162">
                  <c:v>43959</c:v>
                </c:pt>
                <c:pt idx="163">
                  <c:v>43962</c:v>
                </c:pt>
                <c:pt idx="164">
                  <c:v>43963</c:v>
                </c:pt>
                <c:pt idx="165">
                  <c:v>43964</c:v>
                </c:pt>
                <c:pt idx="166">
                  <c:v>43965</c:v>
                </c:pt>
                <c:pt idx="167">
                  <c:v>43966</c:v>
                </c:pt>
                <c:pt idx="168">
                  <c:v>43969</c:v>
                </c:pt>
                <c:pt idx="169">
                  <c:v>43970</c:v>
                </c:pt>
                <c:pt idx="170">
                  <c:v>43971</c:v>
                </c:pt>
                <c:pt idx="171">
                  <c:v>43972</c:v>
                </c:pt>
                <c:pt idx="172">
                  <c:v>43973</c:v>
                </c:pt>
                <c:pt idx="173">
                  <c:v>43976</c:v>
                </c:pt>
              </c:numCache>
            </c:numRef>
          </c:cat>
          <c:val>
            <c:numRef>
              <c:f>顽岩烽火!$B$21:$B$194</c:f>
              <c:numCache>
                <c:formatCode>0.0000_ </c:formatCode>
                <c:ptCount val="174"/>
                <c:pt idx="0">
                  <c:v>1.0137</c:v>
                </c:pt>
                <c:pt idx="1">
                  <c:v>1.0125</c:v>
                </c:pt>
                <c:pt idx="2">
                  <c:v>1.0132000000000001</c:v>
                </c:pt>
                <c:pt idx="3">
                  <c:v>1.0130999999999999</c:v>
                </c:pt>
                <c:pt idx="4">
                  <c:v>1.0133000000000001</c:v>
                </c:pt>
                <c:pt idx="5">
                  <c:v>1.0138</c:v>
                </c:pt>
                <c:pt idx="6">
                  <c:v>1.0145999999999999</c:v>
                </c:pt>
                <c:pt idx="7">
                  <c:v>1.0152000000000001</c:v>
                </c:pt>
                <c:pt idx="8">
                  <c:v>1.0141</c:v>
                </c:pt>
                <c:pt idx="9">
                  <c:v>1.0137</c:v>
                </c:pt>
                <c:pt idx="10">
                  <c:v>1.0126999999999999</c:v>
                </c:pt>
                <c:pt idx="11">
                  <c:v>1.0122</c:v>
                </c:pt>
                <c:pt idx="12">
                  <c:v>1.0109999999999999</c:v>
                </c:pt>
                <c:pt idx="13">
                  <c:v>1.0113000000000001</c:v>
                </c:pt>
                <c:pt idx="14">
                  <c:v>1.0111000000000001</c:v>
                </c:pt>
                <c:pt idx="15">
                  <c:v>1.0096000000000001</c:v>
                </c:pt>
                <c:pt idx="16">
                  <c:v>1.0098</c:v>
                </c:pt>
                <c:pt idx="17">
                  <c:v>1.0097</c:v>
                </c:pt>
                <c:pt idx="18">
                  <c:v>1.0234000000000001</c:v>
                </c:pt>
                <c:pt idx="19">
                  <c:v>1.0224</c:v>
                </c:pt>
                <c:pt idx="20">
                  <c:v>1.0221</c:v>
                </c:pt>
                <c:pt idx="21">
                  <c:v>1.0226999999999999</c:v>
                </c:pt>
                <c:pt idx="22">
                  <c:v>1.0228999999999999</c:v>
                </c:pt>
                <c:pt idx="23">
                  <c:v>1.0226999999999999</c:v>
                </c:pt>
                <c:pt idx="24">
                  <c:v>1.0226</c:v>
                </c:pt>
                <c:pt idx="25">
                  <c:v>1.0221</c:v>
                </c:pt>
                <c:pt idx="26">
                  <c:v>1.0221</c:v>
                </c:pt>
                <c:pt idx="27">
                  <c:v>1.0219</c:v>
                </c:pt>
                <c:pt idx="28">
                  <c:v>1.0210999999999999</c:v>
                </c:pt>
                <c:pt idx="29">
                  <c:v>1.0198</c:v>
                </c:pt>
                <c:pt idx="30">
                  <c:v>1.0197000000000001</c:v>
                </c:pt>
                <c:pt idx="31">
                  <c:v>1.0197000000000001</c:v>
                </c:pt>
                <c:pt idx="32">
                  <c:v>1.0193000000000001</c:v>
                </c:pt>
                <c:pt idx="33">
                  <c:v>1.0197000000000001</c:v>
                </c:pt>
                <c:pt idx="34">
                  <c:v>1.0193000000000001</c:v>
                </c:pt>
                <c:pt idx="35">
                  <c:v>1.0242</c:v>
                </c:pt>
                <c:pt idx="36">
                  <c:v>1.024</c:v>
                </c:pt>
                <c:pt idx="37">
                  <c:v>1.0245</c:v>
                </c:pt>
                <c:pt idx="38">
                  <c:v>1.0257000000000001</c:v>
                </c:pt>
                <c:pt idx="39">
                  <c:v>1.0271999999999999</c:v>
                </c:pt>
                <c:pt idx="40">
                  <c:v>1.0265</c:v>
                </c:pt>
                <c:pt idx="41">
                  <c:v>1.0407</c:v>
                </c:pt>
                <c:pt idx="42">
                  <c:v>1.044</c:v>
                </c:pt>
                <c:pt idx="43">
                  <c:v>1.0468</c:v>
                </c:pt>
                <c:pt idx="44">
                  <c:v>1.0498000000000001</c:v>
                </c:pt>
                <c:pt idx="45">
                  <c:v>1.0548</c:v>
                </c:pt>
                <c:pt idx="46">
                  <c:v>1.0577000000000001</c:v>
                </c:pt>
                <c:pt idx="47">
                  <c:v>1.0593999999999999</c:v>
                </c:pt>
                <c:pt idx="48">
                  <c:v>1.0615000000000001</c:v>
                </c:pt>
                <c:pt idx="49">
                  <c:v>1.0630999999999999</c:v>
                </c:pt>
                <c:pt idx="50">
                  <c:v>1.0642</c:v>
                </c:pt>
                <c:pt idx="51">
                  <c:v>1.0654999999999999</c:v>
                </c:pt>
                <c:pt idx="52">
                  <c:v>1.0657000000000001</c:v>
                </c:pt>
                <c:pt idx="53">
                  <c:v>1.0669999999999999</c:v>
                </c:pt>
                <c:pt idx="54">
                  <c:v>1.0668</c:v>
                </c:pt>
                <c:pt idx="55">
                  <c:v>1.0672999999999999</c:v>
                </c:pt>
                <c:pt idx="56">
                  <c:v>1.07</c:v>
                </c:pt>
                <c:pt idx="57">
                  <c:v>1.0696000000000001</c:v>
                </c:pt>
                <c:pt idx="58">
                  <c:v>1.069</c:v>
                </c:pt>
                <c:pt idx="59">
                  <c:v>1.0704</c:v>
                </c:pt>
                <c:pt idx="60">
                  <c:v>1.073</c:v>
                </c:pt>
                <c:pt idx="61">
                  <c:v>1.0748</c:v>
                </c:pt>
                <c:pt idx="62">
                  <c:v>1.0774999999999999</c:v>
                </c:pt>
                <c:pt idx="63">
                  <c:v>1.0779000000000001</c:v>
                </c:pt>
                <c:pt idx="64">
                  <c:v>1.0771999999999999</c:v>
                </c:pt>
                <c:pt idx="65">
                  <c:v>1.0777000000000001</c:v>
                </c:pt>
                <c:pt idx="66">
                  <c:v>1.0777000000000001</c:v>
                </c:pt>
                <c:pt idx="67">
                  <c:v>1.0775999999999999</c:v>
                </c:pt>
                <c:pt idx="68">
                  <c:v>1.0779000000000001</c:v>
                </c:pt>
                <c:pt idx="69">
                  <c:v>1.0769</c:v>
                </c:pt>
                <c:pt idx="70">
                  <c:v>1.0771999999999999</c:v>
                </c:pt>
                <c:pt idx="71">
                  <c:v>1.0781000000000001</c:v>
                </c:pt>
                <c:pt idx="72">
                  <c:v>1.0763</c:v>
                </c:pt>
                <c:pt idx="73">
                  <c:v>1.0790999999999999</c:v>
                </c:pt>
                <c:pt idx="74">
                  <c:v>1.0783</c:v>
                </c:pt>
                <c:pt idx="75">
                  <c:v>1.0788</c:v>
                </c:pt>
                <c:pt idx="76">
                  <c:v>1.0795999999999999</c:v>
                </c:pt>
                <c:pt idx="77">
                  <c:v>1.0784</c:v>
                </c:pt>
                <c:pt idx="78">
                  <c:v>1.0784</c:v>
                </c:pt>
                <c:pt idx="79">
                  <c:v>1.0793999999999999</c:v>
                </c:pt>
                <c:pt idx="80">
                  <c:v>1.08</c:v>
                </c:pt>
                <c:pt idx="81">
                  <c:v>1.0814999999999999</c:v>
                </c:pt>
                <c:pt idx="82">
                  <c:v>1.0811999999999999</c:v>
                </c:pt>
                <c:pt idx="83">
                  <c:v>1.0806</c:v>
                </c:pt>
                <c:pt idx="84">
                  <c:v>1.0810999999999999</c:v>
                </c:pt>
                <c:pt idx="85">
                  <c:v>1.0812999999999999</c:v>
                </c:pt>
                <c:pt idx="86">
                  <c:v>1.0811999999999999</c:v>
                </c:pt>
                <c:pt idx="87">
                  <c:v>1.0809</c:v>
                </c:pt>
                <c:pt idx="88">
                  <c:v>1.0807</c:v>
                </c:pt>
                <c:pt idx="89">
                  <c:v>1.081</c:v>
                </c:pt>
                <c:pt idx="90">
                  <c:v>1.0813999999999999</c:v>
                </c:pt>
                <c:pt idx="91">
                  <c:v>1.0815999999999999</c:v>
                </c:pt>
                <c:pt idx="92">
                  <c:v>1.0809</c:v>
                </c:pt>
                <c:pt idx="93">
                  <c:v>1.0831</c:v>
                </c:pt>
                <c:pt idx="94">
                  <c:v>1.0828</c:v>
                </c:pt>
                <c:pt idx="95">
                  <c:v>1.0825</c:v>
                </c:pt>
                <c:pt idx="96">
                  <c:v>1.0811999999999999</c:v>
                </c:pt>
                <c:pt idx="97">
                  <c:v>1.0807</c:v>
                </c:pt>
                <c:pt idx="98">
                  <c:v>1.0806</c:v>
                </c:pt>
                <c:pt idx="99">
                  <c:v>1.0804</c:v>
                </c:pt>
                <c:pt idx="100">
                  <c:v>1.0804</c:v>
                </c:pt>
                <c:pt idx="101">
                  <c:v>1.0804</c:v>
                </c:pt>
                <c:pt idx="102">
                  <c:v>1.0801000000000001</c:v>
                </c:pt>
                <c:pt idx="103">
                  <c:v>1.0794999999999999</c:v>
                </c:pt>
                <c:pt idx="104">
                  <c:v>1.0803</c:v>
                </c:pt>
                <c:pt idx="105">
                  <c:v>1.0807</c:v>
                </c:pt>
                <c:pt idx="106">
                  <c:v>1.0809</c:v>
                </c:pt>
                <c:pt idx="107">
                  <c:v>1.0814999999999999</c:v>
                </c:pt>
                <c:pt idx="108">
                  <c:v>1.0810999999999999</c:v>
                </c:pt>
                <c:pt idx="109">
                  <c:v>1.0812999999999999</c:v>
                </c:pt>
                <c:pt idx="110">
                  <c:v>1.0792999999999999</c:v>
                </c:pt>
                <c:pt idx="111">
                  <c:v>1.0801000000000001</c:v>
                </c:pt>
                <c:pt idx="112">
                  <c:v>1.0784</c:v>
                </c:pt>
                <c:pt idx="113">
                  <c:v>1.0784</c:v>
                </c:pt>
                <c:pt idx="114">
                  <c:v>1.0778000000000001</c:v>
                </c:pt>
                <c:pt idx="115">
                  <c:v>1.0780000000000001</c:v>
                </c:pt>
                <c:pt idx="116">
                  <c:v>1.0768</c:v>
                </c:pt>
                <c:pt idx="117">
                  <c:v>1.0762</c:v>
                </c:pt>
                <c:pt idx="118">
                  <c:v>1.0771999999999999</c:v>
                </c:pt>
                <c:pt idx="119">
                  <c:v>1.0795999999999999</c:v>
                </c:pt>
                <c:pt idx="120">
                  <c:v>1.0778000000000001</c:v>
                </c:pt>
                <c:pt idx="121">
                  <c:v>1.0788</c:v>
                </c:pt>
                <c:pt idx="122">
                  <c:v>1.0789</c:v>
                </c:pt>
                <c:pt idx="123">
                  <c:v>1.0782</c:v>
                </c:pt>
                <c:pt idx="124">
                  <c:v>1.0792999999999999</c:v>
                </c:pt>
                <c:pt idx="125">
                  <c:v>1.0786</c:v>
                </c:pt>
                <c:pt idx="126">
                  <c:v>1.0745</c:v>
                </c:pt>
                <c:pt idx="127">
                  <c:v>1.0765</c:v>
                </c:pt>
                <c:pt idx="128">
                  <c:v>1.0777000000000001</c:v>
                </c:pt>
                <c:pt idx="129">
                  <c:v>1.075</c:v>
                </c:pt>
                <c:pt idx="130">
                  <c:v>1.0741000000000001</c:v>
                </c:pt>
                <c:pt idx="131">
                  <c:v>1.0744</c:v>
                </c:pt>
                <c:pt idx="132">
                  <c:v>1.08</c:v>
                </c:pt>
                <c:pt idx="133">
                  <c:v>1.0780000000000001</c:v>
                </c:pt>
                <c:pt idx="134">
                  <c:v>1.0808</c:v>
                </c:pt>
                <c:pt idx="135">
                  <c:v>1.0848</c:v>
                </c:pt>
                <c:pt idx="136">
                  <c:v>1.0868</c:v>
                </c:pt>
                <c:pt idx="137">
                  <c:v>1.0866</c:v>
                </c:pt>
                <c:pt idx="138">
                  <c:v>1.0889</c:v>
                </c:pt>
                <c:pt idx="139">
                  <c:v>1.0898000000000001</c:v>
                </c:pt>
                <c:pt idx="140">
                  <c:v>1.0935999999999999</c:v>
                </c:pt>
                <c:pt idx="141">
                  <c:v>1.0935999999999999</c:v>
                </c:pt>
                <c:pt idx="142">
                  <c:v>1.0946</c:v>
                </c:pt>
                <c:pt idx="143">
                  <c:v>1.0966</c:v>
                </c:pt>
                <c:pt idx="144">
                  <c:v>1.0979000000000001</c:v>
                </c:pt>
                <c:pt idx="145">
                  <c:v>1.0986</c:v>
                </c:pt>
                <c:pt idx="146">
                  <c:v>1.0999000000000001</c:v>
                </c:pt>
                <c:pt idx="147">
                  <c:v>1.1005</c:v>
                </c:pt>
                <c:pt idx="148">
                  <c:v>1.1016999999999999</c:v>
                </c:pt>
                <c:pt idx="149">
                  <c:v>1.1022000000000001</c:v>
                </c:pt>
                <c:pt idx="150">
                  <c:v>1.1028</c:v>
                </c:pt>
                <c:pt idx="151">
                  <c:v>1.1032</c:v>
                </c:pt>
                <c:pt idx="152">
                  <c:v>1.1036999999999999</c:v>
                </c:pt>
                <c:pt idx="153">
                  <c:v>1.1045</c:v>
                </c:pt>
                <c:pt idx="154">
                  <c:v>1.1032999999999999</c:v>
                </c:pt>
                <c:pt idx="155">
                  <c:v>1.1028</c:v>
                </c:pt>
                <c:pt idx="156">
                  <c:v>1.1022000000000001</c:v>
                </c:pt>
                <c:pt idx="157">
                  <c:v>1.1021000000000001</c:v>
                </c:pt>
                <c:pt idx="158">
                  <c:v>1.1027</c:v>
                </c:pt>
                <c:pt idx="159">
                  <c:v>1.0999000000000001</c:v>
                </c:pt>
                <c:pt idx="160">
                  <c:v>1.1021000000000001</c:v>
                </c:pt>
                <c:pt idx="161">
                  <c:v>1.1026</c:v>
                </c:pt>
                <c:pt idx="162">
                  <c:v>1.103</c:v>
                </c:pt>
                <c:pt idx="163">
                  <c:v>1.1036999999999999</c:v>
                </c:pt>
                <c:pt idx="164">
                  <c:v>1.1037999999999999</c:v>
                </c:pt>
                <c:pt idx="165">
                  <c:v>1.1048</c:v>
                </c:pt>
                <c:pt idx="166">
                  <c:v>1.1047</c:v>
                </c:pt>
                <c:pt idx="167">
                  <c:v>1.1048</c:v>
                </c:pt>
                <c:pt idx="168">
                  <c:v>1.1049</c:v>
                </c:pt>
                <c:pt idx="169">
                  <c:v>1.1041000000000001</c:v>
                </c:pt>
                <c:pt idx="170">
                  <c:v>1.1041000000000001</c:v>
                </c:pt>
                <c:pt idx="171">
                  <c:v>1.1046</c:v>
                </c:pt>
                <c:pt idx="172">
                  <c:v>1.1067</c:v>
                </c:pt>
                <c:pt idx="173">
                  <c:v>1.1046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78-4F0E-A77D-63AC3E75D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099824"/>
        <c:axId val="545100384"/>
      </c:lineChart>
      <c:catAx>
        <c:axId val="54509982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crossAx val="545100384"/>
        <c:crosses val="autoZero"/>
        <c:auto val="0"/>
        <c:lblAlgn val="ctr"/>
        <c:lblOffset val="100"/>
        <c:noMultiLvlLbl val="1"/>
      </c:catAx>
      <c:valAx>
        <c:axId val="545100384"/>
        <c:scaling>
          <c:orientation val="minMax"/>
        </c:scaling>
        <c:delete val="0"/>
        <c:axPos val="l"/>
        <c:majorGridlines/>
        <c:numFmt formatCode="0.0000_ " sourceLinked="1"/>
        <c:majorTickMark val="none"/>
        <c:minorTickMark val="none"/>
        <c:tickLblPos val="nextTo"/>
        <c:spPr>
          <a:ln w="9525">
            <a:noFill/>
          </a:ln>
        </c:spPr>
        <c:crossAx val="54509982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4" l="0.70000000000000062" r="0.70000000000000062" t="0.750000000000004" header="0.30000000000000032" footer="0.3000000000000003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 sz="1600"/>
              <a:t>拉普拉斯一号</a:t>
            </a:r>
            <a:endParaRPr lang="en-US" altLang="zh-CN" sz="16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拉普拉斯一号!$B$20</c:f>
              <c:strCache>
                <c:ptCount val="1"/>
                <c:pt idx="0">
                  <c:v>累计净值</c:v>
                </c:pt>
              </c:strCache>
            </c:strRef>
          </c:tx>
          <c:marker>
            <c:symbol val="none"/>
          </c:marker>
          <c:cat>
            <c:numRef>
              <c:f>拉普拉斯一号!$A$21:$A$142</c:f>
              <c:numCache>
                <c:formatCode>m/d/yyyy</c:formatCode>
                <c:ptCount val="122"/>
                <c:pt idx="0">
                  <c:v>43718</c:v>
                </c:pt>
                <c:pt idx="1">
                  <c:v>43719</c:v>
                </c:pt>
                <c:pt idx="2">
                  <c:v>43720</c:v>
                </c:pt>
                <c:pt idx="3">
                  <c:v>43724</c:v>
                </c:pt>
                <c:pt idx="4">
                  <c:v>43725</c:v>
                </c:pt>
                <c:pt idx="5">
                  <c:v>43726</c:v>
                </c:pt>
                <c:pt idx="6">
                  <c:v>43727</c:v>
                </c:pt>
                <c:pt idx="7">
                  <c:v>43728</c:v>
                </c:pt>
                <c:pt idx="8">
                  <c:v>43731</c:v>
                </c:pt>
                <c:pt idx="9">
                  <c:v>43732</c:v>
                </c:pt>
                <c:pt idx="10">
                  <c:v>43733</c:v>
                </c:pt>
                <c:pt idx="11">
                  <c:v>43734</c:v>
                </c:pt>
                <c:pt idx="12">
                  <c:v>43735</c:v>
                </c:pt>
                <c:pt idx="13">
                  <c:v>43738</c:v>
                </c:pt>
                <c:pt idx="14">
                  <c:v>43746</c:v>
                </c:pt>
                <c:pt idx="15">
                  <c:v>43747</c:v>
                </c:pt>
                <c:pt idx="16">
                  <c:v>43748</c:v>
                </c:pt>
                <c:pt idx="17">
                  <c:v>43749</c:v>
                </c:pt>
                <c:pt idx="18">
                  <c:v>43752</c:v>
                </c:pt>
                <c:pt idx="19">
                  <c:v>43753</c:v>
                </c:pt>
                <c:pt idx="20">
                  <c:v>43754</c:v>
                </c:pt>
                <c:pt idx="21">
                  <c:v>43755</c:v>
                </c:pt>
                <c:pt idx="22">
                  <c:v>43756</c:v>
                </c:pt>
                <c:pt idx="23">
                  <c:v>43759</c:v>
                </c:pt>
                <c:pt idx="24">
                  <c:v>43760</c:v>
                </c:pt>
                <c:pt idx="25">
                  <c:v>43761</c:v>
                </c:pt>
                <c:pt idx="26">
                  <c:v>43762</c:v>
                </c:pt>
                <c:pt idx="27">
                  <c:v>43763</c:v>
                </c:pt>
                <c:pt idx="28">
                  <c:v>43766</c:v>
                </c:pt>
                <c:pt idx="29">
                  <c:v>43767</c:v>
                </c:pt>
                <c:pt idx="30">
                  <c:v>43768</c:v>
                </c:pt>
                <c:pt idx="31">
                  <c:v>43769</c:v>
                </c:pt>
                <c:pt idx="32">
                  <c:v>43770</c:v>
                </c:pt>
                <c:pt idx="33">
                  <c:v>43773</c:v>
                </c:pt>
                <c:pt idx="34">
                  <c:v>43774</c:v>
                </c:pt>
                <c:pt idx="35">
                  <c:v>43775</c:v>
                </c:pt>
                <c:pt idx="36">
                  <c:v>43776</c:v>
                </c:pt>
                <c:pt idx="37">
                  <c:v>43777</c:v>
                </c:pt>
                <c:pt idx="38">
                  <c:v>43780</c:v>
                </c:pt>
                <c:pt idx="39">
                  <c:v>43781</c:v>
                </c:pt>
                <c:pt idx="40">
                  <c:v>43782</c:v>
                </c:pt>
                <c:pt idx="41">
                  <c:v>43783</c:v>
                </c:pt>
                <c:pt idx="42">
                  <c:v>43784</c:v>
                </c:pt>
                <c:pt idx="43">
                  <c:v>43787</c:v>
                </c:pt>
                <c:pt idx="44">
                  <c:v>43788</c:v>
                </c:pt>
                <c:pt idx="45">
                  <c:v>43789</c:v>
                </c:pt>
                <c:pt idx="46">
                  <c:v>43790</c:v>
                </c:pt>
                <c:pt idx="47">
                  <c:v>43791</c:v>
                </c:pt>
                <c:pt idx="48">
                  <c:v>43794</c:v>
                </c:pt>
                <c:pt idx="49">
                  <c:v>43795</c:v>
                </c:pt>
                <c:pt idx="50">
                  <c:v>43796</c:v>
                </c:pt>
                <c:pt idx="51">
                  <c:v>43797</c:v>
                </c:pt>
                <c:pt idx="52">
                  <c:v>43798</c:v>
                </c:pt>
                <c:pt idx="53">
                  <c:v>43801</c:v>
                </c:pt>
                <c:pt idx="54">
                  <c:v>43802</c:v>
                </c:pt>
                <c:pt idx="55">
                  <c:v>43803</c:v>
                </c:pt>
                <c:pt idx="56">
                  <c:v>43804</c:v>
                </c:pt>
                <c:pt idx="57">
                  <c:v>43805</c:v>
                </c:pt>
                <c:pt idx="58">
                  <c:v>43808</c:v>
                </c:pt>
                <c:pt idx="59">
                  <c:v>43809</c:v>
                </c:pt>
                <c:pt idx="60">
                  <c:v>43810</c:v>
                </c:pt>
                <c:pt idx="61">
                  <c:v>43811</c:v>
                </c:pt>
                <c:pt idx="62">
                  <c:v>43812</c:v>
                </c:pt>
                <c:pt idx="63">
                  <c:v>43815</c:v>
                </c:pt>
                <c:pt idx="64">
                  <c:v>43816</c:v>
                </c:pt>
                <c:pt idx="65">
                  <c:v>43817</c:v>
                </c:pt>
                <c:pt idx="66">
                  <c:v>43818</c:v>
                </c:pt>
                <c:pt idx="67">
                  <c:v>43819</c:v>
                </c:pt>
                <c:pt idx="68">
                  <c:v>43822</c:v>
                </c:pt>
                <c:pt idx="69">
                  <c:v>43823</c:v>
                </c:pt>
                <c:pt idx="70">
                  <c:v>43824</c:v>
                </c:pt>
                <c:pt idx="71">
                  <c:v>43825</c:v>
                </c:pt>
                <c:pt idx="72">
                  <c:v>43826</c:v>
                </c:pt>
                <c:pt idx="73">
                  <c:v>43829</c:v>
                </c:pt>
                <c:pt idx="74">
                  <c:v>43830</c:v>
                </c:pt>
                <c:pt idx="75">
                  <c:v>43832</c:v>
                </c:pt>
                <c:pt idx="76">
                  <c:v>43833</c:v>
                </c:pt>
                <c:pt idx="77">
                  <c:v>43836</c:v>
                </c:pt>
                <c:pt idx="78">
                  <c:v>43837</c:v>
                </c:pt>
                <c:pt idx="79">
                  <c:v>43838</c:v>
                </c:pt>
                <c:pt idx="80">
                  <c:v>43839</c:v>
                </c:pt>
                <c:pt idx="81">
                  <c:v>43840</c:v>
                </c:pt>
                <c:pt idx="82">
                  <c:v>43843</c:v>
                </c:pt>
                <c:pt idx="83">
                  <c:v>43844</c:v>
                </c:pt>
                <c:pt idx="84">
                  <c:v>43845</c:v>
                </c:pt>
                <c:pt idx="85">
                  <c:v>43846</c:v>
                </c:pt>
                <c:pt idx="86">
                  <c:v>43847</c:v>
                </c:pt>
                <c:pt idx="87">
                  <c:v>43850</c:v>
                </c:pt>
                <c:pt idx="88">
                  <c:v>43851</c:v>
                </c:pt>
                <c:pt idx="89">
                  <c:v>43852</c:v>
                </c:pt>
                <c:pt idx="90">
                  <c:v>43853</c:v>
                </c:pt>
                <c:pt idx="91">
                  <c:v>43864</c:v>
                </c:pt>
                <c:pt idx="92">
                  <c:v>43865</c:v>
                </c:pt>
                <c:pt idx="93">
                  <c:v>43866</c:v>
                </c:pt>
                <c:pt idx="94">
                  <c:v>43867</c:v>
                </c:pt>
                <c:pt idx="95">
                  <c:v>43868</c:v>
                </c:pt>
                <c:pt idx="96">
                  <c:v>43871</c:v>
                </c:pt>
                <c:pt idx="97">
                  <c:v>43872</c:v>
                </c:pt>
                <c:pt idx="98">
                  <c:v>43873</c:v>
                </c:pt>
                <c:pt idx="99">
                  <c:v>43874</c:v>
                </c:pt>
                <c:pt idx="100">
                  <c:v>43875</c:v>
                </c:pt>
                <c:pt idx="101">
                  <c:v>43878</c:v>
                </c:pt>
                <c:pt idx="102">
                  <c:v>43879</c:v>
                </c:pt>
                <c:pt idx="103">
                  <c:v>43880</c:v>
                </c:pt>
                <c:pt idx="104">
                  <c:v>43881</c:v>
                </c:pt>
                <c:pt idx="105">
                  <c:v>43882</c:v>
                </c:pt>
                <c:pt idx="106">
                  <c:v>43885</c:v>
                </c:pt>
                <c:pt idx="107">
                  <c:v>43886</c:v>
                </c:pt>
                <c:pt idx="108">
                  <c:v>43887</c:v>
                </c:pt>
                <c:pt idx="109">
                  <c:v>43888</c:v>
                </c:pt>
                <c:pt idx="110">
                  <c:v>43889</c:v>
                </c:pt>
                <c:pt idx="111">
                  <c:v>43892</c:v>
                </c:pt>
                <c:pt idx="112">
                  <c:v>43893</c:v>
                </c:pt>
                <c:pt idx="113">
                  <c:v>43894</c:v>
                </c:pt>
                <c:pt idx="114">
                  <c:v>43895</c:v>
                </c:pt>
                <c:pt idx="115">
                  <c:v>43896</c:v>
                </c:pt>
                <c:pt idx="116">
                  <c:v>43899</c:v>
                </c:pt>
                <c:pt idx="117">
                  <c:v>43900</c:v>
                </c:pt>
                <c:pt idx="118">
                  <c:v>43901</c:v>
                </c:pt>
                <c:pt idx="119">
                  <c:v>43902</c:v>
                </c:pt>
                <c:pt idx="120">
                  <c:v>43903</c:v>
                </c:pt>
                <c:pt idx="121">
                  <c:v>43906</c:v>
                </c:pt>
              </c:numCache>
            </c:numRef>
          </c:cat>
          <c:val>
            <c:numRef>
              <c:f>拉普拉斯一号!$B$21:$B$142</c:f>
              <c:numCache>
                <c:formatCode>0.0000_ </c:formatCode>
                <c:ptCount val="122"/>
                <c:pt idx="0">
                  <c:v>1.0787</c:v>
                </c:pt>
                <c:pt idx="1">
                  <c:v>1.0762</c:v>
                </c:pt>
                <c:pt idx="2">
                  <c:v>1.0759000000000001</c:v>
                </c:pt>
                <c:pt idx="3">
                  <c:v>1.0802</c:v>
                </c:pt>
                <c:pt idx="4">
                  <c:v>1.0778000000000001</c:v>
                </c:pt>
                <c:pt idx="5">
                  <c:v>1.0787</c:v>
                </c:pt>
                <c:pt idx="6">
                  <c:v>1.0812999999999999</c:v>
                </c:pt>
                <c:pt idx="7">
                  <c:v>1.0807</c:v>
                </c:pt>
                <c:pt idx="8">
                  <c:v>1.0808</c:v>
                </c:pt>
                <c:pt idx="9">
                  <c:v>1.0806</c:v>
                </c:pt>
                <c:pt idx="10">
                  <c:v>1.0799000000000001</c:v>
                </c:pt>
                <c:pt idx="11">
                  <c:v>1.0775999999999999</c:v>
                </c:pt>
                <c:pt idx="12">
                  <c:v>1.0806</c:v>
                </c:pt>
                <c:pt idx="13">
                  <c:v>1.0792999999999999</c:v>
                </c:pt>
                <c:pt idx="14">
                  <c:v>1.0808</c:v>
                </c:pt>
                <c:pt idx="15">
                  <c:v>1.0823</c:v>
                </c:pt>
                <c:pt idx="16">
                  <c:v>1.0840000000000001</c:v>
                </c:pt>
                <c:pt idx="17">
                  <c:v>1.0829</c:v>
                </c:pt>
                <c:pt idx="18">
                  <c:v>1.0849</c:v>
                </c:pt>
                <c:pt idx="19">
                  <c:v>1.0837000000000001</c:v>
                </c:pt>
                <c:pt idx="20">
                  <c:v>1.0845</c:v>
                </c:pt>
                <c:pt idx="21">
                  <c:v>1.085</c:v>
                </c:pt>
                <c:pt idx="22">
                  <c:v>1.0853999999999999</c:v>
                </c:pt>
                <c:pt idx="23">
                  <c:v>1.0849</c:v>
                </c:pt>
                <c:pt idx="24">
                  <c:v>1.0851999999999999</c:v>
                </c:pt>
                <c:pt idx="25">
                  <c:v>1.085</c:v>
                </c:pt>
                <c:pt idx="26">
                  <c:v>1.0849</c:v>
                </c:pt>
                <c:pt idx="27">
                  <c:v>1.0854999999999999</c:v>
                </c:pt>
                <c:pt idx="28">
                  <c:v>1.0885</c:v>
                </c:pt>
                <c:pt idx="29">
                  <c:v>1.0873999999999999</c:v>
                </c:pt>
                <c:pt idx="30">
                  <c:v>1.0886</c:v>
                </c:pt>
                <c:pt idx="31">
                  <c:v>1.0878000000000001</c:v>
                </c:pt>
                <c:pt idx="32">
                  <c:v>1.0898000000000001</c:v>
                </c:pt>
                <c:pt idx="33">
                  <c:v>1.0915999999999999</c:v>
                </c:pt>
                <c:pt idx="34">
                  <c:v>1.0884</c:v>
                </c:pt>
                <c:pt idx="35">
                  <c:v>1.0904</c:v>
                </c:pt>
                <c:pt idx="36">
                  <c:v>1.0907</c:v>
                </c:pt>
                <c:pt idx="37">
                  <c:v>1.0911</c:v>
                </c:pt>
                <c:pt idx="38">
                  <c:v>1.0888</c:v>
                </c:pt>
                <c:pt idx="39">
                  <c:v>1.0902000000000001</c:v>
                </c:pt>
                <c:pt idx="40">
                  <c:v>1.0891999999999999</c:v>
                </c:pt>
                <c:pt idx="41">
                  <c:v>1.0889</c:v>
                </c:pt>
                <c:pt idx="42">
                  <c:v>1.0880000000000001</c:v>
                </c:pt>
                <c:pt idx="43">
                  <c:v>1.0891999999999999</c:v>
                </c:pt>
                <c:pt idx="44">
                  <c:v>1.0906</c:v>
                </c:pt>
                <c:pt idx="45">
                  <c:v>1.0887</c:v>
                </c:pt>
                <c:pt idx="46">
                  <c:v>1.0884</c:v>
                </c:pt>
                <c:pt idx="47">
                  <c:v>1.0884</c:v>
                </c:pt>
                <c:pt idx="48">
                  <c:v>1.0840000000000001</c:v>
                </c:pt>
                <c:pt idx="49">
                  <c:v>1.0831999999999999</c:v>
                </c:pt>
                <c:pt idx="50">
                  <c:v>1.0840000000000001</c:v>
                </c:pt>
                <c:pt idx="51">
                  <c:v>1.0821000000000001</c:v>
                </c:pt>
                <c:pt idx="52">
                  <c:v>1.0819000000000001</c:v>
                </c:pt>
                <c:pt idx="53">
                  <c:v>1.0823</c:v>
                </c:pt>
                <c:pt idx="54">
                  <c:v>1.0835999999999999</c:v>
                </c:pt>
                <c:pt idx="55">
                  <c:v>1.0841000000000001</c:v>
                </c:pt>
                <c:pt idx="56">
                  <c:v>1.0844</c:v>
                </c:pt>
                <c:pt idx="57">
                  <c:v>1.0865</c:v>
                </c:pt>
                <c:pt idx="58">
                  <c:v>1.0849</c:v>
                </c:pt>
                <c:pt idx="59">
                  <c:v>1.0821000000000001</c:v>
                </c:pt>
                <c:pt idx="60">
                  <c:v>1.0839000000000001</c:v>
                </c:pt>
                <c:pt idx="61">
                  <c:v>1.0838000000000001</c:v>
                </c:pt>
                <c:pt idx="62">
                  <c:v>1.0863</c:v>
                </c:pt>
                <c:pt idx="63">
                  <c:v>1.0899000000000001</c:v>
                </c:pt>
                <c:pt idx="64">
                  <c:v>1.0842000000000001</c:v>
                </c:pt>
                <c:pt idx="65">
                  <c:v>1.0857000000000001</c:v>
                </c:pt>
                <c:pt idx="66">
                  <c:v>1.0879000000000001</c:v>
                </c:pt>
                <c:pt idx="67">
                  <c:v>1.0858000000000001</c:v>
                </c:pt>
                <c:pt idx="68">
                  <c:v>1.0871999999999999</c:v>
                </c:pt>
                <c:pt idx="69">
                  <c:v>1.0919000000000001</c:v>
                </c:pt>
                <c:pt idx="70">
                  <c:v>1.0965</c:v>
                </c:pt>
                <c:pt idx="71">
                  <c:v>1.0968</c:v>
                </c:pt>
                <c:pt idx="72">
                  <c:v>1.0916999999999999</c:v>
                </c:pt>
                <c:pt idx="73">
                  <c:v>1.0908</c:v>
                </c:pt>
                <c:pt idx="74">
                  <c:v>1.0919000000000001</c:v>
                </c:pt>
                <c:pt idx="75">
                  <c:v>1.0911</c:v>
                </c:pt>
                <c:pt idx="76">
                  <c:v>1.0912999999999999</c:v>
                </c:pt>
                <c:pt idx="77">
                  <c:v>1.0908</c:v>
                </c:pt>
                <c:pt idx="78">
                  <c:v>1.0919000000000001</c:v>
                </c:pt>
                <c:pt idx="79">
                  <c:v>1.0887</c:v>
                </c:pt>
                <c:pt idx="80">
                  <c:v>1.0966</c:v>
                </c:pt>
                <c:pt idx="81">
                  <c:v>1.0972</c:v>
                </c:pt>
                <c:pt idx="82">
                  <c:v>1.0979000000000001</c:v>
                </c:pt>
                <c:pt idx="83">
                  <c:v>1.0952999999999999</c:v>
                </c:pt>
                <c:pt idx="84">
                  <c:v>1.0975999999999999</c:v>
                </c:pt>
                <c:pt idx="85">
                  <c:v>1.0969</c:v>
                </c:pt>
                <c:pt idx="86">
                  <c:v>1.0974999999999999</c:v>
                </c:pt>
                <c:pt idx="87">
                  <c:v>1.0972999999999999</c:v>
                </c:pt>
                <c:pt idx="88">
                  <c:v>1.0978000000000001</c:v>
                </c:pt>
                <c:pt idx="89">
                  <c:v>1.0912999999999999</c:v>
                </c:pt>
                <c:pt idx="90">
                  <c:v>1.0987</c:v>
                </c:pt>
                <c:pt idx="91">
                  <c:v>1.1065</c:v>
                </c:pt>
                <c:pt idx="92">
                  <c:v>1.0931</c:v>
                </c:pt>
                <c:pt idx="93">
                  <c:v>1.0952</c:v>
                </c:pt>
                <c:pt idx="94">
                  <c:v>1.0926</c:v>
                </c:pt>
                <c:pt idx="95">
                  <c:v>1.0939000000000001</c:v>
                </c:pt>
                <c:pt idx="96">
                  <c:v>1.0959000000000001</c:v>
                </c:pt>
                <c:pt idx="97">
                  <c:v>1.0949</c:v>
                </c:pt>
                <c:pt idx="98">
                  <c:v>1.0946</c:v>
                </c:pt>
                <c:pt idx="99">
                  <c:v>1.0941000000000001</c:v>
                </c:pt>
                <c:pt idx="100">
                  <c:v>1.0959000000000001</c:v>
                </c:pt>
                <c:pt idx="101">
                  <c:v>1.0984</c:v>
                </c:pt>
                <c:pt idx="102">
                  <c:v>1.1039000000000001</c:v>
                </c:pt>
                <c:pt idx="103">
                  <c:v>1.1031</c:v>
                </c:pt>
                <c:pt idx="104">
                  <c:v>1.1071</c:v>
                </c:pt>
                <c:pt idx="105">
                  <c:v>1.1059000000000001</c:v>
                </c:pt>
                <c:pt idx="106">
                  <c:v>1.1051</c:v>
                </c:pt>
                <c:pt idx="107">
                  <c:v>1.1019000000000001</c:v>
                </c:pt>
                <c:pt idx="108">
                  <c:v>1.105</c:v>
                </c:pt>
                <c:pt idx="109">
                  <c:v>1.1079000000000001</c:v>
                </c:pt>
                <c:pt idx="110">
                  <c:v>1.1060000000000001</c:v>
                </c:pt>
                <c:pt idx="111">
                  <c:v>1.1082000000000001</c:v>
                </c:pt>
                <c:pt idx="112">
                  <c:v>1.1122000000000001</c:v>
                </c:pt>
                <c:pt idx="113">
                  <c:v>1.1152</c:v>
                </c:pt>
                <c:pt idx="114">
                  <c:v>1.1157999999999999</c:v>
                </c:pt>
                <c:pt idx="115">
                  <c:v>1.1153</c:v>
                </c:pt>
                <c:pt idx="116">
                  <c:v>1.1134999999999999</c:v>
                </c:pt>
                <c:pt idx="117">
                  <c:v>1.1194</c:v>
                </c:pt>
                <c:pt idx="118">
                  <c:v>1.1191</c:v>
                </c:pt>
                <c:pt idx="119">
                  <c:v>1.1183000000000001</c:v>
                </c:pt>
                <c:pt idx="120">
                  <c:v>1.1164000000000001</c:v>
                </c:pt>
                <c:pt idx="121">
                  <c:v>1.1151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18-4406-8EE9-7B17A804D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099824"/>
        <c:axId val="545100384"/>
      </c:lineChart>
      <c:catAx>
        <c:axId val="54509982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crossAx val="545100384"/>
        <c:crosses val="autoZero"/>
        <c:auto val="0"/>
        <c:lblAlgn val="ctr"/>
        <c:lblOffset val="100"/>
        <c:noMultiLvlLbl val="1"/>
      </c:catAx>
      <c:valAx>
        <c:axId val="545100384"/>
        <c:scaling>
          <c:orientation val="minMax"/>
        </c:scaling>
        <c:delete val="0"/>
        <c:axPos val="l"/>
        <c:majorGridlines/>
        <c:numFmt formatCode="0.0000_ " sourceLinked="1"/>
        <c:majorTickMark val="none"/>
        <c:minorTickMark val="none"/>
        <c:tickLblPos val="nextTo"/>
        <c:spPr>
          <a:ln w="9525">
            <a:noFill/>
          </a:ln>
        </c:spPr>
        <c:crossAx val="54509982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4" l="0.70000000000000062" r="0.70000000000000062" t="0.750000000000004" header="0.30000000000000032" footer="0.3000000000000003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 sz="1600"/>
              <a:t>千朔量化六号</a:t>
            </a:r>
            <a:endParaRPr lang="en-US" altLang="zh-CN" sz="16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千朔量化六号!$B$20</c:f>
              <c:strCache>
                <c:ptCount val="1"/>
                <c:pt idx="0">
                  <c:v>累计净值</c:v>
                </c:pt>
              </c:strCache>
            </c:strRef>
          </c:tx>
          <c:marker>
            <c:symbol val="none"/>
          </c:marker>
          <c:cat>
            <c:numRef>
              <c:f>千朔量化六号!$A$21:$A$150</c:f>
              <c:numCache>
                <c:formatCode>m/d/yyyy</c:formatCode>
                <c:ptCount val="130"/>
                <c:pt idx="0">
                  <c:v>43705</c:v>
                </c:pt>
                <c:pt idx="1">
                  <c:v>43706</c:v>
                </c:pt>
                <c:pt idx="2">
                  <c:v>43707</c:v>
                </c:pt>
                <c:pt idx="3">
                  <c:v>43710</c:v>
                </c:pt>
                <c:pt idx="4">
                  <c:v>43711</c:v>
                </c:pt>
                <c:pt idx="5">
                  <c:v>43712</c:v>
                </c:pt>
                <c:pt idx="6">
                  <c:v>43713</c:v>
                </c:pt>
                <c:pt idx="7">
                  <c:v>43714</c:v>
                </c:pt>
                <c:pt idx="8">
                  <c:v>43717</c:v>
                </c:pt>
                <c:pt idx="9">
                  <c:v>43718</c:v>
                </c:pt>
                <c:pt idx="10">
                  <c:v>43719</c:v>
                </c:pt>
                <c:pt idx="11">
                  <c:v>43720</c:v>
                </c:pt>
                <c:pt idx="12">
                  <c:v>43724</c:v>
                </c:pt>
                <c:pt idx="13">
                  <c:v>43725</c:v>
                </c:pt>
                <c:pt idx="14">
                  <c:v>43726</c:v>
                </c:pt>
                <c:pt idx="15">
                  <c:v>43727</c:v>
                </c:pt>
                <c:pt idx="16">
                  <c:v>43728</c:v>
                </c:pt>
                <c:pt idx="17">
                  <c:v>43731</c:v>
                </c:pt>
                <c:pt idx="18">
                  <c:v>43732</c:v>
                </c:pt>
                <c:pt idx="19">
                  <c:v>43733</c:v>
                </c:pt>
                <c:pt idx="20">
                  <c:v>43734</c:v>
                </c:pt>
                <c:pt idx="21">
                  <c:v>43735</c:v>
                </c:pt>
                <c:pt idx="22">
                  <c:v>43738</c:v>
                </c:pt>
                <c:pt idx="23">
                  <c:v>43746</c:v>
                </c:pt>
                <c:pt idx="24">
                  <c:v>43747</c:v>
                </c:pt>
                <c:pt idx="25">
                  <c:v>43748</c:v>
                </c:pt>
                <c:pt idx="26">
                  <c:v>43749</c:v>
                </c:pt>
                <c:pt idx="27">
                  <c:v>43752</c:v>
                </c:pt>
                <c:pt idx="28">
                  <c:v>43753</c:v>
                </c:pt>
                <c:pt idx="29">
                  <c:v>43754</c:v>
                </c:pt>
                <c:pt idx="30">
                  <c:v>43755</c:v>
                </c:pt>
                <c:pt idx="31">
                  <c:v>43756</c:v>
                </c:pt>
                <c:pt idx="32">
                  <c:v>43759</c:v>
                </c:pt>
                <c:pt idx="33">
                  <c:v>43760</c:v>
                </c:pt>
                <c:pt idx="34">
                  <c:v>43761</c:v>
                </c:pt>
                <c:pt idx="35">
                  <c:v>43762</c:v>
                </c:pt>
                <c:pt idx="36">
                  <c:v>43763</c:v>
                </c:pt>
                <c:pt idx="37">
                  <c:v>43766</c:v>
                </c:pt>
                <c:pt idx="38">
                  <c:v>43767</c:v>
                </c:pt>
                <c:pt idx="39">
                  <c:v>43768</c:v>
                </c:pt>
                <c:pt idx="40">
                  <c:v>43769</c:v>
                </c:pt>
                <c:pt idx="41">
                  <c:v>43770</c:v>
                </c:pt>
                <c:pt idx="42">
                  <c:v>43773</c:v>
                </c:pt>
                <c:pt idx="43">
                  <c:v>43774</c:v>
                </c:pt>
                <c:pt idx="44">
                  <c:v>43775</c:v>
                </c:pt>
                <c:pt idx="45">
                  <c:v>43776</c:v>
                </c:pt>
                <c:pt idx="46">
                  <c:v>43777</c:v>
                </c:pt>
                <c:pt idx="47">
                  <c:v>43780</c:v>
                </c:pt>
                <c:pt idx="48">
                  <c:v>43781</c:v>
                </c:pt>
                <c:pt idx="49">
                  <c:v>43782</c:v>
                </c:pt>
                <c:pt idx="50">
                  <c:v>43783</c:v>
                </c:pt>
                <c:pt idx="51">
                  <c:v>43784</c:v>
                </c:pt>
                <c:pt idx="52">
                  <c:v>43787</c:v>
                </c:pt>
                <c:pt idx="53">
                  <c:v>43788</c:v>
                </c:pt>
                <c:pt idx="54">
                  <c:v>43789</c:v>
                </c:pt>
                <c:pt idx="55">
                  <c:v>43790</c:v>
                </c:pt>
                <c:pt idx="56">
                  <c:v>43791</c:v>
                </c:pt>
                <c:pt idx="57">
                  <c:v>43794</c:v>
                </c:pt>
                <c:pt idx="58">
                  <c:v>43795</c:v>
                </c:pt>
                <c:pt idx="59">
                  <c:v>43796</c:v>
                </c:pt>
                <c:pt idx="60">
                  <c:v>43797</c:v>
                </c:pt>
                <c:pt idx="61">
                  <c:v>43798</c:v>
                </c:pt>
                <c:pt idx="62">
                  <c:v>43801</c:v>
                </c:pt>
                <c:pt idx="63">
                  <c:v>43802</c:v>
                </c:pt>
                <c:pt idx="64">
                  <c:v>43803</c:v>
                </c:pt>
                <c:pt idx="65">
                  <c:v>43804</c:v>
                </c:pt>
                <c:pt idx="66">
                  <c:v>43805</c:v>
                </c:pt>
                <c:pt idx="67">
                  <c:v>43808</c:v>
                </c:pt>
                <c:pt idx="68">
                  <c:v>43809</c:v>
                </c:pt>
                <c:pt idx="69">
                  <c:v>43810</c:v>
                </c:pt>
                <c:pt idx="70">
                  <c:v>43811</c:v>
                </c:pt>
                <c:pt idx="71">
                  <c:v>43812</c:v>
                </c:pt>
                <c:pt idx="72">
                  <c:v>43815</c:v>
                </c:pt>
                <c:pt idx="73">
                  <c:v>43816</c:v>
                </c:pt>
                <c:pt idx="74">
                  <c:v>43817</c:v>
                </c:pt>
                <c:pt idx="75">
                  <c:v>43818</c:v>
                </c:pt>
                <c:pt idx="76">
                  <c:v>43819</c:v>
                </c:pt>
                <c:pt idx="77">
                  <c:v>43822</c:v>
                </c:pt>
                <c:pt idx="78">
                  <c:v>43823</c:v>
                </c:pt>
                <c:pt idx="79">
                  <c:v>43824</c:v>
                </c:pt>
                <c:pt idx="80">
                  <c:v>43825</c:v>
                </c:pt>
                <c:pt idx="81">
                  <c:v>43826</c:v>
                </c:pt>
                <c:pt idx="82">
                  <c:v>43829</c:v>
                </c:pt>
                <c:pt idx="83">
                  <c:v>43830</c:v>
                </c:pt>
                <c:pt idx="84">
                  <c:v>43832</c:v>
                </c:pt>
                <c:pt idx="85">
                  <c:v>43833</c:v>
                </c:pt>
                <c:pt idx="86">
                  <c:v>43836</c:v>
                </c:pt>
                <c:pt idx="87">
                  <c:v>43837</c:v>
                </c:pt>
                <c:pt idx="88">
                  <c:v>43838</c:v>
                </c:pt>
                <c:pt idx="89">
                  <c:v>43839</c:v>
                </c:pt>
                <c:pt idx="90">
                  <c:v>43840</c:v>
                </c:pt>
                <c:pt idx="91">
                  <c:v>43843</c:v>
                </c:pt>
                <c:pt idx="92">
                  <c:v>43844</c:v>
                </c:pt>
                <c:pt idx="93">
                  <c:v>43845</c:v>
                </c:pt>
                <c:pt idx="94">
                  <c:v>43846</c:v>
                </c:pt>
                <c:pt idx="95">
                  <c:v>43847</c:v>
                </c:pt>
                <c:pt idx="96">
                  <c:v>43850</c:v>
                </c:pt>
                <c:pt idx="97">
                  <c:v>43851</c:v>
                </c:pt>
                <c:pt idx="98">
                  <c:v>43852</c:v>
                </c:pt>
                <c:pt idx="99">
                  <c:v>43853</c:v>
                </c:pt>
                <c:pt idx="100">
                  <c:v>43864</c:v>
                </c:pt>
                <c:pt idx="101">
                  <c:v>43865</c:v>
                </c:pt>
                <c:pt idx="102">
                  <c:v>43866</c:v>
                </c:pt>
                <c:pt idx="103">
                  <c:v>43867</c:v>
                </c:pt>
                <c:pt idx="104">
                  <c:v>43868</c:v>
                </c:pt>
                <c:pt idx="105">
                  <c:v>43871</c:v>
                </c:pt>
                <c:pt idx="106">
                  <c:v>43872</c:v>
                </c:pt>
                <c:pt idx="107">
                  <c:v>43873</c:v>
                </c:pt>
                <c:pt idx="108">
                  <c:v>43874</c:v>
                </c:pt>
                <c:pt idx="109">
                  <c:v>43875</c:v>
                </c:pt>
                <c:pt idx="110">
                  <c:v>43878</c:v>
                </c:pt>
                <c:pt idx="111">
                  <c:v>43879</c:v>
                </c:pt>
                <c:pt idx="112">
                  <c:v>43880</c:v>
                </c:pt>
                <c:pt idx="113">
                  <c:v>43881</c:v>
                </c:pt>
                <c:pt idx="114">
                  <c:v>43882</c:v>
                </c:pt>
                <c:pt idx="115">
                  <c:v>43885</c:v>
                </c:pt>
                <c:pt idx="116">
                  <c:v>43886</c:v>
                </c:pt>
                <c:pt idx="117">
                  <c:v>43887</c:v>
                </c:pt>
                <c:pt idx="118">
                  <c:v>43888</c:v>
                </c:pt>
                <c:pt idx="119">
                  <c:v>43889</c:v>
                </c:pt>
                <c:pt idx="120">
                  <c:v>43892</c:v>
                </c:pt>
                <c:pt idx="121">
                  <c:v>43893</c:v>
                </c:pt>
                <c:pt idx="122">
                  <c:v>43894</c:v>
                </c:pt>
                <c:pt idx="123">
                  <c:v>43895</c:v>
                </c:pt>
                <c:pt idx="124">
                  <c:v>43896</c:v>
                </c:pt>
                <c:pt idx="125">
                  <c:v>43899</c:v>
                </c:pt>
                <c:pt idx="126">
                  <c:v>43900</c:v>
                </c:pt>
                <c:pt idx="127">
                  <c:v>43901</c:v>
                </c:pt>
                <c:pt idx="128">
                  <c:v>43902</c:v>
                </c:pt>
                <c:pt idx="129">
                  <c:v>43903</c:v>
                </c:pt>
              </c:numCache>
            </c:numRef>
          </c:cat>
          <c:val>
            <c:numRef>
              <c:f>千朔量化六号!$B$21:$B$150</c:f>
              <c:numCache>
                <c:formatCode>0.0000_ </c:formatCode>
                <c:ptCount val="130"/>
                <c:pt idx="0">
                  <c:v>1.01</c:v>
                </c:pt>
                <c:pt idx="1">
                  <c:v>1.01</c:v>
                </c:pt>
                <c:pt idx="2">
                  <c:v>1.0049999999999999</c:v>
                </c:pt>
                <c:pt idx="3">
                  <c:v>1.008</c:v>
                </c:pt>
                <c:pt idx="4">
                  <c:v>1.0069999999999999</c:v>
                </c:pt>
                <c:pt idx="5">
                  <c:v>1.002</c:v>
                </c:pt>
                <c:pt idx="6">
                  <c:v>1.004</c:v>
                </c:pt>
                <c:pt idx="7">
                  <c:v>1.0049999999999999</c:v>
                </c:pt>
                <c:pt idx="8">
                  <c:v>1.006</c:v>
                </c:pt>
                <c:pt idx="9">
                  <c:v>1.006</c:v>
                </c:pt>
                <c:pt idx="10">
                  <c:v>1.004</c:v>
                </c:pt>
                <c:pt idx="11">
                  <c:v>1.006</c:v>
                </c:pt>
                <c:pt idx="12">
                  <c:v>1.008</c:v>
                </c:pt>
                <c:pt idx="13">
                  <c:v>1.0069999999999999</c:v>
                </c:pt>
                <c:pt idx="14">
                  <c:v>1.01</c:v>
                </c:pt>
                <c:pt idx="15">
                  <c:v>1.0109999999999999</c:v>
                </c:pt>
                <c:pt idx="16">
                  <c:v>1.0109999999999999</c:v>
                </c:pt>
                <c:pt idx="17">
                  <c:v>1.006</c:v>
                </c:pt>
                <c:pt idx="18">
                  <c:v>1.01</c:v>
                </c:pt>
                <c:pt idx="19">
                  <c:v>1.0089999999999999</c:v>
                </c:pt>
                <c:pt idx="20">
                  <c:v>1.0109999999999999</c:v>
                </c:pt>
                <c:pt idx="21">
                  <c:v>1.0129999999999999</c:v>
                </c:pt>
                <c:pt idx="22">
                  <c:v>1.016</c:v>
                </c:pt>
                <c:pt idx="23">
                  <c:v>1.014</c:v>
                </c:pt>
                <c:pt idx="24">
                  <c:v>1.014</c:v>
                </c:pt>
                <c:pt idx="25">
                  <c:v>1.018</c:v>
                </c:pt>
                <c:pt idx="26">
                  <c:v>1.016</c:v>
                </c:pt>
                <c:pt idx="27">
                  <c:v>1.02</c:v>
                </c:pt>
                <c:pt idx="28">
                  <c:v>1.0209999999999999</c:v>
                </c:pt>
                <c:pt idx="29">
                  <c:v>1.022</c:v>
                </c:pt>
                <c:pt idx="30">
                  <c:v>1.0209999999999999</c:v>
                </c:pt>
                <c:pt idx="31">
                  <c:v>1.0209999999999999</c:v>
                </c:pt>
                <c:pt idx="32">
                  <c:v>1.0189999999999999</c:v>
                </c:pt>
                <c:pt idx="33">
                  <c:v>1.0209999999999999</c:v>
                </c:pt>
                <c:pt idx="34">
                  <c:v>1.018</c:v>
                </c:pt>
                <c:pt idx="35">
                  <c:v>1.0169999999999999</c:v>
                </c:pt>
                <c:pt idx="36">
                  <c:v>1.0149999999999999</c:v>
                </c:pt>
                <c:pt idx="37">
                  <c:v>1.0169999999999999</c:v>
                </c:pt>
                <c:pt idx="38">
                  <c:v>1.016</c:v>
                </c:pt>
                <c:pt idx="39">
                  <c:v>1.0169999999999999</c:v>
                </c:pt>
                <c:pt idx="40">
                  <c:v>1.016</c:v>
                </c:pt>
                <c:pt idx="41">
                  <c:v>1.0149999999999999</c:v>
                </c:pt>
                <c:pt idx="42">
                  <c:v>1.0169999999999999</c:v>
                </c:pt>
                <c:pt idx="43">
                  <c:v>1.014</c:v>
                </c:pt>
                <c:pt idx="44">
                  <c:v>1.0149999999999999</c:v>
                </c:pt>
                <c:pt idx="45">
                  <c:v>1.0129999999999999</c:v>
                </c:pt>
                <c:pt idx="46">
                  <c:v>1.0149999999999999</c:v>
                </c:pt>
                <c:pt idx="47">
                  <c:v>1.012</c:v>
                </c:pt>
                <c:pt idx="48">
                  <c:v>1.0129999999999999</c:v>
                </c:pt>
                <c:pt idx="49">
                  <c:v>1.012</c:v>
                </c:pt>
                <c:pt idx="50">
                  <c:v>1.0129999999999999</c:v>
                </c:pt>
                <c:pt idx="51">
                  <c:v>1.0089999999999999</c:v>
                </c:pt>
                <c:pt idx="52">
                  <c:v>1.014</c:v>
                </c:pt>
                <c:pt idx="53">
                  <c:v>1.016</c:v>
                </c:pt>
                <c:pt idx="54">
                  <c:v>1.0149999999999999</c:v>
                </c:pt>
                <c:pt idx="55">
                  <c:v>1.0129999999999999</c:v>
                </c:pt>
                <c:pt idx="56">
                  <c:v>1.0129999999999999</c:v>
                </c:pt>
                <c:pt idx="57">
                  <c:v>1.014</c:v>
                </c:pt>
                <c:pt idx="58">
                  <c:v>1.016</c:v>
                </c:pt>
                <c:pt idx="59">
                  <c:v>1.0109999999999999</c:v>
                </c:pt>
                <c:pt idx="60">
                  <c:v>1.01</c:v>
                </c:pt>
                <c:pt idx="61">
                  <c:v>1.008</c:v>
                </c:pt>
                <c:pt idx="62">
                  <c:v>1.0069999999999999</c:v>
                </c:pt>
                <c:pt idx="63">
                  <c:v>1.0069999999999999</c:v>
                </c:pt>
                <c:pt idx="64">
                  <c:v>1.0089999999999999</c:v>
                </c:pt>
                <c:pt idx="65">
                  <c:v>1.0109999999999999</c:v>
                </c:pt>
                <c:pt idx="66">
                  <c:v>1.01</c:v>
                </c:pt>
                <c:pt idx="67">
                  <c:v>1.0089999999999999</c:v>
                </c:pt>
                <c:pt idx="68">
                  <c:v>1.008</c:v>
                </c:pt>
                <c:pt idx="69">
                  <c:v>1.01</c:v>
                </c:pt>
                <c:pt idx="70">
                  <c:v>1.01</c:v>
                </c:pt>
                <c:pt idx="71">
                  <c:v>1.012</c:v>
                </c:pt>
                <c:pt idx="72">
                  <c:v>1.0089999999999999</c:v>
                </c:pt>
                <c:pt idx="73">
                  <c:v>1.0049999999999999</c:v>
                </c:pt>
                <c:pt idx="74">
                  <c:v>1.002</c:v>
                </c:pt>
                <c:pt idx="75">
                  <c:v>1.0009999999999999</c:v>
                </c:pt>
                <c:pt idx="76">
                  <c:v>1</c:v>
                </c:pt>
                <c:pt idx="77">
                  <c:v>1.0049999999999999</c:v>
                </c:pt>
                <c:pt idx="78">
                  <c:v>1.006</c:v>
                </c:pt>
                <c:pt idx="79">
                  <c:v>1.006</c:v>
                </c:pt>
                <c:pt idx="80">
                  <c:v>1.0049999999999999</c:v>
                </c:pt>
                <c:pt idx="81">
                  <c:v>1.006</c:v>
                </c:pt>
                <c:pt idx="82">
                  <c:v>1.0049999999999999</c:v>
                </c:pt>
                <c:pt idx="83">
                  <c:v>1.008</c:v>
                </c:pt>
                <c:pt idx="84">
                  <c:v>1.008</c:v>
                </c:pt>
                <c:pt idx="85">
                  <c:v>1.0069999999999999</c:v>
                </c:pt>
                <c:pt idx="86">
                  <c:v>1.0009999999999999</c:v>
                </c:pt>
                <c:pt idx="87">
                  <c:v>1.002</c:v>
                </c:pt>
                <c:pt idx="88">
                  <c:v>1</c:v>
                </c:pt>
                <c:pt idx="89">
                  <c:v>1.008</c:v>
                </c:pt>
                <c:pt idx="90">
                  <c:v>1.0109999999999999</c:v>
                </c:pt>
                <c:pt idx="91">
                  <c:v>1.0089999999999999</c:v>
                </c:pt>
                <c:pt idx="92">
                  <c:v>1.0109999999999999</c:v>
                </c:pt>
                <c:pt idx="93">
                  <c:v>1.0129999999999999</c:v>
                </c:pt>
                <c:pt idx="94">
                  <c:v>1.012</c:v>
                </c:pt>
                <c:pt idx="95">
                  <c:v>1.016</c:v>
                </c:pt>
                <c:pt idx="96">
                  <c:v>1.0129999999999999</c:v>
                </c:pt>
                <c:pt idx="97">
                  <c:v>1.0129999999999999</c:v>
                </c:pt>
                <c:pt idx="98">
                  <c:v>1.0008999999999999</c:v>
                </c:pt>
                <c:pt idx="99">
                  <c:v>1.006</c:v>
                </c:pt>
                <c:pt idx="100">
                  <c:v>0.998</c:v>
                </c:pt>
                <c:pt idx="101">
                  <c:v>0.997</c:v>
                </c:pt>
                <c:pt idx="102">
                  <c:v>0.99399999999999999</c:v>
                </c:pt>
                <c:pt idx="103">
                  <c:v>0.99199999999999999</c:v>
                </c:pt>
                <c:pt idx="104">
                  <c:v>0.99199999999999999</c:v>
                </c:pt>
                <c:pt idx="105">
                  <c:v>1.0009999999999999</c:v>
                </c:pt>
                <c:pt idx="106">
                  <c:v>1.006</c:v>
                </c:pt>
                <c:pt idx="107">
                  <c:v>1.0029999999999999</c:v>
                </c:pt>
                <c:pt idx="108">
                  <c:v>1.0029999999999999</c:v>
                </c:pt>
                <c:pt idx="109">
                  <c:v>1.0049999999999999</c:v>
                </c:pt>
                <c:pt idx="110">
                  <c:v>1.0069999999999999</c:v>
                </c:pt>
                <c:pt idx="111">
                  <c:v>1.0089999999999999</c:v>
                </c:pt>
                <c:pt idx="112">
                  <c:v>1.0129999999999999</c:v>
                </c:pt>
                <c:pt idx="113">
                  <c:v>1.0189999999999999</c:v>
                </c:pt>
                <c:pt idx="114">
                  <c:v>1.0149999999999999</c:v>
                </c:pt>
                <c:pt idx="115">
                  <c:v>1.018</c:v>
                </c:pt>
                <c:pt idx="116">
                  <c:v>1.0109999999999999</c:v>
                </c:pt>
                <c:pt idx="117">
                  <c:v>1.0129999999999999</c:v>
                </c:pt>
                <c:pt idx="118">
                  <c:v>1.022</c:v>
                </c:pt>
                <c:pt idx="119">
                  <c:v>1.0169999999999999</c:v>
                </c:pt>
                <c:pt idx="120">
                  <c:v>1.0249999999999999</c:v>
                </c:pt>
                <c:pt idx="121">
                  <c:v>1.026</c:v>
                </c:pt>
                <c:pt idx="122">
                  <c:v>1.032</c:v>
                </c:pt>
                <c:pt idx="123">
                  <c:v>1.04</c:v>
                </c:pt>
                <c:pt idx="124">
                  <c:v>1.038</c:v>
                </c:pt>
                <c:pt idx="125">
                  <c:v>1.0309999999999999</c:v>
                </c:pt>
                <c:pt idx="126">
                  <c:v>1.0369999999999999</c:v>
                </c:pt>
                <c:pt idx="127">
                  <c:v>1.0369999999999999</c:v>
                </c:pt>
                <c:pt idx="128">
                  <c:v>1.0289999999999999</c:v>
                </c:pt>
                <c:pt idx="129">
                  <c:v>1.024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BA-48A1-AA0B-2ADAA4C6B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099824"/>
        <c:axId val="545100384"/>
      </c:lineChart>
      <c:catAx>
        <c:axId val="54509982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crossAx val="545100384"/>
        <c:crosses val="autoZero"/>
        <c:auto val="0"/>
        <c:lblAlgn val="ctr"/>
        <c:lblOffset val="100"/>
        <c:noMultiLvlLbl val="1"/>
      </c:catAx>
      <c:valAx>
        <c:axId val="545100384"/>
        <c:scaling>
          <c:orientation val="minMax"/>
          <c:min val="0.99"/>
        </c:scaling>
        <c:delete val="0"/>
        <c:axPos val="l"/>
        <c:majorGridlines/>
        <c:numFmt formatCode="0.0000_ " sourceLinked="1"/>
        <c:majorTickMark val="none"/>
        <c:minorTickMark val="none"/>
        <c:tickLblPos val="nextTo"/>
        <c:spPr>
          <a:ln w="9525">
            <a:noFill/>
          </a:ln>
        </c:spPr>
        <c:crossAx val="54509982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4" l="0.70000000000000062" r="0.70000000000000062" t="0.750000000000004" header="0.30000000000000032" footer="0.3000000000000003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542924</xdr:colOff>
      <xdr:row>1</xdr:row>
      <xdr:rowOff>161924</xdr:rowOff>
    </xdr:from>
    <xdr:to>
      <xdr:col>15</xdr:col>
      <xdr:colOff>457199</xdr:colOff>
      <xdr:row>18</xdr:row>
      <xdr:rowOff>133349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276225</xdr:colOff>
      <xdr:row>2</xdr:row>
      <xdr:rowOff>85725</xdr:rowOff>
    </xdr:from>
    <xdr:to>
      <xdr:col>24</xdr:col>
      <xdr:colOff>133350</xdr:colOff>
      <xdr:row>19</xdr:row>
      <xdr:rowOff>66675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DABB1D4D-E7BB-47B1-8085-32A23DF9DD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257175</xdr:colOff>
      <xdr:row>287</xdr:row>
      <xdr:rowOff>28575</xdr:rowOff>
    </xdr:from>
    <xdr:to>
      <xdr:col>16</xdr:col>
      <xdr:colOff>571500</xdr:colOff>
      <xdr:row>305</xdr:row>
      <xdr:rowOff>38100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771DB521-3C32-46C5-8435-1DD6A7E7CC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47625</xdr:rowOff>
    </xdr:from>
    <xdr:to>
      <xdr:col>14</xdr:col>
      <xdr:colOff>184785</xdr:colOff>
      <xdr:row>16</xdr:row>
      <xdr:rowOff>104775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600074</xdr:colOff>
      <xdr:row>2</xdr:row>
      <xdr:rowOff>0</xdr:rowOff>
    </xdr:from>
    <xdr:to>
      <xdr:col>17</xdr:col>
      <xdr:colOff>133350</xdr:colOff>
      <xdr:row>19</xdr:row>
      <xdr:rowOff>66675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FAB6E33-6E53-4335-A538-516E5DA976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600074</xdr:colOff>
      <xdr:row>2</xdr:row>
      <xdr:rowOff>0</xdr:rowOff>
    </xdr:from>
    <xdr:to>
      <xdr:col>15</xdr:col>
      <xdr:colOff>514349</xdr:colOff>
      <xdr:row>17</xdr:row>
      <xdr:rowOff>66675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638174</xdr:colOff>
      <xdr:row>2</xdr:row>
      <xdr:rowOff>38099</xdr:rowOff>
    </xdr:from>
    <xdr:to>
      <xdr:col>16</xdr:col>
      <xdr:colOff>28575</xdr:colOff>
      <xdr:row>18</xdr:row>
      <xdr:rowOff>142874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9C1BE07-B3A1-40C6-A04B-A760FF6AC3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638174</xdr:colOff>
      <xdr:row>2</xdr:row>
      <xdr:rowOff>38099</xdr:rowOff>
    </xdr:from>
    <xdr:to>
      <xdr:col>16</xdr:col>
      <xdr:colOff>28575</xdr:colOff>
      <xdr:row>18</xdr:row>
      <xdr:rowOff>142874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B245797-C3D2-4694-BFC4-D31918489C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161925</xdr:rowOff>
    </xdr:from>
    <xdr:to>
      <xdr:col>14</xdr:col>
      <xdr:colOff>304799</xdr:colOff>
      <xdr:row>18</xdr:row>
      <xdr:rowOff>66675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AB08DF3B-C692-44D0-B41E-8332422FF4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638174</xdr:colOff>
      <xdr:row>2</xdr:row>
      <xdr:rowOff>38099</xdr:rowOff>
    </xdr:from>
    <xdr:to>
      <xdr:col>16</xdr:col>
      <xdr:colOff>28575</xdr:colOff>
      <xdr:row>18</xdr:row>
      <xdr:rowOff>142874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20F87B8-5AD0-4E06-8070-7E7A67E913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600074</xdr:colOff>
      <xdr:row>2</xdr:row>
      <xdr:rowOff>0</xdr:rowOff>
    </xdr:from>
    <xdr:to>
      <xdr:col>15</xdr:col>
      <xdr:colOff>514349</xdr:colOff>
      <xdr:row>17</xdr:row>
      <xdr:rowOff>66675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DF4AF0A7-D107-430A-912A-21BC66EB8A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600074</xdr:colOff>
      <xdr:row>1</xdr:row>
      <xdr:rowOff>190499</xdr:rowOff>
    </xdr:from>
    <xdr:to>
      <xdr:col>15</xdr:col>
      <xdr:colOff>276225</xdr:colOff>
      <xdr:row>18</xdr:row>
      <xdr:rowOff>104774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638174</xdr:colOff>
      <xdr:row>2</xdr:row>
      <xdr:rowOff>38099</xdr:rowOff>
    </xdr:from>
    <xdr:to>
      <xdr:col>16</xdr:col>
      <xdr:colOff>28575</xdr:colOff>
      <xdr:row>18</xdr:row>
      <xdr:rowOff>142874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BA3DC65-E1B6-4DA8-B7B2-9C4F59A715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638174</xdr:colOff>
      <xdr:row>2</xdr:row>
      <xdr:rowOff>38099</xdr:rowOff>
    </xdr:from>
    <xdr:to>
      <xdr:col>16</xdr:col>
      <xdr:colOff>28575</xdr:colOff>
      <xdr:row>18</xdr:row>
      <xdr:rowOff>142874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BA76105-F368-4116-BF14-AFEEB071AA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638174</xdr:colOff>
      <xdr:row>2</xdr:row>
      <xdr:rowOff>38099</xdr:rowOff>
    </xdr:from>
    <xdr:to>
      <xdr:col>16</xdr:col>
      <xdr:colOff>28575</xdr:colOff>
      <xdr:row>18</xdr:row>
      <xdr:rowOff>142874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D4F741B-510E-4FAD-AFA2-3E67EEDE57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638174</xdr:colOff>
      <xdr:row>2</xdr:row>
      <xdr:rowOff>38099</xdr:rowOff>
    </xdr:from>
    <xdr:to>
      <xdr:col>16</xdr:col>
      <xdr:colOff>28575</xdr:colOff>
      <xdr:row>18</xdr:row>
      <xdr:rowOff>142874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D50E8BCD-805A-49F8-B9B6-25C2362517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638174</xdr:colOff>
      <xdr:row>2</xdr:row>
      <xdr:rowOff>38099</xdr:rowOff>
    </xdr:from>
    <xdr:to>
      <xdr:col>16</xdr:col>
      <xdr:colOff>28575</xdr:colOff>
      <xdr:row>18</xdr:row>
      <xdr:rowOff>142874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A8C8141-17AB-48F4-BB50-1935749D7F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638174</xdr:colOff>
      <xdr:row>2</xdr:row>
      <xdr:rowOff>38099</xdr:rowOff>
    </xdr:from>
    <xdr:to>
      <xdr:col>16</xdr:col>
      <xdr:colOff>28575</xdr:colOff>
      <xdr:row>18</xdr:row>
      <xdr:rowOff>142874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322EA83-3078-4AA6-B031-A1B45AD740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638174</xdr:colOff>
      <xdr:row>2</xdr:row>
      <xdr:rowOff>38099</xdr:rowOff>
    </xdr:from>
    <xdr:to>
      <xdr:col>16</xdr:col>
      <xdr:colOff>28575</xdr:colOff>
      <xdr:row>18</xdr:row>
      <xdr:rowOff>142874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322EA83-3078-4AA6-B031-A1B45AD740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638174</xdr:colOff>
      <xdr:row>2</xdr:row>
      <xdr:rowOff>38099</xdr:rowOff>
    </xdr:from>
    <xdr:to>
      <xdr:col>16</xdr:col>
      <xdr:colOff>28575</xdr:colOff>
      <xdr:row>18</xdr:row>
      <xdr:rowOff>142874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A707758-6AF8-45A8-8886-7AE29B9DC1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638174</xdr:colOff>
      <xdr:row>2</xdr:row>
      <xdr:rowOff>38099</xdr:rowOff>
    </xdr:from>
    <xdr:to>
      <xdr:col>16</xdr:col>
      <xdr:colOff>28575</xdr:colOff>
      <xdr:row>18</xdr:row>
      <xdr:rowOff>142874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2B00E11-D16E-4842-AF6C-9722DDF75A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638174</xdr:colOff>
      <xdr:row>2</xdr:row>
      <xdr:rowOff>38099</xdr:rowOff>
    </xdr:from>
    <xdr:to>
      <xdr:col>16</xdr:col>
      <xdr:colOff>123825</xdr:colOff>
      <xdr:row>18</xdr:row>
      <xdr:rowOff>142874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322EA83-3078-4AA6-B031-A1B45AD740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638174</xdr:colOff>
      <xdr:row>2</xdr:row>
      <xdr:rowOff>38099</xdr:rowOff>
    </xdr:from>
    <xdr:to>
      <xdr:col>16</xdr:col>
      <xdr:colOff>28575</xdr:colOff>
      <xdr:row>18</xdr:row>
      <xdr:rowOff>142874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BF6F53D0-5E2D-44EF-BE40-370F6B72B3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638174</xdr:colOff>
      <xdr:row>2</xdr:row>
      <xdr:rowOff>38099</xdr:rowOff>
    </xdr:from>
    <xdr:to>
      <xdr:col>16</xdr:col>
      <xdr:colOff>28575</xdr:colOff>
      <xdr:row>18</xdr:row>
      <xdr:rowOff>142874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AAF8771-5B80-479B-BC14-715BC0DC9E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495299</xdr:colOff>
      <xdr:row>8</xdr:row>
      <xdr:rowOff>38099</xdr:rowOff>
    </xdr:from>
    <xdr:to>
      <xdr:col>16</xdr:col>
      <xdr:colOff>542924</xdr:colOff>
      <xdr:row>24</xdr:row>
      <xdr:rowOff>47624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266699</xdr:colOff>
      <xdr:row>3</xdr:row>
      <xdr:rowOff>57149</xdr:rowOff>
    </xdr:from>
    <xdr:to>
      <xdr:col>16</xdr:col>
      <xdr:colOff>571500</xdr:colOff>
      <xdr:row>19</xdr:row>
      <xdr:rowOff>161924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20F87B8-5AD0-4E06-8070-7E7A67E913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276224</xdr:colOff>
      <xdr:row>36</xdr:row>
      <xdr:rowOff>9524</xdr:rowOff>
    </xdr:from>
    <xdr:to>
      <xdr:col>16</xdr:col>
      <xdr:colOff>323849</xdr:colOff>
      <xdr:row>53</xdr:row>
      <xdr:rowOff>47624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495299</xdr:colOff>
      <xdr:row>8</xdr:row>
      <xdr:rowOff>38099</xdr:rowOff>
    </xdr:from>
    <xdr:to>
      <xdr:col>16</xdr:col>
      <xdr:colOff>542924</xdr:colOff>
      <xdr:row>24</xdr:row>
      <xdr:rowOff>0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495299</xdr:colOff>
      <xdr:row>8</xdr:row>
      <xdr:rowOff>38099</xdr:rowOff>
    </xdr:from>
    <xdr:to>
      <xdr:col>16</xdr:col>
      <xdr:colOff>542924</xdr:colOff>
      <xdr:row>24</xdr:row>
      <xdr:rowOff>0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495299</xdr:colOff>
      <xdr:row>8</xdr:row>
      <xdr:rowOff>38099</xdr:rowOff>
    </xdr:from>
    <xdr:to>
      <xdr:col>16</xdr:col>
      <xdr:colOff>542924</xdr:colOff>
      <xdr:row>24</xdr:row>
      <xdr:rowOff>0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495299</xdr:colOff>
      <xdr:row>8</xdr:row>
      <xdr:rowOff>38099</xdr:rowOff>
    </xdr:from>
    <xdr:to>
      <xdr:col>16</xdr:col>
      <xdr:colOff>542924</xdr:colOff>
      <xdr:row>24</xdr:row>
      <xdr:rowOff>0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895350</xdr:colOff>
      <xdr:row>2</xdr:row>
      <xdr:rowOff>85724</xdr:rowOff>
    </xdr:from>
    <xdr:to>
      <xdr:col>17</xdr:col>
      <xdr:colOff>571500</xdr:colOff>
      <xdr:row>20</xdr:row>
      <xdr:rowOff>142874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571500</xdr:colOff>
      <xdr:row>0</xdr:row>
      <xdr:rowOff>161925</xdr:rowOff>
    </xdr:from>
    <xdr:to>
      <xdr:col>11</xdr:col>
      <xdr:colOff>247650</xdr:colOff>
      <xdr:row>18</xdr:row>
      <xdr:rowOff>9524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638174</xdr:colOff>
      <xdr:row>2</xdr:row>
      <xdr:rowOff>38099</xdr:rowOff>
    </xdr:from>
    <xdr:to>
      <xdr:col>16</xdr:col>
      <xdr:colOff>28575</xdr:colOff>
      <xdr:row>18</xdr:row>
      <xdr:rowOff>142874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BF6F53D0-5E2D-44EF-BE40-370F6B72B3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600074</xdr:colOff>
      <xdr:row>2</xdr:row>
      <xdr:rowOff>0</xdr:rowOff>
    </xdr:from>
    <xdr:to>
      <xdr:col>15</xdr:col>
      <xdr:colOff>409575</xdr:colOff>
      <xdr:row>18</xdr:row>
      <xdr:rowOff>142875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600074</xdr:colOff>
      <xdr:row>2</xdr:row>
      <xdr:rowOff>0</xdr:rowOff>
    </xdr:from>
    <xdr:to>
      <xdr:col>15</xdr:col>
      <xdr:colOff>514349</xdr:colOff>
      <xdr:row>17</xdr:row>
      <xdr:rowOff>66675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600074</xdr:colOff>
      <xdr:row>2</xdr:row>
      <xdr:rowOff>0</xdr:rowOff>
    </xdr:from>
    <xdr:to>
      <xdr:col>15</xdr:col>
      <xdr:colOff>514349</xdr:colOff>
      <xdr:row>17</xdr:row>
      <xdr:rowOff>66675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638174</xdr:colOff>
      <xdr:row>2</xdr:row>
      <xdr:rowOff>38099</xdr:rowOff>
    </xdr:from>
    <xdr:to>
      <xdr:col>16</xdr:col>
      <xdr:colOff>28575</xdr:colOff>
      <xdr:row>18</xdr:row>
      <xdr:rowOff>142874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91B9302-E8F4-4D90-B24F-CEC319F0F7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638174</xdr:colOff>
      <xdr:row>2</xdr:row>
      <xdr:rowOff>38099</xdr:rowOff>
    </xdr:from>
    <xdr:to>
      <xdr:col>16</xdr:col>
      <xdr:colOff>28575</xdr:colOff>
      <xdr:row>18</xdr:row>
      <xdr:rowOff>142874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3CD8912-DBC2-400C-9D2A-F53E48BA6E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638174</xdr:colOff>
      <xdr:row>2</xdr:row>
      <xdr:rowOff>38099</xdr:rowOff>
    </xdr:from>
    <xdr:to>
      <xdr:col>16</xdr:col>
      <xdr:colOff>28575</xdr:colOff>
      <xdr:row>18</xdr:row>
      <xdr:rowOff>142874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6E4DC1F-0F8E-41DD-9AC1-7698E72AD9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600074</xdr:colOff>
      <xdr:row>2</xdr:row>
      <xdr:rowOff>0</xdr:rowOff>
    </xdr:from>
    <xdr:to>
      <xdr:col>15</xdr:col>
      <xdr:colOff>514349</xdr:colOff>
      <xdr:row>17</xdr:row>
      <xdr:rowOff>66675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600074</xdr:colOff>
      <xdr:row>1</xdr:row>
      <xdr:rowOff>190499</xdr:rowOff>
    </xdr:from>
    <xdr:to>
      <xdr:col>15</xdr:col>
      <xdr:colOff>514350</xdr:colOff>
      <xdr:row>17</xdr:row>
      <xdr:rowOff>133349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638174</xdr:colOff>
      <xdr:row>2</xdr:row>
      <xdr:rowOff>38099</xdr:rowOff>
    </xdr:from>
    <xdr:to>
      <xdr:col>16</xdr:col>
      <xdr:colOff>28575</xdr:colOff>
      <xdr:row>18</xdr:row>
      <xdr:rowOff>142874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A9C960AE-D496-4302-B883-5560223255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600074</xdr:colOff>
      <xdr:row>2</xdr:row>
      <xdr:rowOff>0</xdr:rowOff>
    </xdr:from>
    <xdr:to>
      <xdr:col>15</xdr:col>
      <xdr:colOff>514349</xdr:colOff>
      <xdr:row>17</xdr:row>
      <xdr:rowOff>66675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36A6EB1E-4DDC-476C-BF9F-C5E8307F87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600074</xdr:colOff>
      <xdr:row>2</xdr:row>
      <xdr:rowOff>0</xdr:rowOff>
    </xdr:from>
    <xdr:to>
      <xdr:col>14</xdr:col>
      <xdr:colOff>514349</xdr:colOff>
      <xdr:row>17</xdr:row>
      <xdr:rowOff>66675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600074</xdr:colOff>
      <xdr:row>2</xdr:row>
      <xdr:rowOff>0</xdr:rowOff>
    </xdr:from>
    <xdr:to>
      <xdr:col>17</xdr:col>
      <xdr:colOff>133350</xdr:colOff>
      <xdr:row>19</xdr:row>
      <xdr:rowOff>66675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600074</xdr:colOff>
      <xdr:row>2</xdr:row>
      <xdr:rowOff>0</xdr:rowOff>
    </xdr:from>
    <xdr:to>
      <xdr:col>15</xdr:col>
      <xdr:colOff>514349</xdr:colOff>
      <xdr:row>17</xdr:row>
      <xdr:rowOff>66675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km\g\&#21326;&#38395;&#26399;&#36135;&#36164;&#31649;&#37096;\FOF&#25237;&#21518;&#31649;&#29702;\&#21326;&#20113;&#29822;&#23578;&#20108;&#21495;\&#29822;&#23578;&#20108;&#21495;&#20928;&#20540;&#36319;&#36394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wqh\Desktop\&#22269;&#32593;&#33521;&#22823;&#21512;&#20316;\&#20135;&#21697;&#25237;&#36164;&#21644;&#20928;&#20540;&#36319;&#36394;\&#33521;&#22823;&#38271;&#19977;&#35282;&#30899;&#19968;&#21495;3&#26399;FOF&#20928;&#20540;&#36319;&#36394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母基金基本情况汇总"/>
      <sheetName val="2FOF净值画线"/>
      <sheetName val="3风险收益指标"/>
      <sheetName val="4资产配置"/>
      <sheetName val="瑾尚二号净值"/>
      <sheetName val="周更新-瑾尚二号"/>
    </sheetNames>
    <sheetDataSet>
      <sheetData sheetId="0"/>
      <sheetData sheetId="1"/>
      <sheetData sheetId="2"/>
      <sheetData sheetId="3"/>
      <sheetData sheetId="4">
        <row r="1">
          <cell r="A1" t="str">
            <v>日期</v>
          </cell>
          <cell r="B1" t="str">
            <v>瑾尚二号</v>
          </cell>
        </row>
        <row r="2">
          <cell r="A2">
            <v>44060</v>
          </cell>
          <cell r="B2">
            <v>1</v>
          </cell>
        </row>
        <row r="3">
          <cell r="A3">
            <v>44061</v>
          </cell>
          <cell r="B3">
            <v>0.99990000000000001</v>
          </cell>
        </row>
        <row r="4">
          <cell r="A4">
            <v>44062</v>
          </cell>
          <cell r="B4">
            <v>0.99990000000000001</v>
          </cell>
        </row>
        <row r="5">
          <cell r="A5">
            <v>44063</v>
          </cell>
          <cell r="B5">
            <v>0.99980000000000002</v>
          </cell>
        </row>
        <row r="6">
          <cell r="A6">
            <v>44064</v>
          </cell>
          <cell r="B6">
            <v>0.99939999999999996</v>
          </cell>
        </row>
        <row r="7">
          <cell r="A7">
            <v>44067</v>
          </cell>
          <cell r="B7">
            <v>1.0018</v>
          </cell>
        </row>
        <row r="8">
          <cell r="A8">
            <v>44068</v>
          </cell>
          <cell r="B8">
            <v>1.0048999999999999</v>
          </cell>
        </row>
        <row r="9">
          <cell r="A9">
            <v>44069</v>
          </cell>
          <cell r="B9">
            <v>0.99950000000000006</v>
          </cell>
        </row>
        <row r="10">
          <cell r="A10">
            <v>44070</v>
          </cell>
          <cell r="B10">
            <v>1.0055000000000001</v>
          </cell>
        </row>
        <row r="11">
          <cell r="A11">
            <v>44071</v>
          </cell>
          <cell r="B11">
            <v>1.0128999999999999</v>
          </cell>
        </row>
        <row r="12">
          <cell r="A12">
            <v>44074</v>
          </cell>
          <cell r="B12">
            <v>1.0122</v>
          </cell>
        </row>
        <row r="13">
          <cell r="A13">
            <v>44075</v>
          </cell>
          <cell r="B13">
            <v>1.0154000000000001</v>
          </cell>
        </row>
        <row r="14">
          <cell r="A14">
            <v>44076</v>
          </cell>
          <cell r="B14">
            <v>1.0155000000000001</v>
          </cell>
        </row>
        <row r="15">
          <cell r="A15">
            <v>44077</v>
          </cell>
          <cell r="B15">
            <v>1.0148999999999999</v>
          </cell>
        </row>
        <row r="16">
          <cell r="A16">
            <v>44078</v>
          </cell>
          <cell r="B16">
            <v>1.0143</v>
          </cell>
        </row>
        <row r="17">
          <cell r="A17">
            <v>44081</v>
          </cell>
          <cell r="B17">
            <v>1.0031000000000001</v>
          </cell>
        </row>
        <row r="18">
          <cell r="A18">
            <v>44082</v>
          </cell>
          <cell r="B18">
            <v>1.0124</v>
          </cell>
        </row>
        <row r="19">
          <cell r="A19">
            <v>44083</v>
          </cell>
          <cell r="B19">
            <v>0.99319999999999997</v>
          </cell>
        </row>
        <row r="20">
          <cell r="A20">
            <v>44084</v>
          </cell>
          <cell r="B20">
            <v>1.0004999999999999</v>
          </cell>
        </row>
        <row r="21">
          <cell r="A21">
            <v>44085</v>
          </cell>
          <cell r="B21">
            <v>1.0139</v>
          </cell>
        </row>
        <row r="22">
          <cell r="A22">
            <v>44088</v>
          </cell>
          <cell r="B22">
            <v>1.0289999999999999</v>
          </cell>
        </row>
        <row r="23">
          <cell r="A23">
            <v>44089</v>
          </cell>
          <cell r="B23">
            <v>1.0367999999999999</v>
          </cell>
        </row>
        <row r="24">
          <cell r="A24">
            <v>44090</v>
          </cell>
          <cell r="B24">
            <v>1.0358000000000001</v>
          </cell>
        </row>
        <row r="25">
          <cell r="A25">
            <v>44091</v>
          </cell>
          <cell r="B25">
            <v>1.0326</v>
          </cell>
        </row>
        <row r="26">
          <cell r="A26">
            <v>44092</v>
          </cell>
          <cell r="B26">
            <v>1.0485</v>
          </cell>
        </row>
        <row r="27">
          <cell r="A27">
            <v>44095</v>
          </cell>
          <cell r="B27">
            <v>1.0458000000000001</v>
          </cell>
        </row>
        <row r="28">
          <cell r="A28">
            <v>44096</v>
          </cell>
          <cell r="B28">
            <v>1.0363</v>
          </cell>
        </row>
        <row r="29">
          <cell r="A29">
            <v>44097</v>
          </cell>
          <cell r="B29">
            <v>1.0428999999999999</v>
          </cell>
        </row>
        <row r="30">
          <cell r="A30">
            <v>44098</v>
          </cell>
          <cell r="B30">
            <v>1.0246999999999999</v>
          </cell>
        </row>
        <row r="31">
          <cell r="A31">
            <v>44099</v>
          </cell>
          <cell r="B31">
            <v>1.0277000000000001</v>
          </cell>
        </row>
        <row r="32">
          <cell r="A32">
            <v>44102</v>
          </cell>
          <cell r="B32">
            <v>1.0294000000000001</v>
          </cell>
        </row>
        <row r="33">
          <cell r="A33">
            <v>44103</v>
          </cell>
          <cell r="B33">
            <v>1.0298</v>
          </cell>
        </row>
        <row r="34">
          <cell r="A34">
            <v>44104</v>
          </cell>
          <cell r="B34">
            <v>1.0241</v>
          </cell>
        </row>
        <row r="35">
          <cell r="A35">
            <v>44113</v>
          </cell>
          <cell r="B35">
            <v>1.0687</v>
          </cell>
        </row>
        <row r="36">
          <cell r="A36">
            <v>44116</v>
          </cell>
          <cell r="B36">
            <v>1.0805</v>
          </cell>
        </row>
        <row r="37">
          <cell r="A37">
            <v>44117</v>
          </cell>
          <cell r="B37">
            <v>1.0842000000000001</v>
          </cell>
        </row>
        <row r="38">
          <cell r="A38">
            <v>44118</v>
          </cell>
          <cell r="B38">
            <v>1.0848</v>
          </cell>
        </row>
        <row r="39">
          <cell r="A39">
            <v>44119</v>
          </cell>
          <cell r="B39">
            <v>1.0851999999999999</v>
          </cell>
        </row>
        <row r="40">
          <cell r="A40">
            <v>44120</v>
          </cell>
          <cell r="B40">
            <v>1.0867</v>
          </cell>
        </row>
        <row r="41">
          <cell r="A41">
            <v>44123</v>
          </cell>
          <cell r="B41">
            <v>1.0925</v>
          </cell>
        </row>
        <row r="42">
          <cell r="A42">
            <v>44124</v>
          </cell>
          <cell r="B42">
            <v>1.0952999999999999</v>
          </cell>
        </row>
        <row r="43">
          <cell r="A43">
            <v>44125</v>
          </cell>
          <cell r="B43">
            <v>1.0945</v>
          </cell>
        </row>
        <row r="44">
          <cell r="A44">
            <v>44126</v>
          </cell>
          <cell r="B44">
            <v>1.0924</v>
          </cell>
        </row>
        <row r="45">
          <cell r="A45">
            <v>44127</v>
          </cell>
          <cell r="B45">
            <v>1.0899000000000001</v>
          </cell>
        </row>
        <row r="46">
          <cell r="A46">
            <v>44130</v>
          </cell>
          <cell r="B46">
            <v>1.0872999999999999</v>
          </cell>
        </row>
        <row r="47">
          <cell r="A47">
            <v>44131</v>
          </cell>
          <cell r="B47">
            <v>1.0891</v>
          </cell>
        </row>
        <row r="48">
          <cell r="A48">
            <v>44132</v>
          </cell>
          <cell r="B48">
            <v>1.0968</v>
          </cell>
        </row>
        <row r="49">
          <cell r="A49">
            <v>44133</v>
          </cell>
          <cell r="B49">
            <v>1.1032</v>
          </cell>
        </row>
        <row r="50">
          <cell r="A50">
            <v>44134</v>
          </cell>
          <cell r="B50">
            <v>1.0911</v>
          </cell>
        </row>
        <row r="51">
          <cell r="A51">
            <v>44137</v>
          </cell>
          <cell r="B51">
            <v>1.0965</v>
          </cell>
        </row>
        <row r="52">
          <cell r="A52">
            <v>44138</v>
          </cell>
          <cell r="B52">
            <v>1.1032999999999999</v>
          </cell>
        </row>
        <row r="53">
          <cell r="A53">
            <v>44139</v>
          </cell>
          <cell r="B53">
            <v>1.1109</v>
          </cell>
        </row>
        <row r="54">
          <cell r="A54">
            <v>44140</v>
          </cell>
          <cell r="B54">
            <v>1.1166</v>
          </cell>
        </row>
        <row r="55">
          <cell r="A55">
            <v>44141</v>
          </cell>
          <cell r="B55">
            <v>1.1188</v>
          </cell>
        </row>
        <row r="56">
          <cell r="A56">
            <v>44144</v>
          </cell>
          <cell r="B56">
            <v>1.1198999999999999</v>
          </cell>
        </row>
        <row r="57">
          <cell r="A57">
            <v>44145</v>
          </cell>
          <cell r="B57">
            <v>1.1204000000000001</v>
          </cell>
        </row>
        <row r="58">
          <cell r="A58">
            <v>44146</v>
          </cell>
          <cell r="B58">
            <v>1.1208</v>
          </cell>
        </row>
        <row r="59">
          <cell r="A59">
            <v>44147</v>
          </cell>
          <cell r="B59">
            <v>1.1228</v>
          </cell>
        </row>
        <row r="60">
          <cell r="A60">
            <v>44148</v>
          </cell>
          <cell r="B60">
            <v>1.1214999999999999</v>
          </cell>
        </row>
        <row r="61">
          <cell r="A61">
            <v>44151</v>
          </cell>
          <cell r="B61">
            <v>1.1287</v>
          </cell>
        </row>
        <row r="62">
          <cell r="A62">
            <v>44152</v>
          </cell>
          <cell r="B62">
            <v>1.1309</v>
          </cell>
        </row>
        <row r="63">
          <cell r="A63">
            <v>44153</v>
          </cell>
          <cell r="B63">
            <v>1.1303000000000001</v>
          </cell>
        </row>
        <row r="64">
          <cell r="A64">
            <v>44154</v>
          </cell>
          <cell r="B64">
            <v>1.1338999999999999</v>
          </cell>
        </row>
        <row r="65">
          <cell r="A65">
            <v>44155</v>
          </cell>
          <cell r="B65">
            <v>1.137</v>
          </cell>
        </row>
        <row r="66">
          <cell r="A66">
            <v>44158</v>
          </cell>
          <cell r="B66">
            <v>1.1417999999999999</v>
          </cell>
        </row>
        <row r="67">
          <cell r="A67">
            <v>44159</v>
          </cell>
          <cell r="B67">
            <v>1.1424000000000001</v>
          </cell>
        </row>
        <row r="68">
          <cell r="A68">
            <v>44160</v>
          </cell>
          <cell r="B68">
            <v>1.1403000000000001</v>
          </cell>
        </row>
        <row r="69">
          <cell r="A69">
            <v>44161</v>
          </cell>
          <cell r="B69">
            <v>1.1442000000000001</v>
          </cell>
        </row>
        <row r="70">
          <cell r="A70">
            <v>44162</v>
          </cell>
          <cell r="B70">
            <v>1.1494</v>
          </cell>
        </row>
        <row r="71">
          <cell r="A71">
            <v>44165</v>
          </cell>
          <cell r="B71">
            <v>1.1494</v>
          </cell>
        </row>
        <row r="72">
          <cell r="A72">
            <v>44166</v>
          </cell>
          <cell r="B72">
            <v>1.1497999999999999</v>
          </cell>
        </row>
        <row r="73">
          <cell r="A73">
            <v>44167</v>
          </cell>
          <cell r="B73">
            <v>1.1497999999999999</v>
          </cell>
        </row>
        <row r="74">
          <cell r="A74">
            <v>44168</v>
          </cell>
          <cell r="B74">
            <v>1.1512</v>
          </cell>
        </row>
        <row r="75">
          <cell r="A75">
            <v>44169</v>
          </cell>
          <cell r="B75">
            <v>1.1557999999999999</v>
          </cell>
        </row>
        <row r="76">
          <cell r="A76">
            <v>44172</v>
          </cell>
          <cell r="B76">
            <v>1.1580999999999999</v>
          </cell>
        </row>
        <row r="77">
          <cell r="A77">
            <v>44173</v>
          </cell>
          <cell r="B77">
            <v>1.1614</v>
          </cell>
        </row>
        <row r="78">
          <cell r="A78">
            <v>44174</v>
          </cell>
          <cell r="B78">
            <v>1.1575</v>
          </cell>
        </row>
        <row r="79">
          <cell r="A79">
            <v>44175</v>
          </cell>
          <cell r="B79">
            <v>1.159</v>
          </cell>
        </row>
        <row r="80">
          <cell r="A80">
            <v>44176</v>
          </cell>
          <cell r="B80">
            <v>1.1448</v>
          </cell>
        </row>
        <row r="81">
          <cell r="A81">
            <v>44179</v>
          </cell>
          <cell r="B81">
            <v>1.1568000000000001</v>
          </cell>
        </row>
        <row r="82">
          <cell r="A82">
            <v>44180</v>
          </cell>
          <cell r="B82">
            <v>1.159</v>
          </cell>
        </row>
        <row r="83">
          <cell r="A83">
            <v>44181</v>
          </cell>
          <cell r="B83">
            <v>1.1595</v>
          </cell>
        </row>
        <row r="84">
          <cell r="A84">
            <v>44182</v>
          </cell>
          <cell r="B84">
            <v>1.1659999999999999</v>
          </cell>
        </row>
        <row r="85">
          <cell r="A85">
            <v>44183</v>
          </cell>
          <cell r="B85">
            <v>1.167</v>
          </cell>
        </row>
        <row r="86">
          <cell r="A86">
            <v>44186</v>
          </cell>
          <cell r="B86">
            <v>1.1697</v>
          </cell>
        </row>
        <row r="87">
          <cell r="A87">
            <v>44187</v>
          </cell>
          <cell r="B87">
            <v>1.1635</v>
          </cell>
        </row>
        <row r="88">
          <cell r="A88">
            <v>44188</v>
          </cell>
          <cell r="B88">
            <v>1.1673</v>
          </cell>
        </row>
        <row r="89">
          <cell r="A89">
            <v>44189</v>
          </cell>
          <cell r="B89">
            <v>1.169</v>
          </cell>
        </row>
        <row r="90">
          <cell r="A90">
            <v>44190</v>
          </cell>
          <cell r="B90">
            <v>1.1731</v>
          </cell>
        </row>
        <row r="91">
          <cell r="A91">
            <v>44193</v>
          </cell>
          <cell r="B91">
            <v>1.1755</v>
          </cell>
        </row>
        <row r="92">
          <cell r="A92">
            <v>44194</v>
          </cell>
          <cell r="B92">
            <v>1.1736</v>
          </cell>
        </row>
        <row r="93">
          <cell r="A93">
            <v>44195</v>
          </cell>
          <cell r="B93">
            <v>1.1763999999999999</v>
          </cell>
        </row>
        <row r="94">
          <cell r="A94">
            <v>44196</v>
          </cell>
          <cell r="B94">
            <v>1.1778999999999999</v>
          </cell>
        </row>
        <row r="95">
          <cell r="A95">
            <v>0</v>
          </cell>
          <cell r="B95">
            <v>0</v>
          </cell>
        </row>
        <row r="96">
          <cell r="A96">
            <v>0</v>
          </cell>
          <cell r="B96">
            <v>0</v>
          </cell>
        </row>
        <row r="97">
          <cell r="A97">
            <v>0</v>
          </cell>
          <cell r="B97">
            <v>0</v>
          </cell>
        </row>
        <row r="98">
          <cell r="A98">
            <v>0</v>
          </cell>
          <cell r="B98">
            <v>0</v>
          </cell>
        </row>
        <row r="99">
          <cell r="A99">
            <v>0</v>
          </cell>
          <cell r="B99">
            <v>0</v>
          </cell>
        </row>
        <row r="100">
          <cell r="A100">
            <v>0</v>
          </cell>
          <cell r="B100">
            <v>0</v>
          </cell>
        </row>
        <row r="101">
          <cell r="A101">
            <v>0</v>
          </cell>
          <cell r="B101">
            <v>0</v>
          </cell>
        </row>
        <row r="102">
          <cell r="A102">
            <v>0</v>
          </cell>
          <cell r="B102">
            <v>0</v>
          </cell>
        </row>
        <row r="103">
          <cell r="A103">
            <v>0</v>
          </cell>
          <cell r="B103">
            <v>0</v>
          </cell>
        </row>
        <row r="104">
          <cell r="A104">
            <v>0</v>
          </cell>
          <cell r="B104">
            <v>0</v>
          </cell>
        </row>
        <row r="105">
          <cell r="A105">
            <v>0</v>
          </cell>
        </row>
        <row r="106">
          <cell r="A106">
            <v>0</v>
          </cell>
          <cell r="B106">
            <v>0</v>
          </cell>
        </row>
        <row r="107">
          <cell r="A107">
            <v>0</v>
          </cell>
          <cell r="B107">
            <v>0</v>
          </cell>
        </row>
        <row r="108">
          <cell r="A108">
            <v>0</v>
          </cell>
          <cell r="B108">
            <v>0</v>
          </cell>
        </row>
        <row r="109">
          <cell r="A109">
            <v>0</v>
          </cell>
          <cell r="B109">
            <v>0</v>
          </cell>
        </row>
        <row r="110">
          <cell r="A110">
            <v>0</v>
          </cell>
          <cell r="B110">
            <v>0</v>
          </cell>
        </row>
        <row r="111">
          <cell r="A111">
            <v>0</v>
          </cell>
          <cell r="B111">
            <v>0</v>
          </cell>
        </row>
        <row r="112">
          <cell r="A112">
            <v>0</v>
          </cell>
          <cell r="B112">
            <v>0</v>
          </cell>
        </row>
        <row r="113">
          <cell r="A113">
            <v>0</v>
          </cell>
          <cell r="B113">
            <v>0</v>
          </cell>
        </row>
        <row r="114">
          <cell r="A114">
            <v>0</v>
          </cell>
          <cell r="B114">
            <v>0</v>
          </cell>
        </row>
        <row r="115">
          <cell r="A115">
            <v>0</v>
          </cell>
          <cell r="B115">
            <v>0</v>
          </cell>
        </row>
        <row r="116">
          <cell r="A116">
            <v>0</v>
          </cell>
          <cell r="B116">
            <v>0</v>
          </cell>
        </row>
        <row r="117">
          <cell r="A117">
            <v>0</v>
          </cell>
          <cell r="B117">
            <v>0</v>
          </cell>
        </row>
        <row r="118">
          <cell r="A118">
            <v>0</v>
          </cell>
          <cell r="B118">
            <v>0</v>
          </cell>
        </row>
        <row r="119">
          <cell r="A119">
            <v>0</v>
          </cell>
          <cell r="B119">
            <v>0</v>
          </cell>
        </row>
        <row r="120">
          <cell r="A120">
            <v>0</v>
          </cell>
          <cell r="B120">
            <v>0</v>
          </cell>
        </row>
        <row r="121">
          <cell r="A121">
            <v>0</v>
          </cell>
          <cell r="B121">
            <v>0</v>
          </cell>
        </row>
        <row r="122">
          <cell r="A122">
            <v>0</v>
          </cell>
          <cell r="B122">
            <v>0</v>
          </cell>
        </row>
        <row r="123">
          <cell r="A123">
            <v>0</v>
          </cell>
          <cell r="B123">
            <v>0</v>
          </cell>
        </row>
        <row r="124">
          <cell r="A124">
            <v>0</v>
          </cell>
          <cell r="B124">
            <v>0</v>
          </cell>
        </row>
        <row r="125">
          <cell r="A125">
            <v>0</v>
          </cell>
          <cell r="B125">
            <v>0</v>
          </cell>
        </row>
        <row r="126">
          <cell r="A126">
            <v>0</v>
          </cell>
          <cell r="B126">
            <v>0</v>
          </cell>
        </row>
        <row r="127">
          <cell r="A127">
            <v>0</v>
          </cell>
          <cell r="B127">
            <v>0</v>
          </cell>
        </row>
        <row r="128">
          <cell r="A128">
            <v>0</v>
          </cell>
          <cell r="B128">
            <v>0</v>
          </cell>
        </row>
        <row r="129">
          <cell r="A129">
            <v>0</v>
          </cell>
          <cell r="B129">
            <v>0</v>
          </cell>
        </row>
      </sheetData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母基金基本情况汇总"/>
      <sheetName val="2FOF净值画线"/>
      <sheetName val="3风险收益指标"/>
      <sheetName val="4资产配置"/>
      <sheetName val="碳一号3期净值"/>
      <sheetName val="子基金申购以来涨跌幅"/>
      <sheetName val="周更新-碳一号3期"/>
      <sheetName val="周更新-中证500指数"/>
      <sheetName val="申购赎回列表"/>
      <sheetName val="爱凡哲六号"/>
      <sheetName val="垒盈二号"/>
      <sheetName val="华钧元鼎1期"/>
      <sheetName val="爱凡哲八号"/>
      <sheetName val="琅玡三号"/>
      <sheetName val="淘利慧眼组合1号"/>
      <sheetName val="麦迪生利悦动1号"/>
      <sheetName val="麦迪生利悦动2号 "/>
      <sheetName val="合绎塑造者三号"/>
      <sheetName val="集微投资2期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ables/table1.xml><?xml version="1.0" encoding="utf-8"?>
<table xmlns="http://schemas.openxmlformats.org/spreadsheetml/2006/main" id="3" name="表2_3671626293034" displayName="表2_3671626293034" ref="A20:G439" totalsRowShown="0" headerRowDxfId="359">
  <autoFilter ref="A20:G439"/>
  <tableColumns count="7">
    <tableColumn id="1" name="日期" dataDxfId="358"/>
    <tableColumn id="2" name="累计净值" dataDxfId="357"/>
    <tableColumn id="3" name="每日盈亏" dataDxfId="356">
      <calculatedColumnFormula>IFERROR(B21-B20,0)</calculatedColumnFormula>
    </tableColumn>
    <tableColumn id="4" name="下跌幅度" dataDxfId="355">
      <calculatedColumnFormula>IF(C21&lt;0,C21,"/")</calculatedColumnFormula>
    </tableColumn>
    <tableColumn id="5" name="最大回撤" dataDxfId="354">
      <calculatedColumnFormula>IF(表2_3671626293034[[#This Row],[累计净值]]/MAX(INDIRECT("B21:B" &amp; ROW()))-1&lt;E20,表2_3671626293034[[#This Row],[累计净值]]/MAX(INDIRECT("B21:B" &amp; ROW()))-1,E20)</calculatedColumnFormula>
    </tableColumn>
    <tableColumn id="6" name="单位净值" dataDxfId="353" dataCellStyle="常规 2">
      <calculatedColumnFormula>表2_3671626293034[[#This Row],[累计净值]]</calculatedColumnFormula>
    </tableColumn>
    <tableColumn id="7" name="持有涨跌幅" dataDxfId="352" dataCellStyle="常规 2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6" name="表2_3671626293034567" displayName="表2_3671626293034567" ref="A20:G436" totalsRowShown="0" headerRowDxfId="351">
  <autoFilter ref="A20:G436"/>
  <tableColumns count="7">
    <tableColumn id="1" name="日期" dataDxfId="350"/>
    <tableColumn id="2" name="累计净值" dataDxfId="349"/>
    <tableColumn id="3" name="每日盈亏" dataDxfId="348">
      <calculatedColumnFormula>IFERROR(B21-B20,0)</calculatedColumnFormula>
    </tableColumn>
    <tableColumn id="4" name="下跌幅度" dataDxfId="347">
      <calculatedColumnFormula>IF(C21&lt;0,C21,"/")</calculatedColumnFormula>
    </tableColumn>
    <tableColumn id="5" name="最大回撤" dataDxfId="346">
      <calculatedColumnFormula>IF(表2_3671626293034567[[#This Row],[累计净值]]/MAX(INDIRECT("B21:B" &amp; ROW()))-1&lt;E20,表2_3671626293034567[[#This Row],[累计净值]]/MAX(INDIRECT("B21:B" &amp; ROW()))-1,E20)</calculatedColumnFormula>
    </tableColumn>
    <tableColumn id="6" name="单位净值" dataDxfId="345" dataCellStyle="常规 2">
      <calculatedColumnFormula>表2_3671626293034567[[#This Row],[累计净值]]</calculatedColumnFormula>
    </tableColumn>
    <tableColumn id="7" name="持有涨跌幅" dataDxfId="344" dataCellStyle="常规 2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id="19" name="表2_36716262930381020" displayName="表2_36716262930381020" ref="A20:H390" totalsRowShown="0" headerRowDxfId="343">
  <autoFilter ref="A20:H390"/>
  <tableColumns count="8">
    <tableColumn id="1" name="日期" dataDxfId="342"/>
    <tableColumn id="2" name="累计净值" dataDxfId="341"/>
    <tableColumn id="3" name="每日盈亏" dataDxfId="340">
      <calculatedColumnFormula>IFERROR(B21-B20,0)</calculatedColumnFormula>
    </tableColumn>
    <tableColumn id="4" name="下跌幅度" dataDxfId="339">
      <calculatedColumnFormula>IF(C21&lt;0,C21,"/")</calculatedColumnFormula>
    </tableColumn>
    <tableColumn id="5" name="最大回撤" dataDxfId="338">
      <calculatedColumnFormula>IF(表2_36716262930381020[[#This Row],[累计净值]]/MAX(INDIRECT("B21:B" &amp; ROW()))-1&lt;E20,表2_36716262930381020[[#This Row],[累计净值]]/MAX(INDIRECT("B21:B" &amp; ROW()))-1,E20)</calculatedColumnFormula>
    </tableColumn>
    <tableColumn id="6" name="单位净值" dataDxfId="337" dataCellStyle="常规 2"/>
    <tableColumn id="7" name="持有涨跌幅" dataDxfId="336" dataCellStyle="常规 2"/>
    <tableColumn id="8" name="持有涨跌幅2" dataDxfId="335" dataCellStyle="常规 2">
      <calculatedColumnFormula>表2_36716262930381020[[#This Row],[累计净值]]/B20-1</calculatedColumnFormula>
    </tableColumn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id="11" name="表2_3671626293038912" displayName="表2_3671626293038912" ref="A20:G371" totalsRowShown="0" headerRowDxfId="334">
  <autoFilter ref="A20:G371"/>
  <tableColumns count="7">
    <tableColumn id="1" name="日期" dataDxfId="333"/>
    <tableColumn id="2" name="累计净值" dataDxfId="332"/>
    <tableColumn id="3" name="每日盈亏" dataDxfId="331">
      <calculatedColumnFormula>IFERROR(B21-B20,0)</calculatedColumnFormula>
    </tableColumn>
    <tableColumn id="4" name="下跌幅度" dataDxfId="330">
      <calculatedColumnFormula>IF(C21&lt;0,C21,"/")</calculatedColumnFormula>
    </tableColumn>
    <tableColumn id="5" name="最大回撤" dataDxfId="329">
      <calculatedColumnFormula>IF(表2_3671626293038912[[#This Row],[累计净值]]/MAX(INDIRECT("B21:B" &amp; ROW()))-1&lt;E20,表2_3671626293038912[[#This Row],[累计净值]]/MAX(INDIRECT("B21:B" &amp; ROW()))-1,E20)</calculatedColumnFormula>
    </tableColumn>
    <tableColumn id="6" name="单位净值" dataDxfId="328" dataCellStyle="常规 2">
      <calculatedColumnFormula>表2_3671626293038912[[#This Row],[累计净值]]</calculatedColumnFormula>
    </tableColumn>
    <tableColumn id="7" name="持有涨跌幅" dataDxfId="327" dataCellStyle="常规 2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id="15" name="表2_367162629303891213141516" displayName="表2_367162629303891213141516" ref="A20:G274" totalsRowShown="0" headerRowDxfId="326">
  <autoFilter ref="A20:G274"/>
  <tableColumns count="7">
    <tableColumn id="1" name="日期" dataDxfId="325"/>
    <tableColumn id="2" name="累计净值" dataDxfId="324"/>
    <tableColumn id="3" name="每日盈亏" dataDxfId="323">
      <calculatedColumnFormula>IFERROR(B21-B20,0)</calculatedColumnFormula>
    </tableColumn>
    <tableColumn id="4" name="下跌幅度" dataDxfId="322">
      <calculatedColumnFormula>IF(C21&lt;0,C21,"/")</calculatedColumnFormula>
    </tableColumn>
    <tableColumn id="5" name="最大回撤" dataDxfId="321">
      <calculatedColumnFormula>IF(表2_367162629303891213141516[[#This Row],[累计净值]]/MAX(INDIRECT("B21:B" &amp; ROW()))-1&lt;E20,表2_367162629303891213141516[[#This Row],[累计净值]]/MAX(INDIRECT("B21:B" &amp; ROW()))-1,E20)</calculatedColumnFormula>
    </tableColumn>
    <tableColumn id="6" name="单位净值" dataDxfId="320" dataCellStyle="常规 2">
      <calculatedColumnFormula>表2_367162629303891213141516[[#This Row],[累计净值]]</calculatedColumnFormula>
    </tableColumn>
    <tableColumn id="7" name="持有涨跌幅" dataDxfId="319" dataCellStyle="常规 2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id="16" name="表2_36716262930389121314151617" displayName="表2_36716262930389121314151617" ref="A20:G271" totalsRowShown="0" headerRowDxfId="318">
  <autoFilter ref="A20:G271"/>
  <tableColumns count="7">
    <tableColumn id="1" name="日期" dataDxfId="317"/>
    <tableColumn id="2" name="累计净值" dataDxfId="316"/>
    <tableColumn id="3" name="每日盈亏" dataDxfId="315">
      <calculatedColumnFormula>IFERROR(B21-B20,0)</calculatedColumnFormula>
    </tableColumn>
    <tableColumn id="4" name="下跌幅度" dataDxfId="314">
      <calculatedColumnFormula>IF(C21&lt;0,C21,"/")</calculatedColumnFormula>
    </tableColumn>
    <tableColumn id="5" name="最大回撤" dataDxfId="313">
      <calculatedColumnFormula>IF(表2_36716262930389121314151617[[#This Row],[累计净值]]/MAX(INDIRECT("B21:B" &amp; ROW()))-1&lt;E20,表2_36716262930389121314151617[[#This Row],[累计净值]]/MAX(INDIRECT("B21:B" &amp; ROW()))-1,E20)</calculatedColumnFormula>
    </tableColumn>
    <tableColumn id="6" name="单位净值" dataDxfId="312" dataCellStyle="常规 2">
      <calculatedColumnFormula>表2_36716262930389121314151617[[#This Row],[累计净值]]</calculatedColumnFormula>
    </tableColumn>
    <tableColumn id="7" name="持有涨跌幅" dataDxfId="311" dataCellStyle="常规 2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id="20" name="表2_367162629303421" displayName="表2_367162629303421" ref="A20:H391" totalsRowShown="0" headerRowDxfId="310">
  <autoFilter ref="A20:H391"/>
  <tableColumns count="8">
    <tableColumn id="1" name="日期" dataDxfId="309"/>
    <tableColumn id="2" name="累计净值" dataDxfId="308"/>
    <tableColumn id="3" name="每日盈亏" dataDxfId="307">
      <calculatedColumnFormula>IFERROR(B21-B20,0)</calculatedColumnFormula>
    </tableColumn>
    <tableColumn id="4" name="下跌幅度" dataDxfId="306">
      <calculatedColumnFormula>IF(C21&lt;0,C21,"/")</calculatedColumnFormula>
    </tableColumn>
    <tableColumn id="5" name="最大回撤" dataDxfId="305">
      <calculatedColumnFormula>IF(表2_367162629303421[[#This Row],[累计净值]]/MAX(INDIRECT("B21:B" &amp; ROW()))-1&lt;E20,表2_367162629303421[[#This Row],[累计净值]]/MAX(INDIRECT("B21:B" &amp; ROW()))-1,E20)</calculatedColumnFormula>
    </tableColumn>
    <tableColumn id="6" name="单位净值" dataDxfId="304" dataCellStyle="常规 2">
      <calculatedColumnFormula>表2_367162629303421[[#This Row],[累计净值]]</calculatedColumnFormula>
    </tableColumn>
    <tableColumn id="7" name="持有涨跌幅" dataDxfId="303" dataCellStyle="常规 2"/>
    <tableColumn id="8" name="持有涨跌幅2" dataCellStyle="常规 2 2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id="17" name="表2_367162629303891213141518" displayName="表2_367162629303891213141518" ref="A20:H263" totalsRowShown="0" headerRowDxfId="302">
  <autoFilter ref="A20:H263"/>
  <tableColumns count="8">
    <tableColumn id="1" name="日期" dataDxfId="301"/>
    <tableColumn id="2" name="累计净值" dataDxfId="300"/>
    <tableColumn id="3" name="每日盈亏" dataDxfId="299">
      <calculatedColumnFormula>IFERROR(B21-B20,0)</calculatedColumnFormula>
    </tableColumn>
    <tableColumn id="4" name="下跌幅度" dataDxfId="298">
      <calculatedColumnFormula>IF(C21&lt;0,C21,"/")</calculatedColumnFormula>
    </tableColumn>
    <tableColumn id="5" name="最大回撤" dataDxfId="297">
      <calculatedColumnFormula>IF(表2_367162629303891213141518[[#This Row],[累计净值]]/MAX(INDIRECT("B21:B" &amp; ROW()))-1&lt;E20,表2_367162629303891213141518[[#This Row],[累计净值]]/MAX(INDIRECT("B21:B" &amp; ROW()))-1,E20)</calculatedColumnFormula>
    </tableColumn>
    <tableColumn id="6" name="单位净值" dataDxfId="296" dataCellStyle="常规 2">
      <calculatedColumnFormula>表2_367162629303891213141518[[#This Row],[累计净值]]-0.12</calculatedColumnFormula>
    </tableColumn>
    <tableColumn id="7" name="持有涨跌幅" dataDxfId="295" dataCellStyle="常规 2"/>
    <tableColumn id="8" name="列1" dataCellStyle="常规 2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id="2" name="表2_36716262930389121314153" displayName="表2_36716262930389121314153" ref="A20:H324" totalsRowShown="0" headerRowDxfId="294">
  <autoFilter ref="A20:H324"/>
  <tableColumns count="8">
    <tableColumn id="1" name="日期" dataDxfId="293"/>
    <tableColumn id="2" name="累计净值" dataDxfId="292"/>
    <tableColumn id="3" name="每日盈亏" dataDxfId="291">
      <calculatedColumnFormula>IFERROR(B21-B20,0)</calculatedColumnFormula>
    </tableColumn>
    <tableColumn id="4" name="下跌幅度" dataDxfId="290">
      <calculatedColumnFormula>IF(C21&lt;0,C21,"/")</calculatedColumnFormula>
    </tableColumn>
    <tableColumn id="5" name="最大回撤" dataDxfId="289">
      <calculatedColumnFormula>IF(表2_36716262930389121314153[[#This Row],[累计净值]]/MAX(INDIRECT("B21:B" &amp; ROW()))-1&lt;E20,表2_36716262930389121314153[[#This Row],[累计净值]]/MAX(INDIRECT("B21:B" &amp; ROW()))-1,E20)</calculatedColumnFormula>
    </tableColumn>
    <tableColumn id="6" name="单位净值" dataDxfId="288" dataCellStyle="常规 2">
      <calculatedColumnFormula>表2_36716262930389121314153[[#This Row],[累计净值]]</calculatedColumnFormula>
    </tableColumn>
    <tableColumn id="7" name="持有涨跌幅" dataDxfId="287" dataCellStyle="常规 2"/>
    <tableColumn id="8" name="持有涨跌幅2" dataCellStyle="常规 2 2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id="13" name="表2_36716262930389121314" displayName="表2_36716262930389121314" ref="A20:H340" totalsRowShown="0" headerRowDxfId="286">
  <autoFilter ref="A20:H340"/>
  <tableColumns count="8">
    <tableColumn id="1" name="日期" dataDxfId="285"/>
    <tableColumn id="2" name="累计净值" dataDxfId="284"/>
    <tableColumn id="3" name="每日盈亏" dataDxfId="283">
      <calculatedColumnFormula>IFERROR(B21-B20,0)</calculatedColumnFormula>
    </tableColumn>
    <tableColumn id="4" name="下跌幅度" dataDxfId="282">
      <calculatedColumnFormula>IF(C21&lt;0,C21,"/")</calculatedColumnFormula>
    </tableColumn>
    <tableColumn id="5" name="最大回撤" dataDxfId="281">
      <calculatedColumnFormula>IF(表2_36716262930389121314[[#This Row],[累计净值]]/MAX(INDIRECT("B21:B" &amp; ROW()))-1&lt;E20,表2_36716262930389121314[[#This Row],[累计净值]]/MAX(INDIRECT("B21:B" &amp; ROW()))-1,E20)</calculatedColumnFormula>
    </tableColumn>
    <tableColumn id="6" name="单位净值" dataDxfId="280" dataCellStyle="常规 2">
      <calculatedColumnFormula>表2_36716262930389121314[[#This Row],[累计净值]]</calculatedColumnFormula>
    </tableColumn>
    <tableColumn id="7" name="持有涨跌幅" dataDxfId="279" dataCellStyle="常规 2"/>
    <tableColumn id="8" name="持有涨跌幅2" dataCellStyle="常规 2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id="22" name="表2_367162629303891213141523" displayName="表2_367162629303891213141523" ref="A20:G224" totalsRowShown="0" headerRowDxfId="278">
  <autoFilter ref="A20:G224"/>
  <tableColumns count="7">
    <tableColumn id="1" name="日期" dataDxfId="277"/>
    <tableColumn id="2" name="累计净值" dataDxfId="276"/>
    <tableColumn id="3" name="每日盈亏" dataDxfId="275">
      <calculatedColumnFormula>IFERROR(B21-B20,0)</calculatedColumnFormula>
    </tableColumn>
    <tableColumn id="4" name="下跌幅度" dataDxfId="274">
      <calculatedColumnFormula>IF(C21&lt;0,C21,"/")</calculatedColumnFormula>
    </tableColumn>
    <tableColumn id="5" name="最大回撤" dataDxfId="273">
      <calculatedColumnFormula>IF(表2_367162629303891213141523[[#This Row],[累计净值]]/MAX(INDIRECT("B21:B" &amp; ROW()))-1&lt;E20,表2_367162629303891213141523[[#This Row],[累计净值]]/MAX(INDIRECT("B21:B" &amp; ROW()))-1,E20)</calculatedColumnFormula>
    </tableColumn>
    <tableColumn id="6" name="单位净值" dataDxfId="272" dataCellStyle="常规 2">
      <calculatedColumnFormula>表2_367162629303891213141523[[#This Row],[累计净值]]</calculatedColumnFormula>
    </tableColumn>
    <tableColumn id="7" name="持有涨跌幅" dataDxfId="271" dataCellStyle="常规 2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id="23" name="表2_36716262930389121314152324" displayName="表2_36716262930389121314152324" ref="A20:G224" totalsRowShown="0" headerRowDxfId="270">
  <autoFilter ref="A20:G224"/>
  <tableColumns count="7">
    <tableColumn id="1" name="日期" dataDxfId="269"/>
    <tableColumn id="2" name="累计净值" dataDxfId="268"/>
    <tableColumn id="3" name="每日盈亏" dataDxfId="267">
      <calculatedColumnFormula>IFERROR(B21-B20,0)</calculatedColumnFormula>
    </tableColumn>
    <tableColumn id="4" name="下跌幅度" dataDxfId="266">
      <calculatedColumnFormula>IF(C21&lt;0,C21,"/")</calculatedColumnFormula>
    </tableColumn>
    <tableColumn id="5" name="最大回撤" dataDxfId="265">
      <calculatedColumnFormula>IF(表2_36716262930389121314152324[[#This Row],[累计净值]]/MAX(INDIRECT("B21:B" &amp; ROW()))-1&lt;E20,表2_36716262930389121314152324[[#This Row],[累计净值]]/MAX(INDIRECT("B21:B" &amp; ROW()))-1,E20)</calculatedColumnFormula>
    </tableColumn>
    <tableColumn id="6" name="单位净值" dataDxfId="264" dataCellStyle="常规 2">
      <calculatedColumnFormula>表2_36716262930389121314152324[[#This Row],[累计净值]]</calculatedColumnFormula>
    </tableColumn>
    <tableColumn id="7" name="持有涨跌幅" dataDxfId="263" dataCellStyle="常规 2"/>
  </tableColumns>
  <tableStyleInfo name="TableStyleLight8" showFirstColumn="0" showLastColumn="0" showRowStripes="1" showColumnStripes="0"/>
</table>
</file>

<file path=xl/tables/table13.xml><?xml version="1.0" encoding="utf-8"?>
<table xmlns="http://schemas.openxmlformats.org/spreadsheetml/2006/main" id="24" name="表2_3671626293038912131415232425" displayName="表2_3671626293038912131415232425" ref="A20:G221" totalsRowShown="0" headerRowDxfId="262">
  <autoFilter ref="A20:G221"/>
  <tableColumns count="7">
    <tableColumn id="1" name="日期" dataDxfId="261"/>
    <tableColumn id="2" name="累计净值" dataDxfId="260"/>
    <tableColumn id="3" name="每日盈亏" dataDxfId="259">
      <calculatedColumnFormula>IFERROR(B21-B20,0)</calculatedColumnFormula>
    </tableColumn>
    <tableColumn id="4" name="下跌幅度" dataDxfId="258">
      <calculatedColumnFormula>IF(C21&lt;0,C21,"/")</calculatedColumnFormula>
    </tableColumn>
    <tableColumn id="5" name="最大回撤" dataDxfId="257">
      <calculatedColumnFormula>IF(表2_3671626293038912131415232425[[#This Row],[累计净值]]/MAX(INDIRECT("B21:B" &amp; ROW()))-1&lt;E20,表2_3671626293038912131415232425[[#This Row],[累计净值]]/MAX(INDIRECT("B21:B" &amp; ROW()))-1,E20)</calculatedColumnFormula>
    </tableColumn>
    <tableColumn id="6" name="单位净值" dataDxfId="256" dataCellStyle="常规 2">
      <calculatedColumnFormula>表2_3671626293038912131415232425[[#This Row],[累计净值]]-0.21</calculatedColumnFormula>
    </tableColumn>
    <tableColumn id="7" name="持有涨跌幅" dataDxfId="255" dataCellStyle="常规 2"/>
  </tableColumns>
  <tableStyleInfo name="TableStyleLight8" showFirstColumn="0" showLastColumn="0" showRowStripes="1" showColumnStripes="0"/>
</table>
</file>

<file path=xl/tables/table14.xml><?xml version="1.0" encoding="utf-8"?>
<table xmlns="http://schemas.openxmlformats.org/spreadsheetml/2006/main" id="25" name="表2_367162629303891213141523242526" displayName="表2_367162629303891213141523242526" ref="A20:G220" totalsRowShown="0" headerRowDxfId="254">
  <autoFilter ref="A20:G220"/>
  <tableColumns count="7">
    <tableColumn id="1" name="日期" dataDxfId="253"/>
    <tableColumn id="2" name="累计净值" dataDxfId="252"/>
    <tableColumn id="3" name="每日盈亏" dataDxfId="251">
      <calculatedColumnFormula>IFERROR(B21-B20,0)</calculatedColumnFormula>
    </tableColumn>
    <tableColumn id="4" name="下跌幅度" dataDxfId="250">
      <calculatedColumnFormula>IF(C21&lt;0,C21,"/")</calculatedColumnFormula>
    </tableColumn>
    <tableColumn id="5" name="最大回撤" dataDxfId="249">
      <calculatedColumnFormula>IF(表2_367162629303891213141523242526[[#This Row],[累计净值]]/MAX(INDIRECT("B21:B" &amp; ROW()))-1&lt;E20,表2_367162629303891213141523242526[[#This Row],[累计净值]]/MAX(INDIRECT("B21:B" &amp; ROW()))-1,E20)</calculatedColumnFormula>
    </tableColumn>
    <tableColumn id="6" name="单位净值" dataDxfId="248" dataCellStyle="常规 2">
      <calculatedColumnFormula>表2_367162629303891213141523242526[[#This Row],[累计净值]]</calculatedColumnFormula>
    </tableColumn>
    <tableColumn id="7" name="持有涨跌幅" dataDxfId="247" dataCellStyle="常规 2"/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id="28" name="表2_367162629303891213141523242526272829" displayName="表2_367162629303891213141523242526272829" ref="A20:G190" totalsRowShown="0" headerRowDxfId="246">
  <autoFilter ref="A20:G190"/>
  <tableColumns count="7">
    <tableColumn id="1" name="日期" dataDxfId="245"/>
    <tableColumn id="2" name="累计净值" dataDxfId="244"/>
    <tableColumn id="3" name="每日盈亏" dataDxfId="243">
      <calculatedColumnFormula>IFERROR(B21-B20,0)</calculatedColumnFormula>
    </tableColumn>
    <tableColumn id="4" name="下跌幅度" dataDxfId="242">
      <calculatedColumnFormula>IF(C21&lt;0,C21,"/")</calculatedColumnFormula>
    </tableColumn>
    <tableColumn id="5" name="最大回撤" dataDxfId="241">
      <calculatedColumnFormula>IF(表2_367162629303891213141523242526272829[[#This Row],[累计净值]]/MAX(INDIRECT("B21:B" &amp; ROW()))-1&lt;E20,表2_367162629303891213141523242526272829[[#This Row],[累计净值]]/MAX(INDIRECT("B21:B" &amp; ROW()))-1,E20)</calculatedColumnFormula>
    </tableColumn>
    <tableColumn id="6" name="单位净值" dataDxfId="240" dataCellStyle="常规 2">
      <calculatedColumnFormula>表2_367162629303891213141523242526272829[[#This Row],[累计净值]]</calculatedColumnFormula>
    </tableColumn>
    <tableColumn id="7" name="持有涨跌幅" dataDxfId="239" dataCellStyle="常规 2"/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id="35" name="表2_3671626293038912131415232425262728313236" displayName="表2_3671626293038912131415232425262728313236" ref="A20:G125" totalsRowShown="0" headerRowDxfId="238">
  <autoFilter ref="A20:G125"/>
  <tableColumns count="7">
    <tableColumn id="1" name="日期" dataDxfId="237"/>
    <tableColumn id="2" name="累计净值" dataDxfId="236"/>
    <tableColumn id="3" name="每日盈亏" dataDxfId="235">
      <calculatedColumnFormula>IFERROR(#REF!-B20,0)</calculatedColumnFormula>
    </tableColumn>
    <tableColumn id="4" name="下跌幅度" dataDxfId="234">
      <calculatedColumnFormula>IF(C21&lt;0,C21,"/")</calculatedColumnFormula>
    </tableColumn>
    <tableColumn id="5" name="最大回撤" dataDxfId="233">
      <calculatedColumnFormula>IF(表2_3671626293038912131415232425262728313236[[#This Row],[累计净值]]/MAX(INDIRECT("B21:B" &amp; ROW()))-1&lt;E20,表2_3671626293038912131415232425262728313236[[#This Row],[累计净值]]/MAX(INDIRECT("B21:B" &amp; ROW()))-1,E20)</calculatedColumnFormula>
    </tableColumn>
    <tableColumn id="6" name="单位净值" dataDxfId="232" dataCellStyle="常规 2">
      <calculatedColumnFormula>表2_3671626293038912131415232425262728313236[[#This Row],[累计净值]]</calculatedColumnFormula>
    </tableColumn>
    <tableColumn id="7" name="持有涨跌幅" dataDxfId="231" dataCellStyle="常规 2"/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id="36" name="表2_367162629303891213141523242526272831323637" displayName="表2_367162629303891213141523242526272831323637" ref="A20:G126" totalsRowShown="0" headerRowDxfId="230">
  <autoFilter ref="A20:G126"/>
  <tableColumns count="7">
    <tableColumn id="1" name="日期" dataDxfId="229"/>
    <tableColumn id="2" name="累计净值" dataDxfId="228"/>
    <tableColumn id="3" name="每日盈亏" dataDxfId="227">
      <calculatedColumnFormula>IFERROR(B21-B20,0)</calculatedColumnFormula>
    </tableColumn>
    <tableColumn id="4" name="下跌幅度" dataDxfId="226">
      <calculatedColumnFormula>IF(C21&lt;0,C21,"/")</calculatedColumnFormula>
    </tableColumn>
    <tableColumn id="5" name="最大回撤" dataDxfId="225">
      <calculatedColumnFormula>IF(表2_367162629303891213141523242526272831323637[[#This Row],[累计净值]]/MAX(INDIRECT("B21:B" &amp; ROW()))-1&lt;E20,表2_367162629303891213141523242526272831323637[[#This Row],[累计净值]]/MAX(INDIRECT("B21:B" &amp; ROW()))-1,E20)</calculatedColumnFormula>
    </tableColumn>
    <tableColumn id="6" name="单位净值" dataDxfId="224" dataCellStyle="常规 2">
      <calculatedColumnFormula>表2_367162629303891213141523242526272831323637[[#This Row],[累计净值]]</calculatedColumnFormula>
    </tableColumn>
    <tableColumn id="7" name="持有涨跌幅" dataDxfId="223" dataCellStyle="常规 2"/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id="26" name="表2_36716262930389121314152324252627" displayName="表2_36716262930389121314152324252627" ref="A20:G207" totalsRowShown="0" headerRowDxfId="222">
  <autoFilter ref="A20:G207"/>
  <tableColumns count="7">
    <tableColumn id="1" name="日期" dataDxfId="221"/>
    <tableColumn id="2" name="累计净值" dataDxfId="220"/>
    <tableColumn id="3" name="每日盈亏" dataDxfId="219">
      <calculatedColumnFormula>IFERROR(B21-B20,0)</calculatedColumnFormula>
    </tableColumn>
    <tableColumn id="4" name="下跌幅度" dataDxfId="218">
      <calculatedColumnFormula>IF(C21&lt;0,C21,"/")</calculatedColumnFormula>
    </tableColumn>
    <tableColumn id="5" name="最大回撤" dataDxfId="217">
      <calculatedColumnFormula>IF(表2_36716262930389121314152324252627[[#This Row],[累计净值]]/MAX(INDIRECT("B21:B" &amp; ROW()))-1&lt;E20,表2_36716262930389121314152324252627[[#This Row],[累计净值]]/MAX(INDIRECT("B21:B" &amp; ROW()))-1,E20)</calculatedColumnFormula>
    </tableColumn>
    <tableColumn id="6" name="单位净值" dataDxfId="216" dataCellStyle="常规 2">
      <calculatedColumnFormula>表2_36716262930389121314152324252627[[#This Row],[累计净值]]</calculatedColumnFormula>
    </tableColumn>
    <tableColumn id="7" name="持有涨跌幅" dataDxfId="215" dataCellStyle="常规 2"/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id="29" name="表2_36716262930389121314152324252627282930" displayName="表2_36716262930389121314152324252627282930" ref="A20:G189" totalsRowShown="0" headerRowDxfId="214">
  <autoFilter ref="A20:G189"/>
  <tableColumns count="7">
    <tableColumn id="1" name="日期" dataDxfId="213"/>
    <tableColumn id="2" name="累计净值" dataDxfId="212"/>
    <tableColumn id="3" name="每日盈亏" dataDxfId="211">
      <calculatedColumnFormula>IFERROR(B21-B20,0)</calculatedColumnFormula>
    </tableColumn>
    <tableColumn id="4" name="下跌幅度" dataDxfId="210">
      <calculatedColumnFormula>IF(C21&lt;0,C21,"/")</calculatedColumnFormula>
    </tableColumn>
    <tableColumn id="5" name="最大回撤" dataDxfId="209">
      <calculatedColumnFormula>IF(表2_36716262930389121314152324252627282930[[#This Row],[累计净值]]/MAX(INDIRECT("B21:B" &amp; ROW()))-1&lt;E20,表2_36716262930389121314152324252627282930[[#This Row],[累计净值]]/MAX(INDIRECT("B21:B" &amp; ROW()))-1,E20)</calculatedColumnFormula>
    </tableColumn>
    <tableColumn id="6" name="单位净值" dataDxfId="208" dataCellStyle="常规 2">
      <calculatedColumnFormula>表2_36716262930389121314152324252627282930[[#This Row],[累计净值]]</calculatedColumnFormula>
    </tableColumn>
    <tableColumn id="7" name="持有涨跌幅" dataDxfId="207" dataCellStyle="常规 2"/>
  </tableColumns>
  <tableStyleInfo name="TableStyleLight8" showFirstColumn="0" showLastColumn="0" showRowStripes="1" showColumnStripes="0"/>
</table>
</file>

<file path=xl/tables/table20.xml><?xml version="1.0" encoding="utf-8"?>
<table xmlns="http://schemas.openxmlformats.org/spreadsheetml/2006/main" id="31" name="表2_36716262930389121314152324252627283132" displayName="表2_36716262930389121314152324252627283132" ref="A20:G140" totalsRowShown="0" headerRowDxfId="206">
  <autoFilter ref="A20:G140"/>
  <tableColumns count="7">
    <tableColumn id="1" name="日期" dataDxfId="205"/>
    <tableColumn id="2" name="累计净值" dataDxfId="204"/>
    <tableColumn id="3" name="每日盈亏" dataDxfId="203">
      <calculatedColumnFormula>IFERROR(B21-B20,0)</calculatedColumnFormula>
    </tableColumn>
    <tableColumn id="4" name="下跌幅度" dataDxfId="202">
      <calculatedColumnFormula>IF(C21&lt;0,C21,"/")</calculatedColumnFormula>
    </tableColumn>
    <tableColumn id="5" name="最大回撤" dataDxfId="201">
      <calculatedColumnFormula>IF(表2_36716262930389121314152324252627283132[[#This Row],[累计净值]]/MAX(INDIRECT("B21:B" &amp; ROW()))-1&lt;E20,表2_36716262930389121314152324252627283132[[#This Row],[累计净值]]/MAX(INDIRECT("B21:B" &amp; ROW()))-1,E20)</calculatedColumnFormula>
    </tableColumn>
    <tableColumn id="6" name="单位净值" dataDxfId="200" dataCellStyle="常规 2">
      <calculatedColumnFormula>表2_36716262930389121314152324252627283132[[#This Row],[累计净值]]</calculatedColumnFormula>
    </tableColumn>
    <tableColumn id="7" name="持有涨跌幅" dataDxfId="199" dataCellStyle="常规 2"/>
  </tableColumns>
  <tableStyleInfo name="TableStyleLight8" showFirstColumn="0" showLastColumn="0" showRowStripes="1" showColumnStripes="0"/>
</table>
</file>

<file path=xl/tables/table21.xml><?xml version="1.0" encoding="utf-8"?>
<table xmlns="http://schemas.openxmlformats.org/spreadsheetml/2006/main" id="34" name="表2_367162629303891213141523242526272835" displayName="表2_367162629303891213141523242526272835" ref="A20:G200" totalsRowShown="0" headerRowDxfId="198">
  <autoFilter ref="A20:G200"/>
  <tableColumns count="7">
    <tableColumn id="1" name="日期" dataDxfId="197"/>
    <tableColumn id="2" name="累计净值" dataDxfId="196"/>
    <tableColumn id="3" name="每日盈亏" dataDxfId="195">
      <calculatedColumnFormula>IFERROR(B21-B20,0)</calculatedColumnFormula>
    </tableColumn>
    <tableColumn id="4" name="下跌幅度" dataDxfId="194">
      <calculatedColumnFormula>IF(C21&lt;0,C21,"/")</calculatedColumnFormula>
    </tableColumn>
    <tableColumn id="5" name="最大回撤" dataDxfId="193">
      <calculatedColumnFormula>IF(表2_367162629303891213141523242526272835[[#This Row],[累计净值]]/MAX(INDIRECT("B21:B" &amp; ROW()))-1&lt;E20,表2_367162629303891213141523242526272835[[#This Row],[累计净值]]/MAX(INDIRECT("B21:B" &amp; ROW()))-1,E20)</calculatedColumnFormula>
    </tableColumn>
    <tableColumn id="6" name="单位净值" dataDxfId="192" dataCellStyle="常规 2">
      <calculatedColumnFormula>表2_367162629303891213141523242526272835[[#This Row],[累计净值]]</calculatedColumnFormula>
    </tableColumn>
    <tableColumn id="7" name="持有涨跌幅" dataDxfId="191" dataCellStyle="常规 2"/>
  </tableColumns>
  <tableStyleInfo name="TableStyleLight8" showFirstColumn="0" showLastColumn="0" showRowStripes="1" showColumnStripes="0"/>
</table>
</file>

<file path=xl/tables/table22.xml><?xml version="1.0" encoding="utf-8"?>
<table xmlns="http://schemas.openxmlformats.org/spreadsheetml/2006/main" id="30" name="表2_367162629303891213141523242526272831" displayName="表2_367162629303891213141523242526272831" ref="A20:G140" totalsRowShown="0" headerRowDxfId="190">
  <autoFilter ref="A20:G140"/>
  <tableColumns count="7">
    <tableColumn id="1" name="日期" dataDxfId="189"/>
    <tableColumn id="2" name="累计净值" dataDxfId="188"/>
    <tableColumn id="3" name="每日盈亏" dataDxfId="187">
      <calculatedColumnFormula>IFERROR(B21-B20,0)</calculatedColumnFormula>
    </tableColumn>
    <tableColumn id="4" name="下跌幅度" dataDxfId="186">
      <calculatedColumnFormula>IF(C21&lt;0,C21,"/")</calculatedColumnFormula>
    </tableColumn>
    <tableColumn id="5" name="最大回撤" dataDxfId="185">
      <calculatedColumnFormula>IF(表2_367162629303891213141523242526272831[[#This Row],[累计净值]]/MAX(INDIRECT("B21:B" &amp; ROW()))-1&lt;E20,表2_367162629303891213141523242526272831[[#This Row],[累计净值]]/MAX(INDIRECT("B21:B" &amp; ROW()))-1,E20)</calculatedColumnFormula>
    </tableColumn>
    <tableColumn id="6" name="单位净值" dataDxfId="184" dataCellStyle="常规 2">
      <calculatedColumnFormula>表2_367162629303891213141523242526272831[[#This Row],[累计净值]]-0.0738</calculatedColumnFormula>
    </tableColumn>
    <tableColumn id="7" name="持有涨跌幅" dataDxfId="183" dataCellStyle="常规 2"/>
  </tableColumns>
  <tableStyleInfo name="TableStyleLight8" showFirstColumn="0" showLastColumn="0" showRowStripes="1" showColumnStripes="0"/>
</table>
</file>

<file path=xl/tables/table23.xml><?xml version="1.0" encoding="utf-8"?>
<table xmlns="http://schemas.openxmlformats.org/spreadsheetml/2006/main" id="37" name="表2_367162629303891213141523242526272838" displayName="表2_367162629303891213141523242526272838" ref="A20:G81" totalsRowShown="0" headerRowDxfId="182">
  <autoFilter ref="A20:G81"/>
  <tableColumns count="7">
    <tableColumn id="1" name="日期" dataDxfId="181"/>
    <tableColumn id="2" name="累计净值" dataDxfId="180"/>
    <tableColumn id="3" name="每日盈亏" dataDxfId="179">
      <calculatedColumnFormula>IFERROR(B21-B20,0)</calculatedColumnFormula>
    </tableColumn>
    <tableColumn id="4" name="下跌幅度" dataDxfId="178">
      <calculatedColumnFormula>IF(C21&lt;0,C21,"/")</calculatedColumnFormula>
    </tableColumn>
    <tableColumn id="5" name="最大回撤" dataDxfId="177">
      <calculatedColumnFormula>IF(表2_367162629303891213141523242526272835[[#This Row],[累计净值]]/MAX(INDIRECT("B21:B" &amp; ROW()))-1&lt;E20,表2_367162629303891213141523242526272835[[#This Row],[累计净值]]/MAX(INDIRECT("B21:B" &amp; ROW()))-1,E20)</calculatedColumnFormula>
    </tableColumn>
    <tableColumn id="6" name="单位净值" dataDxfId="176" dataCellStyle="常规 2">
      <calculatedColumnFormula>表2_367162629303891213141523242526272838[[#This Row],[累计净值]]</calculatedColumnFormula>
    </tableColumn>
    <tableColumn id="7" name="持有涨跌幅" dataDxfId="175" dataCellStyle="常规 2"/>
  </tableColumns>
  <tableStyleInfo name="TableStyleLight8" showFirstColumn="0" showLastColumn="0" showRowStripes="1" showColumnStripes="0"/>
</table>
</file>

<file path=xl/tables/table24.xml><?xml version="1.0" encoding="utf-8"?>
<table xmlns="http://schemas.openxmlformats.org/spreadsheetml/2006/main" id="39" name="表2_36716262930389121314151831323334" displayName="表2_36716262930389121314151831323334" ref="A20:G76" totalsRowShown="0" headerRowDxfId="174">
  <autoFilter ref="A20:G76"/>
  <tableColumns count="7">
    <tableColumn id="1" name="日期" dataDxfId="173"/>
    <tableColumn id="2" name="累计净值" dataDxfId="172"/>
    <tableColumn id="3" name="每日盈亏" dataDxfId="171">
      <calculatedColumnFormula>IFERROR(B21-B20,0)</calculatedColumnFormula>
    </tableColumn>
    <tableColumn id="4" name="下跌幅度" dataDxfId="170">
      <calculatedColumnFormula>IF(C21&lt;0,C21,"/")</calculatedColumnFormula>
    </tableColumn>
    <tableColumn id="5" name="最大回撤" dataDxfId="169">
      <calculatedColumnFormula>IF(表2_36716262930389121314151831323334[[#This Row],[累计净值]]/MAX(INDIRECT("B21:B" &amp; ROW()))-1&lt;E20,表2_36716262930389121314151831323334[[#This Row],[累计净值]]/MAX(INDIRECT("B21:B" &amp; ROW()))-1,E20)</calculatedColumnFormula>
    </tableColumn>
    <tableColumn id="6" name="单位净值" dataDxfId="168" dataCellStyle="常规 2">
      <calculatedColumnFormula>表2_36716262930389121314151831323334[[#This Row],[累计净值]]</calculatedColumnFormula>
    </tableColumn>
    <tableColumn id="7" name="持有涨跌幅" dataDxfId="167" dataCellStyle="常规 2"/>
  </tableColumns>
  <tableStyleInfo name="TableStyleLight8" showFirstColumn="0" showLastColumn="0" showRowStripes="1" showColumnStripes="0"/>
</table>
</file>

<file path=xl/tables/table25.xml><?xml version="1.0" encoding="utf-8"?>
<table xmlns="http://schemas.openxmlformats.org/spreadsheetml/2006/main" id="38" name="表2_36716262930389121314152324252627283839" displayName="表2_36716262930389121314152324252627283839" ref="A20:G77" totalsRowShown="0" headerRowDxfId="166">
  <autoFilter ref="A20:G77"/>
  <tableColumns count="7">
    <tableColumn id="1" name="日期" dataDxfId="165"/>
    <tableColumn id="2" name="累计净值" dataDxfId="164"/>
    <tableColumn id="3" name="每日盈亏" dataDxfId="163">
      <calculatedColumnFormula>IFERROR(B21-B20,0)</calculatedColumnFormula>
    </tableColumn>
    <tableColumn id="4" name="下跌幅度" dataDxfId="162">
      <calculatedColumnFormula>IF(C21&lt;0,C21,"/")</calculatedColumnFormula>
    </tableColumn>
    <tableColumn id="5" name="最大回撤" dataDxfId="161">
      <calculatedColumnFormula>IF(表2_367162629303891213141523242526272835[[#This Row],[累计净值]]/MAX(INDIRECT("B21:B" &amp; ROW()))-1&lt;E20,表2_367162629303891213141523242526272835[[#This Row],[累计净值]]/MAX(INDIRECT("B21:B" &amp; ROW()))-1,E20)</calculatedColumnFormula>
    </tableColumn>
    <tableColumn id="6" name="单位净值" dataDxfId="160" dataCellStyle="常规 2">
      <calculatedColumnFormula>表2_36716262930389121314152324252627283839[[#This Row],[累计净值]]</calculatedColumnFormula>
    </tableColumn>
    <tableColumn id="7" name="持有涨跌幅" dataDxfId="159" dataCellStyle="常规 2"/>
  </tableColumns>
  <tableStyleInfo name="TableStyleLight8" showFirstColumn="0" showLastColumn="0" showRowStripes="1" showColumnStripes="0"/>
</table>
</file>

<file path=xl/tables/table26.xml><?xml version="1.0" encoding="utf-8"?>
<table xmlns="http://schemas.openxmlformats.org/spreadsheetml/2006/main" id="40" name="表2_3671626293038912131415232425262728383941" displayName="表2_3671626293038912131415232425262728383941" ref="A20:G50" totalsRowShown="0" headerRowDxfId="158">
  <autoFilter ref="A20:G50"/>
  <tableColumns count="7">
    <tableColumn id="1" name="日期" dataDxfId="157"/>
    <tableColumn id="2" name="累计净值" dataDxfId="156"/>
    <tableColumn id="3" name="每日盈亏" dataDxfId="155">
      <calculatedColumnFormula>IFERROR(B21-B20,0)</calculatedColumnFormula>
    </tableColumn>
    <tableColumn id="4" name="下跌幅度" dataDxfId="154">
      <calculatedColumnFormula>IF(C21&lt;0,C21,"/")</calculatedColumnFormula>
    </tableColumn>
    <tableColumn id="5" name="最大回撤" dataDxfId="153">
      <calculatedColumnFormula>IF(表2_367162629303891213141523242526272835[[#This Row],[累计净值]]/MAX(INDIRECT("B21:B" &amp; ROW()))-1&lt;E20,表2_367162629303891213141523242526272835[[#This Row],[累计净值]]/MAX(INDIRECT("B21:B" &amp; ROW()))-1,E20)</calculatedColumnFormula>
    </tableColumn>
    <tableColumn id="6" name="单位净值" dataDxfId="152" dataCellStyle="常规 2">
      <calculatedColumnFormula>表2_3671626293038912131415232425262728383941[[#This Row],[累计净值]]</calculatedColumnFormula>
    </tableColumn>
    <tableColumn id="7" name="持有涨跌幅" dataDxfId="151" dataCellStyle="常规 2"/>
  </tableColumns>
  <tableStyleInfo name="TableStyleLight8" showFirstColumn="0" showLastColumn="0" showRowStripes="1" showColumnStripes="0"/>
</table>
</file>

<file path=xl/tables/table27.xml><?xml version="1.0" encoding="utf-8"?>
<table xmlns="http://schemas.openxmlformats.org/spreadsheetml/2006/main" id="45" name="表2_3671626293038912131415232425262728383941434446" displayName="表2_3671626293038912131415232425262728383941434446" ref="A20:G34" totalsRowShown="0" headerRowDxfId="150">
  <autoFilter ref="A20:G34"/>
  <tableColumns count="7">
    <tableColumn id="1" name="日期" dataDxfId="149"/>
    <tableColumn id="2" name="累计净值" dataDxfId="148"/>
    <tableColumn id="3" name="每日盈亏" dataDxfId="147">
      <calculatedColumnFormula>IFERROR(B21-B20,0)</calculatedColumnFormula>
    </tableColumn>
    <tableColumn id="4" name="下跌幅度" dataDxfId="146">
      <calculatedColumnFormula>IF(C21&lt;0,C21,"/")</calculatedColumnFormula>
    </tableColumn>
    <tableColumn id="5" name="最大回撤" dataDxfId="145">
      <calculatedColumnFormula>IF(表2_367162629303891213141523242526272835[[#This Row],[累计净值]]/MAX(INDIRECT("B21:B" &amp; ROW()))-1&lt;E20,表2_367162629303891213141523242526272835[[#This Row],[累计净值]]/MAX(INDIRECT("B21:B" &amp; ROW()))-1,E20)</calculatedColumnFormula>
    </tableColumn>
    <tableColumn id="6" name="单位净值" dataDxfId="144" dataCellStyle="常规 2">
      <calculatedColumnFormula>表2_3671626293038912131415232425262728383941434446[[#This Row],[累计净值]]</calculatedColumnFormula>
    </tableColumn>
    <tableColumn id="7" name="持有涨跌幅" dataDxfId="143" dataCellStyle="常规 2"/>
  </tableColumns>
  <tableStyleInfo name="TableStyleLight8" showFirstColumn="0" showLastColumn="0" showRowStripes="1" showColumnStripes="0"/>
</table>
</file>

<file path=xl/tables/table28.xml><?xml version="1.0" encoding="utf-8"?>
<table xmlns="http://schemas.openxmlformats.org/spreadsheetml/2006/main" id="47" name="表2_36716262930389121314152324252627283839414344454748" displayName="表2_36716262930389121314152324252627283839414344454748" ref="A20:G31" totalsRowShown="0" headerRowDxfId="142">
  <autoFilter ref="A20:G31"/>
  <tableColumns count="7">
    <tableColumn id="1" name="日期" dataDxfId="141"/>
    <tableColumn id="2" name="累计净值" dataDxfId="140"/>
    <tableColumn id="3" name="每日盈亏" dataDxfId="139">
      <calculatedColumnFormula>IFERROR(B21-B20,0)</calculatedColumnFormula>
    </tableColumn>
    <tableColumn id="4" name="下跌幅度" dataDxfId="138">
      <calculatedColumnFormula>IF(C21&lt;0,C21,"/")</calculatedColumnFormula>
    </tableColumn>
    <tableColumn id="5" name="最大回撤" dataDxfId="137">
      <calculatedColumnFormula>IF(表2_367162629303891213141523242526272835[[#This Row],[累计净值]]/MAX(INDIRECT("B21:B" &amp; ROW()))-1&lt;E20,表2_367162629303891213141523242526272835[[#This Row],[累计净值]]/MAX(INDIRECT("B21:B" &amp; ROW()))-1,E20)</calculatedColumnFormula>
    </tableColumn>
    <tableColumn id="6" name="单位净值" dataDxfId="136" dataCellStyle="常规 2">
      <calculatedColumnFormula>表2_36716262930389121314152324252627283839414344454748[[#This Row],[累计净值]]</calculatedColumnFormula>
    </tableColumn>
    <tableColumn id="7" name="持有涨跌幅" dataDxfId="135" dataCellStyle="常规 2"/>
  </tableColumns>
  <tableStyleInfo name="TableStyleLight8" showFirstColumn="0" showLastColumn="0" showRowStripes="1" showColumnStripes="0"/>
</table>
</file>

<file path=xl/tables/table29.xml><?xml version="1.0" encoding="utf-8"?>
<table xmlns="http://schemas.openxmlformats.org/spreadsheetml/2006/main" id="46" name="表2_367162629303891213141523242526272838394143444547" displayName="表2_367162629303891213141523242526272838394143444547" ref="A20:G30" totalsRowShown="0" headerRowDxfId="134">
  <autoFilter ref="A20:G30"/>
  <tableColumns count="7">
    <tableColumn id="1" name="日期" dataDxfId="133"/>
    <tableColumn id="2" name="累计净值" dataDxfId="132"/>
    <tableColumn id="3" name="每日盈亏" dataDxfId="131">
      <calculatedColumnFormula>IFERROR(B21-B20,0)</calculatedColumnFormula>
    </tableColumn>
    <tableColumn id="4" name="下跌幅度" dataDxfId="130">
      <calculatedColumnFormula>IF(C21&lt;0,C21,"/")</calculatedColumnFormula>
    </tableColumn>
    <tableColumn id="5" name="最大回撤" dataDxfId="129">
      <calculatedColumnFormula>IF(表2_367162629303891213141523242526272835[[#This Row],[累计净值]]/MAX(INDIRECT("B21:B" &amp; ROW()))-1&lt;E20,表2_367162629303891213141523242526272835[[#This Row],[累计净值]]/MAX(INDIRECT("B21:B" &amp; ROW()))-1,E20)</calculatedColumnFormula>
    </tableColumn>
    <tableColumn id="6" name="单位净值" dataDxfId="128" dataCellStyle="常规 2">
      <calculatedColumnFormula>表2_367162629303891213141523242526272838394143444547[[#This Row],[累计净值]]</calculatedColumnFormula>
    </tableColumn>
    <tableColumn id="7" name="持有涨跌幅" dataDxfId="127" dataCellStyle="常规 2"/>
  </tableColumns>
  <tableStyleInfo name="TableStyleLight8" showFirstColumn="0" showLastColumn="0" showRowStripes="1" showColumnStripes="0"/>
</table>
</file>

<file path=xl/tables/table30.xml><?xml version="1.0" encoding="utf-8"?>
<table xmlns="http://schemas.openxmlformats.org/spreadsheetml/2006/main" id="41" name="表1_4" displayName="表1_4" ref="A19:E22" totalsRowShown="0" headerRowDxfId="126" dataDxfId="125">
  <autoFilter ref="A19:E22"/>
  <tableColumns count="5">
    <tableColumn id="1" name="日期" dataDxfId="124"/>
    <tableColumn id="2" name="累计净值" dataDxfId="123">
      <calculatedColumnFormula>VLOOKUP(表1_4[[#This Row],[日期]],[2]碳一号3期净值!A:B,2,FALSE)</calculatedColumnFormula>
    </tableColumn>
    <tableColumn id="3" name="每周盈亏" dataDxfId="122"/>
    <tableColumn id="4" name="下跌幅度" dataDxfId="121">
      <calculatedColumnFormula>IF(C20&lt;0,C20,"/")</calculatedColumnFormula>
    </tableColumn>
    <tableColumn id="5" name="最大回撤" dataDxfId="120">
      <calculatedColumnFormula>IF(表1_4[[#This Row],[累计净值]]-MAX(INDIRECT("B20:B"&amp;ROW()))&lt;E19,表1_4[[#This Row],[累计净值]]-MAX(INDIRECT("B20:B"&amp;ROW())),E19)</calculatedColumnFormula>
    </tableColumn>
  </tableColumns>
  <tableStyleInfo name="TableStyleLight8" showFirstColumn="0" showLastColumn="0" showRowStripes="1" showColumnStripes="0"/>
</table>
</file>

<file path=xl/tables/table31.xml><?xml version="1.0" encoding="utf-8"?>
<table xmlns="http://schemas.openxmlformats.org/spreadsheetml/2006/main" id="48" name="表1_434567" displayName="表1_434567" ref="A19:G32" totalsRowShown="0" headerRowDxfId="119" headerRowCellStyle="常规 2">
  <autoFilter ref="A19:G32"/>
  <tableColumns count="7">
    <tableColumn id="1" name="日期" dataDxfId="118"/>
    <tableColumn id="2" name="累计净值" dataDxfId="117"/>
    <tableColumn id="3" name="每周盈亏" dataDxfId="116">
      <calculatedColumnFormula>B20-B19</calculatedColumnFormula>
    </tableColumn>
    <tableColumn id="4" name="下跌幅度" dataDxfId="115">
      <calculatedColumnFormula>IF(C20&lt;0,C20,"/")</calculatedColumnFormula>
    </tableColumn>
    <tableColumn id="5" name="最大回撤" dataDxfId="114">
      <calculatedColumnFormula>IF(表1_434567[[#This Row],[累计净值]]/MAX(INDIRECT("B20:B" &amp; ROW()))-1&lt;E19,表1_434567[[#This Row],[累计净值]]/MAX(INDIRECT("B20:B" &amp; ROW()))-1,E19)</calculatedColumnFormula>
    </tableColumn>
    <tableColumn id="6" name="单位净值" dataDxfId="113" dataCellStyle="常规 2">
      <calculatedColumnFormula>表1_434567[[#This Row],[累计净值]]</calculatedColumnFormula>
    </tableColumn>
    <tableColumn id="7" name="持有收益" dataDxfId="112" dataCellStyle="百分比"/>
  </tableColumns>
  <tableStyleInfo name="TableStyleLight8" showFirstColumn="0" showLastColumn="0" showRowStripes="1" showColumnStripes="0"/>
</table>
</file>

<file path=xl/tables/table32.xml><?xml version="1.0" encoding="utf-8"?>
<table xmlns="http://schemas.openxmlformats.org/spreadsheetml/2006/main" id="27" name="表2_3671626293038912131415232425262728" displayName="表2_3671626293038912131415232425262728" ref="A20:G198" totalsRowShown="0" headerRowDxfId="111">
  <autoFilter ref="A20:G198"/>
  <tableColumns count="7">
    <tableColumn id="1" name="日期" dataDxfId="110"/>
    <tableColumn id="2" name="累计净值" dataDxfId="109"/>
    <tableColumn id="3" name="每日盈亏" dataDxfId="108">
      <calculatedColumnFormula>IFERROR(B21-B20,0)</calculatedColumnFormula>
    </tableColumn>
    <tableColumn id="4" name="下跌幅度" dataDxfId="107">
      <calculatedColumnFormula>IF(C21&lt;0,C21,"/")</calculatedColumnFormula>
    </tableColumn>
    <tableColumn id="5" name="最大回撤" dataDxfId="106">
      <calculatedColumnFormula>IF(表2_3671626293038912131415232425262728[[#This Row],[累计净值]]/MAX(INDIRECT("B21:B" &amp; ROW()))-1&lt;E20,表2_3671626293038912131415232425262728[[#This Row],[累计净值]]/MAX(INDIRECT("B21:B" &amp; ROW()))-1,E20)</calculatedColumnFormula>
    </tableColumn>
    <tableColumn id="6" name="单位净值" dataDxfId="105" dataCellStyle="常规 2">
      <calculatedColumnFormula>表2_3671626293038912131415232425262728[[#This Row],[累计净值]]</calculatedColumnFormula>
    </tableColumn>
    <tableColumn id="7" name="持有涨跌幅" dataDxfId="104" dataCellStyle="常规 2"/>
  </tableColumns>
  <tableStyleInfo name="TableStyleLight8" showFirstColumn="0" showLastColumn="0" showRowStripes="1" showColumnStripes="0"/>
</table>
</file>

<file path=xl/tables/table33.xml><?xml version="1.0" encoding="utf-8"?>
<table xmlns="http://schemas.openxmlformats.org/spreadsheetml/2006/main" id="10" name="表2_36716262930381011" displayName="表2_36716262930381011" ref="A20:G403" totalsRowShown="0" headerRowDxfId="103">
  <autoFilter ref="A20:G403"/>
  <tableColumns count="7">
    <tableColumn id="1" name="日期" dataDxfId="102"/>
    <tableColumn id="2" name="累计净值" dataDxfId="101"/>
    <tableColumn id="3" name="每日盈亏" dataDxfId="100">
      <calculatedColumnFormula>IFERROR(B21-B20,0)</calculatedColumnFormula>
    </tableColumn>
    <tableColumn id="4" name="下跌幅度" dataDxfId="99">
      <calculatedColumnFormula>IF(C21&lt;0,C21,"/")</calculatedColumnFormula>
    </tableColumn>
    <tableColumn id="5" name="最大回撤" dataDxfId="98">
      <calculatedColumnFormula>IF(表2_36716262930381011[[#This Row],[累计净值]]/MAX(INDIRECT("B21:B" &amp; ROW()))-1&lt;E20,表2_36716262930381011[[#This Row],[累计净值]]/MAX(INDIRECT("B21:B" &amp; ROW()))-1,E20)</calculatedColumnFormula>
    </tableColumn>
    <tableColumn id="6" name="单位净值" dataDxfId="97" dataCellStyle="常规 2">
      <calculatedColumnFormula>表2_36716262930381011[[#This Row],[累计净值]]</calculatedColumnFormula>
    </tableColumn>
    <tableColumn id="7" name="持有涨跌幅" dataDxfId="96" dataCellStyle="常规 2"/>
  </tableColumns>
  <tableStyleInfo name="TableStyleLight8" showFirstColumn="0" showLastColumn="0" showRowStripes="1" showColumnStripes="0"/>
</table>
</file>

<file path=xl/tables/table34.xml><?xml version="1.0" encoding="utf-8"?>
<table xmlns="http://schemas.openxmlformats.org/spreadsheetml/2006/main" id="4" name="表2_36716262930345" displayName="表2_36716262930345" ref="A20:G438" totalsRowShown="0" headerRowDxfId="95">
  <autoFilter ref="A20:G438"/>
  <tableColumns count="7">
    <tableColumn id="1" name="日期" dataDxfId="94"/>
    <tableColumn id="2" name="累计净值" dataDxfId="93"/>
    <tableColumn id="3" name="每日盈亏" dataDxfId="92">
      <calculatedColumnFormula>IFERROR(B21-B20,0)</calculatedColumnFormula>
    </tableColumn>
    <tableColumn id="4" name="下跌幅度" dataDxfId="91">
      <calculatedColumnFormula>IF(C21&lt;0,C21,"/")</calculatedColumnFormula>
    </tableColumn>
    <tableColumn id="5" name="最大回撤" dataDxfId="90">
      <calculatedColumnFormula>IF(表2_36716262930345[[#This Row],[累计净值]]/MAX(INDIRECT("B21:B" &amp; ROW()))-1&lt;E20,表2_36716262930345[[#This Row],[累计净值]]/MAX(INDIRECT("B21:B" &amp; ROW()))-1,E20)</calculatedColumnFormula>
    </tableColumn>
    <tableColumn id="6" name="单位净值" dataDxfId="89" dataCellStyle="常规 2">
      <calculatedColumnFormula>表2_36716262930345[[#This Row],[累计净值]]</calculatedColumnFormula>
    </tableColumn>
    <tableColumn id="7" name="持有涨跌幅" dataDxfId="88" dataCellStyle="常规 2"/>
  </tableColumns>
  <tableStyleInfo name="TableStyleLight8" showFirstColumn="0" showLastColumn="0" showRowStripes="1" showColumnStripes="0"/>
</table>
</file>

<file path=xl/tables/table35.xml><?xml version="1.0" encoding="utf-8"?>
<table xmlns="http://schemas.openxmlformats.org/spreadsheetml/2006/main" id="12" name="表2_367162629303891213" displayName="表2_367162629303891213" ref="A20:G325" totalsRowShown="0" headerRowDxfId="87">
  <autoFilter ref="A20:G325"/>
  <tableColumns count="7">
    <tableColumn id="1" name="日期" dataDxfId="86"/>
    <tableColumn id="2" name="累计净值" dataDxfId="85"/>
    <tableColumn id="3" name="每日盈亏" dataDxfId="84">
      <calculatedColumnFormula>IFERROR(B21-B20,0)</calculatedColumnFormula>
    </tableColumn>
    <tableColumn id="4" name="下跌幅度" dataDxfId="83">
      <calculatedColumnFormula>IF(C21&lt;0,C21,"/")</calculatedColumnFormula>
    </tableColumn>
    <tableColumn id="5" name="最大回撤" dataDxfId="82">
      <calculatedColumnFormula>IF(表2_367162629303891213[[#This Row],[累计净值]]/MAX(INDIRECT("B21:B" &amp; ROW()))-1&lt;E20,表2_367162629303891213[[#This Row],[累计净值]]/MAX(INDIRECT("B21:B" &amp; ROW()))-1,E20)</calculatedColumnFormula>
    </tableColumn>
    <tableColumn id="6" name="单位净值" dataDxfId="81" dataCellStyle="常规 2">
      <calculatedColumnFormula>表2_367162629303891213[[#This Row],[累计净值]]</calculatedColumnFormula>
    </tableColumn>
    <tableColumn id="7" name="持有涨跌幅" dataDxfId="80" dataCellStyle="常规 2"/>
  </tableColumns>
  <tableStyleInfo name="TableStyleLight8" showFirstColumn="0" showLastColumn="0" showRowStripes="1" showColumnStripes="0"/>
</table>
</file>

<file path=xl/tables/table36.xml><?xml version="1.0" encoding="utf-8"?>
<table xmlns="http://schemas.openxmlformats.org/spreadsheetml/2006/main" id="33" name="表2_367162629303891213141523242526272831323334" displayName="表2_367162629303891213141523242526272831323334" ref="A20:G83" totalsRowShown="0" headerRowDxfId="79">
  <autoFilter ref="A20:G83"/>
  <tableColumns count="7">
    <tableColumn id="1" name="日期" dataDxfId="78"/>
    <tableColumn id="2" name="累计净值" dataDxfId="77"/>
    <tableColumn id="3" name="每日盈亏" dataDxfId="76">
      <calculatedColumnFormula>IFERROR(B21-B20,0)</calculatedColumnFormula>
    </tableColumn>
    <tableColumn id="4" name="下跌幅度" dataDxfId="75">
      <calculatedColumnFormula>IF(C21&lt;0,C21,"/")</calculatedColumnFormula>
    </tableColumn>
    <tableColumn id="5" name="最大回撤" dataDxfId="74">
      <calculatedColumnFormula>IF(表2_367162629303891213141523242526272831323334[[#This Row],[累计净值]]/MAX(INDIRECT("B21:B" &amp; ROW()))-1&lt;E20,表2_367162629303891213141523242526272831323334[[#This Row],[累计净值]]/MAX(INDIRECT("B21:B" &amp; ROW()))-1,E20)</calculatedColumnFormula>
    </tableColumn>
    <tableColumn id="6" name="单位净值" dataDxfId="73" dataCellStyle="常规 2">
      <calculatedColumnFormula>表2_367162629303891213141523242526272831323334[[#This Row],[累计净值]]</calculatedColumnFormula>
    </tableColumn>
    <tableColumn id="7" name="持有涨跌幅" dataDxfId="72" dataCellStyle="常规 2"/>
  </tableColumns>
  <tableStyleInfo name="TableStyleLight8" showFirstColumn="0" showLastColumn="0" showRowStripes="1" showColumnStripes="0"/>
</table>
</file>

<file path=xl/tables/table37.xml><?xml version="1.0" encoding="utf-8"?>
<table xmlns="http://schemas.openxmlformats.org/spreadsheetml/2006/main" id="18" name="表2_36716262930389121314151819" displayName="表2_36716262930389121314151819" ref="A20:G213" totalsRowShown="0" headerRowDxfId="71">
  <autoFilter ref="A20:G213"/>
  <tableColumns count="7">
    <tableColumn id="1" name="日期" dataDxfId="70"/>
    <tableColumn id="2" name="累计净值" dataDxfId="69"/>
    <tableColumn id="3" name="每日盈亏" dataDxfId="68">
      <calculatedColumnFormula>IFERROR(B21-B20,0)</calculatedColumnFormula>
    </tableColumn>
    <tableColumn id="4" name="下跌幅度" dataDxfId="67">
      <calculatedColumnFormula>IF(C21&lt;0,C21,"/")</calculatedColumnFormula>
    </tableColumn>
    <tableColumn id="5" name="最大回撤" dataDxfId="66">
      <calculatedColumnFormula>IF(表2_36716262930389121314151819[[#This Row],[累计净值]]/MAX(INDIRECT("B21:B" &amp; ROW()))-1&lt;E20,表2_36716262930389121314151819[[#This Row],[累计净值]]/MAX(INDIRECT("B21:B" &amp; ROW()))-1,E20)</calculatedColumnFormula>
    </tableColumn>
    <tableColumn id="6" name="单位净值" dataDxfId="65" dataCellStyle="常规 2">
      <calculatedColumnFormula>表2_36716262930389121314151819[[#This Row],[累计净值]]-0.144</calculatedColumnFormula>
    </tableColumn>
    <tableColumn id="7" name="持有涨跌幅" dataDxfId="64" dataCellStyle="常规 2"/>
  </tableColumns>
  <tableStyleInfo name="TableStyleLight8" showFirstColumn="0" showLastColumn="0" showRowStripes="1" showColumnStripes="0"/>
</table>
</file>

<file path=xl/tables/table38.xml><?xml version="1.0" encoding="utf-8"?>
<table xmlns="http://schemas.openxmlformats.org/spreadsheetml/2006/main" id="32" name="表2_3671626293038912131415232425262728313233" displayName="表2_3671626293038912131415232425262728313233" ref="A20:G55" totalsRowShown="0" headerRowDxfId="63">
  <autoFilter ref="A20:G55"/>
  <tableColumns count="7">
    <tableColumn id="1" name="日期" dataDxfId="62"/>
    <tableColumn id="2" name="累计净值" dataDxfId="61"/>
    <tableColumn id="3" name="每日盈亏" dataDxfId="60">
      <calculatedColumnFormula>IFERROR(B21-B20,0)</calculatedColumnFormula>
    </tableColumn>
    <tableColumn id="4" name="下跌幅度" dataDxfId="59">
      <calculatedColumnFormula>IF(C21&lt;0,C21,"/")</calculatedColumnFormula>
    </tableColumn>
    <tableColumn id="5" name="最大回撤" dataDxfId="58">
      <calculatedColumnFormula>IF(表2_3671626293038912131415232425262728313233[[#This Row],[累计净值]]/MAX(INDIRECT("B21:B" &amp; ROW()))-1&lt;E20,表2_3671626293038912131415232425262728313233[[#This Row],[累计净值]]/MAX(INDIRECT("B21:B" &amp; ROW()))-1,E20)</calculatedColumnFormula>
    </tableColumn>
    <tableColumn id="6" name="单位净值" dataDxfId="57" dataCellStyle="常规 2">
      <calculatedColumnFormula>表2_3671626293038912131415232425262728313233[[#This Row],[累计净值]]</calculatedColumnFormula>
    </tableColumn>
    <tableColumn id="7" name="持有涨跌幅" dataDxfId="56" dataCellStyle="常规 2"/>
  </tableColumns>
  <tableStyleInfo name="TableStyleLight8" showFirstColumn="0" showLastColumn="0" showRowStripes="1" showColumnStripes="0"/>
</table>
</file>

<file path=xl/tables/table39.xml><?xml version="1.0" encoding="utf-8"?>
<table xmlns="http://schemas.openxmlformats.org/spreadsheetml/2006/main" id="5" name="表2_367162629303456" displayName="表2_367162629303456" ref="A20:G298" totalsRowShown="0" headerRowDxfId="55">
  <autoFilter ref="A20:G298"/>
  <tableColumns count="7">
    <tableColumn id="1" name="日期" dataDxfId="54"/>
    <tableColumn id="2" name="累计净值" dataDxfId="53"/>
    <tableColumn id="3" name="每日盈亏" dataDxfId="52">
      <calculatedColumnFormula>IFERROR(B21-B20,0)</calculatedColumnFormula>
    </tableColumn>
    <tableColumn id="4" name="下跌幅度" dataDxfId="51">
      <calculatedColumnFormula>IF(C21&lt;0,C21,"/")</calculatedColumnFormula>
    </tableColumn>
    <tableColumn id="5" name="最大回撤" dataDxfId="50">
      <calculatedColumnFormula>IF(表2_367162629303456[[#This Row],[累计净值]]/MAX(INDIRECT("B21:B" &amp; ROW()))-1&lt;E20,表2_367162629303456[[#This Row],[累计净值]]/MAX(INDIRECT("B21:B" &amp; ROW()))-1,E20)</calculatedColumnFormula>
    </tableColumn>
    <tableColumn id="6" name="单位净值" dataDxfId="49" dataCellStyle="常规 2">
      <calculatedColumnFormula>表2_367162629303456[[#This Row],[累计净值]]</calculatedColumnFormula>
    </tableColumn>
    <tableColumn id="7" name="持有涨跌幅" dataDxfId="48" dataCellStyle="常规 2"/>
  </tableColumns>
  <tableStyleInfo name="TableStyleLight8" showFirstColumn="0" showLastColumn="0" showRowStripes="1" showColumnStripes="0"/>
</table>
</file>

<file path=xl/tables/table40.xml><?xml version="1.0" encoding="utf-8"?>
<table xmlns="http://schemas.openxmlformats.org/spreadsheetml/2006/main" id="1" name="表2_36716262930" displayName="表2_36716262930" ref="A20:G252" totalsRowShown="0" headerRowDxfId="47">
  <autoFilter ref="A20:G252"/>
  <tableColumns count="7">
    <tableColumn id="1" name="日期" dataDxfId="46"/>
    <tableColumn id="2" name="累计净值" dataDxfId="45"/>
    <tableColumn id="3" name="每日盈亏" dataDxfId="44">
      <calculatedColumnFormula>IFERROR(B21-B20,0)</calculatedColumnFormula>
    </tableColumn>
    <tableColumn id="4" name="下跌幅度" dataDxfId="43">
      <calculatedColumnFormula>IF(C21&lt;0,C21,"/")</calculatedColumnFormula>
    </tableColumn>
    <tableColumn id="5" name="最大回撤" dataDxfId="42">
      <calculatedColumnFormula>IF(表2_36716262930[[#This Row],[累计净值]]/MAX(INDIRECT("B21:B" &amp; ROW()))-1&lt;E20,表2_36716262930[[#This Row],[累计净值]]/MAX(INDIRECT("B21:B" &amp; ROW()))-1,E20)</calculatedColumnFormula>
    </tableColumn>
    <tableColumn id="6" name="单位净值" dataDxfId="41" dataCellStyle="常规 2">
      <calculatedColumnFormula>表2_36716262930[[#This Row],[累计净值]]-0.084</calculatedColumnFormula>
    </tableColumn>
    <tableColumn id="7" name="持有涨跌幅" dataDxfId="40" dataCellStyle="常规 2"/>
  </tableColumns>
  <tableStyleInfo name="TableStyleLight8" showFirstColumn="0" showLastColumn="0" showRowStripes="1" showColumnStripes="0"/>
</table>
</file>

<file path=xl/tables/table41.xml><?xml version="1.0" encoding="utf-8"?>
<table xmlns="http://schemas.openxmlformats.org/spreadsheetml/2006/main" id="14" name="表2_3671626293038912131415" displayName="表2_3671626293038912131415" ref="A20:G107" totalsRowShown="0" headerRowDxfId="39">
  <autoFilter ref="A20:G107"/>
  <tableColumns count="7">
    <tableColumn id="1" name="日期" dataDxfId="38"/>
    <tableColumn id="2" name="累计净值" dataDxfId="37"/>
    <tableColumn id="3" name="每日盈亏" dataDxfId="36">
      <calculatedColumnFormula>IFERROR(B21-B20,0)</calculatedColumnFormula>
    </tableColumn>
    <tableColumn id="4" name="下跌幅度" dataDxfId="35">
      <calculatedColumnFormula>IF(C21&lt;0,C21,"/")</calculatedColumnFormula>
    </tableColumn>
    <tableColumn id="5" name="最大回撤" dataDxfId="34">
      <calculatedColumnFormula>IF(表2_3671626293038912131415[[#This Row],[累计净值]]/MAX(INDIRECT("B21:B" &amp; ROW()))-1&lt;E20,表2_3671626293038912131415[[#This Row],[累计净值]]/MAX(INDIRECT("B21:B" &amp; ROW()))-1,E20)</calculatedColumnFormula>
    </tableColumn>
    <tableColumn id="6" name="单位净值" dataDxfId="33" dataCellStyle="常规 2">
      <calculatedColumnFormula>表2_3671626293038912131415[[#This Row],[累计净值]]</calculatedColumnFormula>
    </tableColumn>
    <tableColumn id="7" name="持有涨跌幅" dataDxfId="32" dataCellStyle="常规 2"/>
  </tableColumns>
  <tableStyleInfo name="TableStyleLight8" showFirstColumn="0" showLastColumn="0" showRowStripes="1" showColumnStripes="0"/>
</table>
</file>

<file path=xl/tables/table42.xml><?xml version="1.0" encoding="utf-8"?>
<table xmlns="http://schemas.openxmlformats.org/spreadsheetml/2006/main" id="21" name="表2_3671626293034522" displayName="表2_3671626293034522" ref="A20:G174" totalsRowShown="0" headerRowDxfId="31">
  <autoFilter ref="A20:G174"/>
  <tableColumns count="7">
    <tableColumn id="1" name="日期" dataDxfId="30"/>
    <tableColumn id="2" name="累计净值" dataDxfId="29"/>
    <tableColumn id="3" name="每日盈亏" dataDxfId="28">
      <calculatedColumnFormula>IFERROR(B21-B20,0)</calculatedColumnFormula>
    </tableColumn>
    <tableColumn id="4" name="下跌幅度" dataDxfId="27">
      <calculatedColumnFormula>IF(C21&lt;0,C21,"/")</calculatedColumnFormula>
    </tableColumn>
    <tableColumn id="5" name="最大回撤" dataDxfId="26">
      <calculatedColumnFormula>IF(表2_3671626293034522[[#This Row],[累计净值]]/MAX(INDIRECT("B21:B" &amp; ROW()))-1&lt;E20,表2_3671626293034522[[#This Row],[累计净值]]/MAX(INDIRECT("B21:B" &amp; ROW()))-1,E20)</calculatedColumnFormula>
    </tableColumn>
    <tableColumn id="6" name="单位净值" dataDxfId="25" dataCellStyle="常规 2">
      <calculatedColumnFormula>表2_3671626293034522[[#This Row],[累计净值]]</calculatedColumnFormula>
    </tableColumn>
    <tableColumn id="7" name="持有涨跌幅" dataDxfId="24" dataCellStyle="常规 2"/>
  </tableColumns>
  <tableStyleInfo name="TableStyleLight8" showFirstColumn="0" showLastColumn="0" showRowStripes="1" showColumnStripes="0"/>
</table>
</file>

<file path=xl/tables/table43.xml><?xml version="1.0" encoding="utf-8"?>
<table xmlns="http://schemas.openxmlformats.org/spreadsheetml/2006/main" id="8" name="表2_36716262930389" displayName="表2_36716262930389" ref="A20:G194" totalsRowShown="0" headerRowDxfId="23">
  <autoFilter ref="A20:G194"/>
  <tableColumns count="7">
    <tableColumn id="1" name="日期" dataDxfId="22"/>
    <tableColumn id="2" name="累计净值" dataDxfId="21"/>
    <tableColumn id="3" name="每日盈亏" dataDxfId="20">
      <calculatedColumnFormula>IFERROR(B21-B20,0)</calculatedColumnFormula>
    </tableColumn>
    <tableColumn id="4" name="下跌幅度" dataDxfId="19">
      <calculatedColumnFormula>IF(C21&lt;0,C21,"/")</calculatedColumnFormula>
    </tableColumn>
    <tableColumn id="5" name="最大回撤" dataDxfId="18">
      <calculatedColumnFormula>IF(表2_36716262930389[[#This Row],[累计净值]]/MAX(INDIRECT("B21:B" &amp; ROW()))-1&lt;E20,表2_36716262930389[[#This Row],[累计净值]]/MAX(INDIRECT("B21:B" &amp; ROW()))-1,E20)</calculatedColumnFormula>
    </tableColumn>
    <tableColumn id="6" name="单位净值" dataDxfId="17" dataCellStyle="常规 2">
      <calculatedColumnFormula>表2_36716262930389[[#This Row],[累计净值]]</calculatedColumnFormula>
    </tableColumn>
    <tableColumn id="7" name="持有涨跌幅" dataDxfId="16" dataCellStyle="常规 2"/>
  </tableColumns>
  <tableStyleInfo name="TableStyleLight8" showFirstColumn="0" showLastColumn="0" showRowStripes="1" showColumnStripes="0"/>
</table>
</file>

<file path=xl/tables/table44.xml><?xml version="1.0" encoding="utf-8"?>
<table xmlns="http://schemas.openxmlformats.org/spreadsheetml/2006/main" id="9" name="表2_367162629303810" displayName="表2_367162629303810" ref="A20:G142" totalsRowShown="0" headerRowDxfId="15">
  <autoFilter ref="A20:G142"/>
  <tableColumns count="7">
    <tableColumn id="1" name="日期" dataDxfId="14"/>
    <tableColumn id="2" name="累计净值" dataDxfId="13"/>
    <tableColumn id="3" name="每日盈亏" dataDxfId="12">
      <calculatedColumnFormula>IFERROR(B21-B20,0)</calculatedColumnFormula>
    </tableColumn>
    <tableColumn id="4" name="下跌幅度" dataDxfId="11">
      <calculatedColumnFormula>IF(C21&lt;0,C21,"/")</calculatedColumnFormula>
    </tableColumn>
    <tableColumn id="5" name="最大回撤" dataDxfId="10">
      <calculatedColumnFormula>IF(表2_367162629303810[[#This Row],[累计净值]]/MAX(INDIRECT("B21:B" &amp; ROW()))-1&lt;E20,表2_367162629303810[[#This Row],[累计净值]]/MAX(INDIRECT("B21:B" &amp; ROW()))-1,E20)</calculatedColumnFormula>
    </tableColumn>
    <tableColumn id="6" name="单位净值" dataDxfId="9" dataCellStyle="常规 2">
      <calculatedColumnFormula>表2_367162629303810[[#This Row],[累计净值]]-0.072</calculatedColumnFormula>
    </tableColumn>
    <tableColumn id="7" name="持有涨跌幅" dataDxfId="8" dataCellStyle="常规 2"/>
  </tableColumns>
  <tableStyleInfo name="TableStyleLight8" showFirstColumn="0" showLastColumn="0" showRowStripes="1" showColumnStripes="0"/>
</table>
</file>

<file path=xl/tables/table45.xml><?xml version="1.0" encoding="utf-8"?>
<table xmlns="http://schemas.openxmlformats.org/spreadsheetml/2006/main" id="7" name="表2_3671626293038" displayName="表2_3671626293038" ref="A20:G150" totalsRowShown="0" headerRowDxfId="7">
  <autoFilter ref="A20:G150"/>
  <tableColumns count="7">
    <tableColumn id="1" name="日期" dataDxfId="6"/>
    <tableColumn id="2" name="累计净值" dataDxfId="5"/>
    <tableColumn id="3" name="每日盈亏" dataDxfId="4">
      <calculatedColumnFormula>IFERROR(B21-B20,0)</calculatedColumnFormula>
    </tableColumn>
    <tableColumn id="4" name="下跌幅度" dataDxfId="3">
      <calculatedColumnFormula>IF(C21&lt;0,C21,"/")</calculatedColumnFormula>
    </tableColumn>
    <tableColumn id="5" name="最大回撤" dataDxfId="2">
      <calculatedColumnFormula>IF(表2_3671626293038[[#This Row],[累计净值]]/MAX(INDIRECT("B21:B" &amp; ROW()))-1&lt;E20,表2_3671626293038[[#This Row],[累计净值]]/MAX(INDIRECT("B21:B" &amp; ROW()))-1,E20)</calculatedColumnFormula>
    </tableColumn>
    <tableColumn id="6" name="单位净值" dataDxfId="1" dataCellStyle="常规 2">
      <calculatedColumnFormula>表2_3671626293038[[#This Row],[累计净值]]</calculatedColumnFormula>
    </tableColumn>
    <tableColumn id="7" name="持有涨跌幅" dataDxfId="0" dataCellStyle="常规 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4.x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.x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8.x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9.x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0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0.xml"/><Relationship Id="rId4" Type="http://schemas.openxmlformats.org/officeDocument/2006/relationships/comments" Target="../comments1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8.bin"/><Relationship Id="rId5" Type="http://schemas.openxmlformats.org/officeDocument/2006/relationships/comments" Target="../comments2.xml"/><Relationship Id="rId4" Type="http://schemas.openxmlformats.org/officeDocument/2006/relationships/table" Target="../tables/table31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2.xml"/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3.xml"/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0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4.x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5.xml"/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6.xml"/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7.x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8.xml"/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6.bin"/><Relationship Id="rId5" Type="http://schemas.openxmlformats.org/officeDocument/2006/relationships/comments" Target="../comments3.xml"/><Relationship Id="rId4" Type="http://schemas.openxmlformats.org/officeDocument/2006/relationships/table" Target="../tables/table39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0.x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1.xml"/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2.xml"/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3.x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4.xml"/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1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5.xml"/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439"/>
  <sheetViews>
    <sheetView workbookViewId="0">
      <pane xSplit="1" ySplit="20" topLeftCell="B422" activePane="bottomRight" state="frozen"/>
      <selection pane="topRight" activeCell="B1" sqref="B1"/>
      <selection pane="bottomLeft" activeCell="A21" sqref="A21"/>
      <selection pane="bottomRight" activeCell="J437" sqref="J437"/>
    </sheetView>
  </sheetViews>
  <sheetFormatPr defaultColWidth="9" defaultRowHeight="14.25" x14ac:dyDescent="0.2"/>
  <cols>
    <col min="1" max="1" width="11.625" style="1" bestFit="1" customWidth="1"/>
    <col min="2" max="2" width="13" style="1" customWidth="1"/>
    <col min="3" max="4" width="13.5" style="1" bestFit="1" customWidth="1"/>
    <col min="5" max="5" width="10.25" style="1" customWidth="1"/>
    <col min="6" max="6" width="11.125" style="1" customWidth="1"/>
    <col min="7" max="7" width="18.875" style="2" customWidth="1"/>
    <col min="8" max="8" width="9" style="1"/>
    <col min="9" max="9" width="14.25" style="1" customWidth="1"/>
    <col min="10" max="10" width="12" style="1" bestFit="1" customWidth="1"/>
    <col min="11" max="16384" width="9" style="1"/>
  </cols>
  <sheetData>
    <row r="1" spans="1:7" ht="15" thickBot="1" x14ac:dyDescent="0.25"/>
    <row r="2" spans="1:7" ht="15" thickBot="1" x14ac:dyDescent="0.25">
      <c r="A2" s="23" t="s">
        <v>0</v>
      </c>
      <c r="B2" s="24">
        <f>COUNT(表2_3671626293034[每日盈亏])</f>
        <v>419</v>
      </c>
      <c r="C2" s="27"/>
      <c r="D2" s="3" t="s">
        <v>1</v>
      </c>
      <c r="E2" s="28"/>
      <c r="F2" s="35" t="s">
        <v>2</v>
      </c>
      <c r="G2" s="394" t="s">
        <v>3</v>
      </c>
    </row>
    <row r="3" spans="1:7" x14ac:dyDescent="0.2">
      <c r="A3" s="25" t="s">
        <v>4</v>
      </c>
      <c r="B3" s="26">
        <f>COUNTIF(表2_3671626293034[每日盈亏],"&gt;0")</f>
        <v>241</v>
      </c>
      <c r="C3" s="29"/>
      <c r="D3" s="30" t="s">
        <v>5</v>
      </c>
      <c r="E3" s="31">
        <f>245^0.5*(B10-0.025/365)/E10</f>
        <v>4.5469848795501555</v>
      </c>
      <c r="F3" s="35"/>
      <c r="G3" s="394"/>
    </row>
    <row r="4" spans="1:7" x14ac:dyDescent="0.2">
      <c r="A4" s="25" t="s">
        <v>6</v>
      </c>
      <c r="B4" s="26">
        <f>COUNTIF(表2_3671626293034[每日盈亏],"&lt;0")</f>
        <v>110</v>
      </c>
      <c r="C4" s="29"/>
      <c r="D4" s="32" t="s">
        <v>7</v>
      </c>
      <c r="E4" s="31">
        <f ca="1">-B9/E8</f>
        <v>11.877709748485378</v>
      </c>
      <c r="F4" s="35"/>
      <c r="G4" s="2">
        <f>LOOKUP(999^10,表2_3671626293034[累计净值])</f>
        <v>1.3979999999999999</v>
      </c>
    </row>
    <row r="5" spans="1:7" x14ac:dyDescent="0.2">
      <c r="A5" s="25" t="s">
        <v>8</v>
      </c>
      <c r="B5" s="26">
        <f>B2-B3-B4</f>
        <v>68</v>
      </c>
      <c r="C5" s="29"/>
      <c r="D5" s="33" t="s">
        <v>9</v>
      </c>
      <c r="E5" s="4">
        <f>245^0.5*(B10-0.025/365)/E9</f>
        <v>6.7198425504871357</v>
      </c>
      <c r="F5" s="35"/>
    </row>
    <row r="6" spans="1:7" ht="15" thickBot="1" x14ac:dyDescent="0.25">
      <c r="A6" s="34"/>
      <c r="B6" s="35"/>
      <c r="C6" s="35"/>
      <c r="D6" s="35"/>
      <c r="E6" s="36"/>
      <c r="F6" s="35"/>
    </row>
    <row r="7" spans="1:7" ht="15" thickBot="1" x14ac:dyDescent="0.25">
      <c r="A7" s="5" t="s">
        <v>10</v>
      </c>
      <c r="B7" s="35"/>
      <c r="C7" s="35"/>
      <c r="D7" s="3" t="s">
        <v>11</v>
      </c>
      <c r="E7" s="37"/>
      <c r="F7" s="35"/>
    </row>
    <row r="8" spans="1:7" x14ac:dyDescent="0.2">
      <c r="A8" s="105" t="s">
        <v>12</v>
      </c>
      <c r="B8" s="106">
        <f>LOOKUP(999^10,表2_3671626293034[累计净值])/$B$21-1</f>
        <v>0.39799999999999991</v>
      </c>
      <c r="C8" s="40"/>
      <c r="D8" s="30" t="s">
        <v>13</v>
      </c>
      <c r="E8" s="41">
        <f ca="1">MIN(表2_3671626293034[最大回撤])</f>
        <v>-1.9593067068575776E-2</v>
      </c>
      <c r="F8" s="35"/>
    </row>
    <row r="9" spans="1:7" x14ac:dyDescent="0.2">
      <c r="A9" s="25" t="s">
        <v>14</v>
      </c>
      <c r="B9" s="32">
        <f>B8*245/B2</f>
        <v>0.23272076372315031</v>
      </c>
      <c r="C9" s="40"/>
      <c r="D9" s="33" t="s">
        <v>15</v>
      </c>
      <c r="E9" s="6">
        <f>STDEV(表2_3671626293034[下跌幅度])</f>
        <v>2.0530089392776464E-3</v>
      </c>
      <c r="F9" s="35"/>
    </row>
    <row r="10" spans="1:7" x14ac:dyDescent="0.2">
      <c r="A10" s="42" t="s">
        <v>16</v>
      </c>
      <c r="B10" s="43">
        <f>AVERAGE(表2_3671626293034[每日盈亏])</f>
        <v>9.4988066825775637E-4</v>
      </c>
      <c r="C10" s="44"/>
      <c r="D10" s="33" t="s">
        <v>17</v>
      </c>
      <c r="E10" s="6">
        <f>STDEV(表2_3671626293034[每日盈亏])</f>
        <v>3.0340758089464443E-3</v>
      </c>
      <c r="F10" s="35"/>
    </row>
    <row r="11" spans="1:7" x14ac:dyDescent="0.2">
      <c r="A11" s="7" t="s">
        <v>18</v>
      </c>
      <c r="B11" s="32">
        <f>B3/B2</f>
        <v>0.57517899761336511</v>
      </c>
      <c r="C11" s="40"/>
      <c r="D11" s="32" t="s">
        <v>19</v>
      </c>
      <c r="E11" s="41">
        <f>245^0.5*E10</f>
        <v>4.7490798303843403E-2</v>
      </c>
      <c r="F11" s="35"/>
    </row>
    <row r="12" spans="1:7" ht="15" thickBot="1" x14ac:dyDescent="0.25">
      <c r="A12" s="45" t="s">
        <v>20</v>
      </c>
      <c r="B12" s="46">
        <f>-(SUMIF(表2_3671626293034[每日盈亏],"&gt;=0")/B3)/(SUMIF(表2_3671626293034[每日盈亏],"&lt;0")/B4)</f>
        <v>1.1098838771306572</v>
      </c>
      <c r="C12" s="47"/>
      <c r="D12" s="48"/>
      <c r="E12" s="49"/>
      <c r="F12" s="35"/>
    </row>
    <row r="13" spans="1:7" x14ac:dyDescent="0.2">
      <c r="A13" s="35"/>
      <c r="B13" s="35"/>
      <c r="C13" s="35"/>
      <c r="D13" s="35"/>
      <c r="E13" s="35"/>
      <c r="F13" s="35"/>
    </row>
    <row r="14" spans="1:7" ht="28.5" x14ac:dyDescent="0.2">
      <c r="A14" s="202" t="s">
        <v>21</v>
      </c>
      <c r="B14" s="202" t="s">
        <v>14</v>
      </c>
      <c r="C14" s="203" t="s">
        <v>19</v>
      </c>
      <c r="D14" s="203" t="s">
        <v>13</v>
      </c>
      <c r="E14" s="203" t="s">
        <v>5</v>
      </c>
      <c r="F14" s="203" t="s">
        <v>7</v>
      </c>
    </row>
    <row r="15" spans="1:7" x14ac:dyDescent="0.2">
      <c r="A15" s="279">
        <f>B2</f>
        <v>419</v>
      </c>
      <c r="B15" s="53">
        <f>B9</f>
        <v>0.23272076372315031</v>
      </c>
      <c r="C15" s="53">
        <f>E11</f>
        <v>4.7490798303843403E-2</v>
      </c>
      <c r="D15" s="53">
        <f ca="1">E8</f>
        <v>-1.9593067068575776E-2</v>
      </c>
      <c r="E15" s="54">
        <f>E3</f>
        <v>4.5469848795501555</v>
      </c>
      <c r="F15" s="54">
        <f ca="1">E4</f>
        <v>11.877709748485378</v>
      </c>
    </row>
    <row r="19" spans="1:7" x14ac:dyDescent="0.2">
      <c r="A19" s="8"/>
      <c r="B19" s="1" t="s">
        <v>22</v>
      </c>
    </row>
    <row r="20" spans="1:7" ht="15.75" x14ac:dyDescent="0.2">
      <c r="A20" s="22" t="s">
        <v>23</v>
      </c>
      <c r="B20" s="22" t="s">
        <v>24</v>
      </c>
      <c r="C20" s="22" t="s">
        <v>25</v>
      </c>
      <c r="D20" s="22" t="s">
        <v>26</v>
      </c>
      <c r="E20" s="22" t="s">
        <v>27</v>
      </c>
      <c r="F20" s="22" t="s">
        <v>28</v>
      </c>
      <c r="G20" s="22" t="s">
        <v>29</v>
      </c>
    </row>
    <row r="21" spans="1:7" x14ac:dyDescent="0.2">
      <c r="A21" s="9">
        <v>43698</v>
      </c>
      <c r="B21" s="10">
        <v>1</v>
      </c>
      <c r="C21" s="11">
        <f t="shared" ref="C21:C28" si="0">IFERROR(B21-B20,0)</f>
        <v>0</v>
      </c>
      <c r="D21" s="12" t="str">
        <f t="shared" ref="D21:D27" si="1">IF(C21&lt;0,C21,"/")</f>
        <v>/</v>
      </c>
      <c r="E21" s="12">
        <f ca="1">IF(表2_3671626293034[[#This Row],[累计净值]]/MAX(INDIRECT("B21:B" &amp; ROW()))-1&lt;E20,表2_3671626293034[[#This Row],[累计净值]]/MAX(INDIRECT("B21:B" &amp; ROW()))-1,E20)</f>
        <v>0</v>
      </c>
      <c r="F21" s="13">
        <f>表2_3671626293034[[#This Row],[累计净值]]</f>
        <v>1</v>
      </c>
      <c r="G21" s="14" t="s">
        <v>30</v>
      </c>
    </row>
    <row r="22" spans="1:7" x14ac:dyDescent="0.2">
      <c r="A22" s="15">
        <v>43699</v>
      </c>
      <c r="B22" s="16">
        <v>1</v>
      </c>
      <c r="C22" s="17">
        <f t="shared" si="0"/>
        <v>0</v>
      </c>
      <c r="D22" s="18" t="str">
        <f t="shared" si="1"/>
        <v>/</v>
      </c>
      <c r="E22" s="18">
        <f ca="1">IF(表2_3671626293034[[#This Row],[累计净值]]/MAX(INDIRECT("B21:B" &amp; ROW()))-1&lt;E21,表2_3671626293034[[#This Row],[累计净值]]/MAX(INDIRECT("B21:B" &amp; ROW()))-1,E21)</f>
        <v>0</v>
      </c>
      <c r="F22" s="19">
        <f>表2_3671626293034[[#This Row],[累计净值]]</f>
        <v>1</v>
      </c>
      <c r="G22" s="20">
        <f>表2_3671626293034[[#This Row],[累计净值]]/$B$21-1</f>
        <v>0</v>
      </c>
    </row>
    <row r="23" spans="1:7" x14ac:dyDescent="0.2">
      <c r="A23" s="15">
        <v>43700</v>
      </c>
      <c r="B23" s="16">
        <v>1</v>
      </c>
      <c r="C23" s="17">
        <f t="shared" si="0"/>
        <v>0</v>
      </c>
      <c r="D23" s="18" t="str">
        <f t="shared" si="1"/>
        <v>/</v>
      </c>
      <c r="E23" s="18">
        <f ca="1">IF(表2_3671626293034[[#This Row],[累计净值]]/MAX(INDIRECT("B21:B" &amp; ROW()))-1&lt;E22,表2_3671626293034[[#This Row],[累计净值]]/MAX(INDIRECT("B21:B" &amp; ROW()))-1,E22)</f>
        <v>0</v>
      </c>
      <c r="F23" s="19">
        <f>表2_3671626293034[[#This Row],[累计净值]]</f>
        <v>1</v>
      </c>
      <c r="G23" s="20">
        <f>表2_3671626293034[[#This Row],[累计净值]]/$B$21-1</f>
        <v>0</v>
      </c>
    </row>
    <row r="24" spans="1:7" x14ac:dyDescent="0.2">
      <c r="A24" s="15">
        <v>43703</v>
      </c>
      <c r="B24" s="16">
        <v>1</v>
      </c>
      <c r="C24" s="17">
        <f t="shared" si="0"/>
        <v>0</v>
      </c>
      <c r="D24" s="18" t="str">
        <f t="shared" si="1"/>
        <v>/</v>
      </c>
      <c r="E24" s="18">
        <f ca="1">IF(表2_3671626293034[[#This Row],[累计净值]]/MAX(INDIRECT("B21:B" &amp; ROW()))-1&lt;E23,表2_3671626293034[[#This Row],[累计净值]]/MAX(INDIRECT("B21:B" &amp; ROW()))-1,E23)</f>
        <v>0</v>
      </c>
      <c r="F24" s="19">
        <f>表2_3671626293034[[#This Row],[累计净值]]</f>
        <v>1</v>
      </c>
      <c r="G24" s="20">
        <f>表2_3671626293034[[#This Row],[累计净值]]/$B$21-1</f>
        <v>0</v>
      </c>
    </row>
    <row r="25" spans="1:7" x14ac:dyDescent="0.2">
      <c r="A25" s="15">
        <v>43704</v>
      </c>
      <c r="B25" s="16">
        <v>1.0009999999999999</v>
      </c>
      <c r="C25" s="17">
        <f t="shared" si="0"/>
        <v>9.9999999999988987E-4</v>
      </c>
      <c r="D25" s="18" t="str">
        <f t="shared" si="1"/>
        <v>/</v>
      </c>
      <c r="E25" s="18">
        <f ca="1">IF(表2_3671626293034[[#This Row],[累计净值]]/MAX(INDIRECT("B21:B" &amp; ROW()))-1&lt;E24,表2_3671626293034[[#This Row],[累计净值]]/MAX(INDIRECT("B21:B" &amp; ROW()))-1,E24)</f>
        <v>0</v>
      </c>
      <c r="F25" s="19">
        <f>表2_3671626293034[[#This Row],[累计净值]]</f>
        <v>1.0009999999999999</v>
      </c>
      <c r="G25" s="20">
        <f>表2_3671626293034[[#This Row],[累计净值]]/$B$21-1</f>
        <v>9.9999999999988987E-4</v>
      </c>
    </row>
    <row r="26" spans="1:7" x14ac:dyDescent="0.2">
      <c r="A26" s="15">
        <v>43705</v>
      </c>
      <c r="B26" s="16">
        <v>1.002</v>
      </c>
      <c r="C26" s="17">
        <f t="shared" si="0"/>
        <v>1.0000000000001119E-3</v>
      </c>
      <c r="D26" s="18" t="str">
        <f t="shared" si="1"/>
        <v>/</v>
      </c>
      <c r="E26" s="18">
        <f ca="1">IF(表2_3671626293034[[#This Row],[累计净值]]/MAX(INDIRECT("B21:B" &amp; ROW()))-1&lt;E25,表2_3671626293034[[#This Row],[累计净值]]/MAX(INDIRECT("B21:B" &amp; ROW()))-1,E25)</f>
        <v>0</v>
      </c>
      <c r="F26" s="19">
        <f>表2_3671626293034[[#This Row],[累计净值]]</f>
        <v>1.002</v>
      </c>
      <c r="G26" s="20">
        <f>表2_3671626293034[[#This Row],[累计净值]]/$B$21-1</f>
        <v>2.0000000000000018E-3</v>
      </c>
    </row>
    <row r="27" spans="1:7" x14ac:dyDescent="0.2">
      <c r="A27" s="15">
        <v>43706</v>
      </c>
      <c r="B27" s="19">
        <v>1.0029999999999999</v>
      </c>
      <c r="C27" s="17">
        <f t="shared" si="0"/>
        <v>9.9999999999988987E-4</v>
      </c>
      <c r="D27" s="18" t="str">
        <f t="shared" si="1"/>
        <v>/</v>
      </c>
      <c r="E27" s="18">
        <f ca="1">IF(表2_3671626293034[[#This Row],[累计净值]]/MAX(INDIRECT("B21:B" &amp; ROW()))-1&lt;E26,表2_3671626293034[[#This Row],[累计净值]]/MAX(INDIRECT("B21:B" &amp; ROW()))-1,E26)</f>
        <v>0</v>
      </c>
      <c r="F27" s="21">
        <f>表2_3671626293034[[#This Row],[累计净值]]</f>
        <v>1.0029999999999999</v>
      </c>
      <c r="G27" s="20">
        <f>表2_3671626293034[[#This Row],[累计净值]]/$B$21-1</f>
        <v>2.9999999999998916E-3</v>
      </c>
    </row>
    <row r="28" spans="1:7" x14ac:dyDescent="0.2">
      <c r="A28" s="15">
        <v>43707</v>
      </c>
      <c r="B28" s="16">
        <v>1.002</v>
      </c>
      <c r="C28" s="17">
        <f t="shared" si="0"/>
        <v>-9.9999999999988987E-4</v>
      </c>
      <c r="D28" s="18">
        <f t="shared" ref="D28:D33" si="2">IF(C28&lt;0,C28,"/")</f>
        <v>-9.9999999999988987E-4</v>
      </c>
      <c r="E28" s="18">
        <f ca="1">IF(表2_3671626293034[[#This Row],[累计净值]]/MAX(INDIRECT("B21:B" &amp; ROW()))-1&lt;E27,表2_3671626293034[[#This Row],[累计净值]]/MAX(INDIRECT("B21:B" &amp; ROW()))-1,E27)</f>
        <v>-9.9700897308063752E-4</v>
      </c>
      <c r="F28" s="21">
        <f>表2_3671626293034[[#This Row],[累计净值]]</f>
        <v>1.002</v>
      </c>
      <c r="G28" s="20">
        <f>表2_3671626293034[[#This Row],[累计净值]]/$B$21-1</f>
        <v>2.0000000000000018E-3</v>
      </c>
    </row>
    <row r="29" spans="1:7" x14ac:dyDescent="0.2">
      <c r="A29" s="15">
        <v>43710</v>
      </c>
      <c r="B29" s="63">
        <v>1.0009999999999999</v>
      </c>
      <c r="C29" s="64">
        <f t="shared" ref="C29:C34" si="3">IFERROR(B29-B28,0)</f>
        <v>-1.0000000000001119E-3</v>
      </c>
      <c r="D29" s="65">
        <f t="shared" si="2"/>
        <v>-1.0000000000001119E-3</v>
      </c>
      <c r="E29" s="65">
        <f ca="1">IF(表2_3671626293034[[#This Row],[累计净值]]/MAX(INDIRECT("B21:B" &amp; ROW()))-1&lt;E28,表2_3671626293034[[#This Row],[累计净值]]/MAX(INDIRECT("B21:B" &amp; ROW()))-1,E28)</f>
        <v>-1.9940179461614971E-3</v>
      </c>
      <c r="F29" s="66">
        <f>表2_3671626293034[[#This Row],[累计净值]]</f>
        <v>1.0009999999999999</v>
      </c>
      <c r="G29" s="20">
        <f>表2_3671626293034[[#This Row],[累计净值]]/$B$21-1</f>
        <v>9.9999999999988987E-4</v>
      </c>
    </row>
    <row r="30" spans="1:7" x14ac:dyDescent="0.2">
      <c r="A30" s="15">
        <v>43711</v>
      </c>
      <c r="B30" s="16">
        <v>1.0069999999999999</v>
      </c>
      <c r="C30" s="73">
        <f t="shared" si="3"/>
        <v>6.0000000000000053E-3</v>
      </c>
      <c r="D30" s="18" t="str">
        <f t="shared" si="2"/>
        <v>/</v>
      </c>
      <c r="E30" s="18">
        <f ca="1">IF(表2_3671626293034[[#This Row],[累计净值]]/MAX(INDIRECT("B21:B" &amp; ROW()))-1&lt;E29,表2_3671626293034[[#This Row],[累计净值]]/MAX(INDIRECT("B21:B" &amp; ROW()))-1,E29)</f>
        <v>-1.9940179461614971E-3</v>
      </c>
      <c r="F30" s="62">
        <f>表2_3671626293034[[#This Row],[累计净值]]</f>
        <v>1.0069999999999999</v>
      </c>
      <c r="G30" s="20">
        <f>表2_3671626293034[[#This Row],[累计净值]]/$B$21-1</f>
        <v>6.9999999999998952E-3</v>
      </c>
    </row>
    <row r="31" spans="1:7" x14ac:dyDescent="0.2">
      <c r="A31" s="15">
        <v>43712</v>
      </c>
      <c r="B31" s="16">
        <v>1.008</v>
      </c>
      <c r="C31" s="73">
        <f t="shared" si="3"/>
        <v>1.0000000000001119E-3</v>
      </c>
      <c r="D31" s="18" t="str">
        <f t="shared" si="2"/>
        <v>/</v>
      </c>
      <c r="E31" s="18">
        <f ca="1">IF(表2_3671626293034[[#This Row],[累计净值]]/MAX(INDIRECT("B21:B" &amp; ROW()))-1&lt;E30,表2_3671626293034[[#This Row],[累计净值]]/MAX(INDIRECT("B21:B" &amp; ROW()))-1,E30)</f>
        <v>-1.9940179461614971E-3</v>
      </c>
      <c r="F31" s="62">
        <f>表2_3671626293034[[#This Row],[累计净值]]</f>
        <v>1.008</v>
      </c>
      <c r="G31" s="20">
        <f>表2_3671626293034[[#This Row],[累计净值]]/$B$21-1</f>
        <v>8.0000000000000071E-3</v>
      </c>
    </row>
    <row r="32" spans="1:7" x14ac:dyDescent="0.2">
      <c r="A32" s="15">
        <v>43713</v>
      </c>
      <c r="B32" s="16">
        <v>1.0049999999999999</v>
      </c>
      <c r="C32" s="73">
        <f t="shared" si="3"/>
        <v>-3.0000000000001137E-3</v>
      </c>
      <c r="D32" s="18">
        <f t="shared" si="2"/>
        <v>-3.0000000000001137E-3</v>
      </c>
      <c r="E32" s="18">
        <f ca="1">IF(表2_3671626293034[[#This Row],[累计净值]]/MAX(INDIRECT("B21:B" &amp; ROW()))-1&lt;E31,表2_3671626293034[[#This Row],[累计净值]]/MAX(INDIRECT("B21:B" &amp; ROW()))-1,E31)</f>
        <v>-2.9761904761905766E-3</v>
      </c>
      <c r="F32" s="62">
        <f>表2_3671626293034[[#This Row],[累计净值]]</f>
        <v>1.0049999999999999</v>
      </c>
      <c r="G32" s="20">
        <f>表2_3671626293034[[#This Row],[累计净值]]/$B$21-1</f>
        <v>4.9999999999998934E-3</v>
      </c>
    </row>
    <row r="33" spans="1:7" x14ac:dyDescent="0.2">
      <c r="A33" s="15">
        <v>43714</v>
      </c>
      <c r="B33" s="16">
        <v>1.006</v>
      </c>
      <c r="C33" s="73">
        <f t="shared" si="3"/>
        <v>1.0000000000001119E-3</v>
      </c>
      <c r="D33" s="18" t="str">
        <f t="shared" si="2"/>
        <v>/</v>
      </c>
      <c r="E33" s="18">
        <f ca="1">IF(表2_3671626293034[[#This Row],[累计净值]]/MAX(INDIRECT("B21:B" &amp; ROW()))-1&lt;E32,表2_3671626293034[[#This Row],[累计净值]]/MAX(INDIRECT("B21:B" &amp; ROW()))-1,E32)</f>
        <v>-2.9761904761905766E-3</v>
      </c>
      <c r="F33" s="62">
        <f>表2_3671626293034[[#This Row],[累计净值]]</f>
        <v>1.006</v>
      </c>
      <c r="G33" s="20">
        <f>表2_3671626293034[[#This Row],[累计净值]]/$B$21-1</f>
        <v>6.0000000000000053E-3</v>
      </c>
    </row>
    <row r="34" spans="1:7" x14ac:dyDescent="0.2">
      <c r="A34" s="15">
        <v>43717</v>
      </c>
      <c r="B34" s="16">
        <v>1.006</v>
      </c>
      <c r="C34" s="73">
        <f t="shared" si="3"/>
        <v>0</v>
      </c>
      <c r="D34" s="18" t="str">
        <f t="shared" ref="D34:D39" si="4">IF(C34&lt;0,C34,"/")</f>
        <v>/</v>
      </c>
      <c r="E34" s="18">
        <f ca="1">IF(表2_3671626293034[[#This Row],[累计净值]]/MAX(INDIRECT("B21:B" &amp; ROW()))-1&lt;E33,表2_3671626293034[[#This Row],[累计净值]]/MAX(INDIRECT("B21:B" &amp; ROW()))-1,E33)</f>
        <v>-2.9761904761905766E-3</v>
      </c>
      <c r="F34" s="62">
        <f>表2_3671626293034[[#This Row],[累计净值]]</f>
        <v>1.006</v>
      </c>
      <c r="G34" s="20">
        <f>表2_3671626293034[[#This Row],[累计净值]]/$B$21-1</f>
        <v>6.0000000000000053E-3</v>
      </c>
    </row>
    <row r="35" spans="1:7" x14ac:dyDescent="0.2">
      <c r="A35" s="15">
        <v>43718</v>
      </c>
      <c r="B35" s="16">
        <v>1.0069999999999999</v>
      </c>
      <c r="C35" s="73">
        <f t="shared" ref="C35:C42" si="5">IFERROR(B35-B34,0)</f>
        <v>9.9999999999988987E-4</v>
      </c>
      <c r="D35" s="18" t="str">
        <f t="shared" si="4"/>
        <v>/</v>
      </c>
      <c r="E35" s="18">
        <f ca="1">IF(表2_3671626293034[[#This Row],[累计净值]]/MAX(INDIRECT("B21:B" &amp; ROW()))-1&lt;E34,表2_3671626293034[[#This Row],[累计净值]]/MAX(INDIRECT("B21:B" &amp; ROW()))-1,E34)</f>
        <v>-2.9761904761905766E-3</v>
      </c>
      <c r="F35" s="62">
        <f>表2_3671626293034[[#This Row],[累计净值]]</f>
        <v>1.0069999999999999</v>
      </c>
      <c r="G35" s="20">
        <f>表2_3671626293034[[#This Row],[累计净值]]/$B$21-1</f>
        <v>6.9999999999998952E-3</v>
      </c>
    </row>
    <row r="36" spans="1:7" x14ac:dyDescent="0.2">
      <c r="A36" s="15">
        <v>43719</v>
      </c>
      <c r="B36" s="16">
        <v>1.006</v>
      </c>
      <c r="C36" s="73">
        <f t="shared" si="5"/>
        <v>-9.9999999999988987E-4</v>
      </c>
      <c r="D36" s="18">
        <f t="shared" si="4"/>
        <v>-9.9999999999988987E-4</v>
      </c>
      <c r="E36" s="18">
        <f ca="1">IF(表2_3671626293034[[#This Row],[累计净值]]/MAX(INDIRECT("B21:B" &amp; ROW()))-1&lt;E35,表2_3671626293034[[#This Row],[累计净值]]/MAX(INDIRECT("B21:B" &amp; ROW()))-1,E35)</f>
        <v>-2.9761904761905766E-3</v>
      </c>
      <c r="F36" s="62">
        <f>表2_3671626293034[[#This Row],[累计净值]]</f>
        <v>1.006</v>
      </c>
      <c r="G36" s="20">
        <f>表2_3671626293034[[#This Row],[累计净值]]/$B$21-1</f>
        <v>6.0000000000000053E-3</v>
      </c>
    </row>
    <row r="37" spans="1:7" x14ac:dyDescent="0.2">
      <c r="A37" s="15">
        <v>43720</v>
      </c>
      <c r="B37" s="16">
        <v>1.0069999999999999</v>
      </c>
      <c r="C37" s="73">
        <f t="shared" si="5"/>
        <v>9.9999999999988987E-4</v>
      </c>
      <c r="D37" s="18" t="str">
        <f t="shared" si="4"/>
        <v>/</v>
      </c>
      <c r="E37" s="18">
        <f ca="1">IF(表2_3671626293034[[#This Row],[累计净值]]/MAX(INDIRECT("B21:B" &amp; ROW()))-1&lt;E36,表2_3671626293034[[#This Row],[累计净值]]/MAX(INDIRECT("B21:B" &amp; ROW()))-1,E36)</f>
        <v>-2.9761904761905766E-3</v>
      </c>
      <c r="F37" s="62">
        <f>表2_3671626293034[[#This Row],[累计净值]]</f>
        <v>1.0069999999999999</v>
      </c>
      <c r="G37" s="20">
        <f>表2_3671626293034[[#This Row],[累计净值]]/$B$21-1</f>
        <v>6.9999999999998952E-3</v>
      </c>
    </row>
    <row r="38" spans="1:7" x14ac:dyDescent="0.2">
      <c r="A38" s="15">
        <v>43724</v>
      </c>
      <c r="B38" s="16">
        <v>1.008</v>
      </c>
      <c r="C38" s="73">
        <f t="shared" si="5"/>
        <v>1.0000000000001119E-3</v>
      </c>
      <c r="D38" s="18" t="str">
        <f t="shared" si="4"/>
        <v>/</v>
      </c>
      <c r="E38" s="18">
        <f ca="1">IF(表2_3671626293034[[#This Row],[累计净值]]/MAX(INDIRECT("B21:B" &amp; ROW()))-1&lt;E37,表2_3671626293034[[#This Row],[累计净值]]/MAX(INDIRECT("B21:B" &amp; ROW()))-1,E37)</f>
        <v>-2.9761904761905766E-3</v>
      </c>
      <c r="F38" s="62">
        <f>表2_3671626293034[[#This Row],[累计净值]]</f>
        <v>1.008</v>
      </c>
      <c r="G38" s="20">
        <f>表2_3671626293034[[#This Row],[累计净值]]/$B$21-1</f>
        <v>8.0000000000000071E-3</v>
      </c>
    </row>
    <row r="39" spans="1:7" x14ac:dyDescent="0.2">
      <c r="A39" s="15">
        <v>43725</v>
      </c>
      <c r="B39" s="16">
        <v>1.0069999999999999</v>
      </c>
      <c r="C39" s="73">
        <f t="shared" si="5"/>
        <v>-1.0000000000001119E-3</v>
      </c>
      <c r="D39" s="18">
        <f t="shared" si="4"/>
        <v>-1.0000000000001119E-3</v>
      </c>
      <c r="E39" s="18">
        <f ca="1">IF(表2_3671626293034[[#This Row],[累计净值]]/MAX(INDIRECT("B21:B" &amp; ROW()))-1&lt;E38,表2_3671626293034[[#This Row],[累计净值]]/MAX(INDIRECT("B21:B" &amp; ROW()))-1,E38)</f>
        <v>-2.9761904761905766E-3</v>
      </c>
      <c r="F39" s="62">
        <f>表2_3671626293034[[#This Row],[累计净值]]</f>
        <v>1.0069999999999999</v>
      </c>
      <c r="G39" s="20">
        <f>表2_3671626293034[[#This Row],[累计净值]]/$B$21-1</f>
        <v>6.9999999999998952E-3</v>
      </c>
    </row>
    <row r="40" spans="1:7" x14ac:dyDescent="0.2">
      <c r="A40" s="15">
        <v>43726</v>
      </c>
      <c r="B40" s="16">
        <v>1.0089999999999999</v>
      </c>
      <c r="C40" s="73">
        <f t="shared" si="5"/>
        <v>2.0000000000000018E-3</v>
      </c>
      <c r="D40" s="18" t="str">
        <f>IF(C40&lt;0,C40,"/")</f>
        <v>/</v>
      </c>
      <c r="E40" s="18">
        <f ca="1">IF(表2_3671626293034[[#This Row],[累计净值]]/MAX(INDIRECT("B21:B" &amp; ROW()))-1&lt;E39,表2_3671626293034[[#This Row],[累计净值]]/MAX(INDIRECT("B21:B" &amp; ROW()))-1,E39)</f>
        <v>-2.9761904761905766E-3</v>
      </c>
      <c r="F40" s="62">
        <f>表2_3671626293034[[#This Row],[累计净值]]</f>
        <v>1.0089999999999999</v>
      </c>
      <c r="G40" s="20">
        <f>表2_3671626293034[[#This Row],[累计净值]]/$B$21-1</f>
        <v>8.999999999999897E-3</v>
      </c>
    </row>
    <row r="41" spans="1:7" x14ac:dyDescent="0.2">
      <c r="A41" s="15">
        <v>43727</v>
      </c>
      <c r="B41" s="16">
        <v>1.008</v>
      </c>
      <c r="C41" s="73">
        <f t="shared" si="5"/>
        <v>-9.9999999999988987E-4</v>
      </c>
      <c r="D41" s="18">
        <f>IF(C41&lt;0,C41,"/")</f>
        <v>-9.9999999999988987E-4</v>
      </c>
      <c r="E41" s="18">
        <f ca="1">IF(表2_3671626293034[[#This Row],[累计净值]]/MAX(INDIRECT("B21:B" &amp; ROW()))-1&lt;E40,表2_3671626293034[[#This Row],[累计净值]]/MAX(INDIRECT("B21:B" &amp; ROW()))-1,E40)</f>
        <v>-2.9761904761905766E-3</v>
      </c>
      <c r="F41" s="62">
        <f>表2_3671626293034[[#This Row],[累计净值]]</f>
        <v>1.008</v>
      </c>
      <c r="G41" s="20">
        <f>表2_3671626293034[[#This Row],[累计净值]]/$B$21-1</f>
        <v>8.0000000000000071E-3</v>
      </c>
    </row>
    <row r="42" spans="1:7" x14ac:dyDescent="0.2">
      <c r="A42" s="15">
        <v>43728</v>
      </c>
      <c r="B42" s="16">
        <v>1.008</v>
      </c>
      <c r="C42" s="73">
        <f t="shared" si="5"/>
        <v>0</v>
      </c>
      <c r="D42" s="18" t="str">
        <f>IF(C42&lt;0,C42,"/")</f>
        <v>/</v>
      </c>
      <c r="E42" s="18">
        <f ca="1">IF(表2_3671626293034[[#This Row],[累计净值]]/MAX(INDIRECT("B21:B" &amp; ROW()))-1&lt;E41,表2_3671626293034[[#This Row],[累计净值]]/MAX(INDIRECT("B21:B" &amp; ROW()))-1,E41)</f>
        <v>-2.9761904761905766E-3</v>
      </c>
      <c r="F42" s="62">
        <f>表2_3671626293034[[#This Row],[累计净值]]</f>
        <v>1.008</v>
      </c>
      <c r="G42" s="20">
        <f>表2_3671626293034[[#This Row],[累计净值]]/$B$21-1</f>
        <v>8.0000000000000071E-3</v>
      </c>
    </row>
    <row r="43" spans="1:7" x14ac:dyDescent="0.2">
      <c r="A43" s="15">
        <v>43731</v>
      </c>
      <c r="B43" s="16">
        <v>1.008</v>
      </c>
      <c r="C43" s="73">
        <f t="shared" ref="C43:C48" si="6">IFERROR(B43-B42,0)</f>
        <v>0</v>
      </c>
      <c r="D43" s="18" t="str">
        <f t="shared" ref="D43:D48" si="7">IF(C43&lt;0,C43,"/")</f>
        <v>/</v>
      </c>
      <c r="E43" s="18">
        <f ca="1">IF(表2_3671626293034[[#This Row],[累计净值]]/MAX(INDIRECT("B21:B" &amp; ROW()))-1&lt;E42,表2_3671626293034[[#This Row],[累计净值]]/MAX(INDIRECT("B21:B" &amp; ROW()))-1,E42)</f>
        <v>-2.9761904761905766E-3</v>
      </c>
      <c r="F43" s="62">
        <f>表2_3671626293034[[#This Row],[累计净值]]</f>
        <v>1.008</v>
      </c>
      <c r="G43" s="20">
        <f>表2_3671626293034[[#This Row],[累计净值]]/$B$21-1</f>
        <v>8.0000000000000071E-3</v>
      </c>
    </row>
    <row r="44" spans="1:7" x14ac:dyDescent="0.2">
      <c r="A44" s="15">
        <v>43732</v>
      </c>
      <c r="B44" s="16">
        <v>1.01</v>
      </c>
      <c r="C44" s="73">
        <f t="shared" si="6"/>
        <v>2.0000000000000018E-3</v>
      </c>
      <c r="D44" s="18" t="str">
        <f t="shared" si="7"/>
        <v>/</v>
      </c>
      <c r="E44" s="18">
        <f ca="1">IF(表2_3671626293034[[#This Row],[累计净值]]/MAX(INDIRECT("B21:B" &amp; ROW()))-1&lt;E43,表2_3671626293034[[#This Row],[累计净值]]/MAX(INDIRECT("B21:B" &amp; ROW()))-1,E43)</f>
        <v>-2.9761904761905766E-3</v>
      </c>
      <c r="F44" s="62">
        <f>表2_3671626293034[[#This Row],[累计净值]]</f>
        <v>1.01</v>
      </c>
      <c r="G44" s="20">
        <f>表2_3671626293034[[#This Row],[累计净值]]/$B$21-1</f>
        <v>1.0000000000000009E-2</v>
      </c>
    </row>
    <row r="45" spans="1:7" x14ac:dyDescent="0.2">
      <c r="A45" s="15">
        <v>43733</v>
      </c>
      <c r="B45" s="16">
        <v>1.0129999999999999</v>
      </c>
      <c r="C45" s="73">
        <f t="shared" si="6"/>
        <v>2.9999999999998916E-3</v>
      </c>
      <c r="D45" s="18" t="str">
        <f t="shared" si="7"/>
        <v>/</v>
      </c>
      <c r="E45" s="18">
        <f ca="1">IF(表2_3671626293034[[#This Row],[累计净值]]/MAX(INDIRECT("B21:B" &amp; ROW()))-1&lt;E44,表2_3671626293034[[#This Row],[累计净值]]/MAX(INDIRECT("B21:B" &amp; ROW()))-1,E44)</f>
        <v>-2.9761904761905766E-3</v>
      </c>
      <c r="F45" s="62">
        <f>表2_3671626293034[[#This Row],[累计净值]]</f>
        <v>1.0129999999999999</v>
      </c>
      <c r="G45" s="20">
        <f>表2_3671626293034[[#This Row],[累计净值]]/$B$21-1</f>
        <v>1.2999999999999901E-2</v>
      </c>
    </row>
    <row r="46" spans="1:7" x14ac:dyDescent="0.2">
      <c r="A46" s="15">
        <v>43734</v>
      </c>
      <c r="B46" s="16">
        <v>1.01</v>
      </c>
      <c r="C46" s="73">
        <f t="shared" si="6"/>
        <v>-2.9999999999998916E-3</v>
      </c>
      <c r="D46" s="18">
        <f t="shared" si="7"/>
        <v>-2.9999999999998916E-3</v>
      </c>
      <c r="E46" s="18">
        <f ca="1">IF(表2_3671626293034[[#This Row],[累计净值]]/MAX(INDIRECT("B21:B" &amp; ROW()))-1&lt;E45,表2_3671626293034[[#This Row],[累计净值]]/MAX(INDIRECT("B21:B" &amp; ROW()))-1,E45)</f>
        <v>-2.9761904761905766E-3</v>
      </c>
      <c r="F46" s="62">
        <f>表2_3671626293034[[#This Row],[累计净值]]</f>
        <v>1.01</v>
      </c>
      <c r="G46" s="20">
        <f>表2_3671626293034[[#This Row],[累计净值]]/$B$21-1</f>
        <v>1.0000000000000009E-2</v>
      </c>
    </row>
    <row r="47" spans="1:7" x14ac:dyDescent="0.2">
      <c r="A47" s="15">
        <v>43735</v>
      </c>
      <c r="B47" s="16">
        <v>1.0109999999999999</v>
      </c>
      <c r="C47" s="73">
        <f t="shared" si="6"/>
        <v>9.9999999999988987E-4</v>
      </c>
      <c r="D47" s="18" t="str">
        <f t="shared" si="7"/>
        <v>/</v>
      </c>
      <c r="E47" s="18">
        <f ca="1">IF(表2_3671626293034[[#This Row],[累计净值]]/MAX(INDIRECT("B21:B" &amp; ROW()))-1&lt;E46,表2_3671626293034[[#This Row],[累计净值]]/MAX(INDIRECT("B21:B" &amp; ROW()))-1,E46)</f>
        <v>-2.9761904761905766E-3</v>
      </c>
      <c r="F47" s="62">
        <f>表2_3671626293034[[#This Row],[累计净值]]</f>
        <v>1.0109999999999999</v>
      </c>
      <c r="G47" s="20">
        <f>表2_3671626293034[[#This Row],[累计净值]]/$B$21-1</f>
        <v>1.0999999999999899E-2</v>
      </c>
    </row>
    <row r="48" spans="1:7" x14ac:dyDescent="0.2">
      <c r="A48" s="15">
        <v>43738</v>
      </c>
      <c r="B48" s="16">
        <v>1.0109999999999999</v>
      </c>
      <c r="C48" s="73">
        <f t="shared" si="6"/>
        <v>0</v>
      </c>
      <c r="D48" s="18" t="str">
        <f t="shared" si="7"/>
        <v>/</v>
      </c>
      <c r="E48" s="18">
        <f ca="1">IF(表2_3671626293034[[#This Row],[累计净值]]/MAX(INDIRECT("B21:B" &amp; ROW()))-1&lt;E47,表2_3671626293034[[#This Row],[累计净值]]/MAX(INDIRECT("B21:B" &amp; ROW()))-1,E47)</f>
        <v>-2.9761904761905766E-3</v>
      </c>
      <c r="F48" s="62">
        <f>表2_3671626293034[[#This Row],[累计净值]]</f>
        <v>1.0109999999999999</v>
      </c>
      <c r="G48" s="20">
        <f>表2_3671626293034[[#This Row],[累计净值]]/$B$21-1</f>
        <v>1.0999999999999899E-2</v>
      </c>
    </row>
    <row r="49" spans="1:7" x14ac:dyDescent="0.2">
      <c r="A49" s="15">
        <v>43746</v>
      </c>
      <c r="B49" s="16">
        <v>1.0129999999999999</v>
      </c>
      <c r="C49" s="73">
        <f t="shared" ref="C49:C54" si="8">IFERROR(B49-B48,0)</f>
        <v>2.0000000000000018E-3</v>
      </c>
      <c r="D49" s="18" t="str">
        <f t="shared" ref="D49:D54" si="9">IF(C49&lt;0,C49,"/")</f>
        <v>/</v>
      </c>
      <c r="E49" s="18">
        <f ca="1">IF(表2_3671626293034[[#This Row],[累计净值]]/MAX(INDIRECT("B21:B" &amp; ROW()))-1&lt;E48,表2_3671626293034[[#This Row],[累计净值]]/MAX(INDIRECT("B21:B" &amp; ROW()))-1,E48)</f>
        <v>-2.9761904761905766E-3</v>
      </c>
      <c r="F49" s="62">
        <f>表2_3671626293034[[#This Row],[累计净值]]</f>
        <v>1.0129999999999999</v>
      </c>
      <c r="G49" s="20">
        <f>表2_3671626293034[[#This Row],[累计净值]]/$B$21-1</f>
        <v>1.2999999999999901E-2</v>
      </c>
    </row>
    <row r="50" spans="1:7" x14ac:dyDescent="0.2">
      <c r="A50" s="15">
        <v>43747</v>
      </c>
      <c r="B50" s="16">
        <v>1.016</v>
      </c>
      <c r="C50" s="73">
        <f t="shared" si="8"/>
        <v>3.0000000000001137E-3</v>
      </c>
      <c r="D50" s="18" t="str">
        <f t="shared" si="9"/>
        <v>/</v>
      </c>
      <c r="E50" s="18">
        <f ca="1">IF(表2_3671626293034[[#This Row],[累计净值]]/MAX(INDIRECT("B21:B" &amp; ROW()))-1&lt;E49,表2_3671626293034[[#This Row],[累计净值]]/MAX(INDIRECT("B21:B" &amp; ROW()))-1,E49)</f>
        <v>-2.9761904761905766E-3</v>
      </c>
      <c r="F50" s="62">
        <f>表2_3671626293034[[#This Row],[累计净值]]</f>
        <v>1.016</v>
      </c>
      <c r="G50" s="20">
        <f>表2_3671626293034[[#This Row],[累计净值]]/$B$21-1</f>
        <v>1.6000000000000014E-2</v>
      </c>
    </row>
    <row r="51" spans="1:7" x14ac:dyDescent="0.2">
      <c r="A51" s="15">
        <v>43748</v>
      </c>
      <c r="B51" s="16">
        <v>1.016</v>
      </c>
      <c r="C51" s="73">
        <f t="shared" si="8"/>
        <v>0</v>
      </c>
      <c r="D51" s="18" t="str">
        <f t="shared" si="9"/>
        <v>/</v>
      </c>
      <c r="E51" s="18">
        <f ca="1">IF(表2_3671626293034[[#This Row],[累计净值]]/MAX(INDIRECT("B21:B" &amp; ROW()))-1&lt;E50,表2_3671626293034[[#This Row],[累计净值]]/MAX(INDIRECT("B21:B" &amp; ROW()))-1,E50)</f>
        <v>-2.9761904761905766E-3</v>
      </c>
      <c r="F51" s="62">
        <f>表2_3671626293034[[#This Row],[累计净值]]</f>
        <v>1.016</v>
      </c>
      <c r="G51" s="20">
        <f>表2_3671626293034[[#This Row],[累计净值]]/$B$21-1</f>
        <v>1.6000000000000014E-2</v>
      </c>
    </row>
    <row r="52" spans="1:7" x14ac:dyDescent="0.2">
      <c r="A52" s="15">
        <v>43749</v>
      </c>
      <c r="B52" s="16">
        <v>1.014</v>
      </c>
      <c r="C52" s="73">
        <f t="shared" si="8"/>
        <v>-2.0000000000000018E-3</v>
      </c>
      <c r="D52" s="18">
        <f t="shared" si="9"/>
        <v>-2.0000000000000018E-3</v>
      </c>
      <c r="E52" s="18">
        <f ca="1">IF(表2_3671626293034[[#This Row],[累计净值]]/MAX(INDIRECT("B21:B" &amp; ROW()))-1&lt;E51,表2_3671626293034[[#This Row],[累计净值]]/MAX(INDIRECT("B21:B" &amp; ROW()))-1,E51)</f>
        <v>-2.9761904761905766E-3</v>
      </c>
      <c r="F52" s="62">
        <f>表2_3671626293034[[#This Row],[累计净值]]</f>
        <v>1.014</v>
      </c>
      <c r="G52" s="20">
        <f>表2_3671626293034[[#This Row],[累计净值]]/$B$21-1</f>
        <v>1.4000000000000012E-2</v>
      </c>
    </row>
    <row r="53" spans="1:7" x14ac:dyDescent="0.2">
      <c r="A53" s="15">
        <v>43752</v>
      </c>
      <c r="B53" s="16">
        <v>1.018</v>
      </c>
      <c r="C53" s="73">
        <f t="shared" si="8"/>
        <v>4.0000000000000036E-3</v>
      </c>
      <c r="D53" s="18" t="str">
        <f t="shared" si="9"/>
        <v>/</v>
      </c>
      <c r="E53" s="18">
        <f ca="1">IF(表2_3671626293034[[#This Row],[累计净值]]/MAX(INDIRECT("B21:B" &amp; ROW()))-1&lt;E52,表2_3671626293034[[#This Row],[累计净值]]/MAX(INDIRECT("B21:B" &amp; ROW()))-1,E52)</f>
        <v>-2.9761904761905766E-3</v>
      </c>
      <c r="F53" s="62">
        <f>表2_3671626293034[[#This Row],[累计净值]]</f>
        <v>1.018</v>
      </c>
      <c r="G53" s="20">
        <f>表2_3671626293034[[#This Row],[累计净值]]/$B$21-1</f>
        <v>1.8000000000000016E-2</v>
      </c>
    </row>
    <row r="54" spans="1:7" x14ac:dyDescent="0.2">
      <c r="A54" s="77">
        <v>43753</v>
      </c>
      <c r="B54" s="76">
        <v>1.0249999999999999</v>
      </c>
      <c r="C54" s="73">
        <f t="shared" si="8"/>
        <v>6.9999999999998952E-3</v>
      </c>
      <c r="D54" s="18" t="str">
        <f t="shared" si="9"/>
        <v>/</v>
      </c>
      <c r="E54" s="18">
        <f ca="1">IF(表2_3671626293034[[#This Row],[累计净值]]/MAX(INDIRECT("B21:B" &amp; ROW()))-1&lt;E53,表2_3671626293034[[#This Row],[累计净值]]/MAX(INDIRECT("B21:B" &amp; ROW()))-1,E53)</f>
        <v>-2.9761904761905766E-3</v>
      </c>
      <c r="F54" s="62">
        <f>表2_3671626293034[[#This Row],[累计净值]]</f>
        <v>1.0249999999999999</v>
      </c>
      <c r="G54" s="20">
        <f>表2_3671626293034[[#This Row],[累计净值]]/$B$21-1</f>
        <v>2.4999999999999911E-2</v>
      </c>
    </row>
    <row r="55" spans="1:7" x14ac:dyDescent="0.2">
      <c r="A55" s="15">
        <v>43754</v>
      </c>
      <c r="B55" s="16">
        <v>1.022</v>
      </c>
      <c r="C55" s="73">
        <f t="shared" ref="C55:C60" si="10">IFERROR(B55-B54,0)</f>
        <v>-2.9999999999998916E-3</v>
      </c>
      <c r="D55" s="18">
        <f t="shared" ref="D55:D60" si="11">IF(C55&lt;0,C55,"/")</f>
        <v>-2.9999999999998916E-3</v>
      </c>
      <c r="E55" s="18">
        <f ca="1">IF(表2_3671626293034[[#This Row],[累计净值]]/MAX(INDIRECT("B21:B" &amp; ROW()))-1&lt;E54,表2_3671626293034[[#This Row],[累计净值]]/MAX(INDIRECT("B21:B" &amp; ROW()))-1,E54)</f>
        <v>-2.9761904761905766E-3</v>
      </c>
      <c r="F55" s="62">
        <f>表2_3671626293034[[#This Row],[累计净值]]</f>
        <v>1.022</v>
      </c>
      <c r="G55" s="20">
        <f>表2_3671626293034[[#This Row],[累计净值]]/$B$21-1</f>
        <v>2.200000000000002E-2</v>
      </c>
    </row>
    <row r="56" spans="1:7" x14ac:dyDescent="0.2">
      <c r="A56" s="15">
        <v>43755</v>
      </c>
      <c r="B56" s="16">
        <v>1.0189999999999999</v>
      </c>
      <c r="C56" s="73">
        <f t="shared" si="10"/>
        <v>-3.0000000000001137E-3</v>
      </c>
      <c r="D56" s="18">
        <f t="shared" si="11"/>
        <v>-3.0000000000001137E-3</v>
      </c>
      <c r="E56" s="18">
        <f ca="1">IF(表2_3671626293034[[#This Row],[累计净值]]/MAX(INDIRECT("B21:B" &amp; ROW()))-1&lt;E55,表2_3671626293034[[#This Row],[累计净值]]/MAX(INDIRECT("B21:B" &amp; ROW()))-1,E55)</f>
        <v>-5.8536585365853711E-3</v>
      </c>
      <c r="F56" s="62">
        <f>表2_3671626293034[[#This Row],[累计净值]]</f>
        <v>1.0189999999999999</v>
      </c>
      <c r="G56" s="20">
        <f>表2_3671626293034[[#This Row],[累计净值]]/$B$21-1</f>
        <v>1.8999999999999906E-2</v>
      </c>
    </row>
    <row r="57" spans="1:7" x14ac:dyDescent="0.2">
      <c r="A57" s="15">
        <v>43756</v>
      </c>
      <c r="B57" s="16">
        <v>1.0209999999999999</v>
      </c>
      <c r="C57" s="73">
        <f t="shared" si="10"/>
        <v>2.0000000000000018E-3</v>
      </c>
      <c r="D57" s="18" t="str">
        <f t="shared" si="11"/>
        <v>/</v>
      </c>
      <c r="E57" s="18">
        <f ca="1">IF(表2_3671626293034[[#This Row],[累计净值]]/MAX(INDIRECT("B21:B" &amp; ROW()))-1&lt;E56,表2_3671626293034[[#This Row],[累计净值]]/MAX(INDIRECT("B21:B" &amp; ROW()))-1,E56)</f>
        <v>-5.8536585365853711E-3</v>
      </c>
      <c r="F57" s="62">
        <f>表2_3671626293034[[#This Row],[累计净值]]</f>
        <v>1.0209999999999999</v>
      </c>
      <c r="G57" s="20">
        <f>表2_3671626293034[[#This Row],[累计净值]]/$B$21-1</f>
        <v>2.0999999999999908E-2</v>
      </c>
    </row>
    <row r="58" spans="1:7" x14ac:dyDescent="0.2">
      <c r="A58" s="15">
        <v>43759</v>
      </c>
      <c r="B58" s="16">
        <v>1.0209999999999999</v>
      </c>
      <c r="C58" s="73">
        <f t="shared" si="10"/>
        <v>0</v>
      </c>
      <c r="D58" s="18" t="str">
        <f t="shared" si="11"/>
        <v>/</v>
      </c>
      <c r="E58" s="18">
        <f ca="1">IF(表2_3671626293034[[#This Row],[累计净值]]/MAX(INDIRECT("B21:B" &amp; ROW()))-1&lt;E57,表2_3671626293034[[#This Row],[累计净值]]/MAX(INDIRECT("B21:B" &amp; ROW()))-1,E57)</f>
        <v>-5.8536585365853711E-3</v>
      </c>
      <c r="F58" s="62">
        <f>表2_3671626293034[[#This Row],[累计净值]]</f>
        <v>1.0209999999999999</v>
      </c>
      <c r="G58" s="20">
        <f>表2_3671626293034[[#This Row],[累计净值]]/$B$21-1</f>
        <v>2.0999999999999908E-2</v>
      </c>
    </row>
    <row r="59" spans="1:7" x14ac:dyDescent="0.2">
      <c r="A59" s="15">
        <v>43760</v>
      </c>
      <c r="B59" s="16">
        <v>1.0169999999999999</v>
      </c>
      <c r="C59" s="73">
        <f t="shared" si="10"/>
        <v>-4.0000000000000036E-3</v>
      </c>
      <c r="D59" s="18">
        <f t="shared" si="11"/>
        <v>-4.0000000000000036E-3</v>
      </c>
      <c r="E59" s="18">
        <f ca="1">IF(表2_3671626293034[[#This Row],[累计净值]]/MAX(INDIRECT("B21:B" &amp; ROW()))-1&lt;E58,表2_3671626293034[[#This Row],[累计净值]]/MAX(INDIRECT("B21:B" &amp; ROW()))-1,E58)</f>
        <v>-7.8048780487804947E-3</v>
      </c>
      <c r="F59" s="62">
        <f>表2_3671626293034[[#This Row],[累计净值]]</f>
        <v>1.0169999999999999</v>
      </c>
      <c r="G59" s="20">
        <f>表2_3671626293034[[#This Row],[累计净值]]/$B$21-1</f>
        <v>1.6999999999999904E-2</v>
      </c>
    </row>
    <row r="60" spans="1:7" x14ac:dyDescent="0.2">
      <c r="A60" s="15">
        <v>43761</v>
      </c>
      <c r="B60" s="16">
        <v>1.0149999999999999</v>
      </c>
      <c r="C60" s="73">
        <f t="shared" si="10"/>
        <v>-2.0000000000000018E-3</v>
      </c>
      <c r="D60" s="18">
        <f t="shared" si="11"/>
        <v>-2.0000000000000018E-3</v>
      </c>
      <c r="E60" s="18">
        <f ca="1">IF(表2_3671626293034[[#This Row],[累计净值]]/MAX(INDIRECT("B21:B" &amp; ROW()))-1&lt;E59,表2_3671626293034[[#This Row],[累计净值]]/MAX(INDIRECT("B21:B" &amp; ROW()))-1,E59)</f>
        <v>-9.7560975609756184E-3</v>
      </c>
      <c r="F60" s="62">
        <f>表2_3671626293034[[#This Row],[累计净值]]</f>
        <v>1.0149999999999999</v>
      </c>
      <c r="G60" s="20">
        <f>表2_3671626293034[[#This Row],[累计净值]]/$B$21-1</f>
        <v>1.4999999999999902E-2</v>
      </c>
    </row>
    <row r="61" spans="1:7" x14ac:dyDescent="0.2">
      <c r="A61" s="15">
        <v>43762</v>
      </c>
      <c r="B61" s="16">
        <v>1.024</v>
      </c>
      <c r="C61" s="73">
        <f t="shared" ref="C61:C66" si="12">IFERROR(B61-B60,0)</f>
        <v>9.000000000000119E-3</v>
      </c>
      <c r="D61" s="18" t="str">
        <f t="shared" ref="D61:D66" si="13">IF(C61&lt;0,C61,"/")</f>
        <v>/</v>
      </c>
      <c r="E61" s="18">
        <f ca="1">IF(表2_3671626293034[[#This Row],[累计净值]]/MAX(INDIRECT("B21:B" &amp; ROW()))-1&lt;E60,表2_3671626293034[[#This Row],[累计净值]]/MAX(INDIRECT("B21:B" &amp; ROW()))-1,E60)</f>
        <v>-9.7560975609756184E-3</v>
      </c>
      <c r="F61" s="62">
        <f>表2_3671626293034[[#This Row],[累计净值]]</f>
        <v>1.024</v>
      </c>
      <c r="G61" s="20">
        <f>表2_3671626293034[[#This Row],[累计净值]]/$B$21-1</f>
        <v>2.4000000000000021E-2</v>
      </c>
    </row>
    <row r="62" spans="1:7" x14ac:dyDescent="0.2">
      <c r="A62" s="15">
        <v>43763</v>
      </c>
      <c r="B62" s="16">
        <v>1.0229999999999999</v>
      </c>
      <c r="C62" s="73">
        <f t="shared" si="12"/>
        <v>-1.0000000000001119E-3</v>
      </c>
      <c r="D62" s="18">
        <f t="shared" si="13"/>
        <v>-1.0000000000001119E-3</v>
      </c>
      <c r="E62" s="18">
        <f ca="1">IF(表2_3671626293034[[#This Row],[累计净值]]/MAX(INDIRECT("B21:B" &amp; ROW()))-1&lt;E61,表2_3671626293034[[#This Row],[累计净值]]/MAX(INDIRECT("B21:B" &amp; ROW()))-1,E61)</f>
        <v>-9.7560975609756184E-3</v>
      </c>
      <c r="F62" s="62">
        <f>表2_3671626293034[[#This Row],[累计净值]]</f>
        <v>1.0229999999999999</v>
      </c>
      <c r="G62" s="20">
        <f>表2_3671626293034[[#This Row],[累计净值]]/$B$21-1</f>
        <v>2.2999999999999909E-2</v>
      </c>
    </row>
    <row r="63" spans="1:7" x14ac:dyDescent="0.2">
      <c r="A63" s="15">
        <v>43766</v>
      </c>
      <c r="B63" s="16">
        <v>1.028</v>
      </c>
      <c r="C63" s="73">
        <f t="shared" si="12"/>
        <v>5.0000000000001155E-3</v>
      </c>
      <c r="D63" s="18" t="str">
        <f t="shared" si="13"/>
        <v>/</v>
      </c>
      <c r="E63" s="18">
        <f ca="1">IF(表2_3671626293034[[#This Row],[累计净值]]/MAX(INDIRECT("B21:B" &amp; ROW()))-1&lt;E62,表2_3671626293034[[#This Row],[累计净值]]/MAX(INDIRECT("B21:B" &amp; ROW()))-1,E62)</f>
        <v>-9.7560975609756184E-3</v>
      </c>
      <c r="F63" s="62">
        <f>表2_3671626293034[[#This Row],[累计净值]]</f>
        <v>1.028</v>
      </c>
      <c r="G63" s="20">
        <f>表2_3671626293034[[#This Row],[累计净值]]/$B$21-1</f>
        <v>2.8000000000000025E-2</v>
      </c>
    </row>
    <row r="64" spans="1:7" x14ac:dyDescent="0.2">
      <c r="A64" s="15">
        <v>43767</v>
      </c>
      <c r="B64" s="16">
        <v>1.0209999999999999</v>
      </c>
      <c r="C64" s="73">
        <f t="shared" si="12"/>
        <v>-7.0000000000001172E-3</v>
      </c>
      <c r="D64" s="18">
        <f t="shared" si="13"/>
        <v>-7.0000000000001172E-3</v>
      </c>
      <c r="E64" s="18">
        <f ca="1">IF(表2_3671626293034[[#This Row],[累计净值]]/MAX(INDIRECT("B21:B" &amp; ROW()))-1&lt;E63,表2_3671626293034[[#This Row],[累计净值]]/MAX(INDIRECT("B21:B" &amp; ROW()))-1,E63)</f>
        <v>-9.7560975609756184E-3</v>
      </c>
      <c r="F64" s="62">
        <f>表2_3671626293034[[#This Row],[累计净值]]</f>
        <v>1.0209999999999999</v>
      </c>
      <c r="G64" s="20">
        <f>表2_3671626293034[[#This Row],[累计净值]]/$B$21-1</f>
        <v>2.0999999999999908E-2</v>
      </c>
    </row>
    <row r="65" spans="1:7" x14ac:dyDescent="0.2">
      <c r="A65" s="15">
        <v>43768</v>
      </c>
      <c r="B65" s="16">
        <v>1.0289999999999999</v>
      </c>
      <c r="C65" s="73">
        <f t="shared" si="12"/>
        <v>8.0000000000000071E-3</v>
      </c>
      <c r="D65" s="18" t="str">
        <f t="shared" si="13"/>
        <v>/</v>
      </c>
      <c r="E65" s="18">
        <f ca="1">IF(表2_3671626293034[[#This Row],[累计净值]]/MAX(INDIRECT("B21:B" &amp; ROW()))-1&lt;E64,表2_3671626293034[[#This Row],[累计净值]]/MAX(INDIRECT("B21:B" &amp; ROW()))-1,E64)</f>
        <v>-9.7560975609756184E-3</v>
      </c>
      <c r="F65" s="62">
        <f>表2_3671626293034[[#This Row],[累计净值]]</f>
        <v>1.0289999999999999</v>
      </c>
      <c r="G65" s="20">
        <f>表2_3671626293034[[#This Row],[累计净值]]/$B$21-1</f>
        <v>2.8999999999999915E-2</v>
      </c>
    </row>
    <row r="66" spans="1:7" x14ac:dyDescent="0.2">
      <c r="A66" s="15">
        <v>43769</v>
      </c>
      <c r="B66" s="76">
        <v>1.0309999999999999</v>
      </c>
      <c r="C66" s="73">
        <f t="shared" si="12"/>
        <v>2.0000000000000018E-3</v>
      </c>
      <c r="D66" s="18" t="str">
        <f t="shared" si="13"/>
        <v>/</v>
      </c>
      <c r="E66" s="18">
        <f ca="1">IF(表2_3671626293034[[#This Row],[累计净值]]/MAX(INDIRECT("B21:B" &amp; ROW()))-1&lt;E65,表2_3671626293034[[#This Row],[累计净值]]/MAX(INDIRECT("B21:B" &amp; ROW()))-1,E65)</f>
        <v>-9.7560975609756184E-3</v>
      </c>
      <c r="F66" s="62">
        <f>表2_3671626293034[[#This Row],[累计净值]]</f>
        <v>1.0309999999999999</v>
      </c>
      <c r="G66" s="20">
        <f>表2_3671626293034[[#This Row],[累计净值]]/$B$21-1</f>
        <v>3.0999999999999917E-2</v>
      </c>
    </row>
    <row r="67" spans="1:7" x14ac:dyDescent="0.2">
      <c r="A67" s="15">
        <v>43770</v>
      </c>
      <c r="B67" s="16">
        <v>1.0249999999999999</v>
      </c>
      <c r="C67" s="73">
        <f t="shared" ref="C67:C72" si="14">IFERROR(B67-B66,0)</f>
        <v>-6.0000000000000053E-3</v>
      </c>
      <c r="D67" s="18">
        <f t="shared" ref="D67:D72" si="15">IF(C67&lt;0,C67,"/")</f>
        <v>-6.0000000000000053E-3</v>
      </c>
      <c r="E67" s="18">
        <f ca="1">IF(表2_3671626293034[[#This Row],[累计净值]]/MAX(INDIRECT("B21:B" &amp; ROW()))-1&lt;E66,表2_3671626293034[[#This Row],[累计净值]]/MAX(INDIRECT("B21:B" &amp; ROW()))-1,E66)</f>
        <v>-9.7560975609756184E-3</v>
      </c>
      <c r="F67" s="62">
        <f>表2_3671626293034[[#This Row],[累计净值]]</f>
        <v>1.0249999999999999</v>
      </c>
      <c r="G67" s="20">
        <f>表2_3671626293034[[#This Row],[累计净值]]/$B$21-1</f>
        <v>2.4999999999999911E-2</v>
      </c>
    </row>
    <row r="68" spans="1:7" x14ac:dyDescent="0.2">
      <c r="A68" s="15">
        <v>43773</v>
      </c>
      <c r="B68" s="16">
        <v>1.026</v>
      </c>
      <c r="C68" s="73">
        <f t="shared" si="14"/>
        <v>1.0000000000001119E-3</v>
      </c>
      <c r="D68" s="18" t="str">
        <f t="shared" si="15"/>
        <v>/</v>
      </c>
      <c r="E68" s="18">
        <f ca="1">IF(表2_3671626293034[[#This Row],[累计净值]]/MAX(INDIRECT("B21:B" &amp; ROW()))-1&lt;E67,表2_3671626293034[[#This Row],[累计净值]]/MAX(INDIRECT("B21:B" &amp; ROW()))-1,E67)</f>
        <v>-9.7560975609756184E-3</v>
      </c>
      <c r="F68" s="62">
        <f>表2_3671626293034[[#This Row],[累计净值]]</f>
        <v>1.026</v>
      </c>
      <c r="G68" s="20">
        <f>表2_3671626293034[[#This Row],[累计净值]]/$B$21-1</f>
        <v>2.6000000000000023E-2</v>
      </c>
    </row>
    <row r="69" spans="1:7" x14ac:dyDescent="0.2">
      <c r="A69" s="15">
        <v>43774</v>
      </c>
      <c r="B69" s="16">
        <v>1.0289999999999999</v>
      </c>
      <c r="C69" s="73">
        <f t="shared" si="14"/>
        <v>2.9999999999998916E-3</v>
      </c>
      <c r="D69" s="18" t="str">
        <f t="shared" si="15"/>
        <v>/</v>
      </c>
      <c r="E69" s="18">
        <f ca="1">IF(表2_3671626293034[[#This Row],[累计净值]]/MAX(INDIRECT("B21:B" &amp; ROW()))-1&lt;E68,表2_3671626293034[[#This Row],[累计净值]]/MAX(INDIRECT("B21:B" &amp; ROW()))-1,E68)</f>
        <v>-9.7560975609756184E-3</v>
      </c>
      <c r="F69" s="62">
        <f>表2_3671626293034[[#This Row],[累计净值]]</f>
        <v>1.0289999999999999</v>
      </c>
      <c r="G69" s="20">
        <f>表2_3671626293034[[#This Row],[累计净值]]/$B$21-1</f>
        <v>2.8999999999999915E-2</v>
      </c>
    </row>
    <row r="70" spans="1:7" x14ac:dyDescent="0.2">
      <c r="A70" s="15">
        <v>43775</v>
      </c>
      <c r="B70" s="16">
        <v>1.0269999999999999</v>
      </c>
      <c r="C70" s="73">
        <f t="shared" si="14"/>
        <v>-2.0000000000000018E-3</v>
      </c>
      <c r="D70" s="18">
        <f t="shared" si="15"/>
        <v>-2.0000000000000018E-3</v>
      </c>
      <c r="E70" s="18">
        <f ca="1">IF(表2_3671626293034[[#This Row],[累计净值]]/MAX(INDIRECT("B21:B" &amp; ROW()))-1&lt;E69,表2_3671626293034[[#This Row],[累计净值]]/MAX(INDIRECT("B21:B" &amp; ROW()))-1,E69)</f>
        <v>-9.7560975609756184E-3</v>
      </c>
      <c r="F70" s="62">
        <f>表2_3671626293034[[#This Row],[累计净值]]</f>
        <v>1.0269999999999999</v>
      </c>
      <c r="G70" s="20">
        <f>表2_3671626293034[[#This Row],[累计净值]]/$B$21-1</f>
        <v>2.6999999999999913E-2</v>
      </c>
    </row>
    <row r="71" spans="1:7" x14ac:dyDescent="0.2">
      <c r="A71" s="15">
        <v>43776</v>
      </c>
      <c r="B71" s="16">
        <v>1.0249999999999999</v>
      </c>
      <c r="C71" s="73">
        <f t="shared" si="14"/>
        <v>-2.0000000000000018E-3</v>
      </c>
      <c r="D71" s="18">
        <f t="shared" si="15"/>
        <v>-2.0000000000000018E-3</v>
      </c>
      <c r="E71" s="18">
        <f ca="1">IF(表2_3671626293034[[#This Row],[累计净值]]/MAX(INDIRECT("B21:B" &amp; ROW()))-1&lt;E70,表2_3671626293034[[#This Row],[累计净值]]/MAX(INDIRECT("B21:B" &amp; ROW()))-1,E70)</f>
        <v>-9.7560975609756184E-3</v>
      </c>
      <c r="F71" s="62">
        <f>表2_3671626293034[[#This Row],[累计净值]]</f>
        <v>1.0249999999999999</v>
      </c>
      <c r="G71" s="20">
        <f>表2_3671626293034[[#This Row],[累计净值]]/$B$21-1</f>
        <v>2.4999999999999911E-2</v>
      </c>
    </row>
    <row r="72" spans="1:7" x14ac:dyDescent="0.2">
      <c r="A72" s="15">
        <v>43777</v>
      </c>
      <c r="B72" s="16">
        <v>1.0309999999999999</v>
      </c>
      <c r="C72" s="73">
        <f t="shared" si="14"/>
        <v>6.0000000000000053E-3</v>
      </c>
      <c r="D72" s="18" t="str">
        <f t="shared" si="15"/>
        <v>/</v>
      </c>
      <c r="E72" s="18">
        <f ca="1">IF(表2_3671626293034[[#This Row],[累计净值]]/MAX(INDIRECT("B21:B" &amp; ROW()))-1&lt;E71,表2_3671626293034[[#This Row],[累计净值]]/MAX(INDIRECT("B21:B" &amp; ROW()))-1,E71)</f>
        <v>-9.7560975609756184E-3</v>
      </c>
      <c r="F72" s="62">
        <f>表2_3671626293034[[#This Row],[累计净值]]</f>
        <v>1.0309999999999999</v>
      </c>
      <c r="G72" s="20">
        <f>表2_3671626293034[[#This Row],[累计净值]]/$B$21-1</f>
        <v>3.0999999999999917E-2</v>
      </c>
    </row>
    <row r="73" spans="1:7" x14ac:dyDescent="0.2">
      <c r="A73" s="15">
        <v>43780</v>
      </c>
      <c r="B73" s="16">
        <v>1.03</v>
      </c>
      <c r="C73" s="73">
        <f t="shared" ref="C73:C79" si="16">IFERROR(B73-B72,0)</f>
        <v>-9.9999999999988987E-4</v>
      </c>
      <c r="D73" s="18">
        <f t="shared" ref="D73:D79" si="17">IF(C73&lt;0,C73,"/")</f>
        <v>-9.9999999999988987E-4</v>
      </c>
      <c r="E73" s="18">
        <f ca="1">IF(表2_3671626293034[[#This Row],[累计净值]]/MAX(INDIRECT("B21:B" &amp; ROW()))-1&lt;E72,表2_3671626293034[[#This Row],[累计净值]]/MAX(INDIRECT("B21:B" &amp; ROW()))-1,E72)</f>
        <v>-9.7560975609756184E-3</v>
      </c>
      <c r="F73" s="62">
        <f>表2_3671626293034[[#This Row],[累计净值]]</f>
        <v>1.03</v>
      </c>
      <c r="G73" s="20">
        <f>表2_3671626293034[[#This Row],[累计净值]]/$B$21-1</f>
        <v>3.0000000000000027E-2</v>
      </c>
    </row>
    <row r="74" spans="1:7" x14ac:dyDescent="0.2">
      <c r="A74" s="15">
        <v>43781</v>
      </c>
      <c r="B74" s="16">
        <v>1.024</v>
      </c>
      <c r="C74" s="73">
        <f t="shared" si="16"/>
        <v>-6.0000000000000053E-3</v>
      </c>
      <c r="D74" s="18">
        <f t="shared" si="17"/>
        <v>-6.0000000000000053E-3</v>
      </c>
      <c r="E74" s="18">
        <f ca="1">IF(表2_3671626293034[[#This Row],[累计净值]]/MAX(INDIRECT("B21:B" &amp; ROW()))-1&lt;E73,表2_3671626293034[[#This Row],[累计净值]]/MAX(INDIRECT("B21:B" &amp; ROW()))-1,E73)</f>
        <v>-9.7560975609756184E-3</v>
      </c>
      <c r="F74" s="62">
        <f>表2_3671626293034[[#This Row],[累计净值]]</f>
        <v>1.024</v>
      </c>
      <c r="G74" s="20">
        <f>表2_3671626293034[[#This Row],[累计净值]]/$B$21-1</f>
        <v>2.4000000000000021E-2</v>
      </c>
    </row>
    <row r="75" spans="1:7" x14ac:dyDescent="0.2">
      <c r="A75" s="15">
        <v>43782</v>
      </c>
      <c r="B75" s="16">
        <v>1.026</v>
      </c>
      <c r="C75" s="73">
        <f t="shared" si="16"/>
        <v>2.0000000000000018E-3</v>
      </c>
      <c r="D75" s="18" t="str">
        <f t="shared" si="17"/>
        <v>/</v>
      </c>
      <c r="E75" s="18">
        <f ca="1">IF(表2_3671626293034[[#This Row],[累计净值]]/MAX(INDIRECT("B21:B" &amp; ROW()))-1&lt;E74,表2_3671626293034[[#This Row],[累计净值]]/MAX(INDIRECT("B21:B" &amp; ROW()))-1,E74)</f>
        <v>-9.7560975609756184E-3</v>
      </c>
      <c r="F75" s="62">
        <f>表2_3671626293034[[#This Row],[累计净值]]</f>
        <v>1.026</v>
      </c>
      <c r="G75" s="20">
        <f>表2_3671626293034[[#This Row],[累计净值]]/$B$21-1</f>
        <v>2.6000000000000023E-2</v>
      </c>
    </row>
    <row r="76" spans="1:7" x14ac:dyDescent="0.2">
      <c r="A76" s="15">
        <v>43783</v>
      </c>
      <c r="B76" s="16">
        <v>1.024</v>
      </c>
      <c r="C76" s="73">
        <f t="shared" si="16"/>
        <v>-2.0000000000000018E-3</v>
      </c>
      <c r="D76" s="18">
        <f t="shared" si="17"/>
        <v>-2.0000000000000018E-3</v>
      </c>
      <c r="E76" s="18">
        <f ca="1">IF(表2_3671626293034[[#This Row],[累计净值]]/MAX(INDIRECT("B21:B" &amp; ROW()))-1&lt;E75,表2_3671626293034[[#This Row],[累计净值]]/MAX(INDIRECT("B21:B" &amp; ROW()))-1,E75)</f>
        <v>-9.7560975609756184E-3</v>
      </c>
      <c r="F76" s="62">
        <f>表2_3671626293034[[#This Row],[累计净值]]</f>
        <v>1.024</v>
      </c>
      <c r="G76" s="20">
        <f>表2_3671626293034[[#This Row],[累计净值]]/$B$21-1</f>
        <v>2.4000000000000021E-2</v>
      </c>
    </row>
    <row r="77" spans="1:7" x14ac:dyDescent="0.2">
      <c r="A77" s="15">
        <v>43784</v>
      </c>
      <c r="B77" s="16">
        <v>1.0269999999999999</v>
      </c>
      <c r="C77" s="73">
        <f t="shared" si="16"/>
        <v>2.9999999999998916E-3</v>
      </c>
      <c r="D77" s="18" t="str">
        <f t="shared" si="17"/>
        <v>/</v>
      </c>
      <c r="E77" s="18">
        <f ca="1">IF(表2_3671626293034[[#This Row],[累计净值]]/MAX(INDIRECT("B21:B" &amp; ROW()))-1&lt;E76,表2_3671626293034[[#This Row],[累计净值]]/MAX(INDIRECT("B21:B" &amp; ROW()))-1,E76)</f>
        <v>-9.7560975609756184E-3</v>
      </c>
      <c r="F77" s="62">
        <f>表2_3671626293034[[#This Row],[累计净值]]</f>
        <v>1.0269999999999999</v>
      </c>
      <c r="G77" s="20">
        <f>表2_3671626293034[[#This Row],[累计净值]]/$B$21-1</f>
        <v>2.6999999999999913E-2</v>
      </c>
    </row>
    <row r="78" spans="1:7" x14ac:dyDescent="0.2">
      <c r="A78" s="15">
        <v>43787</v>
      </c>
      <c r="B78" s="16">
        <v>1.03</v>
      </c>
      <c r="C78" s="73">
        <f t="shared" si="16"/>
        <v>3.0000000000001137E-3</v>
      </c>
      <c r="D78" s="18" t="str">
        <f t="shared" si="17"/>
        <v>/</v>
      </c>
      <c r="E78" s="18">
        <f ca="1">IF(表2_3671626293034[[#This Row],[累计净值]]/MAX(INDIRECT("B21:B" &amp; ROW()))-1&lt;E77,表2_3671626293034[[#This Row],[累计净值]]/MAX(INDIRECT("B21:B" &amp; ROW()))-1,E77)</f>
        <v>-9.7560975609756184E-3</v>
      </c>
      <c r="F78" s="62">
        <f>表2_3671626293034[[#This Row],[累计净值]]</f>
        <v>1.03</v>
      </c>
      <c r="G78" s="20">
        <f>表2_3671626293034[[#This Row],[累计净值]]/$B$21-1</f>
        <v>3.0000000000000027E-2</v>
      </c>
    </row>
    <row r="79" spans="1:7" x14ac:dyDescent="0.2">
      <c r="A79" s="15">
        <v>43788</v>
      </c>
      <c r="B79" s="16">
        <v>1.03</v>
      </c>
      <c r="C79" s="73">
        <f t="shared" si="16"/>
        <v>0</v>
      </c>
      <c r="D79" s="18" t="str">
        <f t="shared" si="17"/>
        <v>/</v>
      </c>
      <c r="E79" s="18">
        <f ca="1">IF(表2_3671626293034[[#This Row],[累计净值]]/MAX(INDIRECT("B21:B" &amp; ROW()))-1&lt;E78,表2_3671626293034[[#This Row],[累计净值]]/MAX(INDIRECT("B21:B" &amp; ROW()))-1,E78)</f>
        <v>-9.7560975609756184E-3</v>
      </c>
      <c r="F79" s="62">
        <f>表2_3671626293034[[#This Row],[累计净值]]</f>
        <v>1.03</v>
      </c>
      <c r="G79" s="20">
        <f>表2_3671626293034[[#This Row],[累计净值]]/$B$21-1</f>
        <v>3.0000000000000027E-2</v>
      </c>
    </row>
    <row r="80" spans="1:7" x14ac:dyDescent="0.2">
      <c r="A80" s="15">
        <v>43789</v>
      </c>
      <c r="B80" s="16">
        <v>1.0309999999999999</v>
      </c>
      <c r="C80" s="73">
        <f t="shared" ref="C80:C85" si="18">IFERROR(B80-B79,0)</f>
        <v>9.9999999999988987E-4</v>
      </c>
      <c r="D80" s="18" t="str">
        <f t="shared" ref="D80:D85" si="19">IF(C80&lt;0,C80,"/")</f>
        <v>/</v>
      </c>
      <c r="E80" s="18">
        <f ca="1">IF(表2_3671626293034[[#This Row],[累计净值]]/MAX(INDIRECT("B21:B" &amp; ROW()))-1&lt;E79,表2_3671626293034[[#This Row],[累计净值]]/MAX(INDIRECT("B21:B" &amp; ROW()))-1,E79)</f>
        <v>-9.7560975609756184E-3</v>
      </c>
      <c r="F80" s="62">
        <f>表2_3671626293034[[#This Row],[累计净值]]</f>
        <v>1.0309999999999999</v>
      </c>
      <c r="G80" s="20">
        <f>表2_3671626293034[[#This Row],[累计净值]]/$B$21-1</f>
        <v>3.0999999999999917E-2</v>
      </c>
    </row>
    <row r="81" spans="1:7" x14ac:dyDescent="0.2">
      <c r="A81" s="15">
        <v>43790</v>
      </c>
      <c r="B81" s="16">
        <v>1.0309999999999999</v>
      </c>
      <c r="C81" s="73">
        <f t="shared" si="18"/>
        <v>0</v>
      </c>
      <c r="D81" s="18" t="str">
        <f t="shared" si="19"/>
        <v>/</v>
      </c>
      <c r="E81" s="18">
        <f ca="1">IF(表2_3671626293034[[#This Row],[累计净值]]/MAX(INDIRECT("B21:B" &amp; ROW()))-1&lt;E80,表2_3671626293034[[#This Row],[累计净值]]/MAX(INDIRECT("B21:B" &amp; ROW()))-1,E80)</f>
        <v>-9.7560975609756184E-3</v>
      </c>
      <c r="F81" s="62">
        <f>表2_3671626293034[[#This Row],[累计净值]]</f>
        <v>1.0309999999999999</v>
      </c>
      <c r="G81" s="20">
        <f>表2_3671626293034[[#This Row],[累计净值]]/$B$21-1</f>
        <v>3.0999999999999917E-2</v>
      </c>
    </row>
    <row r="82" spans="1:7" x14ac:dyDescent="0.2">
      <c r="A82" s="15">
        <v>43791</v>
      </c>
      <c r="B82" s="16">
        <v>1.0389999999999999</v>
      </c>
      <c r="C82" s="73">
        <f t="shared" si="18"/>
        <v>8.0000000000000071E-3</v>
      </c>
      <c r="D82" s="18" t="str">
        <f t="shared" si="19"/>
        <v>/</v>
      </c>
      <c r="E82" s="18">
        <f ca="1">IF(表2_3671626293034[[#This Row],[累计净值]]/MAX(INDIRECT("B21:B" &amp; ROW()))-1&lt;E81,表2_3671626293034[[#This Row],[累计净值]]/MAX(INDIRECT("B21:B" &amp; ROW()))-1,E81)</f>
        <v>-9.7560975609756184E-3</v>
      </c>
      <c r="F82" s="62">
        <f>表2_3671626293034[[#This Row],[累计净值]]</f>
        <v>1.0389999999999999</v>
      </c>
      <c r="G82" s="20">
        <f>表2_3671626293034[[#This Row],[累计净值]]/$B$21-1</f>
        <v>3.8999999999999924E-2</v>
      </c>
    </row>
    <row r="83" spans="1:7" x14ac:dyDescent="0.2">
      <c r="A83" s="15">
        <v>43794</v>
      </c>
      <c r="B83" s="16">
        <v>1.04</v>
      </c>
      <c r="C83" s="73">
        <f t="shared" si="18"/>
        <v>1.0000000000001119E-3</v>
      </c>
      <c r="D83" s="18" t="str">
        <f t="shared" si="19"/>
        <v>/</v>
      </c>
      <c r="E83" s="18">
        <f ca="1">IF(表2_3671626293034[[#This Row],[累计净值]]/MAX(INDIRECT("B21:B" &amp; ROW()))-1&lt;E82,表2_3671626293034[[#This Row],[累计净值]]/MAX(INDIRECT("B21:B" &amp; ROW()))-1,E82)</f>
        <v>-9.7560975609756184E-3</v>
      </c>
      <c r="F83" s="62">
        <f>表2_3671626293034[[#This Row],[累计净值]]</f>
        <v>1.04</v>
      </c>
      <c r="G83" s="20">
        <f>表2_3671626293034[[#This Row],[累计净值]]/$B$21-1</f>
        <v>4.0000000000000036E-2</v>
      </c>
    </row>
    <row r="84" spans="1:7" x14ac:dyDescent="0.2">
      <c r="A84" s="15">
        <v>43795</v>
      </c>
      <c r="B84" s="16">
        <v>1.0389999999999999</v>
      </c>
      <c r="C84" s="73">
        <f t="shared" si="18"/>
        <v>-1.0000000000001119E-3</v>
      </c>
      <c r="D84" s="18">
        <f t="shared" si="19"/>
        <v>-1.0000000000001119E-3</v>
      </c>
      <c r="E84" s="18">
        <f ca="1">IF(表2_3671626293034[[#This Row],[累计净值]]/MAX(INDIRECT("B21:B" &amp; ROW()))-1&lt;E83,表2_3671626293034[[#This Row],[累计净值]]/MAX(INDIRECT("B21:B" &amp; ROW()))-1,E83)</f>
        <v>-9.7560975609756184E-3</v>
      </c>
      <c r="F84" s="62">
        <f>表2_3671626293034[[#This Row],[累计净值]]</f>
        <v>1.0389999999999999</v>
      </c>
      <c r="G84" s="20">
        <f>表2_3671626293034[[#This Row],[累计净值]]/$B$21-1</f>
        <v>3.8999999999999924E-2</v>
      </c>
    </row>
    <row r="85" spans="1:7" x14ac:dyDescent="0.2">
      <c r="A85" s="15">
        <v>43796</v>
      </c>
      <c r="B85" s="16">
        <v>1.0409999999999999</v>
      </c>
      <c r="C85" s="73">
        <f t="shared" si="18"/>
        <v>2.0000000000000018E-3</v>
      </c>
      <c r="D85" s="18" t="str">
        <f t="shared" si="19"/>
        <v>/</v>
      </c>
      <c r="E85" s="18">
        <f ca="1">IF(表2_3671626293034[[#This Row],[累计净值]]/MAX(INDIRECT("B21:B" &amp; ROW()))-1&lt;E84,表2_3671626293034[[#This Row],[累计净值]]/MAX(INDIRECT("B21:B" &amp; ROW()))-1,E84)</f>
        <v>-9.7560975609756184E-3</v>
      </c>
      <c r="F85" s="62">
        <f>表2_3671626293034[[#This Row],[累计净值]]</f>
        <v>1.0409999999999999</v>
      </c>
      <c r="G85" s="20">
        <f>表2_3671626293034[[#This Row],[累计净值]]/$B$21-1</f>
        <v>4.0999999999999925E-2</v>
      </c>
    </row>
    <row r="86" spans="1:7" x14ac:dyDescent="0.2">
      <c r="A86" s="15">
        <v>43797</v>
      </c>
      <c r="B86" s="16">
        <v>1.042</v>
      </c>
      <c r="C86" s="73">
        <f t="shared" ref="C86:C91" si="20">IFERROR(B86-B85,0)</f>
        <v>1.0000000000001119E-3</v>
      </c>
      <c r="D86" s="18" t="str">
        <f t="shared" ref="D86:D91" si="21">IF(C86&lt;0,C86,"/")</f>
        <v>/</v>
      </c>
      <c r="E86" s="18">
        <f ca="1">IF(表2_3671626293034[[#This Row],[累计净值]]/MAX(INDIRECT("B21:B" &amp; ROW()))-1&lt;E85,表2_3671626293034[[#This Row],[累计净值]]/MAX(INDIRECT("B21:B" &amp; ROW()))-1,E85)</f>
        <v>-9.7560975609756184E-3</v>
      </c>
      <c r="F86" s="62">
        <f>表2_3671626293034[[#This Row],[累计净值]]</f>
        <v>1.042</v>
      </c>
      <c r="G86" s="20">
        <f>表2_3671626293034[[#This Row],[累计净值]]/$B$21-1</f>
        <v>4.2000000000000037E-2</v>
      </c>
    </row>
    <row r="87" spans="1:7" x14ac:dyDescent="0.2">
      <c r="A87" s="15">
        <v>43798</v>
      </c>
      <c r="B87" s="16">
        <v>1.0429999999999999</v>
      </c>
      <c r="C87" s="73">
        <f t="shared" si="20"/>
        <v>9.9999999999988987E-4</v>
      </c>
      <c r="D87" s="18" t="str">
        <f t="shared" si="21"/>
        <v>/</v>
      </c>
      <c r="E87" s="18">
        <f ca="1">IF(表2_3671626293034[[#This Row],[累计净值]]/MAX(INDIRECT("B21:B" &amp; ROW()))-1&lt;E86,表2_3671626293034[[#This Row],[累计净值]]/MAX(INDIRECT("B21:B" &amp; ROW()))-1,E86)</f>
        <v>-9.7560975609756184E-3</v>
      </c>
      <c r="F87" s="62">
        <f>表2_3671626293034[[#This Row],[累计净值]]</f>
        <v>1.0429999999999999</v>
      </c>
      <c r="G87" s="20">
        <f>表2_3671626293034[[#This Row],[累计净值]]/$B$21-1</f>
        <v>4.2999999999999927E-2</v>
      </c>
    </row>
    <row r="88" spans="1:7" x14ac:dyDescent="0.2">
      <c r="A88" s="15">
        <v>43801</v>
      </c>
      <c r="B88" s="16">
        <v>1.044</v>
      </c>
      <c r="C88" s="73">
        <f t="shared" si="20"/>
        <v>1.0000000000001119E-3</v>
      </c>
      <c r="D88" s="18" t="str">
        <f t="shared" si="21"/>
        <v>/</v>
      </c>
      <c r="E88" s="18">
        <f ca="1">IF(表2_3671626293034[[#This Row],[累计净值]]/MAX(INDIRECT("B21:B" &amp; ROW()))-1&lt;E87,表2_3671626293034[[#This Row],[累计净值]]/MAX(INDIRECT("B21:B" &amp; ROW()))-1,E87)</f>
        <v>-9.7560975609756184E-3</v>
      </c>
      <c r="F88" s="62">
        <f>表2_3671626293034[[#This Row],[累计净值]]</f>
        <v>1.044</v>
      </c>
      <c r="G88" s="20">
        <f>表2_3671626293034[[#This Row],[累计净值]]/$B$21-1</f>
        <v>4.4000000000000039E-2</v>
      </c>
    </row>
    <row r="89" spans="1:7" x14ac:dyDescent="0.2">
      <c r="A89" s="15">
        <v>43802</v>
      </c>
      <c r="B89" s="16">
        <v>1.046</v>
      </c>
      <c r="C89" s="73">
        <f t="shared" si="20"/>
        <v>2.0000000000000018E-3</v>
      </c>
      <c r="D89" s="18" t="str">
        <f t="shared" si="21"/>
        <v>/</v>
      </c>
      <c r="E89" s="18">
        <f ca="1">IF(表2_3671626293034[[#This Row],[累计净值]]/MAX(INDIRECT("B21:B" &amp; ROW()))-1&lt;E88,表2_3671626293034[[#This Row],[累计净值]]/MAX(INDIRECT("B21:B" &amp; ROW()))-1,E88)</f>
        <v>-9.7560975609756184E-3</v>
      </c>
      <c r="F89" s="62">
        <f>表2_3671626293034[[#This Row],[累计净值]]</f>
        <v>1.046</v>
      </c>
      <c r="G89" s="20">
        <f>表2_3671626293034[[#This Row],[累计净值]]/$B$21-1</f>
        <v>4.6000000000000041E-2</v>
      </c>
    </row>
    <row r="90" spans="1:7" x14ac:dyDescent="0.2">
      <c r="A90" s="15">
        <v>43803</v>
      </c>
      <c r="B90" s="16">
        <v>1.0469999999999999</v>
      </c>
      <c r="C90" s="73">
        <f t="shared" si="20"/>
        <v>9.9999999999988987E-4</v>
      </c>
      <c r="D90" s="18" t="str">
        <f t="shared" si="21"/>
        <v>/</v>
      </c>
      <c r="E90" s="18">
        <f ca="1">IF(表2_3671626293034[[#This Row],[累计净值]]/MAX(INDIRECT("B21:B" &amp; ROW()))-1&lt;E89,表2_3671626293034[[#This Row],[累计净值]]/MAX(INDIRECT("B21:B" &amp; ROW()))-1,E89)</f>
        <v>-9.7560975609756184E-3</v>
      </c>
      <c r="F90" s="62">
        <f>表2_3671626293034[[#This Row],[累计净值]]</f>
        <v>1.0469999999999999</v>
      </c>
      <c r="G90" s="20">
        <f>表2_3671626293034[[#This Row],[累计净值]]/$B$21-1</f>
        <v>4.6999999999999931E-2</v>
      </c>
    </row>
    <row r="91" spans="1:7" x14ac:dyDescent="0.2">
      <c r="A91" s="15">
        <v>43804</v>
      </c>
      <c r="B91" s="16">
        <v>1.046</v>
      </c>
      <c r="C91" s="73">
        <f t="shared" si="20"/>
        <v>-9.9999999999988987E-4</v>
      </c>
      <c r="D91" s="18">
        <f t="shared" si="21"/>
        <v>-9.9999999999988987E-4</v>
      </c>
      <c r="E91" s="18">
        <f ca="1">IF(表2_3671626293034[[#This Row],[累计净值]]/MAX(INDIRECT("B21:B" &amp; ROW()))-1&lt;E90,表2_3671626293034[[#This Row],[累计净值]]/MAX(INDIRECT("B21:B" &amp; ROW()))-1,E90)</f>
        <v>-9.7560975609756184E-3</v>
      </c>
      <c r="F91" s="62">
        <f>表2_3671626293034[[#This Row],[累计净值]]</f>
        <v>1.046</v>
      </c>
      <c r="G91" s="20">
        <f>表2_3671626293034[[#This Row],[累计净值]]/$B$21-1</f>
        <v>4.6000000000000041E-2</v>
      </c>
    </row>
    <row r="92" spans="1:7" x14ac:dyDescent="0.2">
      <c r="A92" s="15">
        <v>43805</v>
      </c>
      <c r="B92" s="16">
        <v>1.048</v>
      </c>
      <c r="C92" s="73">
        <f t="shared" ref="C92:C97" si="22">IFERROR(B92-B91,0)</f>
        <v>2.0000000000000018E-3</v>
      </c>
      <c r="D92" s="18" t="str">
        <f t="shared" ref="D92:D97" si="23">IF(C92&lt;0,C92,"/")</f>
        <v>/</v>
      </c>
      <c r="E92" s="18">
        <f ca="1">IF(表2_3671626293034[[#This Row],[累计净值]]/MAX(INDIRECT("B21:B" &amp; ROW()))-1&lt;E91,表2_3671626293034[[#This Row],[累计净值]]/MAX(INDIRECT("B21:B" &amp; ROW()))-1,E91)</f>
        <v>-9.7560975609756184E-3</v>
      </c>
      <c r="F92" s="62">
        <f>表2_3671626293034[[#This Row],[累计净值]]</f>
        <v>1.048</v>
      </c>
      <c r="G92" s="20">
        <f>表2_3671626293034[[#This Row],[累计净值]]/$B$21-1</f>
        <v>4.8000000000000043E-2</v>
      </c>
    </row>
    <row r="93" spans="1:7" x14ac:dyDescent="0.2">
      <c r="A93" s="15">
        <v>43808</v>
      </c>
      <c r="B93" s="16">
        <v>1.042</v>
      </c>
      <c r="C93" s="73">
        <f t="shared" si="22"/>
        <v>-6.0000000000000053E-3</v>
      </c>
      <c r="D93" s="18">
        <f t="shared" si="23"/>
        <v>-6.0000000000000053E-3</v>
      </c>
      <c r="E93" s="18">
        <f ca="1">IF(表2_3671626293034[[#This Row],[累计净值]]/MAX(INDIRECT("B21:B" &amp; ROW()))-1&lt;E92,表2_3671626293034[[#This Row],[累计净值]]/MAX(INDIRECT("B21:B" &amp; ROW()))-1,E92)</f>
        <v>-9.7560975609756184E-3</v>
      </c>
      <c r="F93" s="62">
        <f>表2_3671626293034[[#This Row],[累计净值]]</f>
        <v>1.042</v>
      </c>
      <c r="G93" s="20">
        <f>表2_3671626293034[[#This Row],[累计净值]]/$B$21-1</f>
        <v>4.2000000000000037E-2</v>
      </c>
    </row>
    <row r="94" spans="1:7" x14ac:dyDescent="0.2">
      <c r="A94" s="15">
        <v>43809</v>
      </c>
      <c r="B94" s="16">
        <v>1.0449999999999999</v>
      </c>
      <c r="C94" s="73">
        <f t="shared" si="22"/>
        <v>2.9999999999998916E-3</v>
      </c>
      <c r="D94" s="18" t="str">
        <f t="shared" si="23"/>
        <v>/</v>
      </c>
      <c r="E94" s="18">
        <f ca="1">IF(表2_3671626293034[[#This Row],[累计净值]]/MAX(INDIRECT("B21:B" &amp; ROW()))-1&lt;E93,表2_3671626293034[[#This Row],[累计净值]]/MAX(INDIRECT("B21:B" &amp; ROW()))-1,E93)</f>
        <v>-9.7560975609756184E-3</v>
      </c>
      <c r="F94" s="62">
        <f>表2_3671626293034[[#This Row],[累计净值]]</f>
        <v>1.0449999999999999</v>
      </c>
      <c r="G94" s="20">
        <f>表2_3671626293034[[#This Row],[累计净值]]/$B$21-1</f>
        <v>4.4999999999999929E-2</v>
      </c>
    </row>
    <row r="95" spans="1:7" x14ac:dyDescent="0.2">
      <c r="A95" s="15">
        <v>43810</v>
      </c>
      <c r="B95" s="16">
        <v>1.0469999999999999</v>
      </c>
      <c r="C95" s="73">
        <f t="shared" si="22"/>
        <v>2.0000000000000018E-3</v>
      </c>
      <c r="D95" s="18" t="str">
        <f t="shared" si="23"/>
        <v>/</v>
      </c>
      <c r="E95" s="18">
        <f ca="1">IF(表2_3671626293034[[#This Row],[累计净值]]/MAX(INDIRECT("B21:B" &amp; ROW()))-1&lt;E94,表2_3671626293034[[#This Row],[累计净值]]/MAX(INDIRECT("B21:B" &amp; ROW()))-1,E94)</f>
        <v>-9.7560975609756184E-3</v>
      </c>
      <c r="F95" s="62">
        <f>表2_3671626293034[[#This Row],[累计净值]]</f>
        <v>1.0469999999999999</v>
      </c>
      <c r="G95" s="20">
        <f>表2_3671626293034[[#This Row],[累计净值]]/$B$21-1</f>
        <v>4.6999999999999931E-2</v>
      </c>
    </row>
    <row r="96" spans="1:7" x14ac:dyDescent="0.2">
      <c r="A96" s="15">
        <v>43811</v>
      </c>
      <c r="B96" s="76">
        <v>1.05</v>
      </c>
      <c r="C96" s="73">
        <f t="shared" si="22"/>
        <v>3.0000000000001137E-3</v>
      </c>
      <c r="D96" s="18" t="str">
        <f t="shared" si="23"/>
        <v>/</v>
      </c>
      <c r="E96" s="18">
        <f ca="1">IF(表2_3671626293034[[#This Row],[累计净值]]/MAX(INDIRECT("B21:B" &amp; ROW()))-1&lt;E95,表2_3671626293034[[#This Row],[累计净值]]/MAX(INDIRECT("B21:B" &amp; ROW()))-1,E95)</f>
        <v>-9.7560975609756184E-3</v>
      </c>
      <c r="F96" s="62">
        <f>表2_3671626293034[[#This Row],[累计净值]]</f>
        <v>1.05</v>
      </c>
      <c r="G96" s="20">
        <f>表2_3671626293034[[#This Row],[累计净值]]/$B$21-1</f>
        <v>5.0000000000000044E-2</v>
      </c>
    </row>
    <row r="97" spans="1:7" x14ac:dyDescent="0.2">
      <c r="A97" s="15">
        <v>43812</v>
      </c>
      <c r="B97" s="16">
        <v>1.05</v>
      </c>
      <c r="C97" s="73">
        <f t="shared" si="22"/>
        <v>0</v>
      </c>
      <c r="D97" s="18" t="str">
        <f t="shared" si="23"/>
        <v>/</v>
      </c>
      <c r="E97" s="18">
        <f ca="1">IF(表2_3671626293034[[#This Row],[累计净值]]/MAX(INDIRECT("B21:B" &amp; ROW()))-1&lt;E96,表2_3671626293034[[#This Row],[累计净值]]/MAX(INDIRECT("B21:B" &amp; ROW()))-1,E96)</f>
        <v>-9.7560975609756184E-3</v>
      </c>
      <c r="F97" s="62">
        <f>表2_3671626293034[[#This Row],[累计净值]]</f>
        <v>1.05</v>
      </c>
      <c r="G97" s="20">
        <f>表2_3671626293034[[#This Row],[累计净值]]/$B$21-1</f>
        <v>5.0000000000000044E-2</v>
      </c>
    </row>
    <row r="98" spans="1:7" x14ac:dyDescent="0.2">
      <c r="A98" s="15">
        <v>43815</v>
      </c>
      <c r="B98" s="16">
        <v>1.05</v>
      </c>
      <c r="C98" s="73">
        <f>IFERROR(B98-B97,0)</f>
        <v>0</v>
      </c>
      <c r="D98" s="18" t="str">
        <f>IF(C98&lt;0,C98,"/")</f>
        <v>/</v>
      </c>
      <c r="E98" s="18">
        <f ca="1">IF(表2_3671626293034[[#This Row],[累计净值]]/MAX(INDIRECT("B21:B" &amp; ROW()))-1&lt;E97,表2_3671626293034[[#This Row],[累计净值]]/MAX(INDIRECT("B21:B" &amp; ROW()))-1,E97)</f>
        <v>-9.7560975609756184E-3</v>
      </c>
      <c r="F98" s="62">
        <f>表2_3671626293034[[#This Row],[累计净值]]</f>
        <v>1.05</v>
      </c>
      <c r="G98" s="20">
        <f>表2_3671626293034[[#This Row],[累计净值]]/$B$21-1</f>
        <v>5.0000000000000044E-2</v>
      </c>
    </row>
    <row r="99" spans="1:7" x14ac:dyDescent="0.2">
      <c r="A99" s="15">
        <v>43816</v>
      </c>
      <c r="B99" s="16">
        <v>1.05</v>
      </c>
      <c r="C99" s="73">
        <f>IFERROR(B99-B98,0)</f>
        <v>0</v>
      </c>
      <c r="D99" s="18" t="str">
        <f>IF(C99&lt;0,C99,"/")</f>
        <v>/</v>
      </c>
      <c r="E99" s="18">
        <f ca="1">IF(表2_3671626293034[[#This Row],[累计净值]]/MAX(INDIRECT("B21:B" &amp; ROW()))-1&lt;E98,表2_3671626293034[[#This Row],[累计净值]]/MAX(INDIRECT("B21:B" &amp; ROW()))-1,E98)</f>
        <v>-9.7560975609756184E-3</v>
      </c>
      <c r="F99" s="62">
        <f>表2_3671626293034[[#This Row],[累计净值]]</f>
        <v>1.05</v>
      </c>
      <c r="G99" s="20">
        <f>表2_3671626293034[[#This Row],[累计净值]]/$B$21-1</f>
        <v>5.0000000000000044E-2</v>
      </c>
    </row>
    <row r="100" spans="1:7" x14ac:dyDescent="0.2">
      <c r="A100" s="15">
        <v>43817</v>
      </c>
      <c r="B100" s="16">
        <v>1.0489999999999999</v>
      </c>
      <c r="C100" s="73">
        <f>IFERROR(B100-B99,0)</f>
        <v>-1.0000000000001119E-3</v>
      </c>
      <c r="D100" s="18">
        <f>IF(C100&lt;0,C100,"/")</f>
        <v>-1.0000000000001119E-3</v>
      </c>
      <c r="E100" s="18">
        <f ca="1">IF(表2_3671626293034[[#This Row],[累计净值]]/MAX(INDIRECT("B21:B" &amp; ROW()))-1&lt;E99,表2_3671626293034[[#This Row],[累计净值]]/MAX(INDIRECT("B21:B" &amp; ROW()))-1,E99)</f>
        <v>-9.7560975609756184E-3</v>
      </c>
      <c r="F100" s="62">
        <f>表2_3671626293034[[#This Row],[累计净值]]</f>
        <v>1.0489999999999999</v>
      </c>
      <c r="G100" s="20">
        <f>表2_3671626293034[[#This Row],[累计净值]]/$B$21-1</f>
        <v>4.8999999999999932E-2</v>
      </c>
    </row>
    <row r="101" spans="1:7" x14ac:dyDescent="0.2">
      <c r="A101" s="15">
        <v>43818</v>
      </c>
      <c r="B101" s="16">
        <v>1.052</v>
      </c>
      <c r="C101" s="73">
        <f>IFERROR(B101-B100,0)</f>
        <v>3.0000000000001137E-3</v>
      </c>
      <c r="D101" s="18" t="str">
        <f>IF(C101&lt;0,C101,"/")</f>
        <v>/</v>
      </c>
      <c r="E101" s="18">
        <f ca="1">IF(表2_3671626293034[[#This Row],[累计净值]]/MAX(INDIRECT("B21:B" &amp; ROW()))-1&lt;E100,表2_3671626293034[[#This Row],[累计净值]]/MAX(INDIRECT("B21:B" &amp; ROW()))-1,E100)</f>
        <v>-9.7560975609756184E-3</v>
      </c>
      <c r="F101" s="62">
        <f>表2_3671626293034[[#This Row],[累计净值]]</f>
        <v>1.052</v>
      </c>
      <c r="G101" s="20">
        <f>表2_3671626293034[[#This Row],[累计净值]]/$B$21-1</f>
        <v>5.2000000000000046E-2</v>
      </c>
    </row>
    <row r="102" spans="1:7" x14ac:dyDescent="0.2">
      <c r="A102" s="15">
        <v>43819</v>
      </c>
      <c r="B102" s="16">
        <v>1.0509999999999999</v>
      </c>
      <c r="C102" s="73">
        <f>IFERROR(B102-B101,0)</f>
        <v>-1.0000000000001119E-3</v>
      </c>
      <c r="D102" s="18">
        <f>IF(C102&lt;0,C102,"/")</f>
        <v>-1.0000000000001119E-3</v>
      </c>
      <c r="E102" s="18">
        <f ca="1">IF(表2_3671626293034[[#This Row],[累计净值]]/MAX(INDIRECT("B21:B" &amp; ROW()))-1&lt;E101,表2_3671626293034[[#This Row],[累计净值]]/MAX(INDIRECT("B21:B" &amp; ROW()))-1,E101)</f>
        <v>-9.7560975609756184E-3</v>
      </c>
      <c r="F102" s="62">
        <f>表2_3671626293034[[#This Row],[累计净值]]</f>
        <v>1.0509999999999999</v>
      </c>
      <c r="G102" s="20">
        <f>表2_3671626293034[[#This Row],[累计净值]]/$B$21-1</f>
        <v>5.0999999999999934E-2</v>
      </c>
    </row>
    <row r="103" spans="1:7" x14ac:dyDescent="0.2">
      <c r="A103" s="15">
        <v>43822</v>
      </c>
      <c r="B103" s="16">
        <v>1.05</v>
      </c>
      <c r="C103" s="73">
        <f t="shared" ref="C103:C109" si="24">IFERROR(B103-B102,0)</f>
        <v>-9.9999999999988987E-4</v>
      </c>
      <c r="D103" s="18">
        <f t="shared" ref="D103:D109" si="25">IF(C103&lt;0,C103,"/")</f>
        <v>-9.9999999999988987E-4</v>
      </c>
      <c r="E103" s="18">
        <f ca="1">IF(表2_3671626293034[[#This Row],[累计净值]]/MAX(INDIRECT("B21:B" &amp; ROW()))-1&lt;E102,表2_3671626293034[[#This Row],[累计净值]]/MAX(INDIRECT("B21:B" &amp; ROW()))-1,E102)</f>
        <v>-9.7560975609756184E-3</v>
      </c>
      <c r="F103" s="62">
        <f>表2_3671626293034[[#This Row],[累计净值]]</f>
        <v>1.05</v>
      </c>
      <c r="G103" s="20">
        <f>表2_3671626293034[[#This Row],[累计净值]]/$B$21-1</f>
        <v>5.0000000000000044E-2</v>
      </c>
    </row>
    <row r="104" spans="1:7" x14ac:dyDescent="0.2">
      <c r="A104" s="15">
        <v>43823</v>
      </c>
      <c r="B104" s="16">
        <v>1.0549999999999999</v>
      </c>
      <c r="C104" s="73">
        <f t="shared" si="24"/>
        <v>4.9999999999998934E-3</v>
      </c>
      <c r="D104" s="18" t="str">
        <f t="shared" si="25"/>
        <v>/</v>
      </c>
      <c r="E104" s="18">
        <f ca="1">IF(表2_3671626293034[[#This Row],[累计净值]]/MAX(INDIRECT("B21:B" &amp; ROW()))-1&lt;E103,表2_3671626293034[[#This Row],[累计净值]]/MAX(INDIRECT("B21:B" &amp; ROW()))-1,E103)</f>
        <v>-9.7560975609756184E-3</v>
      </c>
      <c r="F104" s="62">
        <f>表2_3671626293034[[#This Row],[累计净值]]</f>
        <v>1.0549999999999999</v>
      </c>
      <c r="G104" s="20">
        <f>表2_3671626293034[[#This Row],[累计净值]]/$B$21-1</f>
        <v>5.4999999999999938E-2</v>
      </c>
    </row>
    <row r="105" spans="1:7" x14ac:dyDescent="0.2">
      <c r="A105" s="15">
        <v>43824</v>
      </c>
      <c r="B105" s="16">
        <v>1.0549999999999999</v>
      </c>
      <c r="C105" s="73">
        <f t="shared" si="24"/>
        <v>0</v>
      </c>
      <c r="D105" s="18" t="str">
        <f t="shared" si="25"/>
        <v>/</v>
      </c>
      <c r="E105" s="18">
        <f ca="1">IF(表2_3671626293034[[#This Row],[累计净值]]/MAX(INDIRECT("B21:B" &amp; ROW()))-1&lt;E104,表2_3671626293034[[#This Row],[累计净值]]/MAX(INDIRECT("B21:B" &amp; ROW()))-1,E104)</f>
        <v>-9.7560975609756184E-3</v>
      </c>
      <c r="F105" s="62">
        <f>表2_3671626293034[[#This Row],[累计净值]]</f>
        <v>1.0549999999999999</v>
      </c>
      <c r="G105" s="20">
        <f>表2_3671626293034[[#This Row],[累计净值]]/$B$21-1</f>
        <v>5.4999999999999938E-2</v>
      </c>
    </row>
    <row r="106" spans="1:7" x14ac:dyDescent="0.2">
      <c r="A106" s="15">
        <v>43825</v>
      </c>
      <c r="B106" s="76">
        <v>1.056</v>
      </c>
      <c r="C106" s="73">
        <f t="shared" si="24"/>
        <v>1.0000000000001119E-3</v>
      </c>
      <c r="D106" s="18" t="str">
        <f t="shared" si="25"/>
        <v>/</v>
      </c>
      <c r="E106" s="18">
        <f ca="1">IF(表2_3671626293034[[#This Row],[累计净值]]/MAX(INDIRECT("B21:B" &amp; ROW()))-1&lt;E105,表2_3671626293034[[#This Row],[累计净值]]/MAX(INDIRECT("B21:B" &amp; ROW()))-1,E105)</f>
        <v>-9.7560975609756184E-3</v>
      </c>
      <c r="F106" s="62">
        <f>表2_3671626293034[[#This Row],[累计净值]]</f>
        <v>1.056</v>
      </c>
      <c r="G106" s="20">
        <f>表2_3671626293034[[#This Row],[累计净值]]/$B$21-1</f>
        <v>5.600000000000005E-2</v>
      </c>
    </row>
    <row r="107" spans="1:7" x14ac:dyDescent="0.2">
      <c r="A107" s="15">
        <v>43826</v>
      </c>
      <c r="B107" s="16">
        <v>1.0549999999999999</v>
      </c>
      <c r="C107" s="73">
        <f t="shared" si="24"/>
        <v>-1.0000000000001119E-3</v>
      </c>
      <c r="D107" s="18">
        <f t="shared" si="25"/>
        <v>-1.0000000000001119E-3</v>
      </c>
      <c r="E107" s="18">
        <f ca="1">IF(表2_3671626293034[[#This Row],[累计净值]]/MAX(INDIRECT("B21:B" &amp; ROW()))-1&lt;E106,表2_3671626293034[[#This Row],[累计净值]]/MAX(INDIRECT("B21:B" &amp; ROW()))-1,E106)</f>
        <v>-9.7560975609756184E-3</v>
      </c>
      <c r="F107" s="62">
        <f>表2_3671626293034[[#This Row],[累计净值]]</f>
        <v>1.0549999999999999</v>
      </c>
      <c r="G107" s="20">
        <f>表2_3671626293034[[#This Row],[累计净值]]/$B$21-1</f>
        <v>5.4999999999999938E-2</v>
      </c>
    </row>
    <row r="108" spans="1:7" x14ac:dyDescent="0.2">
      <c r="A108" s="15">
        <v>43829</v>
      </c>
      <c r="B108" s="16">
        <v>1.0529999999999999</v>
      </c>
      <c r="C108" s="73">
        <f t="shared" si="24"/>
        <v>-2.0000000000000018E-3</v>
      </c>
      <c r="D108" s="18">
        <f t="shared" si="25"/>
        <v>-2.0000000000000018E-3</v>
      </c>
      <c r="E108" s="18">
        <f ca="1">IF(表2_3671626293034[[#This Row],[累计净值]]/MAX(INDIRECT("B21:B" &amp; ROW()))-1&lt;E107,表2_3671626293034[[#This Row],[累计净值]]/MAX(INDIRECT("B21:B" &amp; ROW()))-1,E107)</f>
        <v>-9.7560975609756184E-3</v>
      </c>
      <c r="F108" s="62">
        <f>表2_3671626293034[[#This Row],[累计净值]]</f>
        <v>1.0529999999999999</v>
      </c>
      <c r="G108" s="20">
        <f>表2_3671626293034[[#This Row],[累计净值]]/$B$21-1</f>
        <v>5.2999999999999936E-2</v>
      </c>
    </row>
    <row r="109" spans="1:7" x14ac:dyDescent="0.2">
      <c r="A109" s="15">
        <v>43830</v>
      </c>
      <c r="B109" s="16">
        <v>1.0529999999999999</v>
      </c>
      <c r="C109" s="73">
        <f t="shared" si="24"/>
        <v>0</v>
      </c>
      <c r="D109" s="18" t="str">
        <f t="shared" si="25"/>
        <v>/</v>
      </c>
      <c r="E109" s="18">
        <f ca="1">IF(表2_3671626293034[[#This Row],[累计净值]]/MAX(INDIRECT("B21:B" &amp; ROW()))-1&lt;E108,表2_3671626293034[[#This Row],[累计净值]]/MAX(INDIRECT("B21:B" &amp; ROW()))-1,E108)</f>
        <v>-9.7560975609756184E-3</v>
      </c>
      <c r="F109" s="62">
        <f>表2_3671626293034[[#This Row],[累计净值]]</f>
        <v>1.0529999999999999</v>
      </c>
      <c r="G109" s="20">
        <f>表2_3671626293034[[#This Row],[累计净值]]/$B$21-1</f>
        <v>5.2999999999999936E-2</v>
      </c>
    </row>
    <row r="110" spans="1:7" x14ac:dyDescent="0.2">
      <c r="A110" s="15">
        <v>43832</v>
      </c>
      <c r="B110" s="16">
        <v>1.0549999999999999</v>
      </c>
      <c r="C110" s="73">
        <f t="shared" ref="C110:C115" si="26">IFERROR(B110-B109,0)</f>
        <v>2.0000000000000018E-3</v>
      </c>
      <c r="D110" s="18" t="str">
        <f t="shared" ref="D110:D115" si="27">IF(C110&lt;0,C110,"/")</f>
        <v>/</v>
      </c>
      <c r="E110" s="18">
        <f ca="1">IF(表2_3671626293034[[#This Row],[累计净值]]/MAX(INDIRECT("B21:B" &amp; ROW()))-1&lt;E109,表2_3671626293034[[#This Row],[累计净值]]/MAX(INDIRECT("B21:B" &amp; ROW()))-1,E109)</f>
        <v>-9.7560975609756184E-3</v>
      </c>
      <c r="F110" s="62">
        <f>表2_3671626293034[[#This Row],[累计净值]]</f>
        <v>1.0549999999999999</v>
      </c>
      <c r="G110" s="20">
        <f>表2_3671626293034[[#This Row],[累计净值]]/$B$21-1</f>
        <v>5.4999999999999938E-2</v>
      </c>
    </row>
    <row r="111" spans="1:7" x14ac:dyDescent="0.2">
      <c r="A111" s="15">
        <v>43833</v>
      </c>
      <c r="B111" s="16">
        <v>1.056</v>
      </c>
      <c r="C111" s="73">
        <f t="shared" si="26"/>
        <v>1.0000000000001119E-3</v>
      </c>
      <c r="D111" s="18" t="str">
        <f t="shared" si="27"/>
        <v>/</v>
      </c>
      <c r="E111" s="18">
        <f ca="1">IF(表2_3671626293034[[#This Row],[累计净值]]/MAX(INDIRECT("B21:B" &amp; ROW()))-1&lt;E110,表2_3671626293034[[#This Row],[累计净值]]/MAX(INDIRECT("B21:B" &amp; ROW()))-1,E110)</f>
        <v>-9.7560975609756184E-3</v>
      </c>
      <c r="F111" s="62">
        <f>表2_3671626293034[[#This Row],[累计净值]]</f>
        <v>1.056</v>
      </c>
      <c r="G111" s="20">
        <f>表2_3671626293034[[#This Row],[累计净值]]/$B$21-1</f>
        <v>5.600000000000005E-2</v>
      </c>
    </row>
    <row r="112" spans="1:7" x14ac:dyDescent="0.2">
      <c r="A112" s="15">
        <v>43836</v>
      </c>
      <c r="B112" s="16">
        <v>1.0569999999999999</v>
      </c>
      <c r="C112" s="73">
        <f t="shared" si="26"/>
        <v>9.9999999999988987E-4</v>
      </c>
      <c r="D112" s="18" t="str">
        <f t="shared" si="27"/>
        <v>/</v>
      </c>
      <c r="E112" s="18">
        <f ca="1">IF(表2_3671626293034[[#This Row],[累计净值]]/MAX(INDIRECT("B21:B" &amp; ROW()))-1&lt;E111,表2_3671626293034[[#This Row],[累计净值]]/MAX(INDIRECT("B21:B" &amp; ROW()))-1,E111)</f>
        <v>-9.7560975609756184E-3</v>
      </c>
      <c r="F112" s="62">
        <f>表2_3671626293034[[#This Row],[累计净值]]</f>
        <v>1.0569999999999999</v>
      </c>
      <c r="G112" s="20">
        <f>表2_3671626293034[[#This Row],[累计净值]]/$B$21-1</f>
        <v>5.699999999999994E-2</v>
      </c>
    </row>
    <row r="113" spans="1:7" x14ac:dyDescent="0.2">
      <c r="A113" s="15">
        <v>43837</v>
      </c>
      <c r="B113" s="16">
        <v>1.0580000000000001</v>
      </c>
      <c r="C113" s="73">
        <f t="shared" si="26"/>
        <v>1.0000000000001119E-3</v>
      </c>
      <c r="D113" s="18" t="str">
        <f t="shared" si="27"/>
        <v>/</v>
      </c>
      <c r="E113" s="18">
        <f ca="1">IF(表2_3671626293034[[#This Row],[累计净值]]/MAX(INDIRECT("B21:B" &amp; ROW()))-1&lt;E112,表2_3671626293034[[#This Row],[累计净值]]/MAX(INDIRECT("B21:B" &amp; ROW()))-1,E112)</f>
        <v>-9.7560975609756184E-3</v>
      </c>
      <c r="F113" s="62">
        <f>表2_3671626293034[[#This Row],[累计净值]]</f>
        <v>1.0580000000000001</v>
      </c>
      <c r="G113" s="20">
        <f>表2_3671626293034[[#This Row],[累计净值]]/$B$21-1</f>
        <v>5.8000000000000052E-2</v>
      </c>
    </row>
    <row r="114" spans="1:7" x14ac:dyDescent="0.2">
      <c r="A114" s="15">
        <v>43838</v>
      </c>
      <c r="B114" s="76">
        <v>1.06</v>
      </c>
      <c r="C114" s="73">
        <f t="shared" si="26"/>
        <v>2.0000000000000018E-3</v>
      </c>
      <c r="D114" s="18" t="str">
        <f t="shared" si="27"/>
        <v>/</v>
      </c>
      <c r="E114" s="18">
        <f ca="1">IF(表2_3671626293034[[#This Row],[累计净值]]/MAX(INDIRECT("B21:B" &amp; ROW()))-1&lt;E113,表2_3671626293034[[#This Row],[累计净值]]/MAX(INDIRECT("B21:B" &amp; ROW()))-1,E113)</f>
        <v>-9.7560975609756184E-3</v>
      </c>
      <c r="F114" s="62">
        <f>表2_3671626293034[[#This Row],[累计净值]]</f>
        <v>1.06</v>
      </c>
      <c r="G114" s="20">
        <f>表2_3671626293034[[#This Row],[累计净值]]/$B$21-1</f>
        <v>6.0000000000000053E-2</v>
      </c>
    </row>
    <row r="115" spans="1:7" x14ac:dyDescent="0.2">
      <c r="A115" s="15">
        <v>43839</v>
      </c>
      <c r="B115" s="16">
        <v>1.056</v>
      </c>
      <c r="C115" s="73">
        <f t="shared" si="26"/>
        <v>-4.0000000000000036E-3</v>
      </c>
      <c r="D115" s="18">
        <f t="shared" si="27"/>
        <v>-4.0000000000000036E-3</v>
      </c>
      <c r="E115" s="18">
        <f ca="1">IF(表2_3671626293034[[#This Row],[累计净值]]/MAX(INDIRECT("B21:B" &amp; ROW()))-1&lt;E114,表2_3671626293034[[#This Row],[累计净值]]/MAX(INDIRECT("B21:B" &amp; ROW()))-1,E114)</f>
        <v>-9.7560975609756184E-3</v>
      </c>
      <c r="F115" s="62">
        <f>表2_3671626293034[[#This Row],[累计净值]]</f>
        <v>1.056</v>
      </c>
      <c r="G115" s="20">
        <f>表2_3671626293034[[#This Row],[累计净值]]/$B$21-1</f>
        <v>5.600000000000005E-2</v>
      </c>
    </row>
    <row r="116" spans="1:7" x14ac:dyDescent="0.2">
      <c r="A116" s="15">
        <v>43840</v>
      </c>
      <c r="B116" s="16">
        <v>1.0569999999999999</v>
      </c>
      <c r="C116" s="73">
        <f t="shared" ref="C116:C121" si="28">IFERROR(B116-B115,0)</f>
        <v>9.9999999999988987E-4</v>
      </c>
      <c r="D116" s="18" t="str">
        <f t="shared" ref="D116:D121" si="29">IF(C116&lt;0,C116,"/")</f>
        <v>/</v>
      </c>
      <c r="E116" s="18">
        <f ca="1">IF(表2_3671626293034[[#This Row],[累计净值]]/MAX(INDIRECT("B21:B" &amp; ROW()))-1&lt;E115,表2_3671626293034[[#This Row],[累计净值]]/MAX(INDIRECT("B21:B" &amp; ROW()))-1,E115)</f>
        <v>-9.7560975609756184E-3</v>
      </c>
      <c r="F116" s="62">
        <f>表2_3671626293034[[#This Row],[累计净值]]</f>
        <v>1.0569999999999999</v>
      </c>
      <c r="G116" s="20">
        <f>表2_3671626293034[[#This Row],[累计净值]]/$B$21-1</f>
        <v>5.699999999999994E-2</v>
      </c>
    </row>
    <row r="117" spans="1:7" x14ac:dyDescent="0.2">
      <c r="A117" s="15">
        <v>43843</v>
      </c>
      <c r="B117" s="16">
        <v>1.0589999999999999</v>
      </c>
      <c r="C117" s="73">
        <f t="shared" si="28"/>
        <v>2.0000000000000018E-3</v>
      </c>
      <c r="D117" s="18" t="str">
        <f t="shared" si="29"/>
        <v>/</v>
      </c>
      <c r="E117" s="18">
        <f ca="1">IF(表2_3671626293034[[#This Row],[累计净值]]/MAX(INDIRECT("B21:B" &amp; ROW()))-1&lt;E116,表2_3671626293034[[#This Row],[累计净值]]/MAX(INDIRECT("B21:B" &amp; ROW()))-1,E116)</f>
        <v>-9.7560975609756184E-3</v>
      </c>
      <c r="F117" s="62">
        <f>表2_3671626293034[[#This Row],[累计净值]]</f>
        <v>1.0589999999999999</v>
      </c>
      <c r="G117" s="20">
        <f>表2_3671626293034[[#This Row],[累计净值]]/$B$21-1</f>
        <v>5.8999999999999941E-2</v>
      </c>
    </row>
    <row r="118" spans="1:7" x14ac:dyDescent="0.2">
      <c r="A118" s="15">
        <v>43844</v>
      </c>
      <c r="B118" s="16">
        <v>1.06</v>
      </c>
      <c r="C118" s="73">
        <f t="shared" si="28"/>
        <v>1.0000000000001119E-3</v>
      </c>
      <c r="D118" s="18" t="str">
        <f t="shared" si="29"/>
        <v>/</v>
      </c>
      <c r="E118" s="18">
        <f ca="1">IF(表2_3671626293034[[#This Row],[累计净值]]/MAX(INDIRECT("B21:B" &amp; ROW()))-1&lt;E117,表2_3671626293034[[#This Row],[累计净值]]/MAX(INDIRECT("B21:B" &amp; ROW()))-1,E117)</f>
        <v>-9.7560975609756184E-3</v>
      </c>
      <c r="F118" s="62">
        <f>表2_3671626293034[[#This Row],[累计净值]]</f>
        <v>1.06</v>
      </c>
      <c r="G118" s="20">
        <f>表2_3671626293034[[#This Row],[累计净值]]/$B$21-1</f>
        <v>6.0000000000000053E-2</v>
      </c>
    </row>
    <row r="119" spans="1:7" x14ac:dyDescent="0.2">
      <c r="A119" s="15">
        <v>43845</v>
      </c>
      <c r="B119" s="16">
        <v>1.0589999999999999</v>
      </c>
      <c r="C119" s="73">
        <f t="shared" si="28"/>
        <v>-1.0000000000001119E-3</v>
      </c>
      <c r="D119" s="18">
        <f t="shared" si="29"/>
        <v>-1.0000000000001119E-3</v>
      </c>
      <c r="E119" s="18">
        <f ca="1">IF(表2_3671626293034[[#This Row],[累计净值]]/MAX(INDIRECT("B21:B" &amp; ROW()))-1&lt;E118,表2_3671626293034[[#This Row],[累计净值]]/MAX(INDIRECT("B21:B" &amp; ROW()))-1,E118)</f>
        <v>-9.7560975609756184E-3</v>
      </c>
      <c r="F119" s="62">
        <f>表2_3671626293034[[#This Row],[累计净值]]</f>
        <v>1.0589999999999999</v>
      </c>
      <c r="G119" s="20">
        <f>表2_3671626293034[[#This Row],[累计净值]]/$B$21-1</f>
        <v>5.8999999999999941E-2</v>
      </c>
    </row>
    <row r="120" spans="1:7" x14ac:dyDescent="0.2">
      <c r="A120" s="15">
        <v>43846</v>
      </c>
      <c r="B120" s="16">
        <v>1.0609999999999999</v>
      </c>
      <c r="C120" s="73">
        <f t="shared" si="28"/>
        <v>2.0000000000000018E-3</v>
      </c>
      <c r="D120" s="18" t="str">
        <f t="shared" si="29"/>
        <v>/</v>
      </c>
      <c r="E120" s="18">
        <f ca="1">IF(表2_3671626293034[[#This Row],[累计净值]]/MAX(INDIRECT("B21:B" &amp; ROW()))-1&lt;E119,表2_3671626293034[[#This Row],[累计净值]]/MAX(INDIRECT("B21:B" &amp; ROW()))-1,E119)</f>
        <v>-9.7560975609756184E-3</v>
      </c>
      <c r="F120" s="62">
        <f>表2_3671626293034[[#This Row],[累计净值]]</f>
        <v>1.0609999999999999</v>
      </c>
      <c r="G120" s="20">
        <f>表2_3671626293034[[#This Row],[累计净值]]/$B$21-1</f>
        <v>6.0999999999999943E-2</v>
      </c>
    </row>
    <row r="121" spans="1:7" x14ac:dyDescent="0.2">
      <c r="A121" s="15">
        <v>43847</v>
      </c>
      <c r="B121" s="16">
        <v>1.0609999999999999</v>
      </c>
      <c r="C121" s="73">
        <f t="shared" si="28"/>
        <v>0</v>
      </c>
      <c r="D121" s="18" t="str">
        <f t="shared" si="29"/>
        <v>/</v>
      </c>
      <c r="E121" s="18">
        <f ca="1">IF(表2_3671626293034[[#This Row],[累计净值]]/MAX(INDIRECT("B21:B" &amp; ROW()))-1&lt;E120,表2_3671626293034[[#This Row],[累计净值]]/MAX(INDIRECT("B21:B" &amp; ROW()))-1,E120)</f>
        <v>-9.7560975609756184E-3</v>
      </c>
      <c r="F121" s="62">
        <f>表2_3671626293034[[#This Row],[累计净值]]</f>
        <v>1.0609999999999999</v>
      </c>
      <c r="G121" s="20">
        <f>表2_3671626293034[[#This Row],[累计净值]]/$B$21-1</f>
        <v>6.0999999999999943E-2</v>
      </c>
    </row>
    <row r="122" spans="1:7" x14ac:dyDescent="0.2">
      <c r="A122" s="15">
        <v>43850</v>
      </c>
      <c r="B122" s="76">
        <v>1.0649999999999999</v>
      </c>
      <c r="C122" s="73">
        <f t="shared" ref="C122:C128" si="30">IFERROR(B122-B121,0)</f>
        <v>4.0000000000000036E-3</v>
      </c>
      <c r="D122" s="18" t="str">
        <f t="shared" ref="D122:D128" si="31">IF(C122&lt;0,C122,"/")</f>
        <v>/</v>
      </c>
      <c r="E122" s="18">
        <f ca="1">IF(表2_3671626293034[[#This Row],[累计净值]]/MAX(INDIRECT("B21:B" &amp; ROW()))-1&lt;E121,表2_3671626293034[[#This Row],[累计净值]]/MAX(INDIRECT("B21:B" &amp; ROW()))-1,E121)</f>
        <v>-9.7560975609756184E-3</v>
      </c>
      <c r="F122" s="62">
        <f>表2_3671626293034[[#This Row],[累计净值]]</f>
        <v>1.0649999999999999</v>
      </c>
      <c r="G122" s="20">
        <f>表2_3671626293034[[#This Row],[累计净值]]/$B$21-1</f>
        <v>6.4999999999999947E-2</v>
      </c>
    </row>
    <row r="123" spans="1:7" x14ac:dyDescent="0.2">
      <c r="A123" s="15">
        <v>43851</v>
      </c>
      <c r="B123" s="16">
        <v>1.0649999999999999</v>
      </c>
      <c r="C123" s="73">
        <f t="shared" si="30"/>
        <v>0</v>
      </c>
      <c r="D123" s="18" t="str">
        <f t="shared" si="31"/>
        <v>/</v>
      </c>
      <c r="E123" s="18">
        <f ca="1">IF(表2_3671626293034[[#This Row],[累计净值]]/MAX(INDIRECT("B21:B" &amp; ROW()))-1&lt;E122,表2_3671626293034[[#This Row],[累计净值]]/MAX(INDIRECT("B21:B" &amp; ROW()))-1,E122)</f>
        <v>-9.7560975609756184E-3</v>
      </c>
      <c r="F123" s="62">
        <f>表2_3671626293034[[#This Row],[累计净值]]</f>
        <v>1.0649999999999999</v>
      </c>
      <c r="G123" s="20">
        <f>表2_3671626293034[[#This Row],[累计净值]]/$B$21-1</f>
        <v>6.4999999999999947E-2</v>
      </c>
    </row>
    <row r="124" spans="1:7" x14ac:dyDescent="0.2">
      <c r="A124" s="15">
        <v>43852</v>
      </c>
      <c r="B124" s="16">
        <v>1.0649999999999999</v>
      </c>
      <c r="C124" s="73">
        <f t="shared" si="30"/>
        <v>0</v>
      </c>
      <c r="D124" s="18" t="str">
        <f t="shared" si="31"/>
        <v>/</v>
      </c>
      <c r="E124" s="18">
        <f ca="1">IF(表2_3671626293034[[#This Row],[累计净值]]/MAX(INDIRECT("B21:B" &amp; ROW()))-1&lt;E123,表2_3671626293034[[#This Row],[累计净值]]/MAX(INDIRECT("B21:B" &amp; ROW()))-1,E123)</f>
        <v>-9.7560975609756184E-3</v>
      </c>
      <c r="F124" s="62">
        <f>表2_3671626293034[[#This Row],[累计净值]]</f>
        <v>1.0649999999999999</v>
      </c>
      <c r="G124" s="20">
        <f>表2_3671626293034[[#This Row],[累计净值]]/$B$21-1</f>
        <v>6.4999999999999947E-2</v>
      </c>
    </row>
    <row r="125" spans="1:7" x14ac:dyDescent="0.2">
      <c r="A125" s="15">
        <v>43853</v>
      </c>
      <c r="B125" s="16">
        <v>1.0649999999999999</v>
      </c>
      <c r="C125" s="73">
        <f t="shared" si="30"/>
        <v>0</v>
      </c>
      <c r="D125" s="18" t="str">
        <f t="shared" si="31"/>
        <v>/</v>
      </c>
      <c r="E125" s="18">
        <f ca="1">IF(表2_3671626293034[[#This Row],[累计净值]]/MAX(INDIRECT("B21:B" &amp; ROW()))-1&lt;E124,表2_3671626293034[[#This Row],[累计净值]]/MAX(INDIRECT("B21:B" &amp; ROW()))-1,E124)</f>
        <v>-9.7560975609756184E-3</v>
      </c>
      <c r="F125" s="62">
        <f>表2_3671626293034[[#This Row],[累计净值]]</f>
        <v>1.0649999999999999</v>
      </c>
      <c r="G125" s="20">
        <f>表2_3671626293034[[#This Row],[累计净值]]/$B$21-1</f>
        <v>6.4999999999999947E-2</v>
      </c>
    </row>
    <row r="126" spans="1:7" x14ac:dyDescent="0.2">
      <c r="A126" s="15">
        <v>43864</v>
      </c>
      <c r="B126" s="16">
        <v>1.0649999999999999</v>
      </c>
      <c r="C126" s="73">
        <f t="shared" si="30"/>
        <v>0</v>
      </c>
      <c r="D126" s="18" t="str">
        <f t="shared" si="31"/>
        <v>/</v>
      </c>
      <c r="E126" s="18">
        <f ca="1">IF(表2_3671626293034[[#This Row],[累计净值]]/MAX(INDIRECT("B21:B" &amp; ROW()))-1&lt;E125,表2_3671626293034[[#This Row],[累计净值]]/MAX(INDIRECT("B21:B" &amp; ROW()))-1,E125)</f>
        <v>-9.7560975609756184E-3</v>
      </c>
      <c r="F126" s="62">
        <f>表2_3671626293034[[#This Row],[累计净值]]</f>
        <v>1.0649999999999999</v>
      </c>
      <c r="G126" s="20">
        <f>表2_3671626293034[[#This Row],[累计净值]]/$B$21-1</f>
        <v>6.4999999999999947E-2</v>
      </c>
    </row>
    <row r="127" spans="1:7" x14ac:dyDescent="0.2">
      <c r="A127" s="15">
        <v>43865</v>
      </c>
      <c r="B127" s="16">
        <v>1.0649999999999999</v>
      </c>
      <c r="C127" s="73">
        <f t="shared" si="30"/>
        <v>0</v>
      </c>
      <c r="D127" s="18" t="str">
        <f t="shared" si="31"/>
        <v>/</v>
      </c>
      <c r="E127" s="18">
        <f ca="1">IF(表2_3671626293034[[#This Row],[累计净值]]/MAX(INDIRECT("B21:B" &amp; ROW()))-1&lt;E126,表2_3671626293034[[#This Row],[累计净值]]/MAX(INDIRECT("B21:B" &amp; ROW()))-1,E126)</f>
        <v>-9.7560975609756184E-3</v>
      </c>
      <c r="F127" s="62">
        <f>表2_3671626293034[[#This Row],[累计净值]]</f>
        <v>1.0649999999999999</v>
      </c>
      <c r="G127" s="20">
        <f>表2_3671626293034[[#This Row],[累计净值]]/$B$21-1</f>
        <v>6.4999999999999947E-2</v>
      </c>
    </row>
    <row r="128" spans="1:7" x14ac:dyDescent="0.2">
      <c r="A128" s="15">
        <v>43866</v>
      </c>
      <c r="B128" s="16">
        <v>1.0649999999999999</v>
      </c>
      <c r="C128" s="73">
        <f t="shared" si="30"/>
        <v>0</v>
      </c>
      <c r="D128" s="18" t="str">
        <f t="shared" si="31"/>
        <v>/</v>
      </c>
      <c r="E128" s="18">
        <f ca="1">IF(表2_3671626293034[[#This Row],[累计净值]]/MAX(INDIRECT("B21:B" &amp; ROW()))-1&lt;E127,表2_3671626293034[[#This Row],[累计净值]]/MAX(INDIRECT("B21:B" &amp; ROW()))-1,E127)</f>
        <v>-9.7560975609756184E-3</v>
      </c>
      <c r="F128" s="62">
        <f>表2_3671626293034[[#This Row],[累计净值]]</f>
        <v>1.0649999999999999</v>
      </c>
      <c r="G128" s="20">
        <f>表2_3671626293034[[#This Row],[累计净值]]/$B$21-1</f>
        <v>6.4999999999999947E-2</v>
      </c>
    </row>
    <row r="129" spans="1:7" x14ac:dyDescent="0.2">
      <c r="A129" s="15">
        <v>43867</v>
      </c>
      <c r="B129" s="16">
        <v>1.0649999999999999</v>
      </c>
      <c r="C129" s="73">
        <f t="shared" ref="C129:C134" si="32">IFERROR(B129-B128,0)</f>
        <v>0</v>
      </c>
      <c r="D129" s="18" t="str">
        <f t="shared" ref="D129:D134" si="33">IF(C129&lt;0,C129,"/")</f>
        <v>/</v>
      </c>
      <c r="E129" s="18">
        <f ca="1">IF(表2_3671626293034[[#This Row],[累计净值]]/MAX(INDIRECT("B21:B" &amp; ROW()))-1&lt;E128,表2_3671626293034[[#This Row],[累计净值]]/MAX(INDIRECT("B21:B" &amp; ROW()))-1,E128)</f>
        <v>-9.7560975609756184E-3</v>
      </c>
      <c r="F129" s="62">
        <f>表2_3671626293034[[#This Row],[累计净值]]</f>
        <v>1.0649999999999999</v>
      </c>
      <c r="G129" s="20">
        <f>表2_3671626293034[[#This Row],[累计净值]]/$B$21-1</f>
        <v>6.4999999999999947E-2</v>
      </c>
    </row>
    <row r="130" spans="1:7" x14ac:dyDescent="0.2">
      <c r="A130" s="15">
        <v>43868</v>
      </c>
      <c r="B130" s="16">
        <v>1.0649999999999999</v>
      </c>
      <c r="C130" s="73">
        <f t="shared" si="32"/>
        <v>0</v>
      </c>
      <c r="D130" s="18" t="str">
        <f t="shared" si="33"/>
        <v>/</v>
      </c>
      <c r="E130" s="18">
        <f ca="1">IF(表2_3671626293034[[#This Row],[累计净值]]/MAX(INDIRECT("B21:B" &amp; ROW()))-1&lt;E129,表2_3671626293034[[#This Row],[累计净值]]/MAX(INDIRECT("B21:B" &amp; ROW()))-1,E129)</f>
        <v>-9.7560975609756184E-3</v>
      </c>
      <c r="F130" s="62">
        <f>表2_3671626293034[[#This Row],[累计净值]]</f>
        <v>1.0649999999999999</v>
      </c>
      <c r="G130" s="20">
        <f>表2_3671626293034[[#This Row],[累计净值]]/$B$21-1</f>
        <v>6.4999999999999947E-2</v>
      </c>
    </row>
    <row r="131" spans="1:7" x14ac:dyDescent="0.2">
      <c r="A131" s="15">
        <v>43871</v>
      </c>
      <c r="B131" s="16">
        <v>1.0649999999999999</v>
      </c>
      <c r="C131" s="73">
        <f t="shared" si="32"/>
        <v>0</v>
      </c>
      <c r="D131" s="18" t="str">
        <f t="shared" si="33"/>
        <v>/</v>
      </c>
      <c r="E131" s="18">
        <f ca="1">IF(表2_3671626293034[[#This Row],[累计净值]]/MAX(INDIRECT("B21:B" &amp; ROW()))-1&lt;E130,表2_3671626293034[[#This Row],[累计净值]]/MAX(INDIRECT("B21:B" &amp; ROW()))-1,E130)</f>
        <v>-9.7560975609756184E-3</v>
      </c>
      <c r="F131" s="62">
        <f>表2_3671626293034[[#This Row],[累计净值]]</f>
        <v>1.0649999999999999</v>
      </c>
      <c r="G131" s="20">
        <f>表2_3671626293034[[#This Row],[累计净值]]/$B$21-1</f>
        <v>6.4999999999999947E-2</v>
      </c>
    </row>
    <row r="132" spans="1:7" x14ac:dyDescent="0.2">
      <c r="A132" s="15">
        <v>43872</v>
      </c>
      <c r="B132" s="16">
        <v>1.0660000000000001</v>
      </c>
      <c r="C132" s="73">
        <f t="shared" si="32"/>
        <v>1.0000000000001119E-3</v>
      </c>
      <c r="D132" s="18" t="str">
        <f t="shared" si="33"/>
        <v>/</v>
      </c>
      <c r="E132" s="18">
        <f ca="1">IF(表2_3671626293034[[#This Row],[累计净值]]/MAX(INDIRECT("B21:B" &amp; ROW()))-1&lt;E131,表2_3671626293034[[#This Row],[累计净值]]/MAX(INDIRECT("B21:B" &amp; ROW()))-1,E131)</f>
        <v>-9.7560975609756184E-3</v>
      </c>
      <c r="F132" s="62">
        <f>表2_3671626293034[[#This Row],[累计净值]]</f>
        <v>1.0660000000000001</v>
      </c>
      <c r="G132" s="20">
        <f>表2_3671626293034[[#This Row],[累计净值]]/$B$21-1</f>
        <v>6.6000000000000059E-2</v>
      </c>
    </row>
    <row r="133" spans="1:7" x14ac:dyDescent="0.2">
      <c r="A133" s="15">
        <v>43873</v>
      </c>
      <c r="B133" s="16">
        <v>1.0680000000000001</v>
      </c>
      <c r="C133" s="73">
        <f t="shared" si="32"/>
        <v>2.0000000000000018E-3</v>
      </c>
      <c r="D133" s="18" t="str">
        <f t="shared" si="33"/>
        <v>/</v>
      </c>
      <c r="E133" s="18">
        <f ca="1">IF(表2_3671626293034[[#This Row],[累计净值]]/MAX(INDIRECT("B21:B" &amp; ROW()))-1&lt;E132,表2_3671626293034[[#This Row],[累计净值]]/MAX(INDIRECT("B21:B" &amp; ROW()))-1,E132)</f>
        <v>-9.7560975609756184E-3</v>
      </c>
      <c r="F133" s="62">
        <f>表2_3671626293034[[#This Row],[累计净值]]</f>
        <v>1.0680000000000001</v>
      </c>
      <c r="G133" s="20">
        <f>表2_3671626293034[[#This Row],[累计净值]]/$B$21-1</f>
        <v>6.800000000000006E-2</v>
      </c>
    </row>
    <row r="134" spans="1:7" x14ac:dyDescent="0.2">
      <c r="A134" s="15">
        <v>43874</v>
      </c>
      <c r="B134" s="76">
        <v>1.0680000000000001</v>
      </c>
      <c r="C134" s="73">
        <f t="shared" si="32"/>
        <v>0</v>
      </c>
      <c r="D134" s="18" t="str">
        <f t="shared" si="33"/>
        <v>/</v>
      </c>
      <c r="E134" s="18">
        <f ca="1">IF(表2_3671626293034[[#This Row],[累计净值]]/MAX(INDIRECT("B21:B" &amp; ROW()))-1&lt;E133,表2_3671626293034[[#This Row],[累计净值]]/MAX(INDIRECT("B21:B" &amp; ROW()))-1,E133)</f>
        <v>-9.7560975609756184E-3</v>
      </c>
      <c r="F134" s="62">
        <f>表2_3671626293034[[#This Row],[累计净值]]</f>
        <v>1.0680000000000001</v>
      </c>
      <c r="G134" s="20">
        <f>表2_3671626293034[[#This Row],[累计净值]]/$B$21-1</f>
        <v>6.800000000000006E-2</v>
      </c>
    </row>
    <row r="135" spans="1:7" x14ac:dyDescent="0.2">
      <c r="A135" s="15">
        <v>43875</v>
      </c>
      <c r="B135" s="16">
        <v>1.0669999999999999</v>
      </c>
      <c r="C135" s="73">
        <f t="shared" ref="C135:C140" si="34">IFERROR(B135-B134,0)</f>
        <v>-1.0000000000001119E-3</v>
      </c>
      <c r="D135" s="18">
        <f t="shared" ref="D135:D140" si="35">IF(C135&lt;0,C135,"/")</f>
        <v>-1.0000000000001119E-3</v>
      </c>
      <c r="E135" s="18">
        <f ca="1">IF(表2_3671626293034[[#This Row],[累计净值]]/MAX(INDIRECT("B21:B" &amp; ROW()))-1&lt;E134,表2_3671626293034[[#This Row],[累计净值]]/MAX(INDIRECT("B21:B" &amp; ROW()))-1,E134)</f>
        <v>-9.7560975609756184E-3</v>
      </c>
      <c r="F135" s="62">
        <f>表2_3671626293034[[#This Row],[累计净值]]</f>
        <v>1.0669999999999999</v>
      </c>
      <c r="G135" s="20">
        <f>表2_3671626293034[[#This Row],[累计净值]]/$B$21-1</f>
        <v>6.6999999999999948E-2</v>
      </c>
    </row>
    <row r="136" spans="1:7" x14ac:dyDescent="0.2">
      <c r="A136" s="15">
        <v>43878</v>
      </c>
      <c r="B136" s="16">
        <v>1.0669999999999999</v>
      </c>
      <c r="C136" s="73">
        <f t="shared" si="34"/>
        <v>0</v>
      </c>
      <c r="D136" s="18" t="str">
        <f t="shared" si="35"/>
        <v>/</v>
      </c>
      <c r="E136" s="18">
        <f ca="1">IF(表2_3671626293034[[#This Row],[累计净值]]/MAX(INDIRECT("B21:B" &amp; ROW()))-1&lt;E135,表2_3671626293034[[#This Row],[累计净值]]/MAX(INDIRECT("B21:B" &amp; ROW()))-1,E135)</f>
        <v>-9.7560975609756184E-3</v>
      </c>
      <c r="F136" s="62">
        <f>表2_3671626293034[[#This Row],[累计净值]]</f>
        <v>1.0669999999999999</v>
      </c>
      <c r="G136" s="20">
        <f>表2_3671626293034[[#This Row],[累计净值]]/$B$21-1</f>
        <v>6.6999999999999948E-2</v>
      </c>
    </row>
    <row r="137" spans="1:7" x14ac:dyDescent="0.2">
      <c r="A137" s="15">
        <v>43879</v>
      </c>
      <c r="B137" s="91">
        <v>1.0669999999999999</v>
      </c>
      <c r="C137" s="73">
        <f t="shared" si="34"/>
        <v>0</v>
      </c>
      <c r="D137" s="18" t="str">
        <f t="shared" si="35"/>
        <v>/</v>
      </c>
      <c r="E137" s="18">
        <f ca="1">IF(表2_3671626293034[[#This Row],[累计净值]]/MAX(INDIRECT("B21:B" &amp; ROW()))-1&lt;E136,表2_3671626293034[[#This Row],[累计净值]]/MAX(INDIRECT("B21:B" &amp; ROW()))-1,E136)</f>
        <v>-9.7560975609756184E-3</v>
      </c>
      <c r="F137" s="62">
        <f>表2_3671626293034[[#This Row],[累计净值]]</f>
        <v>1.0669999999999999</v>
      </c>
      <c r="G137" s="20">
        <f>表2_3671626293034[[#This Row],[累计净值]]/$B$21-1</f>
        <v>6.6999999999999948E-2</v>
      </c>
    </row>
    <row r="138" spans="1:7" x14ac:dyDescent="0.2">
      <c r="A138" s="15">
        <v>43880</v>
      </c>
      <c r="B138" s="16">
        <v>1.069</v>
      </c>
      <c r="C138" s="73">
        <f t="shared" si="34"/>
        <v>2.0000000000000018E-3</v>
      </c>
      <c r="D138" s="18" t="str">
        <f t="shared" si="35"/>
        <v>/</v>
      </c>
      <c r="E138" s="18">
        <f ca="1">IF(表2_3671626293034[[#This Row],[累计净值]]/MAX(INDIRECT("B21:B" &amp; ROW()))-1&lt;E137,表2_3671626293034[[#This Row],[累计净值]]/MAX(INDIRECT("B21:B" &amp; ROW()))-1,E137)</f>
        <v>-9.7560975609756184E-3</v>
      </c>
      <c r="F138" s="62">
        <f>表2_3671626293034[[#This Row],[累计净值]]</f>
        <v>1.069</v>
      </c>
      <c r="G138" s="20">
        <f>表2_3671626293034[[#This Row],[累计净值]]/$B$21-1</f>
        <v>6.899999999999995E-2</v>
      </c>
    </row>
    <row r="139" spans="1:7" x14ac:dyDescent="0.2">
      <c r="A139" s="15">
        <v>43881</v>
      </c>
      <c r="B139" s="16">
        <v>1.07</v>
      </c>
      <c r="C139" s="73">
        <f t="shared" si="34"/>
        <v>1.0000000000001119E-3</v>
      </c>
      <c r="D139" s="18" t="str">
        <f t="shared" si="35"/>
        <v>/</v>
      </c>
      <c r="E139" s="18">
        <f ca="1">IF(表2_3671626293034[[#This Row],[累计净值]]/MAX(INDIRECT("B21:B" &amp; ROW()))-1&lt;E138,表2_3671626293034[[#This Row],[累计净值]]/MAX(INDIRECT("B21:B" &amp; ROW()))-1,E138)</f>
        <v>-9.7560975609756184E-3</v>
      </c>
      <c r="F139" s="62">
        <f>表2_3671626293034[[#This Row],[累计净值]]</f>
        <v>1.07</v>
      </c>
      <c r="G139" s="20">
        <f>表2_3671626293034[[#This Row],[累计净值]]/$B$21-1</f>
        <v>7.0000000000000062E-2</v>
      </c>
    </row>
    <row r="140" spans="1:7" x14ac:dyDescent="0.2">
      <c r="A140" s="15">
        <v>43882</v>
      </c>
      <c r="B140" s="16">
        <v>1.0720000000000001</v>
      </c>
      <c r="C140" s="73">
        <f t="shared" si="34"/>
        <v>2.0000000000000018E-3</v>
      </c>
      <c r="D140" s="18" t="str">
        <f t="shared" si="35"/>
        <v>/</v>
      </c>
      <c r="E140" s="18">
        <f ca="1">IF(表2_3671626293034[[#This Row],[累计净值]]/MAX(INDIRECT("B21:B" &amp; ROW()))-1&lt;E139,表2_3671626293034[[#This Row],[累计净值]]/MAX(INDIRECT("B21:B" &amp; ROW()))-1,E139)</f>
        <v>-9.7560975609756184E-3</v>
      </c>
      <c r="F140" s="62">
        <f>表2_3671626293034[[#This Row],[累计净值]]</f>
        <v>1.0720000000000001</v>
      </c>
      <c r="G140" s="20">
        <f>表2_3671626293034[[#This Row],[累计净值]]/$B$21-1</f>
        <v>7.2000000000000064E-2</v>
      </c>
    </row>
    <row r="141" spans="1:7" x14ac:dyDescent="0.2">
      <c r="A141" s="15">
        <v>43885</v>
      </c>
      <c r="B141" s="16">
        <v>1.073</v>
      </c>
      <c r="C141" s="73">
        <f t="shared" ref="C141:C146" si="36">IFERROR(B141-B140,0)</f>
        <v>9.9999999999988987E-4</v>
      </c>
      <c r="D141" s="18" t="str">
        <f t="shared" ref="D141:D146" si="37">IF(C141&lt;0,C141,"/")</f>
        <v>/</v>
      </c>
      <c r="E141" s="18">
        <f ca="1">IF(表2_3671626293034[[#This Row],[累计净值]]/MAX(INDIRECT("B21:B" &amp; ROW()))-1&lt;E140,表2_3671626293034[[#This Row],[累计净值]]/MAX(INDIRECT("B21:B" &amp; ROW()))-1,E140)</f>
        <v>-9.7560975609756184E-3</v>
      </c>
      <c r="F141" s="62">
        <f>表2_3671626293034[[#This Row],[累计净值]]</f>
        <v>1.073</v>
      </c>
      <c r="G141" s="20">
        <f>表2_3671626293034[[#This Row],[累计净值]]/$B$21-1</f>
        <v>7.2999999999999954E-2</v>
      </c>
    </row>
    <row r="142" spans="1:7" x14ac:dyDescent="0.2">
      <c r="A142" s="15">
        <v>43886</v>
      </c>
      <c r="B142" s="16">
        <v>1.075</v>
      </c>
      <c r="C142" s="73">
        <f t="shared" si="36"/>
        <v>2.0000000000000018E-3</v>
      </c>
      <c r="D142" s="18" t="str">
        <f t="shared" si="37"/>
        <v>/</v>
      </c>
      <c r="E142" s="18">
        <f ca="1">IF(表2_3671626293034[[#This Row],[累计净值]]/MAX(INDIRECT("B21:B" &amp; ROW()))-1&lt;E141,表2_3671626293034[[#This Row],[累计净值]]/MAX(INDIRECT("B21:B" &amp; ROW()))-1,E141)</f>
        <v>-9.7560975609756184E-3</v>
      </c>
      <c r="F142" s="62">
        <f>表2_3671626293034[[#This Row],[累计净值]]</f>
        <v>1.075</v>
      </c>
      <c r="G142" s="20">
        <f>表2_3671626293034[[#This Row],[累计净值]]/$B$21-1</f>
        <v>7.4999999999999956E-2</v>
      </c>
    </row>
    <row r="143" spans="1:7" x14ac:dyDescent="0.2">
      <c r="A143" s="15">
        <v>43887</v>
      </c>
      <c r="B143" s="76">
        <v>1.0760000000000001</v>
      </c>
      <c r="C143" s="73">
        <f t="shared" si="36"/>
        <v>1.0000000000001119E-3</v>
      </c>
      <c r="D143" s="18" t="str">
        <f t="shared" si="37"/>
        <v>/</v>
      </c>
      <c r="E143" s="18">
        <f ca="1">IF(表2_3671626293034[[#This Row],[累计净值]]/MAX(INDIRECT("B21:B" &amp; ROW()))-1&lt;E142,表2_3671626293034[[#This Row],[累计净值]]/MAX(INDIRECT("B21:B" &amp; ROW()))-1,E142)</f>
        <v>-9.7560975609756184E-3</v>
      </c>
      <c r="F143" s="62">
        <f>表2_3671626293034[[#This Row],[累计净值]]</f>
        <v>1.0760000000000001</v>
      </c>
      <c r="G143" s="20">
        <f>表2_3671626293034[[#This Row],[累计净值]]/$B$21-1</f>
        <v>7.6000000000000068E-2</v>
      </c>
    </row>
    <row r="144" spans="1:7" x14ac:dyDescent="0.2">
      <c r="A144" s="15">
        <v>43888</v>
      </c>
      <c r="B144" s="16">
        <v>1.073</v>
      </c>
      <c r="C144" s="73">
        <f t="shared" si="36"/>
        <v>-3.0000000000001137E-3</v>
      </c>
      <c r="D144" s="18">
        <f t="shared" si="37"/>
        <v>-3.0000000000001137E-3</v>
      </c>
      <c r="E144" s="18">
        <f ca="1">IF(表2_3671626293034[[#This Row],[累计净值]]/MAX(INDIRECT("B21:B" &amp; ROW()))-1&lt;E143,表2_3671626293034[[#This Row],[累计净值]]/MAX(INDIRECT("B21:B" &amp; ROW()))-1,E143)</f>
        <v>-9.7560975609756184E-3</v>
      </c>
      <c r="F144" s="62">
        <f>表2_3671626293034[[#This Row],[累计净值]]</f>
        <v>1.073</v>
      </c>
      <c r="G144" s="20">
        <f>表2_3671626293034[[#This Row],[累计净值]]/$B$21-1</f>
        <v>7.2999999999999954E-2</v>
      </c>
    </row>
    <row r="145" spans="1:7" x14ac:dyDescent="0.2">
      <c r="A145" s="15">
        <v>43889</v>
      </c>
      <c r="B145" s="16">
        <v>1.0720000000000001</v>
      </c>
      <c r="C145" s="73">
        <f t="shared" si="36"/>
        <v>-9.9999999999988987E-4</v>
      </c>
      <c r="D145" s="18">
        <f t="shared" si="37"/>
        <v>-9.9999999999988987E-4</v>
      </c>
      <c r="E145" s="18">
        <f ca="1">IF(表2_3671626293034[[#This Row],[累计净值]]/MAX(INDIRECT("B21:B" &amp; ROW()))-1&lt;E144,表2_3671626293034[[#This Row],[累计净值]]/MAX(INDIRECT("B21:B" &amp; ROW()))-1,E144)</f>
        <v>-9.7560975609756184E-3</v>
      </c>
      <c r="F145" s="62">
        <f>表2_3671626293034[[#This Row],[累计净值]]</f>
        <v>1.0720000000000001</v>
      </c>
      <c r="G145" s="20">
        <f>表2_3671626293034[[#This Row],[累计净值]]/$B$21-1</f>
        <v>7.2000000000000064E-2</v>
      </c>
    </row>
    <row r="146" spans="1:7" x14ac:dyDescent="0.2">
      <c r="A146" s="15">
        <v>43892</v>
      </c>
      <c r="B146" s="16">
        <v>1.069</v>
      </c>
      <c r="C146" s="73">
        <f t="shared" si="36"/>
        <v>-3.0000000000001137E-3</v>
      </c>
      <c r="D146" s="18">
        <f t="shared" si="37"/>
        <v>-3.0000000000001137E-3</v>
      </c>
      <c r="E146" s="18">
        <f ca="1">IF(表2_3671626293034[[#This Row],[累计净值]]/MAX(INDIRECT("B21:B" &amp; ROW()))-1&lt;E145,表2_3671626293034[[#This Row],[累计净值]]/MAX(INDIRECT("B21:B" &amp; ROW()))-1,E145)</f>
        <v>-9.7560975609756184E-3</v>
      </c>
      <c r="F146" s="62">
        <f>表2_3671626293034[[#This Row],[累计净值]]</f>
        <v>1.069</v>
      </c>
      <c r="G146" s="20">
        <f>表2_3671626293034[[#This Row],[累计净值]]/$B$21-1</f>
        <v>6.899999999999995E-2</v>
      </c>
    </row>
    <row r="147" spans="1:7" x14ac:dyDescent="0.2">
      <c r="A147" s="15">
        <v>43893</v>
      </c>
      <c r="B147" s="16">
        <v>1.069</v>
      </c>
      <c r="C147" s="73">
        <f>IFERROR(B147-B146,0)</f>
        <v>0</v>
      </c>
      <c r="D147" s="18" t="str">
        <f>IF(C147&lt;0,C147,"/")</f>
        <v>/</v>
      </c>
      <c r="E147" s="18">
        <f ca="1">IF(表2_3671626293034[[#This Row],[累计净值]]/MAX(INDIRECT("B21:B" &amp; ROW()))-1&lt;E146,表2_3671626293034[[#This Row],[累计净值]]/MAX(INDIRECT("B21:B" &amp; ROW()))-1,E146)</f>
        <v>-9.7560975609756184E-3</v>
      </c>
      <c r="F147" s="62">
        <f>表2_3671626293034[[#This Row],[累计净值]]</f>
        <v>1.069</v>
      </c>
      <c r="G147" s="20">
        <f>表2_3671626293034[[#This Row],[累计净值]]/$B$21-1</f>
        <v>6.899999999999995E-2</v>
      </c>
    </row>
    <row r="148" spans="1:7" x14ac:dyDescent="0.2">
      <c r="A148" s="15">
        <v>43894</v>
      </c>
      <c r="B148" s="16">
        <v>1.069</v>
      </c>
      <c r="C148" s="73">
        <f>IFERROR(B148-B147,0)</f>
        <v>0</v>
      </c>
      <c r="D148" s="18" t="str">
        <f>IF(C148&lt;0,C148,"/")</f>
        <v>/</v>
      </c>
      <c r="E148" s="18">
        <f ca="1">IF(表2_3671626293034[[#This Row],[累计净值]]/MAX(INDIRECT("B21:B" &amp; ROW()))-1&lt;E147,表2_3671626293034[[#This Row],[累计净值]]/MAX(INDIRECT("B21:B" &amp; ROW()))-1,E147)</f>
        <v>-9.7560975609756184E-3</v>
      </c>
      <c r="F148" s="62">
        <f>表2_3671626293034[[#This Row],[累计净值]]</f>
        <v>1.069</v>
      </c>
      <c r="G148" s="20">
        <f>表2_3671626293034[[#This Row],[累计净值]]/$B$21-1</f>
        <v>6.899999999999995E-2</v>
      </c>
    </row>
    <row r="149" spans="1:7" x14ac:dyDescent="0.2">
      <c r="A149" s="15">
        <v>43895</v>
      </c>
      <c r="B149" s="16">
        <v>1.0720000000000001</v>
      </c>
      <c r="C149" s="73">
        <f t="shared" ref="C149:C154" si="38">IFERROR(B149-B148,0)</f>
        <v>3.0000000000001137E-3</v>
      </c>
      <c r="D149" s="18" t="str">
        <f t="shared" ref="D149:D154" si="39">IF(C149&lt;0,C149,"/")</f>
        <v>/</v>
      </c>
      <c r="E149" s="18">
        <f ca="1">IF(表2_3671626293034[[#This Row],[累计净值]]/MAX(INDIRECT("B21:B" &amp; ROW()))-1&lt;E148,表2_3671626293034[[#This Row],[累计净值]]/MAX(INDIRECT("B21:B" &amp; ROW()))-1,E148)</f>
        <v>-9.7560975609756184E-3</v>
      </c>
      <c r="F149" s="62">
        <f>表2_3671626293034[[#This Row],[累计净值]]</f>
        <v>1.0720000000000001</v>
      </c>
      <c r="G149" s="20">
        <f>表2_3671626293034[[#This Row],[累计净值]]/$B$21-1</f>
        <v>7.2000000000000064E-2</v>
      </c>
    </row>
    <row r="150" spans="1:7" x14ac:dyDescent="0.2">
      <c r="A150" s="15">
        <v>43896</v>
      </c>
      <c r="B150" s="16">
        <v>1.0740000000000001</v>
      </c>
      <c r="C150" s="73">
        <f t="shared" si="38"/>
        <v>2.0000000000000018E-3</v>
      </c>
      <c r="D150" s="18" t="str">
        <f t="shared" si="39"/>
        <v>/</v>
      </c>
      <c r="E150" s="18">
        <f ca="1">IF(表2_3671626293034[[#This Row],[累计净值]]/MAX(INDIRECT("B21:B" &amp; ROW()))-1&lt;E149,表2_3671626293034[[#This Row],[累计净值]]/MAX(INDIRECT("B21:B" &amp; ROW()))-1,E149)</f>
        <v>-9.7560975609756184E-3</v>
      </c>
      <c r="F150" s="62">
        <f>表2_3671626293034[[#This Row],[累计净值]]</f>
        <v>1.0740000000000001</v>
      </c>
      <c r="G150" s="20">
        <f>表2_3671626293034[[#This Row],[累计净值]]/$B$21-1</f>
        <v>7.4000000000000066E-2</v>
      </c>
    </row>
    <row r="151" spans="1:7" x14ac:dyDescent="0.2">
      <c r="A151" s="15">
        <v>43899</v>
      </c>
      <c r="B151" s="16">
        <v>1.0740000000000001</v>
      </c>
      <c r="C151" s="73">
        <f t="shared" si="38"/>
        <v>0</v>
      </c>
      <c r="D151" s="18" t="str">
        <f t="shared" si="39"/>
        <v>/</v>
      </c>
      <c r="E151" s="18">
        <f ca="1">IF(表2_3671626293034[[#This Row],[累计净值]]/MAX(INDIRECT("B21:B" &amp; ROW()))-1&lt;E150,表2_3671626293034[[#This Row],[累计净值]]/MAX(INDIRECT("B21:B" &amp; ROW()))-1,E150)</f>
        <v>-9.7560975609756184E-3</v>
      </c>
      <c r="F151" s="62">
        <f>表2_3671626293034[[#This Row],[累计净值]]</f>
        <v>1.0740000000000001</v>
      </c>
      <c r="G151" s="20">
        <f>表2_3671626293034[[#This Row],[累计净值]]/$B$21-1</f>
        <v>7.4000000000000066E-2</v>
      </c>
    </row>
    <row r="152" spans="1:7" x14ac:dyDescent="0.2">
      <c r="A152" s="15">
        <v>43900</v>
      </c>
      <c r="B152" s="16">
        <v>1.0760000000000001</v>
      </c>
      <c r="C152" s="73">
        <f t="shared" si="38"/>
        <v>2.0000000000000018E-3</v>
      </c>
      <c r="D152" s="18" t="str">
        <f t="shared" si="39"/>
        <v>/</v>
      </c>
      <c r="E152" s="18">
        <f ca="1">IF(表2_3671626293034[[#This Row],[累计净值]]/MAX(INDIRECT("B21:B" &amp; ROW()))-1&lt;E151,表2_3671626293034[[#This Row],[累计净值]]/MAX(INDIRECT("B21:B" &amp; ROW()))-1,E151)</f>
        <v>-9.7560975609756184E-3</v>
      </c>
      <c r="F152" s="62">
        <f>表2_3671626293034[[#This Row],[累计净值]]</f>
        <v>1.0760000000000001</v>
      </c>
      <c r="G152" s="20">
        <f>表2_3671626293034[[#This Row],[累计净值]]/$B$21-1</f>
        <v>7.6000000000000068E-2</v>
      </c>
    </row>
    <row r="153" spans="1:7" x14ac:dyDescent="0.2">
      <c r="A153" s="15">
        <v>43901</v>
      </c>
      <c r="B153" s="16">
        <v>1.0840000000000001</v>
      </c>
      <c r="C153" s="73">
        <f t="shared" si="38"/>
        <v>8.0000000000000071E-3</v>
      </c>
      <c r="D153" s="18" t="str">
        <f t="shared" si="39"/>
        <v>/</v>
      </c>
      <c r="E153" s="18">
        <f ca="1">IF(表2_3671626293034[[#This Row],[累计净值]]/MAX(INDIRECT("B21:B" &amp; ROW()))-1&lt;E152,表2_3671626293034[[#This Row],[累计净值]]/MAX(INDIRECT("B21:B" &amp; ROW()))-1,E152)</f>
        <v>-9.7560975609756184E-3</v>
      </c>
      <c r="F153" s="62">
        <f>表2_3671626293034[[#This Row],[累计净值]]</f>
        <v>1.0840000000000001</v>
      </c>
      <c r="G153" s="20">
        <f>表2_3671626293034[[#This Row],[累计净值]]/$B$21-1</f>
        <v>8.4000000000000075E-2</v>
      </c>
    </row>
    <row r="154" spans="1:7" x14ac:dyDescent="0.2">
      <c r="A154" s="15">
        <v>43902</v>
      </c>
      <c r="B154" s="16">
        <v>1.0820000000000001</v>
      </c>
      <c r="C154" s="73">
        <f t="shared" si="38"/>
        <v>-2.0000000000000018E-3</v>
      </c>
      <c r="D154" s="18">
        <f t="shared" si="39"/>
        <v>-2.0000000000000018E-3</v>
      </c>
      <c r="E154" s="18">
        <f ca="1">IF(表2_3671626293034[[#This Row],[累计净值]]/MAX(INDIRECT("B21:B" &amp; ROW()))-1&lt;E153,表2_3671626293034[[#This Row],[累计净值]]/MAX(INDIRECT("B21:B" &amp; ROW()))-1,E153)</f>
        <v>-9.7560975609756184E-3</v>
      </c>
      <c r="F154" s="62">
        <f>表2_3671626293034[[#This Row],[累计净值]]</f>
        <v>1.0820000000000001</v>
      </c>
      <c r="G154" s="20">
        <f>表2_3671626293034[[#This Row],[累计净值]]/$B$21-1</f>
        <v>8.2000000000000073E-2</v>
      </c>
    </row>
    <row r="155" spans="1:7" x14ac:dyDescent="0.2">
      <c r="A155" s="15">
        <v>43903</v>
      </c>
      <c r="B155" s="76">
        <v>1.0880000000000001</v>
      </c>
      <c r="C155" s="73">
        <f t="shared" ref="C155:C161" si="40">IFERROR(B155-B154,0)</f>
        <v>6.0000000000000053E-3</v>
      </c>
      <c r="D155" s="18" t="str">
        <f t="shared" ref="D155:D161" si="41">IF(C155&lt;0,C155,"/")</f>
        <v>/</v>
      </c>
      <c r="E155" s="18">
        <f ca="1">IF(表2_3671626293034[[#This Row],[累计净值]]/MAX(INDIRECT("B21:B" &amp; ROW()))-1&lt;E154,表2_3671626293034[[#This Row],[累计净值]]/MAX(INDIRECT("B21:B" &amp; ROW()))-1,E154)</f>
        <v>-9.7560975609756184E-3</v>
      </c>
      <c r="F155" s="62">
        <f>表2_3671626293034[[#This Row],[累计净值]]</f>
        <v>1.0880000000000001</v>
      </c>
      <c r="G155" s="20">
        <f>表2_3671626293034[[#This Row],[累计净值]]/$B$21-1</f>
        <v>8.8000000000000078E-2</v>
      </c>
    </row>
    <row r="156" spans="1:7" x14ac:dyDescent="0.2">
      <c r="A156" s="15">
        <v>43906</v>
      </c>
      <c r="B156" s="16">
        <v>1.0840000000000001</v>
      </c>
      <c r="C156" s="73">
        <f t="shared" si="40"/>
        <v>-4.0000000000000036E-3</v>
      </c>
      <c r="D156" s="18">
        <f t="shared" si="41"/>
        <v>-4.0000000000000036E-3</v>
      </c>
      <c r="E156" s="18">
        <f ca="1">IF(表2_3671626293034[[#This Row],[累计净值]]/MAX(INDIRECT("B21:B" &amp; ROW()))-1&lt;E155,表2_3671626293034[[#This Row],[累计净值]]/MAX(INDIRECT("B21:B" &amp; ROW()))-1,E155)</f>
        <v>-9.7560975609756184E-3</v>
      </c>
      <c r="F156" s="62">
        <f>表2_3671626293034[[#This Row],[累计净值]]</f>
        <v>1.0840000000000001</v>
      </c>
      <c r="G156" s="20">
        <f>表2_3671626293034[[#This Row],[累计净值]]/$B$21-1</f>
        <v>8.4000000000000075E-2</v>
      </c>
    </row>
    <row r="157" spans="1:7" x14ac:dyDescent="0.2">
      <c r="A157" s="15">
        <v>43907</v>
      </c>
      <c r="B157" s="16">
        <v>1.0880000000000001</v>
      </c>
      <c r="C157" s="73">
        <f t="shared" si="40"/>
        <v>4.0000000000000036E-3</v>
      </c>
      <c r="D157" s="18" t="str">
        <f t="shared" si="41"/>
        <v>/</v>
      </c>
      <c r="E157" s="18">
        <f ca="1">IF(表2_3671626293034[[#This Row],[累计净值]]/MAX(INDIRECT("B21:B" &amp; ROW()))-1&lt;E156,表2_3671626293034[[#This Row],[累计净值]]/MAX(INDIRECT("B21:B" &amp; ROW()))-1,E156)</f>
        <v>-9.7560975609756184E-3</v>
      </c>
      <c r="F157" s="62">
        <f>表2_3671626293034[[#This Row],[累计净值]]</f>
        <v>1.0880000000000001</v>
      </c>
      <c r="G157" s="20">
        <f>表2_3671626293034[[#This Row],[累计净值]]/$B$21-1</f>
        <v>8.8000000000000078E-2</v>
      </c>
    </row>
    <row r="158" spans="1:7" x14ac:dyDescent="0.2">
      <c r="A158" s="15">
        <v>43908</v>
      </c>
      <c r="B158" s="16">
        <v>1.0940000000000001</v>
      </c>
      <c r="C158" s="73">
        <f t="shared" si="40"/>
        <v>6.0000000000000053E-3</v>
      </c>
      <c r="D158" s="18" t="str">
        <f t="shared" si="41"/>
        <v>/</v>
      </c>
      <c r="E158" s="18">
        <f ca="1">IF(表2_3671626293034[[#This Row],[累计净值]]/MAX(INDIRECT("B21:B" &amp; ROW()))-1&lt;E157,表2_3671626293034[[#This Row],[累计净值]]/MAX(INDIRECT("B21:B" &amp; ROW()))-1,E157)</f>
        <v>-9.7560975609756184E-3</v>
      </c>
      <c r="F158" s="62">
        <f>表2_3671626293034[[#This Row],[累计净值]]</f>
        <v>1.0940000000000001</v>
      </c>
      <c r="G158" s="20">
        <f>表2_3671626293034[[#This Row],[累计净值]]/$B$21-1</f>
        <v>9.4000000000000083E-2</v>
      </c>
    </row>
    <row r="159" spans="1:7" x14ac:dyDescent="0.2">
      <c r="A159" s="15">
        <v>43909</v>
      </c>
      <c r="B159" s="16">
        <v>1.101</v>
      </c>
      <c r="C159" s="73">
        <f t="shared" si="40"/>
        <v>6.9999999999998952E-3</v>
      </c>
      <c r="D159" s="18" t="str">
        <f t="shared" si="41"/>
        <v>/</v>
      </c>
      <c r="E159" s="18">
        <f ca="1">IF(表2_3671626293034[[#This Row],[累计净值]]/MAX(INDIRECT("B21:B" &amp; ROW()))-1&lt;E158,表2_3671626293034[[#This Row],[累计净值]]/MAX(INDIRECT("B21:B" &amp; ROW()))-1,E158)</f>
        <v>-9.7560975609756184E-3</v>
      </c>
      <c r="F159" s="62">
        <f>表2_3671626293034[[#This Row],[累计净值]]</f>
        <v>1.101</v>
      </c>
      <c r="G159" s="20">
        <f>表2_3671626293034[[#This Row],[累计净值]]/$B$21-1</f>
        <v>0.10099999999999998</v>
      </c>
    </row>
    <row r="160" spans="1:7" x14ac:dyDescent="0.2">
      <c r="A160" s="15">
        <v>43910</v>
      </c>
      <c r="B160" s="76">
        <v>1.107</v>
      </c>
      <c r="C160" s="73">
        <f t="shared" si="40"/>
        <v>6.0000000000000053E-3</v>
      </c>
      <c r="D160" s="18" t="str">
        <f t="shared" si="41"/>
        <v>/</v>
      </c>
      <c r="E160" s="18">
        <f ca="1">IF(表2_3671626293034[[#This Row],[累计净值]]/MAX(INDIRECT("B21:B" &amp; ROW()))-1&lt;E159,表2_3671626293034[[#This Row],[累计净值]]/MAX(INDIRECT("B21:B" &amp; ROW()))-1,E159)</f>
        <v>-9.7560975609756184E-3</v>
      </c>
      <c r="F160" s="62">
        <f>表2_3671626293034[[#This Row],[累计净值]]</f>
        <v>1.107</v>
      </c>
      <c r="G160" s="20">
        <f>表2_3671626293034[[#This Row],[累计净值]]/$B$21-1</f>
        <v>0.10699999999999998</v>
      </c>
    </row>
    <row r="161" spans="1:7" x14ac:dyDescent="0.2">
      <c r="A161" s="15">
        <v>43913</v>
      </c>
      <c r="B161" s="16">
        <v>1.103</v>
      </c>
      <c r="C161" s="73">
        <f t="shared" si="40"/>
        <v>-4.0000000000000036E-3</v>
      </c>
      <c r="D161" s="18">
        <f t="shared" si="41"/>
        <v>-4.0000000000000036E-3</v>
      </c>
      <c r="E161" s="18">
        <f ca="1">IF(表2_3671626293034[[#This Row],[累计净值]]/MAX(INDIRECT("B21:B" &amp; ROW()))-1&lt;E160,表2_3671626293034[[#This Row],[累计净值]]/MAX(INDIRECT("B21:B" &amp; ROW()))-1,E160)</f>
        <v>-9.7560975609756184E-3</v>
      </c>
      <c r="F161" s="62">
        <f>表2_3671626293034[[#This Row],[累计净值]]</f>
        <v>1.103</v>
      </c>
      <c r="G161" s="20">
        <f>表2_3671626293034[[#This Row],[累计净值]]/$B$21-1</f>
        <v>0.10299999999999998</v>
      </c>
    </row>
    <row r="162" spans="1:7" x14ac:dyDescent="0.2">
      <c r="A162" s="15">
        <v>43914</v>
      </c>
      <c r="B162" s="16">
        <v>1.1060000000000001</v>
      </c>
      <c r="C162" s="73">
        <f t="shared" ref="C162:C168" si="42">IFERROR(B162-B161,0)</f>
        <v>3.0000000000001137E-3</v>
      </c>
      <c r="D162" s="18" t="str">
        <f t="shared" ref="D162:D168" si="43">IF(C162&lt;0,C162,"/")</f>
        <v>/</v>
      </c>
      <c r="E162" s="18">
        <f ca="1">IF(表2_3671626293034[[#This Row],[累计净值]]/MAX(INDIRECT("B21:B" &amp; ROW()))-1&lt;E161,表2_3671626293034[[#This Row],[累计净值]]/MAX(INDIRECT("B21:B" &amp; ROW()))-1,E161)</f>
        <v>-9.7560975609756184E-3</v>
      </c>
      <c r="F162" s="62">
        <f>表2_3671626293034[[#This Row],[累计净值]]</f>
        <v>1.1060000000000001</v>
      </c>
      <c r="G162" s="20">
        <f>表2_3671626293034[[#This Row],[累计净值]]/$B$21-1</f>
        <v>0.10600000000000009</v>
      </c>
    </row>
    <row r="163" spans="1:7" x14ac:dyDescent="0.2">
      <c r="A163" s="15">
        <v>43915</v>
      </c>
      <c r="B163" s="76">
        <v>1.1080000000000001</v>
      </c>
      <c r="C163" s="73">
        <f t="shared" si="42"/>
        <v>2.0000000000000018E-3</v>
      </c>
      <c r="D163" s="18" t="str">
        <f t="shared" si="43"/>
        <v>/</v>
      </c>
      <c r="E163" s="18">
        <f ca="1">IF(表2_3671626293034[[#This Row],[累计净值]]/MAX(INDIRECT("B21:B" &amp; ROW()))-1&lt;E162,表2_3671626293034[[#This Row],[累计净值]]/MAX(INDIRECT("B21:B" &amp; ROW()))-1,E162)</f>
        <v>-9.7560975609756184E-3</v>
      </c>
      <c r="F163" s="62">
        <f>表2_3671626293034[[#This Row],[累计净值]]</f>
        <v>1.1080000000000001</v>
      </c>
      <c r="G163" s="20">
        <f>表2_3671626293034[[#This Row],[累计净值]]/$B$21-1</f>
        <v>0.1080000000000001</v>
      </c>
    </row>
    <row r="164" spans="1:7" x14ac:dyDescent="0.2">
      <c r="A164" s="15">
        <v>43916</v>
      </c>
      <c r="B164" s="16">
        <v>1.101</v>
      </c>
      <c r="C164" s="73">
        <f t="shared" si="42"/>
        <v>-7.0000000000001172E-3</v>
      </c>
      <c r="D164" s="18">
        <f t="shared" si="43"/>
        <v>-7.0000000000001172E-3</v>
      </c>
      <c r="E164" s="18">
        <f ca="1">IF(表2_3671626293034[[#This Row],[累计净值]]/MAX(INDIRECT("B21:B" &amp; ROW()))-1&lt;E163,表2_3671626293034[[#This Row],[累计净值]]/MAX(INDIRECT("B21:B" &amp; ROW()))-1,E163)</f>
        <v>-9.7560975609756184E-3</v>
      </c>
      <c r="F164" s="62">
        <f>表2_3671626293034[[#This Row],[累计净值]]</f>
        <v>1.101</v>
      </c>
      <c r="G164" s="20">
        <f>表2_3671626293034[[#This Row],[累计净值]]/$B$21-1</f>
        <v>0.10099999999999998</v>
      </c>
    </row>
    <row r="165" spans="1:7" x14ac:dyDescent="0.2">
      <c r="A165" s="15">
        <v>43917</v>
      </c>
      <c r="B165" s="16">
        <v>1.1060000000000001</v>
      </c>
      <c r="C165" s="73">
        <f t="shared" si="42"/>
        <v>5.0000000000001155E-3</v>
      </c>
      <c r="D165" s="18" t="str">
        <f t="shared" si="43"/>
        <v>/</v>
      </c>
      <c r="E165" s="18">
        <f ca="1">IF(表2_3671626293034[[#This Row],[累计净值]]/MAX(INDIRECT("B21:B" &amp; ROW()))-1&lt;E164,表2_3671626293034[[#This Row],[累计净值]]/MAX(INDIRECT("B21:B" &amp; ROW()))-1,E164)</f>
        <v>-9.7560975609756184E-3</v>
      </c>
      <c r="F165" s="62">
        <f>表2_3671626293034[[#This Row],[累计净值]]</f>
        <v>1.1060000000000001</v>
      </c>
      <c r="G165" s="20">
        <f>表2_3671626293034[[#This Row],[累计净值]]/$B$21-1</f>
        <v>0.10600000000000009</v>
      </c>
    </row>
    <row r="166" spans="1:7" x14ac:dyDescent="0.2">
      <c r="A166" s="15">
        <v>43920</v>
      </c>
      <c r="B166" s="16">
        <v>1.1100000000000001</v>
      </c>
      <c r="C166" s="73">
        <f t="shared" si="42"/>
        <v>4.0000000000000036E-3</v>
      </c>
      <c r="D166" s="18" t="str">
        <f t="shared" si="43"/>
        <v>/</v>
      </c>
      <c r="E166" s="18">
        <f ca="1">IF(表2_3671626293034[[#This Row],[累计净值]]/MAX(INDIRECT("B21:B" &amp; ROW()))-1&lt;E165,表2_3671626293034[[#This Row],[累计净值]]/MAX(INDIRECT("B21:B" &amp; ROW()))-1,E165)</f>
        <v>-9.7560975609756184E-3</v>
      </c>
      <c r="F166" s="62">
        <f>表2_3671626293034[[#This Row],[累计净值]]</f>
        <v>1.1100000000000001</v>
      </c>
      <c r="G166" s="20">
        <f>表2_3671626293034[[#This Row],[累计净值]]/$B$21-1</f>
        <v>0.1100000000000001</v>
      </c>
    </row>
    <row r="167" spans="1:7" x14ac:dyDescent="0.2">
      <c r="A167" s="15">
        <v>43921</v>
      </c>
      <c r="B167" s="16">
        <v>1.1120000000000001</v>
      </c>
      <c r="C167" s="73">
        <f t="shared" si="42"/>
        <v>2.0000000000000018E-3</v>
      </c>
      <c r="D167" s="18" t="str">
        <f t="shared" si="43"/>
        <v>/</v>
      </c>
      <c r="E167" s="18">
        <f ca="1">IF(表2_3671626293034[[#This Row],[累计净值]]/MAX(INDIRECT("B21:B" &amp; ROW()))-1&lt;E166,表2_3671626293034[[#This Row],[累计净值]]/MAX(INDIRECT("B21:B" &amp; ROW()))-1,E166)</f>
        <v>-9.7560975609756184E-3</v>
      </c>
      <c r="F167" s="62">
        <f>表2_3671626293034[[#This Row],[累计净值]]</f>
        <v>1.1120000000000001</v>
      </c>
      <c r="G167" s="20">
        <f>表2_3671626293034[[#This Row],[累计净值]]/$B$21-1</f>
        <v>0.1120000000000001</v>
      </c>
    </row>
    <row r="168" spans="1:7" x14ac:dyDescent="0.2">
      <c r="A168" s="15">
        <v>43922</v>
      </c>
      <c r="B168" s="16">
        <v>1.115</v>
      </c>
      <c r="C168" s="73">
        <f t="shared" si="42"/>
        <v>2.9999999999998916E-3</v>
      </c>
      <c r="D168" s="18" t="str">
        <f t="shared" si="43"/>
        <v>/</v>
      </c>
      <c r="E168" s="18">
        <f ca="1">IF(表2_3671626293034[[#This Row],[累计净值]]/MAX(INDIRECT("B21:B" &amp; ROW()))-1&lt;E167,表2_3671626293034[[#This Row],[累计净值]]/MAX(INDIRECT("B21:B" &amp; ROW()))-1,E167)</f>
        <v>-9.7560975609756184E-3</v>
      </c>
      <c r="F168" s="62">
        <f>表2_3671626293034[[#This Row],[累计净值]]</f>
        <v>1.115</v>
      </c>
      <c r="G168" s="20">
        <f>表2_3671626293034[[#This Row],[累计净值]]/$B$21-1</f>
        <v>0.11499999999999999</v>
      </c>
    </row>
    <row r="169" spans="1:7" x14ac:dyDescent="0.2">
      <c r="A169" s="15">
        <v>43923</v>
      </c>
      <c r="B169" s="16">
        <v>1.119</v>
      </c>
      <c r="C169" s="73">
        <f t="shared" ref="C169:C174" si="44">IFERROR(B169-B168,0)</f>
        <v>4.0000000000000036E-3</v>
      </c>
      <c r="D169" s="18" t="str">
        <f t="shared" ref="D169:D174" si="45">IF(C169&lt;0,C169,"/")</f>
        <v>/</v>
      </c>
      <c r="E169" s="18">
        <f ca="1">IF(表2_3671626293034[[#This Row],[累计净值]]/MAX(INDIRECT("B21:B" &amp; ROW()))-1&lt;E168,表2_3671626293034[[#This Row],[累计净值]]/MAX(INDIRECT("B21:B" &amp; ROW()))-1,E168)</f>
        <v>-9.7560975609756184E-3</v>
      </c>
      <c r="F169" s="62">
        <f>表2_3671626293034[[#This Row],[累计净值]]</f>
        <v>1.119</v>
      </c>
      <c r="G169" s="20">
        <f>表2_3671626293034[[#This Row],[累计净值]]/$B$21-1</f>
        <v>0.11899999999999999</v>
      </c>
    </row>
    <row r="170" spans="1:7" x14ac:dyDescent="0.2">
      <c r="A170" s="15">
        <v>43924</v>
      </c>
      <c r="B170" s="16">
        <v>1.1200000000000001</v>
      </c>
      <c r="C170" s="73">
        <f t="shared" si="44"/>
        <v>1.0000000000001119E-3</v>
      </c>
      <c r="D170" s="18" t="str">
        <f t="shared" si="45"/>
        <v>/</v>
      </c>
      <c r="E170" s="18">
        <f ca="1">IF(表2_3671626293034[[#This Row],[累计净值]]/MAX(INDIRECT("B21:B" &amp; ROW()))-1&lt;E169,表2_3671626293034[[#This Row],[累计净值]]/MAX(INDIRECT("B21:B" &amp; ROW()))-1,E169)</f>
        <v>-9.7560975609756184E-3</v>
      </c>
      <c r="F170" s="62">
        <f>表2_3671626293034[[#This Row],[累计净值]]</f>
        <v>1.1200000000000001</v>
      </c>
      <c r="G170" s="20">
        <f>表2_3671626293034[[#This Row],[累计净值]]/$B$21-1</f>
        <v>0.12000000000000011</v>
      </c>
    </row>
    <row r="171" spans="1:7" x14ac:dyDescent="0.2">
      <c r="A171" s="15">
        <v>43928</v>
      </c>
      <c r="B171" s="16">
        <v>1.1220000000000001</v>
      </c>
      <c r="C171" s="73">
        <f t="shared" si="44"/>
        <v>2.0000000000000018E-3</v>
      </c>
      <c r="D171" s="18" t="str">
        <f t="shared" si="45"/>
        <v>/</v>
      </c>
      <c r="E171" s="18">
        <f ca="1">IF(表2_3671626293034[[#This Row],[累计净值]]/MAX(INDIRECT("B21:B" &amp; ROW()))-1&lt;E170,表2_3671626293034[[#This Row],[累计净值]]/MAX(INDIRECT("B21:B" &amp; ROW()))-1,E170)</f>
        <v>-9.7560975609756184E-3</v>
      </c>
      <c r="F171" s="62">
        <f>表2_3671626293034[[#This Row],[累计净值]]</f>
        <v>1.1220000000000001</v>
      </c>
      <c r="G171" s="20">
        <f>表2_3671626293034[[#This Row],[累计净值]]/$B$21-1</f>
        <v>0.12200000000000011</v>
      </c>
    </row>
    <row r="172" spans="1:7" x14ac:dyDescent="0.2">
      <c r="A172" s="15">
        <v>43929</v>
      </c>
      <c r="B172" s="76">
        <v>1.1240000000000001</v>
      </c>
      <c r="C172" s="73">
        <f t="shared" si="44"/>
        <v>2.0000000000000018E-3</v>
      </c>
      <c r="D172" s="18" t="str">
        <f t="shared" si="45"/>
        <v>/</v>
      </c>
      <c r="E172" s="18">
        <f ca="1">IF(表2_3671626293034[[#This Row],[累计净值]]/MAX(INDIRECT("B21:B" &amp; ROW()))-1&lt;E171,表2_3671626293034[[#This Row],[累计净值]]/MAX(INDIRECT("B21:B" &amp; ROW()))-1,E171)</f>
        <v>-9.7560975609756184E-3</v>
      </c>
      <c r="F172" s="62">
        <f>表2_3671626293034[[#This Row],[累计净值]]</f>
        <v>1.1240000000000001</v>
      </c>
      <c r="G172" s="20">
        <f>表2_3671626293034[[#This Row],[累计净值]]/$B$21-1</f>
        <v>0.12400000000000011</v>
      </c>
    </row>
    <row r="173" spans="1:7" x14ac:dyDescent="0.2">
      <c r="A173" s="15">
        <v>43930</v>
      </c>
      <c r="B173" s="16">
        <v>1.121</v>
      </c>
      <c r="C173" s="73">
        <f t="shared" si="44"/>
        <v>-3.0000000000001137E-3</v>
      </c>
      <c r="D173" s="18">
        <f t="shared" si="45"/>
        <v>-3.0000000000001137E-3</v>
      </c>
      <c r="E173" s="18">
        <f ca="1">IF(表2_3671626293034[[#This Row],[累计净值]]/MAX(INDIRECT("B21:B" &amp; ROW()))-1&lt;E172,表2_3671626293034[[#This Row],[累计净值]]/MAX(INDIRECT("B21:B" &amp; ROW()))-1,E172)</f>
        <v>-9.7560975609756184E-3</v>
      </c>
      <c r="F173" s="62">
        <f>表2_3671626293034[[#This Row],[累计净值]]</f>
        <v>1.121</v>
      </c>
      <c r="G173" s="20">
        <f>表2_3671626293034[[#This Row],[累计净值]]/$B$21-1</f>
        <v>0.121</v>
      </c>
    </row>
    <row r="174" spans="1:7" x14ac:dyDescent="0.2">
      <c r="A174" s="15">
        <v>43931</v>
      </c>
      <c r="B174" s="16">
        <v>1.121</v>
      </c>
      <c r="C174" s="73">
        <f t="shared" si="44"/>
        <v>0</v>
      </c>
      <c r="D174" s="18" t="str">
        <f t="shared" si="45"/>
        <v>/</v>
      </c>
      <c r="E174" s="18">
        <f ca="1">IF(表2_3671626293034[[#This Row],[累计净值]]/MAX(INDIRECT("B21:B" &amp; ROW()))-1&lt;E173,表2_3671626293034[[#This Row],[累计净值]]/MAX(INDIRECT("B21:B" &amp; ROW()))-1,E173)</f>
        <v>-9.7560975609756184E-3</v>
      </c>
      <c r="F174" s="62">
        <f>表2_3671626293034[[#This Row],[累计净值]]</f>
        <v>1.121</v>
      </c>
      <c r="G174" s="20">
        <f>表2_3671626293034[[#This Row],[累计净值]]/$B$21-1</f>
        <v>0.121</v>
      </c>
    </row>
    <row r="175" spans="1:7" x14ac:dyDescent="0.2">
      <c r="A175" s="15">
        <v>43934</v>
      </c>
      <c r="B175" s="16">
        <v>1.1200000000000001</v>
      </c>
      <c r="C175" s="73">
        <f t="shared" ref="C175:C180" si="46">IFERROR(B175-B174,0)</f>
        <v>-9.9999999999988987E-4</v>
      </c>
      <c r="D175" s="18">
        <f t="shared" ref="D175:D180" si="47">IF(C175&lt;0,C175,"/")</f>
        <v>-9.9999999999988987E-4</v>
      </c>
      <c r="E175" s="18">
        <f ca="1">IF(表2_3671626293034[[#This Row],[累计净值]]/MAX(INDIRECT("B21:B" &amp; ROW()))-1&lt;E174,表2_3671626293034[[#This Row],[累计净值]]/MAX(INDIRECT("B21:B" &amp; ROW()))-1,E174)</f>
        <v>-9.7560975609756184E-3</v>
      </c>
      <c r="F175" s="62">
        <f>表2_3671626293034[[#This Row],[累计净值]]</f>
        <v>1.1200000000000001</v>
      </c>
      <c r="G175" s="20">
        <f>表2_3671626293034[[#This Row],[累计净值]]/$B$21-1</f>
        <v>0.12000000000000011</v>
      </c>
    </row>
    <row r="176" spans="1:7" x14ac:dyDescent="0.2">
      <c r="A176" s="15">
        <v>43935</v>
      </c>
      <c r="B176" s="16">
        <v>1.1220000000000001</v>
      </c>
      <c r="C176" s="73">
        <f t="shared" si="46"/>
        <v>2.0000000000000018E-3</v>
      </c>
      <c r="D176" s="18" t="str">
        <f t="shared" si="47"/>
        <v>/</v>
      </c>
      <c r="E176" s="18">
        <f ca="1">IF(表2_3671626293034[[#This Row],[累计净值]]/MAX(INDIRECT("B21:B" &amp; ROW()))-1&lt;E175,表2_3671626293034[[#This Row],[累计净值]]/MAX(INDIRECT("B21:B" &amp; ROW()))-1,E175)</f>
        <v>-9.7560975609756184E-3</v>
      </c>
      <c r="F176" s="62">
        <f>表2_3671626293034[[#This Row],[累计净值]]</f>
        <v>1.1220000000000001</v>
      </c>
      <c r="G176" s="20">
        <f>表2_3671626293034[[#This Row],[累计净值]]/$B$21-1</f>
        <v>0.12200000000000011</v>
      </c>
    </row>
    <row r="177" spans="1:7" x14ac:dyDescent="0.2">
      <c r="A177" s="15">
        <v>43936</v>
      </c>
      <c r="B177" s="16">
        <v>1.127</v>
      </c>
      <c r="C177" s="73">
        <f t="shared" si="46"/>
        <v>4.9999999999998934E-3</v>
      </c>
      <c r="D177" s="18" t="str">
        <f t="shared" si="47"/>
        <v>/</v>
      </c>
      <c r="E177" s="18">
        <f ca="1">IF(表2_3671626293034[[#This Row],[累计净值]]/MAX(INDIRECT("B21:B" &amp; ROW()))-1&lt;E176,表2_3671626293034[[#This Row],[累计净值]]/MAX(INDIRECT("B21:B" &amp; ROW()))-1,E176)</f>
        <v>-9.7560975609756184E-3</v>
      </c>
      <c r="F177" s="62">
        <f>表2_3671626293034[[#This Row],[累计净值]]</f>
        <v>1.127</v>
      </c>
      <c r="G177" s="20">
        <f>表2_3671626293034[[#This Row],[累计净值]]/$B$21-1</f>
        <v>0.127</v>
      </c>
    </row>
    <row r="178" spans="1:7" x14ac:dyDescent="0.2">
      <c r="A178" s="15">
        <v>43937</v>
      </c>
      <c r="B178" s="96">
        <v>1.135</v>
      </c>
      <c r="C178" s="94">
        <f t="shared" si="46"/>
        <v>8.0000000000000071E-3</v>
      </c>
      <c r="D178" s="95" t="str">
        <f t="shared" si="47"/>
        <v>/</v>
      </c>
      <c r="E178" s="95">
        <f ca="1">IF(表2_3671626293034[[#This Row],[累计净值]]/MAX(INDIRECT("B21:B" &amp; ROW()))-1&lt;E177,表2_3671626293034[[#This Row],[累计净值]]/MAX(INDIRECT("B21:B" &amp; ROW()))-1,E177)</f>
        <v>-9.7560975609756184E-3</v>
      </c>
      <c r="F178" s="97">
        <f>表2_3671626293034[[#This Row],[累计净值]]</f>
        <v>1.135</v>
      </c>
      <c r="G178" s="20">
        <f>表2_3671626293034[[#This Row],[累计净值]]/$B$21-1</f>
        <v>0.13500000000000001</v>
      </c>
    </row>
    <row r="179" spans="1:7" x14ac:dyDescent="0.2">
      <c r="A179" s="15">
        <v>43938</v>
      </c>
      <c r="B179" s="96">
        <v>1.1399999999999999</v>
      </c>
      <c r="C179" s="94">
        <f t="shared" si="46"/>
        <v>4.9999999999998934E-3</v>
      </c>
      <c r="D179" s="95" t="str">
        <f t="shared" si="47"/>
        <v>/</v>
      </c>
      <c r="E179" s="95">
        <f ca="1">IF(表2_3671626293034[[#This Row],[累计净值]]/MAX(INDIRECT("B21:B" &amp; ROW()))-1&lt;E178,表2_3671626293034[[#This Row],[累计净值]]/MAX(INDIRECT("B21:B" &amp; ROW()))-1,E178)</f>
        <v>-9.7560975609756184E-3</v>
      </c>
      <c r="F179" s="97">
        <f>表2_3671626293034[[#This Row],[累计净值]]</f>
        <v>1.1399999999999999</v>
      </c>
      <c r="G179" s="20">
        <f>表2_3671626293034[[#This Row],[累计净值]]/$B$21-1</f>
        <v>0.1399999999999999</v>
      </c>
    </row>
    <row r="180" spans="1:7" x14ac:dyDescent="0.2">
      <c r="A180" s="15">
        <v>43941</v>
      </c>
      <c r="B180" s="96">
        <v>1.1439999999999999</v>
      </c>
      <c r="C180" s="94">
        <f t="shared" si="46"/>
        <v>4.0000000000000036E-3</v>
      </c>
      <c r="D180" s="95" t="str">
        <f t="shared" si="47"/>
        <v>/</v>
      </c>
      <c r="E180" s="95">
        <f ca="1">IF(表2_3671626293034[[#This Row],[累计净值]]/MAX(INDIRECT("B21:B" &amp; ROW()))-1&lt;E179,表2_3671626293034[[#This Row],[累计净值]]/MAX(INDIRECT("B21:B" &amp; ROW()))-1,E179)</f>
        <v>-9.7560975609756184E-3</v>
      </c>
      <c r="F180" s="97">
        <f>表2_3671626293034[[#This Row],[累计净值]]</f>
        <v>1.1439999999999999</v>
      </c>
      <c r="G180" s="20">
        <f>表2_3671626293034[[#This Row],[累计净值]]/$B$21-1</f>
        <v>0.14399999999999991</v>
      </c>
    </row>
    <row r="181" spans="1:7" x14ac:dyDescent="0.2">
      <c r="A181" s="15">
        <v>43942</v>
      </c>
      <c r="B181" s="76">
        <v>1.151</v>
      </c>
      <c r="C181" s="94">
        <f t="shared" ref="C181:C186" si="48">IFERROR(B181-B180,0)</f>
        <v>7.0000000000001172E-3</v>
      </c>
      <c r="D181" s="95" t="str">
        <f t="shared" ref="D181:D186" si="49">IF(C181&lt;0,C181,"/")</f>
        <v>/</v>
      </c>
      <c r="E181" s="95">
        <f ca="1">IF(表2_3671626293034[[#This Row],[累计净值]]/MAX(INDIRECT("B21:B" &amp; ROW()))-1&lt;E180,表2_3671626293034[[#This Row],[累计净值]]/MAX(INDIRECT("B21:B" &amp; ROW()))-1,E180)</f>
        <v>-9.7560975609756184E-3</v>
      </c>
      <c r="F181" s="97">
        <f>表2_3671626293034[[#This Row],[累计净值]]</f>
        <v>1.151</v>
      </c>
      <c r="G181" s="20">
        <f>表2_3671626293034[[#This Row],[累计净值]]/$B$21-1</f>
        <v>0.15100000000000002</v>
      </c>
    </row>
    <row r="182" spans="1:7" x14ac:dyDescent="0.2">
      <c r="A182" s="15">
        <v>43943</v>
      </c>
      <c r="B182" s="96">
        <v>1.151</v>
      </c>
      <c r="C182" s="94">
        <f t="shared" si="48"/>
        <v>0</v>
      </c>
      <c r="D182" s="95" t="str">
        <f t="shared" si="49"/>
        <v>/</v>
      </c>
      <c r="E182" s="95">
        <f ca="1">IF(表2_3671626293034[[#This Row],[累计净值]]/MAX(INDIRECT("B21:B" &amp; ROW()))-1&lt;E181,表2_3671626293034[[#This Row],[累计净值]]/MAX(INDIRECT("B21:B" &amp; ROW()))-1,E181)</f>
        <v>-9.7560975609756184E-3</v>
      </c>
      <c r="F182" s="97">
        <f>表2_3671626293034[[#This Row],[累计净值]]</f>
        <v>1.151</v>
      </c>
      <c r="G182" s="20">
        <f>表2_3671626293034[[#This Row],[累计净值]]/$B$21-1</f>
        <v>0.15100000000000002</v>
      </c>
    </row>
    <row r="183" spans="1:7" x14ac:dyDescent="0.2">
      <c r="A183" s="15">
        <v>43944</v>
      </c>
      <c r="B183" s="96">
        <v>1.153</v>
      </c>
      <c r="C183" s="94">
        <f t="shared" si="48"/>
        <v>2.0000000000000018E-3</v>
      </c>
      <c r="D183" s="95" t="str">
        <f t="shared" si="49"/>
        <v>/</v>
      </c>
      <c r="E183" s="95">
        <f ca="1">IF(表2_3671626293034[[#This Row],[累计净值]]/MAX(INDIRECT("B21:B" &amp; ROW()))-1&lt;E182,表2_3671626293034[[#This Row],[累计净值]]/MAX(INDIRECT("B21:B" &amp; ROW()))-1,E182)</f>
        <v>-9.7560975609756184E-3</v>
      </c>
      <c r="F183" s="97">
        <f>表2_3671626293034[[#This Row],[累计净值]]</f>
        <v>1.153</v>
      </c>
      <c r="G183" s="20">
        <f>表2_3671626293034[[#This Row],[累计净值]]/$B$21-1</f>
        <v>0.15300000000000002</v>
      </c>
    </row>
    <row r="184" spans="1:7" x14ac:dyDescent="0.2">
      <c r="A184" s="15">
        <v>43945</v>
      </c>
      <c r="B184" s="96">
        <v>1.153</v>
      </c>
      <c r="C184" s="94">
        <f t="shared" si="48"/>
        <v>0</v>
      </c>
      <c r="D184" s="95" t="str">
        <f t="shared" si="49"/>
        <v>/</v>
      </c>
      <c r="E184" s="95">
        <f ca="1">IF(表2_3671626293034[[#This Row],[累计净值]]/MAX(INDIRECT("B21:B" &amp; ROW()))-1&lt;E183,表2_3671626293034[[#This Row],[累计净值]]/MAX(INDIRECT("B21:B" &amp; ROW()))-1,E183)</f>
        <v>-9.7560975609756184E-3</v>
      </c>
      <c r="F184" s="97">
        <f>表2_3671626293034[[#This Row],[累计净值]]</f>
        <v>1.153</v>
      </c>
      <c r="G184" s="20">
        <f>表2_3671626293034[[#This Row],[累计净值]]/$B$21-1</f>
        <v>0.15300000000000002</v>
      </c>
    </row>
    <row r="185" spans="1:7" x14ac:dyDescent="0.2">
      <c r="A185" s="15">
        <v>43948</v>
      </c>
      <c r="B185" s="76">
        <v>1.1539999999999999</v>
      </c>
      <c r="C185" s="94">
        <f t="shared" si="48"/>
        <v>9.9999999999988987E-4</v>
      </c>
      <c r="D185" s="95" t="str">
        <f t="shared" si="49"/>
        <v>/</v>
      </c>
      <c r="E185" s="95">
        <f ca="1">IF(表2_3671626293034[[#This Row],[累计净值]]/MAX(INDIRECT("B21:B" &amp; ROW()))-1&lt;E184,表2_3671626293034[[#This Row],[累计净值]]/MAX(INDIRECT("B21:B" &amp; ROW()))-1,E184)</f>
        <v>-9.7560975609756184E-3</v>
      </c>
      <c r="F185" s="97">
        <f>表2_3671626293034[[#This Row],[累计净值]]</f>
        <v>1.1539999999999999</v>
      </c>
      <c r="G185" s="20">
        <f>表2_3671626293034[[#This Row],[累计净值]]/$B$21-1</f>
        <v>0.15399999999999991</v>
      </c>
    </row>
    <row r="186" spans="1:7" x14ac:dyDescent="0.2">
      <c r="A186" s="15">
        <v>43949</v>
      </c>
      <c r="B186" s="96">
        <v>1.1499999999999999</v>
      </c>
      <c r="C186" s="94">
        <f t="shared" si="48"/>
        <v>-4.0000000000000036E-3</v>
      </c>
      <c r="D186" s="95">
        <f t="shared" si="49"/>
        <v>-4.0000000000000036E-3</v>
      </c>
      <c r="E186" s="95">
        <f ca="1">IF(表2_3671626293034[[#This Row],[累计净值]]/MAX(INDIRECT("B21:B" &amp; ROW()))-1&lt;E185,表2_3671626293034[[#This Row],[累计净值]]/MAX(INDIRECT("B21:B" &amp; ROW()))-1,E185)</f>
        <v>-9.7560975609756184E-3</v>
      </c>
      <c r="F186" s="97">
        <f>表2_3671626293034[[#This Row],[累计净值]]</f>
        <v>1.1499999999999999</v>
      </c>
      <c r="G186" s="20">
        <f>表2_3671626293034[[#This Row],[累计净值]]/$B$21-1</f>
        <v>0.14999999999999991</v>
      </c>
    </row>
    <row r="187" spans="1:7" x14ac:dyDescent="0.2">
      <c r="A187" s="15">
        <v>43950</v>
      </c>
      <c r="B187" s="96">
        <v>1.1519999999999999</v>
      </c>
      <c r="C187" s="94">
        <f t="shared" ref="C187:C192" si="50">IFERROR(B187-B186,0)</f>
        <v>2.0000000000000018E-3</v>
      </c>
      <c r="D187" s="95" t="str">
        <f t="shared" ref="D187:D192" si="51">IF(C187&lt;0,C187,"/")</f>
        <v>/</v>
      </c>
      <c r="E187" s="95">
        <f ca="1">IF(表2_3671626293034[[#This Row],[累计净值]]/MAX(INDIRECT("B21:B" &amp; ROW()))-1&lt;E186,表2_3671626293034[[#This Row],[累计净值]]/MAX(INDIRECT("B21:B" &amp; ROW()))-1,E186)</f>
        <v>-9.7560975609756184E-3</v>
      </c>
      <c r="F187" s="97">
        <f>表2_3671626293034[[#This Row],[累计净值]]</f>
        <v>1.1519999999999999</v>
      </c>
      <c r="G187" s="20">
        <f>表2_3671626293034[[#This Row],[累计净值]]/$B$21-1</f>
        <v>0.15199999999999991</v>
      </c>
    </row>
    <row r="188" spans="1:7" x14ac:dyDescent="0.2">
      <c r="A188" s="15">
        <v>43951</v>
      </c>
      <c r="B188" s="96">
        <v>1.145</v>
      </c>
      <c r="C188" s="94">
        <f t="shared" si="50"/>
        <v>-6.9999999999998952E-3</v>
      </c>
      <c r="D188" s="95">
        <f t="shared" si="51"/>
        <v>-6.9999999999998952E-3</v>
      </c>
      <c r="E188" s="95">
        <f ca="1">IF(表2_3671626293034[[#This Row],[累计净值]]/MAX(INDIRECT("B21:B" &amp; ROW()))-1&lt;E187,表2_3671626293034[[#This Row],[累计净值]]/MAX(INDIRECT("B21:B" &amp; ROW()))-1,E187)</f>
        <v>-9.7560975609756184E-3</v>
      </c>
      <c r="F188" s="97">
        <f>表2_3671626293034[[#This Row],[累计净值]]</f>
        <v>1.145</v>
      </c>
      <c r="G188" s="20">
        <f>表2_3671626293034[[#This Row],[累计净值]]/$B$21-1</f>
        <v>0.14500000000000002</v>
      </c>
    </row>
    <row r="189" spans="1:7" x14ac:dyDescent="0.2">
      <c r="A189" s="15">
        <v>43957</v>
      </c>
      <c r="B189" s="96">
        <v>1.159</v>
      </c>
      <c r="C189" s="94">
        <f t="shared" si="50"/>
        <v>1.4000000000000012E-2</v>
      </c>
      <c r="D189" s="95" t="str">
        <f t="shared" si="51"/>
        <v>/</v>
      </c>
      <c r="E189" s="95">
        <f ca="1">IF(表2_3671626293034[[#This Row],[累计净值]]/MAX(INDIRECT("B21:B" &amp; ROW()))-1&lt;E188,表2_3671626293034[[#This Row],[累计净值]]/MAX(INDIRECT("B21:B" &amp; ROW()))-1,E188)</f>
        <v>-9.7560975609756184E-3</v>
      </c>
      <c r="F189" s="97">
        <f>表2_3671626293034[[#This Row],[累计净值]]</f>
        <v>1.159</v>
      </c>
      <c r="G189" s="20">
        <f>表2_3671626293034[[#This Row],[累计净值]]/$B$21-1</f>
        <v>0.15900000000000003</v>
      </c>
    </row>
    <row r="190" spans="1:7" x14ac:dyDescent="0.2">
      <c r="A190" s="15">
        <v>43958</v>
      </c>
      <c r="B190" s="76">
        <v>1.1619999999999999</v>
      </c>
      <c r="C190" s="101">
        <f t="shared" si="50"/>
        <v>2.9999999999998916E-3</v>
      </c>
      <c r="D190" s="102" t="str">
        <f t="shared" si="51"/>
        <v>/</v>
      </c>
      <c r="E190" s="102">
        <f ca="1">IF(表2_3671626293034[[#This Row],[累计净值]]/MAX(INDIRECT("B21:B" &amp; ROW()))-1&lt;E189,表2_3671626293034[[#This Row],[累计净值]]/MAX(INDIRECT("B21:B" &amp; ROW()))-1,E189)</f>
        <v>-9.7560975609756184E-3</v>
      </c>
      <c r="F190" s="103">
        <f>表2_3671626293034[[#This Row],[累计净值]]</f>
        <v>1.1619999999999999</v>
      </c>
      <c r="G190" s="20">
        <f>表2_3671626293034[[#This Row],[累计净值]]/$B$21-1</f>
        <v>0.16199999999999992</v>
      </c>
    </row>
    <row r="191" spans="1:7" x14ac:dyDescent="0.2">
      <c r="A191" s="15">
        <v>43959</v>
      </c>
      <c r="B191" s="104">
        <v>1.161</v>
      </c>
      <c r="C191" s="101">
        <f t="shared" si="50"/>
        <v>-9.9999999999988987E-4</v>
      </c>
      <c r="D191" s="102">
        <f t="shared" si="51"/>
        <v>-9.9999999999988987E-4</v>
      </c>
      <c r="E191" s="102">
        <f ca="1">IF(表2_3671626293034[[#This Row],[累计净值]]/MAX(INDIRECT("B21:B" &amp; ROW()))-1&lt;E190,表2_3671626293034[[#This Row],[累计净值]]/MAX(INDIRECT("B21:B" &amp; ROW()))-1,E190)</f>
        <v>-9.7560975609756184E-3</v>
      </c>
      <c r="F191" s="103">
        <f>表2_3671626293034[[#This Row],[累计净值]]</f>
        <v>1.161</v>
      </c>
      <c r="G191" s="20">
        <f>表2_3671626293034[[#This Row],[累计净值]]/$B$21-1</f>
        <v>0.16100000000000003</v>
      </c>
    </row>
    <row r="192" spans="1:7" x14ac:dyDescent="0.2">
      <c r="A192" s="15">
        <v>43962</v>
      </c>
      <c r="B192" s="104">
        <v>1.163</v>
      </c>
      <c r="C192" s="101">
        <f t="shared" si="50"/>
        <v>2.0000000000000018E-3</v>
      </c>
      <c r="D192" s="102" t="str">
        <f t="shared" si="51"/>
        <v>/</v>
      </c>
      <c r="E192" s="102">
        <f ca="1">IF(表2_3671626293034[[#This Row],[累计净值]]/MAX(INDIRECT("B21:B" &amp; ROW()))-1&lt;E191,表2_3671626293034[[#This Row],[累计净值]]/MAX(INDIRECT("B21:B" &amp; ROW()))-1,E191)</f>
        <v>-9.7560975609756184E-3</v>
      </c>
      <c r="F192" s="103">
        <f>表2_3671626293034[[#This Row],[累计净值]]</f>
        <v>1.163</v>
      </c>
      <c r="G192" s="20">
        <f>表2_3671626293034[[#This Row],[累计净值]]/$B$21-1</f>
        <v>0.16300000000000003</v>
      </c>
    </row>
    <row r="193" spans="1:7" x14ac:dyDescent="0.2">
      <c r="A193" s="15">
        <v>43963</v>
      </c>
      <c r="B193" s="104">
        <v>1.1639999999999999</v>
      </c>
      <c r="C193" s="101">
        <f t="shared" ref="C193:C198" si="52">IFERROR(B193-B192,0)</f>
        <v>9.9999999999988987E-4</v>
      </c>
      <c r="D193" s="102" t="str">
        <f t="shared" ref="D193:D198" si="53">IF(C193&lt;0,C193,"/")</f>
        <v>/</v>
      </c>
      <c r="E193" s="102">
        <f ca="1">IF(表2_3671626293034[[#This Row],[累计净值]]/MAX(INDIRECT("B21:B" &amp; ROW()))-1&lt;E192,表2_3671626293034[[#This Row],[累计净值]]/MAX(INDIRECT("B21:B" &amp; ROW()))-1,E192)</f>
        <v>-9.7560975609756184E-3</v>
      </c>
      <c r="F193" s="103">
        <f>表2_3671626293034[[#This Row],[累计净值]]</f>
        <v>1.1639999999999999</v>
      </c>
      <c r="G193" s="20">
        <f>表2_3671626293034[[#This Row],[累计净值]]/$B$21-1</f>
        <v>0.16399999999999992</v>
      </c>
    </row>
    <row r="194" spans="1:7" x14ac:dyDescent="0.2">
      <c r="A194" s="15">
        <v>43964</v>
      </c>
      <c r="B194" s="104">
        <v>1.163</v>
      </c>
      <c r="C194" s="101">
        <f t="shared" si="52"/>
        <v>-9.9999999999988987E-4</v>
      </c>
      <c r="D194" s="102">
        <f t="shared" si="53"/>
        <v>-9.9999999999988987E-4</v>
      </c>
      <c r="E194" s="102">
        <f ca="1">IF(表2_3671626293034[[#This Row],[累计净值]]/MAX(INDIRECT("B21:B" &amp; ROW()))-1&lt;E193,表2_3671626293034[[#This Row],[累计净值]]/MAX(INDIRECT("B21:B" &amp; ROW()))-1,E193)</f>
        <v>-9.7560975609756184E-3</v>
      </c>
      <c r="F194" s="103">
        <f>表2_3671626293034[[#This Row],[累计净值]]</f>
        <v>1.163</v>
      </c>
      <c r="G194" s="20">
        <f>表2_3671626293034[[#This Row],[累计净值]]/$B$21-1</f>
        <v>0.16300000000000003</v>
      </c>
    </row>
    <row r="195" spans="1:7" x14ac:dyDescent="0.2">
      <c r="A195" s="15">
        <v>43965</v>
      </c>
      <c r="B195" s="104">
        <v>1.165</v>
      </c>
      <c r="C195" s="101">
        <f t="shared" si="52"/>
        <v>2.0000000000000018E-3</v>
      </c>
      <c r="D195" s="102" t="str">
        <f t="shared" si="53"/>
        <v>/</v>
      </c>
      <c r="E195" s="102">
        <f ca="1">IF(表2_3671626293034[[#This Row],[累计净值]]/MAX(INDIRECT("B21:B" &amp; ROW()))-1&lt;E194,表2_3671626293034[[#This Row],[累计净值]]/MAX(INDIRECT("B21:B" &amp; ROW()))-1,E194)</f>
        <v>-9.7560975609756184E-3</v>
      </c>
      <c r="F195" s="103">
        <f>表2_3671626293034[[#This Row],[累计净值]]</f>
        <v>1.165</v>
      </c>
      <c r="G195" s="20">
        <f>表2_3671626293034[[#This Row],[累计净值]]/$B$21-1</f>
        <v>0.16500000000000004</v>
      </c>
    </row>
    <row r="196" spans="1:7" x14ac:dyDescent="0.2">
      <c r="A196" s="15">
        <v>43966</v>
      </c>
      <c r="B196" s="104">
        <v>1.167</v>
      </c>
      <c r="C196" s="101">
        <f t="shared" si="52"/>
        <v>2.0000000000000018E-3</v>
      </c>
      <c r="D196" s="102" t="str">
        <f t="shared" si="53"/>
        <v>/</v>
      </c>
      <c r="E196" s="102">
        <f ca="1">IF(表2_3671626293034[[#This Row],[累计净值]]/MAX(INDIRECT("B21:B" &amp; ROW()))-1&lt;E195,表2_3671626293034[[#This Row],[累计净值]]/MAX(INDIRECT("B21:B" &amp; ROW()))-1,E195)</f>
        <v>-9.7560975609756184E-3</v>
      </c>
      <c r="F196" s="103">
        <f>表2_3671626293034[[#This Row],[累计净值]]</f>
        <v>1.167</v>
      </c>
      <c r="G196" s="20">
        <f>表2_3671626293034[[#This Row],[累计净值]]/$B$21-1</f>
        <v>0.16700000000000004</v>
      </c>
    </row>
    <row r="197" spans="1:7" x14ac:dyDescent="0.2">
      <c r="A197" s="15">
        <v>43969</v>
      </c>
      <c r="B197" s="104">
        <v>1.17</v>
      </c>
      <c r="C197" s="101">
        <f t="shared" si="52"/>
        <v>2.9999999999998916E-3</v>
      </c>
      <c r="D197" s="102" t="str">
        <f t="shared" si="53"/>
        <v>/</v>
      </c>
      <c r="E197" s="102">
        <f ca="1">IF(表2_3671626293034[[#This Row],[累计净值]]/MAX(INDIRECT("B21:B" &amp; ROW()))-1&lt;E196,表2_3671626293034[[#This Row],[累计净值]]/MAX(INDIRECT("B21:B" &amp; ROW()))-1,E196)</f>
        <v>-9.7560975609756184E-3</v>
      </c>
      <c r="F197" s="103">
        <f>表2_3671626293034[[#This Row],[累计净值]]</f>
        <v>1.17</v>
      </c>
      <c r="G197" s="20">
        <f>表2_3671626293034[[#This Row],[累计净值]]/$B$21-1</f>
        <v>0.16999999999999993</v>
      </c>
    </row>
    <row r="198" spans="1:7" x14ac:dyDescent="0.2">
      <c r="A198" s="15">
        <v>43970</v>
      </c>
      <c r="B198" s="104">
        <v>1.17</v>
      </c>
      <c r="C198" s="101">
        <f t="shared" si="52"/>
        <v>0</v>
      </c>
      <c r="D198" s="102" t="str">
        <f t="shared" si="53"/>
        <v>/</v>
      </c>
      <c r="E198" s="102">
        <f ca="1">IF(表2_3671626293034[[#This Row],[累计净值]]/MAX(INDIRECT("B21:B" &amp; ROW()))-1&lt;E197,表2_3671626293034[[#This Row],[累计净值]]/MAX(INDIRECT("B21:B" &amp; ROW()))-1,E197)</f>
        <v>-9.7560975609756184E-3</v>
      </c>
      <c r="F198" s="103">
        <f>表2_3671626293034[[#This Row],[累计净值]]</f>
        <v>1.17</v>
      </c>
      <c r="G198" s="20">
        <f>表2_3671626293034[[#This Row],[累计净值]]/$B$21-1</f>
        <v>0.16999999999999993</v>
      </c>
    </row>
    <row r="199" spans="1:7" x14ac:dyDescent="0.2">
      <c r="A199" s="15">
        <v>43971</v>
      </c>
      <c r="B199" s="104">
        <v>1.173</v>
      </c>
      <c r="C199" s="101">
        <f t="shared" ref="C199:C204" si="54">IFERROR(B199-B198,0)</f>
        <v>3.0000000000001137E-3</v>
      </c>
      <c r="D199" s="102" t="str">
        <f t="shared" ref="D199:D204" si="55">IF(C199&lt;0,C199,"/")</f>
        <v>/</v>
      </c>
      <c r="E199" s="102">
        <f ca="1">IF(表2_3671626293034[[#This Row],[累计净值]]/MAX(INDIRECT("B21:B" &amp; ROW()))-1&lt;E198,表2_3671626293034[[#This Row],[累计净值]]/MAX(INDIRECT("B21:B" &amp; ROW()))-1,E198)</f>
        <v>-9.7560975609756184E-3</v>
      </c>
      <c r="F199" s="103">
        <f>表2_3671626293034[[#This Row],[累计净值]]</f>
        <v>1.173</v>
      </c>
      <c r="G199" s="20">
        <f>表2_3671626293034[[#This Row],[累计净值]]/$B$21-1</f>
        <v>0.17300000000000004</v>
      </c>
    </row>
    <row r="200" spans="1:7" x14ac:dyDescent="0.2">
      <c r="A200" s="15">
        <v>43972</v>
      </c>
      <c r="B200" s="112">
        <v>1.173</v>
      </c>
      <c r="C200" s="108">
        <f t="shared" si="54"/>
        <v>0</v>
      </c>
      <c r="D200" s="109" t="str">
        <f t="shared" si="55"/>
        <v>/</v>
      </c>
      <c r="E200" s="109">
        <f ca="1">IF(表2_3671626293034[[#This Row],[累计净值]]/MAX(INDIRECT("B21:B" &amp; ROW()))-1&lt;E199,表2_3671626293034[[#This Row],[累计净值]]/MAX(INDIRECT("B21:B" &amp; ROW()))-1,E199)</f>
        <v>-9.7560975609756184E-3</v>
      </c>
      <c r="F200" s="110">
        <f>表2_3671626293034[[#This Row],[累计净值]]</f>
        <v>1.173</v>
      </c>
      <c r="G200" s="20">
        <f>表2_3671626293034[[#This Row],[累计净值]]/$B$21-1</f>
        <v>0.17300000000000004</v>
      </c>
    </row>
    <row r="201" spans="1:7" x14ac:dyDescent="0.2">
      <c r="A201" s="15">
        <v>43973</v>
      </c>
      <c r="B201" s="112">
        <v>1.177</v>
      </c>
      <c r="C201" s="108">
        <f t="shared" si="54"/>
        <v>4.0000000000000036E-3</v>
      </c>
      <c r="D201" s="109" t="str">
        <f t="shared" si="55"/>
        <v>/</v>
      </c>
      <c r="E201" s="109">
        <f ca="1">IF(表2_3671626293034[[#This Row],[累计净值]]/MAX(INDIRECT("B21:B" &amp; ROW()))-1&lt;E200,表2_3671626293034[[#This Row],[累计净值]]/MAX(INDIRECT("B21:B" &amp; ROW()))-1,E200)</f>
        <v>-9.7560975609756184E-3</v>
      </c>
      <c r="F201" s="110">
        <f>表2_3671626293034[[#This Row],[累计净值]]</f>
        <v>1.177</v>
      </c>
      <c r="G201" s="20">
        <f>表2_3671626293034[[#This Row],[累计净值]]/$B$21-1</f>
        <v>0.17700000000000005</v>
      </c>
    </row>
    <row r="202" spans="1:7" x14ac:dyDescent="0.2">
      <c r="A202" s="15">
        <v>43976</v>
      </c>
      <c r="B202" s="112">
        <v>1.1779999999999999</v>
      </c>
      <c r="C202" s="108">
        <f t="shared" si="54"/>
        <v>9.9999999999988987E-4</v>
      </c>
      <c r="D202" s="109" t="str">
        <f t="shared" si="55"/>
        <v>/</v>
      </c>
      <c r="E202" s="109">
        <f ca="1">IF(表2_3671626293034[[#This Row],[累计净值]]/MAX(INDIRECT("B21:B" &amp; ROW()))-1&lt;E201,表2_3671626293034[[#This Row],[累计净值]]/MAX(INDIRECT("B21:B" &amp; ROW()))-1,E201)</f>
        <v>-9.7560975609756184E-3</v>
      </c>
      <c r="F202" s="110">
        <f>表2_3671626293034[[#This Row],[累计净值]]</f>
        <v>1.1779999999999999</v>
      </c>
      <c r="G202" s="20">
        <f>表2_3671626293034[[#This Row],[累计净值]]/$B$21-1</f>
        <v>0.17799999999999994</v>
      </c>
    </row>
    <row r="203" spans="1:7" x14ac:dyDescent="0.2">
      <c r="A203" s="15">
        <v>43977</v>
      </c>
      <c r="B203" s="112">
        <v>1.1850000000000001</v>
      </c>
      <c r="C203" s="108">
        <f t="shared" si="54"/>
        <v>7.0000000000001172E-3</v>
      </c>
      <c r="D203" s="109" t="str">
        <f t="shared" si="55"/>
        <v>/</v>
      </c>
      <c r="E203" s="109">
        <f ca="1">IF(表2_3671626293034[[#This Row],[累计净值]]/MAX(INDIRECT("B21:B" &amp; ROW()))-1&lt;E202,表2_3671626293034[[#This Row],[累计净值]]/MAX(INDIRECT("B21:B" &amp; ROW()))-1,E202)</f>
        <v>-9.7560975609756184E-3</v>
      </c>
      <c r="F203" s="110">
        <f>表2_3671626293034[[#This Row],[累计净值]]</f>
        <v>1.1850000000000001</v>
      </c>
      <c r="G203" s="20">
        <f>表2_3671626293034[[#This Row],[累计净值]]/$B$21-1</f>
        <v>0.18500000000000005</v>
      </c>
    </row>
    <row r="204" spans="1:7" x14ac:dyDescent="0.2">
      <c r="A204" s="15">
        <v>43978</v>
      </c>
      <c r="B204" s="112">
        <v>1.1850000000000001</v>
      </c>
      <c r="C204" s="108">
        <f t="shared" si="54"/>
        <v>0</v>
      </c>
      <c r="D204" s="109" t="str">
        <f t="shared" si="55"/>
        <v>/</v>
      </c>
      <c r="E204" s="109">
        <f ca="1">IF(表2_3671626293034[[#This Row],[累计净值]]/MAX(INDIRECT("B21:B" &amp; ROW()))-1&lt;E203,表2_3671626293034[[#This Row],[累计净值]]/MAX(INDIRECT("B21:B" &amp; ROW()))-1,E203)</f>
        <v>-9.7560975609756184E-3</v>
      </c>
      <c r="F204" s="110">
        <f>表2_3671626293034[[#This Row],[累计净值]]</f>
        <v>1.1850000000000001</v>
      </c>
      <c r="G204" s="20">
        <f>表2_3671626293034[[#This Row],[累计净值]]/$B$21-1</f>
        <v>0.18500000000000005</v>
      </c>
    </row>
    <row r="205" spans="1:7" x14ac:dyDescent="0.2">
      <c r="A205" s="15">
        <v>43979</v>
      </c>
      <c r="B205" s="112">
        <v>1.1879999999999999</v>
      </c>
      <c r="C205" s="108">
        <f t="shared" ref="C205:C210" si="56">IFERROR(B205-B204,0)</f>
        <v>2.9999999999998916E-3</v>
      </c>
      <c r="D205" s="109" t="str">
        <f t="shared" ref="D205:D210" si="57">IF(C205&lt;0,C205,"/")</f>
        <v>/</v>
      </c>
      <c r="E205" s="109">
        <f ca="1">IF(表2_3671626293034[[#This Row],[累计净值]]/MAX(INDIRECT("B21:B" &amp; ROW()))-1&lt;E204,表2_3671626293034[[#This Row],[累计净值]]/MAX(INDIRECT("B21:B" &amp; ROW()))-1,E204)</f>
        <v>-9.7560975609756184E-3</v>
      </c>
      <c r="F205" s="110">
        <f>表2_3671626293034[[#This Row],[累计净值]]</f>
        <v>1.1879999999999999</v>
      </c>
      <c r="G205" s="20">
        <f>表2_3671626293034[[#This Row],[累计净值]]/$B$21-1</f>
        <v>0.18799999999999994</v>
      </c>
    </row>
    <row r="206" spans="1:7" x14ac:dyDescent="0.2">
      <c r="A206" s="15">
        <v>43980</v>
      </c>
      <c r="B206" s="112">
        <v>1.1859999999999999</v>
      </c>
      <c r="C206" s="108">
        <f t="shared" si="56"/>
        <v>-2.0000000000000018E-3</v>
      </c>
      <c r="D206" s="109">
        <f t="shared" si="57"/>
        <v>-2.0000000000000018E-3</v>
      </c>
      <c r="E206" s="109">
        <f ca="1">IF(表2_3671626293034[[#This Row],[累计净值]]/MAX(INDIRECT("B21:B" &amp; ROW()))-1&lt;E205,表2_3671626293034[[#This Row],[累计净值]]/MAX(INDIRECT("B21:B" &amp; ROW()))-1,E205)</f>
        <v>-9.7560975609756184E-3</v>
      </c>
      <c r="F206" s="110">
        <f>表2_3671626293034[[#This Row],[累计净值]]</f>
        <v>1.1859999999999999</v>
      </c>
      <c r="G206" s="20">
        <f>表2_3671626293034[[#This Row],[累计净值]]/$B$21-1</f>
        <v>0.18599999999999994</v>
      </c>
    </row>
    <row r="207" spans="1:7" x14ac:dyDescent="0.2">
      <c r="A207" s="15">
        <v>43983</v>
      </c>
      <c r="B207" s="117">
        <v>1.19</v>
      </c>
      <c r="C207" s="108">
        <f t="shared" si="56"/>
        <v>4.0000000000000036E-3</v>
      </c>
      <c r="D207" s="109" t="str">
        <f t="shared" si="57"/>
        <v>/</v>
      </c>
      <c r="E207" s="109">
        <f ca="1">IF(表2_3671626293034[[#This Row],[累计净值]]/MAX(INDIRECT("B21:B" &amp; ROW()))-1&lt;E206,表2_3671626293034[[#This Row],[累计净值]]/MAX(INDIRECT("B21:B" &amp; ROW()))-1,E206)</f>
        <v>-9.7560975609756184E-3</v>
      </c>
      <c r="F207" s="110">
        <f>表2_3671626293034[[#This Row],[累计净值]]</f>
        <v>1.19</v>
      </c>
      <c r="G207" s="20">
        <f>表2_3671626293034[[#This Row],[累计净值]]/$B$21-1</f>
        <v>0.18999999999999995</v>
      </c>
    </row>
    <row r="208" spans="1:7" x14ac:dyDescent="0.2">
      <c r="A208" s="15">
        <v>43984</v>
      </c>
      <c r="B208" s="112">
        <v>1.1879999999999999</v>
      </c>
      <c r="C208" s="108">
        <f t="shared" si="56"/>
        <v>-2.0000000000000018E-3</v>
      </c>
      <c r="D208" s="109">
        <f t="shared" si="57"/>
        <v>-2.0000000000000018E-3</v>
      </c>
      <c r="E208" s="109">
        <f ca="1">IF(表2_3671626293034[[#This Row],[累计净值]]/MAX(INDIRECT("B21:B" &amp; ROW()))-1&lt;E207,表2_3671626293034[[#This Row],[累计净值]]/MAX(INDIRECT("B21:B" &amp; ROW()))-1,E207)</f>
        <v>-9.7560975609756184E-3</v>
      </c>
      <c r="F208" s="110">
        <f>表2_3671626293034[[#This Row],[累计净值]]</f>
        <v>1.1879999999999999</v>
      </c>
      <c r="G208" s="20">
        <f>表2_3671626293034[[#This Row],[累计净值]]/$B$21-1</f>
        <v>0.18799999999999994</v>
      </c>
    </row>
    <row r="209" spans="1:7" x14ac:dyDescent="0.2">
      <c r="A209" s="15">
        <v>43985</v>
      </c>
      <c r="B209" s="112">
        <v>1.1850000000000001</v>
      </c>
      <c r="C209" s="108">
        <f t="shared" si="56"/>
        <v>-2.9999999999998916E-3</v>
      </c>
      <c r="D209" s="109">
        <f t="shared" si="57"/>
        <v>-2.9999999999998916E-3</v>
      </c>
      <c r="E209" s="109">
        <f ca="1">IF(表2_3671626293034[[#This Row],[累计净值]]/MAX(INDIRECT("B21:B" &amp; ROW()))-1&lt;E208,表2_3671626293034[[#This Row],[累计净值]]/MAX(INDIRECT("B21:B" &amp; ROW()))-1,E208)</f>
        <v>-9.7560975609756184E-3</v>
      </c>
      <c r="F209" s="110">
        <f>表2_3671626293034[[#This Row],[累计净值]]-0.168</f>
        <v>1.0170000000000001</v>
      </c>
      <c r="G209" s="20">
        <f>表2_3671626293034[[#This Row],[累计净值]]/$B$21-1</f>
        <v>0.18500000000000005</v>
      </c>
    </row>
    <row r="210" spans="1:7" x14ac:dyDescent="0.2">
      <c r="A210" s="15">
        <v>43986</v>
      </c>
      <c r="B210" s="112">
        <v>1.1819999999999999</v>
      </c>
      <c r="C210" s="108">
        <f t="shared" si="56"/>
        <v>-3.0000000000001137E-3</v>
      </c>
      <c r="D210" s="109">
        <f t="shared" si="57"/>
        <v>-3.0000000000001137E-3</v>
      </c>
      <c r="E210" s="109">
        <f ca="1">IF(表2_3671626293034[[#This Row],[累计净值]]/MAX(INDIRECT("B21:B" &amp; ROW()))-1&lt;E209,表2_3671626293034[[#This Row],[累计净值]]/MAX(INDIRECT("B21:B" &amp; ROW()))-1,E209)</f>
        <v>-9.7560975609756184E-3</v>
      </c>
      <c r="F210" s="110">
        <f>表2_3671626293034[[#This Row],[累计净值]]-0.168</f>
        <v>1.014</v>
      </c>
      <c r="G210" s="20">
        <f>表2_3671626293034[[#This Row],[累计净值]]/$B$21-1</f>
        <v>0.18199999999999994</v>
      </c>
    </row>
    <row r="211" spans="1:7" x14ac:dyDescent="0.2">
      <c r="A211" s="15">
        <v>43987</v>
      </c>
      <c r="B211" s="112">
        <v>1.1850000000000001</v>
      </c>
      <c r="C211" s="108">
        <f t="shared" ref="C211:C216" si="58">IFERROR(B211-B210,0)</f>
        <v>3.0000000000001137E-3</v>
      </c>
      <c r="D211" s="109" t="str">
        <f t="shared" ref="D211:D216" si="59">IF(C211&lt;0,C211,"/")</f>
        <v>/</v>
      </c>
      <c r="E211" s="109">
        <f ca="1">IF(表2_3671626293034[[#This Row],[累计净值]]/MAX(INDIRECT("B21:B" &amp; ROW()))-1&lt;E210,表2_3671626293034[[#This Row],[累计净值]]/MAX(INDIRECT("B21:B" &amp; ROW()))-1,E210)</f>
        <v>-9.7560975609756184E-3</v>
      </c>
      <c r="F211" s="110">
        <f>表2_3671626293034[[#This Row],[累计净值]]-0.168</f>
        <v>1.0170000000000001</v>
      </c>
      <c r="G211" s="20">
        <f>表2_3671626293034[[#This Row],[累计净值]]/$B$21-1</f>
        <v>0.18500000000000005</v>
      </c>
    </row>
    <row r="212" spans="1:7" x14ac:dyDescent="0.2">
      <c r="A212" s="15">
        <v>43990</v>
      </c>
      <c r="B212" s="112">
        <v>1.1879999999999999</v>
      </c>
      <c r="C212" s="108">
        <f t="shared" si="58"/>
        <v>2.9999999999998916E-3</v>
      </c>
      <c r="D212" s="109" t="str">
        <f t="shared" si="59"/>
        <v>/</v>
      </c>
      <c r="E212" s="109">
        <f ca="1">IF(表2_3671626293034[[#This Row],[累计净值]]/MAX(INDIRECT("B21:B" &amp; ROW()))-1&lt;E211,表2_3671626293034[[#This Row],[累计净值]]/MAX(INDIRECT("B21:B" &amp; ROW()))-1,E211)</f>
        <v>-9.7560975609756184E-3</v>
      </c>
      <c r="F212" s="110">
        <f>表2_3671626293034[[#This Row],[累计净值]]-0.168</f>
        <v>1.02</v>
      </c>
      <c r="G212" s="20">
        <f>表2_3671626293034[[#This Row],[累计净值]]/$B$21-1</f>
        <v>0.18799999999999994</v>
      </c>
    </row>
    <row r="213" spans="1:7" x14ac:dyDescent="0.2">
      <c r="A213" s="15">
        <v>43991</v>
      </c>
      <c r="B213" s="112">
        <v>1.1890000000000001</v>
      </c>
      <c r="C213" s="108">
        <f t="shared" si="58"/>
        <v>1.0000000000001119E-3</v>
      </c>
      <c r="D213" s="109" t="str">
        <f t="shared" si="59"/>
        <v>/</v>
      </c>
      <c r="E213" s="109">
        <f ca="1">IF(表2_3671626293034[[#This Row],[累计净值]]/MAX(INDIRECT("B21:B" &amp; ROW()))-1&lt;E212,表2_3671626293034[[#This Row],[累计净值]]/MAX(INDIRECT("B21:B" &amp; ROW()))-1,E212)</f>
        <v>-9.7560975609756184E-3</v>
      </c>
      <c r="F213" s="110">
        <f>表2_3671626293034[[#This Row],[累计净值]]-0.168</f>
        <v>1.0210000000000001</v>
      </c>
      <c r="G213" s="20">
        <f>表2_3671626293034[[#This Row],[累计净值]]/$B$21-1</f>
        <v>0.18900000000000006</v>
      </c>
    </row>
    <row r="214" spans="1:7" x14ac:dyDescent="0.2">
      <c r="A214" s="15">
        <v>43992</v>
      </c>
      <c r="B214" s="112">
        <v>1.1879999999999999</v>
      </c>
      <c r="C214" s="108">
        <f t="shared" si="58"/>
        <v>-1.0000000000001119E-3</v>
      </c>
      <c r="D214" s="109">
        <f t="shared" si="59"/>
        <v>-1.0000000000001119E-3</v>
      </c>
      <c r="E214" s="109">
        <f ca="1">IF(表2_3671626293034[[#This Row],[累计净值]]/MAX(INDIRECT("B21:B" &amp; ROW()))-1&lt;E213,表2_3671626293034[[#This Row],[累计净值]]/MAX(INDIRECT("B21:B" &amp; ROW()))-1,E213)</f>
        <v>-9.7560975609756184E-3</v>
      </c>
      <c r="F214" s="110">
        <f>表2_3671626293034[[#This Row],[累计净值]]-0.168</f>
        <v>1.02</v>
      </c>
      <c r="G214" s="20">
        <f>表2_3671626293034[[#This Row],[累计净值]]/$B$21-1</f>
        <v>0.18799999999999994</v>
      </c>
    </row>
    <row r="215" spans="1:7" x14ac:dyDescent="0.2">
      <c r="A215" s="15">
        <v>43993</v>
      </c>
      <c r="B215" s="112">
        <v>1.1890000000000001</v>
      </c>
      <c r="C215" s="108">
        <f t="shared" si="58"/>
        <v>1.0000000000001119E-3</v>
      </c>
      <c r="D215" s="109" t="str">
        <f t="shared" si="59"/>
        <v>/</v>
      </c>
      <c r="E215" s="109">
        <f ca="1">IF(表2_3671626293034[[#This Row],[累计净值]]/MAX(INDIRECT("B21:B" &amp; ROW()))-1&lt;E214,表2_3671626293034[[#This Row],[累计净值]]/MAX(INDIRECT("B21:B" &amp; ROW()))-1,E214)</f>
        <v>-9.7560975609756184E-3</v>
      </c>
      <c r="F215" s="110">
        <f>表2_3671626293034[[#This Row],[累计净值]]-0.168</f>
        <v>1.0210000000000001</v>
      </c>
      <c r="G215" s="20">
        <f>表2_3671626293034[[#This Row],[累计净值]]/$B$21-1</f>
        <v>0.18900000000000006</v>
      </c>
    </row>
    <row r="216" spans="1:7" x14ac:dyDescent="0.2">
      <c r="A216" s="15">
        <v>43994</v>
      </c>
      <c r="B216" s="112">
        <v>1.1890000000000001</v>
      </c>
      <c r="C216" s="108">
        <f t="shared" si="58"/>
        <v>0</v>
      </c>
      <c r="D216" s="109" t="str">
        <f t="shared" si="59"/>
        <v>/</v>
      </c>
      <c r="E216" s="109">
        <f ca="1">IF(表2_3671626293034[[#This Row],[累计净值]]/MAX(INDIRECT("B21:B" &amp; ROW()))-1&lt;E215,表2_3671626293034[[#This Row],[累计净值]]/MAX(INDIRECT("B21:B" &amp; ROW()))-1,E215)</f>
        <v>-9.7560975609756184E-3</v>
      </c>
      <c r="F216" s="110">
        <f>表2_3671626293034[[#This Row],[累计净值]]-0.168</f>
        <v>1.0210000000000001</v>
      </c>
      <c r="G216" s="20">
        <f>表2_3671626293034[[#This Row],[累计净值]]/$B$21-1</f>
        <v>0.18900000000000006</v>
      </c>
    </row>
    <row r="217" spans="1:7" x14ac:dyDescent="0.2">
      <c r="A217" s="15">
        <v>43997</v>
      </c>
      <c r="B217" s="112">
        <v>1.1910000000000001</v>
      </c>
      <c r="C217" s="108">
        <f t="shared" ref="C217:C223" si="60">IFERROR(B217-B216,0)</f>
        <v>2.0000000000000018E-3</v>
      </c>
      <c r="D217" s="109" t="str">
        <f t="shared" ref="D217:D223" si="61">IF(C217&lt;0,C217,"/")</f>
        <v>/</v>
      </c>
      <c r="E217" s="109">
        <f ca="1">IF(表2_3671626293034[[#This Row],[累计净值]]/MAX(INDIRECT("B21:B" &amp; ROW()))-1&lt;E216,表2_3671626293034[[#This Row],[累计净值]]/MAX(INDIRECT("B21:B" &amp; ROW()))-1,E216)</f>
        <v>-9.7560975609756184E-3</v>
      </c>
      <c r="F217" s="110">
        <f>表2_3671626293034[[#This Row],[累计净值]]-0.168</f>
        <v>1.0230000000000001</v>
      </c>
      <c r="G217" s="20">
        <f>表2_3671626293034[[#This Row],[累计净值]]/$B$21-1</f>
        <v>0.19100000000000006</v>
      </c>
    </row>
    <row r="218" spans="1:7" x14ac:dyDescent="0.2">
      <c r="A218" s="15">
        <v>43998</v>
      </c>
      <c r="B218" s="112">
        <v>1.1950000000000001</v>
      </c>
      <c r="C218" s="108">
        <f t="shared" si="60"/>
        <v>4.0000000000000036E-3</v>
      </c>
      <c r="D218" s="109" t="str">
        <f t="shared" si="61"/>
        <v>/</v>
      </c>
      <c r="E218" s="109">
        <f ca="1">IF(表2_3671626293034[[#This Row],[累计净值]]/MAX(INDIRECT("B21:B" &amp; ROW()))-1&lt;E217,表2_3671626293034[[#This Row],[累计净值]]/MAX(INDIRECT("B21:B" &amp; ROW()))-1,E217)</f>
        <v>-9.7560975609756184E-3</v>
      </c>
      <c r="F218" s="110">
        <f>表2_3671626293034[[#This Row],[累计净值]]-0.168</f>
        <v>1.0270000000000001</v>
      </c>
      <c r="G218" s="20">
        <f>表2_3671626293034[[#This Row],[累计净值]]/$B$21-1</f>
        <v>0.19500000000000006</v>
      </c>
    </row>
    <row r="219" spans="1:7" x14ac:dyDescent="0.2">
      <c r="A219" s="15">
        <v>43999</v>
      </c>
      <c r="B219" s="112">
        <v>1.196</v>
      </c>
      <c r="C219" s="108">
        <f t="shared" si="60"/>
        <v>9.9999999999988987E-4</v>
      </c>
      <c r="D219" s="109" t="str">
        <f t="shared" si="61"/>
        <v>/</v>
      </c>
      <c r="E219" s="109">
        <f ca="1">IF(表2_3671626293034[[#This Row],[累计净值]]/MAX(INDIRECT("B21:B" &amp; ROW()))-1&lt;E218,表2_3671626293034[[#This Row],[累计净值]]/MAX(INDIRECT("B21:B" &amp; ROW()))-1,E218)</f>
        <v>-9.7560975609756184E-3</v>
      </c>
      <c r="F219" s="110">
        <f>表2_3671626293034[[#This Row],[累计净值]]-0.168</f>
        <v>1.028</v>
      </c>
      <c r="G219" s="20">
        <f>表2_3671626293034[[#This Row],[累计净值]]/$B$21-1</f>
        <v>0.19599999999999995</v>
      </c>
    </row>
    <row r="220" spans="1:7" x14ac:dyDescent="0.2">
      <c r="A220" s="15">
        <v>44000</v>
      </c>
      <c r="B220" s="112">
        <v>1.1950000000000001</v>
      </c>
      <c r="C220" s="108">
        <f t="shared" si="60"/>
        <v>-9.9999999999988987E-4</v>
      </c>
      <c r="D220" s="109">
        <f t="shared" si="61"/>
        <v>-9.9999999999988987E-4</v>
      </c>
      <c r="E220" s="109">
        <f ca="1">IF(表2_3671626293034[[#This Row],[累计净值]]/MAX(INDIRECT("B21:B" &amp; ROW()))-1&lt;E219,表2_3671626293034[[#This Row],[累计净值]]/MAX(INDIRECT("B21:B" &amp; ROW()))-1,E219)</f>
        <v>-9.7560975609756184E-3</v>
      </c>
      <c r="F220" s="110">
        <f>表2_3671626293034[[#This Row],[累计净值]]-0.168</f>
        <v>1.0270000000000001</v>
      </c>
      <c r="G220" s="20">
        <f>表2_3671626293034[[#This Row],[累计净值]]/$B$21-1</f>
        <v>0.19500000000000006</v>
      </c>
    </row>
    <row r="221" spans="1:7" x14ac:dyDescent="0.2">
      <c r="A221" s="15">
        <v>44001</v>
      </c>
      <c r="B221" s="112">
        <v>1.19</v>
      </c>
      <c r="C221" s="108">
        <f t="shared" si="60"/>
        <v>-5.0000000000001155E-3</v>
      </c>
      <c r="D221" s="109">
        <f t="shared" si="61"/>
        <v>-5.0000000000001155E-3</v>
      </c>
      <c r="E221" s="109">
        <f ca="1">IF(表2_3671626293034[[#This Row],[累计净值]]/MAX(INDIRECT("B21:B" &amp; ROW()))-1&lt;E220,表2_3671626293034[[#This Row],[累计净值]]/MAX(INDIRECT("B21:B" &amp; ROW()))-1,E220)</f>
        <v>-9.7560975609756184E-3</v>
      </c>
      <c r="F221" s="110">
        <f>表2_3671626293034[[#This Row],[累计净值]]-0.168</f>
        <v>1.022</v>
      </c>
      <c r="G221" s="20">
        <f>表2_3671626293034[[#This Row],[累计净值]]/$B$21-1</f>
        <v>0.18999999999999995</v>
      </c>
    </row>
    <row r="222" spans="1:7" x14ac:dyDescent="0.2">
      <c r="A222" s="15">
        <v>44004</v>
      </c>
      <c r="B222" s="112">
        <v>1.1910000000000001</v>
      </c>
      <c r="C222" s="108">
        <f t="shared" si="60"/>
        <v>1.0000000000001119E-3</v>
      </c>
      <c r="D222" s="109" t="str">
        <f t="shared" si="61"/>
        <v>/</v>
      </c>
      <c r="E222" s="109">
        <f ca="1">IF(表2_3671626293034[[#This Row],[累计净值]]/MAX(INDIRECT("B21:B" &amp; ROW()))-1&lt;E221,表2_3671626293034[[#This Row],[累计净值]]/MAX(INDIRECT("B21:B" &amp; ROW()))-1,E221)</f>
        <v>-9.7560975609756184E-3</v>
      </c>
      <c r="F222" s="110">
        <f>表2_3671626293034[[#This Row],[累计净值]]-0.168</f>
        <v>1.0230000000000001</v>
      </c>
      <c r="G222" s="20">
        <f>表2_3671626293034[[#This Row],[累计净值]]/$B$21-1</f>
        <v>0.19100000000000006</v>
      </c>
    </row>
    <row r="223" spans="1:7" x14ac:dyDescent="0.2">
      <c r="A223" s="15">
        <v>44005</v>
      </c>
      <c r="B223" s="112">
        <v>1.198</v>
      </c>
      <c r="C223" s="108">
        <f t="shared" si="60"/>
        <v>6.9999999999998952E-3</v>
      </c>
      <c r="D223" s="109" t="str">
        <f t="shared" si="61"/>
        <v>/</v>
      </c>
      <c r="E223" s="109">
        <f ca="1">IF(表2_3671626293034[[#This Row],[累计净值]]/MAX(INDIRECT("B21:B" &amp; ROW()))-1&lt;E222,表2_3671626293034[[#This Row],[累计净值]]/MAX(INDIRECT("B21:B" &amp; ROW()))-1,E222)</f>
        <v>-9.7560975609756184E-3</v>
      </c>
      <c r="F223" s="110">
        <f>表2_3671626293034[[#This Row],[累计净值]]-0.168</f>
        <v>1.03</v>
      </c>
      <c r="G223" s="20">
        <f>表2_3671626293034[[#This Row],[累计净值]]/$B$21-1</f>
        <v>0.19799999999999995</v>
      </c>
    </row>
    <row r="224" spans="1:7" x14ac:dyDescent="0.2">
      <c r="A224" s="15">
        <v>44006</v>
      </c>
      <c r="B224" s="112">
        <v>1.202</v>
      </c>
      <c r="C224" s="108">
        <f t="shared" ref="C224:C230" si="62">IFERROR(B224-B223,0)</f>
        <v>4.0000000000000036E-3</v>
      </c>
      <c r="D224" s="109" t="str">
        <f t="shared" ref="D224:D230" si="63">IF(C224&lt;0,C224,"/")</f>
        <v>/</v>
      </c>
      <c r="E224" s="109">
        <f ca="1">IF(表2_3671626293034[[#This Row],[累计净值]]/MAX(INDIRECT("B21:B" &amp; ROW()))-1&lt;E223,表2_3671626293034[[#This Row],[累计净值]]/MAX(INDIRECT("B21:B" &amp; ROW()))-1,E223)</f>
        <v>-9.7560975609756184E-3</v>
      </c>
      <c r="F224" s="110">
        <f>表2_3671626293034[[#This Row],[累计净值]]-0.168</f>
        <v>1.034</v>
      </c>
      <c r="G224" s="20">
        <f>表2_3671626293034[[#This Row],[累计净值]]/$B$21-1</f>
        <v>0.20199999999999996</v>
      </c>
    </row>
    <row r="225" spans="1:7" x14ac:dyDescent="0.2">
      <c r="A225" s="15">
        <v>44011</v>
      </c>
      <c r="B225" s="112">
        <v>1.204</v>
      </c>
      <c r="C225" s="108">
        <f t="shared" si="62"/>
        <v>2.0000000000000018E-3</v>
      </c>
      <c r="D225" s="109" t="str">
        <f t="shared" si="63"/>
        <v>/</v>
      </c>
      <c r="E225" s="109">
        <f ca="1">IF(表2_3671626293034[[#This Row],[累计净值]]/MAX(INDIRECT("B21:B" &amp; ROW()))-1&lt;E224,表2_3671626293034[[#This Row],[累计净值]]/MAX(INDIRECT("B21:B" &amp; ROW()))-1,E224)</f>
        <v>-9.7560975609756184E-3</v>
      </c>
      <c r="F225" s="110">
        <f>表2_3671626293034[[#This Row],[累计净值]]-0.168</f>
        <v>1.036</v>
      </c>
      <c r="G225" s="20">
        <f>表2_3671626293034[[#This Row],[累计净值]]/$B$21-1</f>
        <v>0.20399999999999996</v>
      </c>
    </row>
    <row r="226" spans="1:7" x14ac:dyDescent="0.2">
      <c r="A226" s="15">
        <v>44012</v>
      </c>
      <c r="B226" s="112">
        <v>1.204</v>
      </c>
      <c r="C226" s="108">
        <f t="shared" si="62"/>
        <v>0</v>
      </c>
      <c r="D226" s="109" t="str">
        <f t="shared" si="63"/>
        <v>/</v>
      </c>
      <c r="E226" s="109">
        <f ca="1">IF(表2_3671626293034[[#This Row],[累计净值]]/MAX(INDIRECT("B21:B" &amp; ROW()))-1&lt;E225,表2_3671626293034[[#This Row],[累计净值]]/MAX(INDIRECT("B21:B" &amp; ROW()))-1,E225)</f>
        <v>-9.7560975609756184E-3</v>
      </c>
      <c r="F226" s="110">
        <f>表2_3671626293034[[#This Row],[累计净值]]-0.168</f>
        <v>1.036</v>
      </c>
      <c r="G226" s="20">
        <f>表2_3671626293034[[#This Row],[累计净值]]/$B$21-1</f>
        <v>0.20399999999999996</v>
      </c>
    </row>
    <row r="227" spans="1:7" x14ac:dyDescent="0.2">
      <c r="A227" s="15">
        <v>44013</v>
      </c>
      <c r="B227" s="117">
        <v>1.2050000000000001</v>
      </c>
      <c r="C227" s="108">
        <f t="shared" si="62"/>
        <v>1.0000000000001119E-3</v>
      </c>
      <c r="D227" s="109" t="str">
        <f t="shared" si="63"/>
        <v>/</v>
      </c>
      <c r="E227" s="109">
        <f ca="1">IF(表2_3671626293034[[#This Row],[累计净值]]/MAX(INDIRECT("B21:B" &amp; ROW()))-1&lt;E226,表2_3671626293034[[#This Row],[累计净值]]/MAX(INDIRECT("B21:B" &amp; ROW()))-1,E226)</f>
        <v>-9.7560975609756184E-3</v>
      </c>
      <c r="F227" s="110">
        <f>表2_3671626293034[[#This Row],[累计净值]]-0.168</f>
        <v>1.0370000000000001</v>
      </c>
      <c r="G227" s="20">
        <f>表2_3671626293034[[#This Row],[累计净值]]/$B$21-1</f>
        <v>0.20500000000000007</v>
      </c>
    </row>
    <row r="228" spans="1:7" x14ac:dyDescent="0.2">
      <c r="A228" s="15">
        <v>44014</v>
      </c>
      <c r="B228" s="112">
        <v>1.202</v>
      </c>
      <c r="C228" s="108">
        <f t="shared" si="62"/>
        <v>-3.0000000000001137E-3</v>
      </c>
      <c r="D228" s="109">
        <f t="shared" si="63"/>
        <v>-3.0000000000001137E-3</v>
      </c>
      <c r="E228" s="109">
        <f ca="1">IF(表2_3671626293034[[#This Row],[累计净值]]/MAX(INDIRECT("B21:B" &amp; ROW()))-1&lt;E227,表2_3671626293034[[#This Row],[累计净值]]/MAX(INDIRECT("B21:B" &amp; ROW()))-1,E227)</f>
        <v>-9.7560975609756184E-3</v>
      </c>
      <c r="F228" s="110">
        <f>表2_3671626293034[[#This Row],[累计净值]]-0.168</f>
        <v>1.034</v>
      </c>
      <c r="G228" s="20">
        <f>表2_3671626293034[[#This Row],[累计净值]]/$B$21-1</f>
        <v>0.20199999999999996</v>
      </c>
    </row>
    <row r="229" spans="1:7" x14ac:dyDescent="0.2">
      <c r="A229" s="15">
        <v>44015</v>
      </c>
      <c r="B229" s="112">
        <v>1.204</v>
      </c>
      <c r="C229" s="108">
        <f t="shared" si="62"/>
        <v>2.0000000000000018E-3</v>
      </c>
      <c r="D229" s="109" t="str">
        <f t="shared" si="63"/>
        <v>/</v>
      </c>
      <c r="E229" s="109">
        <f ca="1">IF(表2_3671626293034[[#This Row],[累计净值]]/MAX(INDIRECT("B21:B" &amp; ROW()))-1&lt;E228,表2_3671626293034[[#This Row],[累计净值]]/MAX(INDIRECT("B21:B" &amp; ROW()))-1,E228)</f>
        <v>-9.7560975609756184E-3</v>
      </c>
      <c r="F229" s="110">
        <f>表2_3671626293034[[#This Row],[累计净值]]-0.168</f>
        <v>1.036</v>
      </c>
      <c r="G229" s="20">
        <f>表2_3671626293034[[#This Row],[累计净值]]/$B$21-1</f>
        <v>0.20399999999999996</v>
      </c>
    </row>
    <row r="230" spans="1:7" x14ac:dyDescent="0.2">
      <c r="A230" s="15">
        <v>44018</v>
      </c>
      <c r="B230" s="112">
        <v>1.2050000000000001</v>
      </c>
      <c r="C230" s="108">
        <f t="shared" si="62"/>
        <v>1.0000000000001119E-3</v>
      </c>
      <c r="D230" s="109" t="str">
        <f t="shared" si="63"/>
        <v>/</v>
      </c>
      <c r="E230" s="109">
        <f ca="1">IF(表2_3671626293034[[#This Row],[累计净值]]/MAX(INDIRECT("B21:B" &amp; ROW()))-1&lt;E229,表2_3671626293034[[#This Row],[累计净值]]/MAX(INDIRECT("B21:B" &amp; ROW()))-1,E229)</f>
        <v>-9.7560975609756184E-3</v>
      </c>
      <c r="F230" s="110">
        <f>表2_3671626293034[[#This Row],[累计净值]]-0.168</f>
        <v>1.0370000000000001</v>
      </c>
      <c r="G230" s="20">
        <f>表2_3671626293034[[#This Row],[累计净值]]/$B$21-1</f>
        <v>0.20500000000000007</v>
      </c>
    </row>
    <row r="231" spans="1:7" x14ac:dyDescent="0.2">
      <c r="A231" s="15">
        <v>44019</v>
      </c>
      <c r="B231" s="112">
        <v>1.216</v>
      </c>
      <c r="C231" s="108">
        <f t="shared" ref="C231:C237" si="64">IFERROR(B231-B230,0)</f>
        <v>1.0999999999999899E-2</v>
      </c>
      <c r="D231" s="109" t="str">
        <f t="shared" ref="D231:D237" si="65">IF(C231&lt;0,C231,"/")</f>
        <v>/</v>
      </c>
      <c r="E231" s="109">
        <f ca="1">IF(表2_3671626293034[[#This Row],[累计净值]]/MAX(INDIRECT("B21:B" &amp; ROW()))-1&lt;E230,表2_3671626293034[[#This Row],[累计净值]]/MAX(INDIRECT("B21:B" &amp; ROW()))-1,E230)</f>
        <v>-9.7560975609756184E-3</v>
      </c>
      <c r="F231" s="110">
        <f>表2_3671626293034[[#This Row],[累计净值]]-0.168</f>
        <v>1.048</v>
      </c>
      <c r="G231" s="20">
        <f>表2_3671626293034[[#This Row],[累计净值]]/$B$21-1</f>
        <v>0.21599999999999997</v>
      </c>
    </row>
    <row r="232" spans="1:7" x14ac:dyDescent="0.2">
      <c r="A232" s="15">
        <v>44020</v>
      </c>
      <c r="B232" s="112">
        <v>1.222</v>
      </c>
      <c r="C232" s="108">
        <f t="shared" si="64"/>
        <v>6.0000000000000053E-3</v>
      </c>
      <c r="D232" s="109" t="str">
        <f t="shared" si="65"/>
        <v>/</v>
      </c>
      <c r="E232" s="109">
        <f ca="1">IF(表2_3671626293034[[#This Row],[累计净值]]/MAX(INDIRECT("B21:B" &amp; ROW()))-1&lt;E231,表2_3671626293034[[#This Row],[累计净值]]/MAX(INDIRECT("B21:B" &amp; ROW()))-1,E231)</f>
        <v>-9.7560975609756184E-3</v>
      </c>
      <c r="F232" s="110">
        <f>表2_3671626293034[[#This Row],[累计净值]]-0.168</f>
        <v>1.054</v>
      </c>
      <c r="G232" s="20">
        <f>表2_3671626293034[[#This Row],[累计净值]]/$B$21-1</f>
        <v>0.22199999999999998</v>
      </c>
    </row>
    <row r="233" spans="1:7" x14ac:dyDescent="0.2">
      <c r="A233" s="15">
        <v>44021</v>
      </c>
      <c r="B233" s="112">
        <v>1.224</v>
      </c>
      <c r="C233" s="108">
        <f t="shared" si="64"/>
        <v>2.0000000000000018E-3</v>
      </c>
      <c r="D233" s="109" t="str">
        <f t="shared" si="65"/>
        <v>/</v>
      </c>
      <c r="E233" s="109">
        <f ca="1">IF(表2_3671626293034[[#This Row],[累计净值]]/MAX(INDIRECT("B21:B" &amp; ROW()))-1&lt;E232,表2_3671626293034[[#This Row],[累计净值]]/MAX(INDIRECT("B21:B" &amp; ROW()))-1,E232)</f>
        <v>-9.7560975609756184E-3</v>
      </c>
      <c r="F233" s="110">
        <f>表2_3671626293034[[#This Row],[累计净值]]-0.168</f>
        <v>1.056</v>
      </c>
      <c r="G233" s="20">
        <f>表2_3671626293034[[#This Row],[累计净值]]/$B$21-1</f>
        <v>0.22399999999999998</v>
      </c>
    </row>
    <row r="234" spans="1:7" x14ac:dyDescent="0.2">
      <c r="A234" s="15">
        <v>44022</v>
      </c>
      <c r="B234" s="112">
        <v>1.23</v>
      </c>
      <c r="C234" s="108">
        <f t="shared" si="64"/>
        <v>6.0000000000000053E-3</v>
      </c>
      <c r="D234" s="109" t="str">
        <f t="shared" si="65"/>
        <v>/</v>
      </c>
      <c r="E234" s="109">
        <f ca="1">IF(表2_3671626293034[[#This Row],[累计净值]]/MAX(INDIRECT("B21:B" &amp; ROW()))-1&lt;E233,表2_3671626293034[[#This Row],[累计净值]]/MAX(INDIRECT("B21:B" &amp; ROW()))-1,E233)</f>
        <v>-9.7560975609756184E-3</v>
      </c>
      <c r="F234" s="110">
        <f>表2_3671626293034[[#This Row],[累计净值]]-0.168</f>
        <v>1.0620000000000001</v>
      </c>
      <c r="G234" s="20">
        <f>表2_3671626293034[[#This Row],[累计净值]]/$B$21-1</f>
        <v>0.22999999999999998</v>
      </c>
    </row>
    <row r="235" spans="1:7" x14ac:dyDescent="0.2">
      <c r="A235" s="15">
        <v>44025</v>
      </c>
      <c r="B235" s="112">
        <v>1.23</v>
      </c>
      <c r="C235" s="108">
        <f t="shared" si="64"/>
        <v>0</v>
      </c>
      <c r="D235" s="109" t="str">
        <f t="shared" si="65"/>
        <v>/</v>
      </c>
      <c r="E235" s="109">
        <f ca="1">IF(表2_3671626293034[[#This Row],[累计净值]]/MAX(INDIRECT("B21:B" &amp; ROW()))-1&lt;E234,表2_3671626293034[[#This Row],[累计净值]]/MAX(INDIRECT("B21:B" &amp; ROW()))-1,E234)</f>
        <v>-9.7560975609756184E-3</v>
      </c>
      <c r="F235" s="110">
        <f>表2_3671626293034[[#This Row],[累计净值]]-0.168</f>
        <v>1.0620000000000001</v>
      </c>
      <c r="G235" s="20">
        <f>表2_3671626293034[[#This Row],[累计净值]]/$B$21-1</f>
        <v>0.22999999999999998</v>
      </c>
    </row>
    <row r="236" spans="1:7" x14ac:dyDescent="0.2">
      <c r="A236" s="15">
        <v>44026</v>
      </c>
      <c r="B236" s="112">
        <v>1.2310000000000001</v>
      </c>
      <c r="C236" s="108">
        <f t="shared" si="64"/>
        <v>1.0000000000001119E-3</v>
      </c>
      <c r="D236" s="109" t="str">
        <f t="shared" si="65"/>
        <v>/</v>
      </c>
      <c r="E236" s="109">
        <f ca="1">IF(表2_3671626293034[[#This Row],[累计净值]]/MAX(INDIRECT("B21:B" &amp; ROW()))-1&lt;E235,表2_3671626293034[[#This Row],[累计净值]]/MAX(INDIRECT("B21:B" &amp; ROW()))-1,E235)</f>
        <v>-9.7560975609756184E-3</v>
      </c>
      <c r="F236" s="110">
        <f>表2_3671626293034[[#This Row],[累计净值]]-0.168</f>
        <v>1.0630000000000002</v>
      </c>
      <c r="G236" s="20">
        <f>表2_3671626293034[[#This Row],[累计净值]]/$B$21-1</f>
        <v>0.23100000000000009</v>
      </c>
    </row>
    <row r="237" spans="1:7" x14ac:dyDescent="0.2">
      <c r="A237" s="15">
        <v>44027</v>
      </c>
      <c r="B237" s="112">
        <v>1.2330000000000001</v>
      </c>
      <c r="C237" s="108">
        <f t="shared" si="64"/>
        <v>2.0000000000000018E-3</v>
      </c>
      <c r="D237" s="109" t="str">
        <f t="shared" si="65"/>
        <v>/</v>
      </c>
      <c r="E237" s="109">
        <f ca="1">IF(表2_3671626293034[[#This Row],[累计净值]]/MAX(INDIRECT("B21:B" &amp; ROW()))-1&lt;E236,表2_3671626293034[[#This Row],[累计净值]]/MAX(INDIRECT("B21:B" &amp; ROW()))-1,E236)</f>
        <v>-9.7560975609756184E-3</v>
      </c>
      <c r="F237" s="110">
        <f>表2_3671626293034[[#This Row],[累计净值]]-0.168</f>
        <v>1.0650000000000002</v>
      </c>
      <c r="G237" s="20">
        <f>表2_3671626293034[[#This Row],[累计净值]]/$B$21-1</f>
        <v>0.2330000000000001</v>
      </c>
    </row>
    <row r="238" spans="1:7" x14ac:dyDescent="0.2">
      <c r="A238" s="15">
        <v>44028</v>
      </c>
      <c r="B238" s="112">
        <v>1.2430000000000001</v>
      </c>
      <c r="C238" s="108">
        <f t="shared" ref="C238:C244" si="66">IFERROR(B238-B237,0)</f>
        <v>1.0000000000000009E-2</v>
      </c>
      <c r="D238" s="109" t="str">
        <f t="shared" ref="D238:D244" si="67">IF(C238&lt;0,C238,"/")</f>
        <v>/</v>
      </c>
      <c r="E238" s="109">
        <f ca="1">IF(表2_3671626293034[[#This Row],[累计净值]]/MAX(INDIRECT("B21:B" &amp; ROW()))-1&lt;E237,表2_3671626293034[[#This Row],[累计净值]]/MAX(INDIRECT("B21:B" &amp; ROW()))-1,E237)</f>
        <v>-9.7560975609756184E-3</v>
      </c>
      <c r="F238" s="110">
        <f>表2_3671626293034[[#This Row],[累计净值]]-0.168</f>
        <v>1.0750000000000002</v>
      </c>
      <c r="G238" s="20">
        <f>表2_3671626293034[[#This Row],[累计净值]]/$B$21-1</f>
        <v>0.2430000000000001</v>
      </c>
    </row>
    <row r="239" spans="1:7" x14ac:dyDescent="0.2">
      <c r="A239" s="15">
        <v>44029</v>
      </c>
      <c r="B239" s="112">
        <v>1.2490000000000001</v>
      </c>
      <c r="C239" s="108">
        <f t="shared" si="66"/>
        <v>6.0000000000000053E-3</v>
      </c>
      <c r="D239" s="109" t="str">
        <f t="shared" si="67"/>
        <v>/</v>
      </c>
      <c r="E239" s="109">
        <f ca="1">IF(表2_3671626293034[[#This Row],[累计净值]]/MAX(INDIRECT("B21:B" &amp; ROW()))-1&lt;E238,表2_3671626293034[[#This Row],[累计净值]]/MAX(INDIRECT("B21:B" &amp; ROW()))-1,E238)</f>
        <v>-9.7560975609756184E-3</v>
      </c>
      <c r="F239" s="110">
        <f>表2_3671626293034[[#This Row],[累计净值]]-0.168</f>
        <v>1.0810000000000002</v>
      </c>
      <c r="G239" s="20">
        <f>表2_3671626293034[[#This Row],[累计净值]]/$B$21-1</f>
        <v>0.24900000000000011</v>
      </c>
    </row>
    <row r="240" spans="1:7" x14ac:dyDescent="0.2">
      <c r="A240" s="15">
        <v>44032</v>
      </c>
      <c r="B240" s="112">
        <v>1.2529999999999999</v>
      </c>
      <c r="C240" s="108">
        <f t="shared" si="66"/>
        <v>3.9999999999997815E-3</v>
      </c>
      <c r="D240" s="109" t="str">
        <f t="shared" si="67"/>
        <v>/</v>
      </c>
      <c r="E240" s="109">
        <f ca="1">IF(表2_3671626293034[[#This Row],[累计净值]]/MAX(INDIRECT("B21:B" &amp; ROW()))-1&lt;E239,表2_3671626293034[[#This Row],[累计净值]]/MAX(INDIRECT("B21:B" &amp; ROW()))-1,E239)</f>
        <v>-9.7560975609756184E-3</v>
      </c>
      <c r="F240" s="110">
        <f>表2_3671626293034[[#This Row],[累计净值]]-0.168</f>
        <v>1.085</v>
      </c>
      <c r="G240" s="20">
        <f>表2_3671626293034[[#This Row],[累计净值]]/$B$21-1</f>
        <v>0.25299999999999989</v>
      </c>
    </row>
    <row r="241" spans="1:7" x14ac:dyDescent="0.2">
      <c r="A241" s="15">
        <v>44033</v>
      </c>
      <c r="B241" s="112">
        <v>1.254</v>
      </c>
      <c r="C241" s="108">
        <f t="shared" si="66"/>
        <v>1.0000000000001119E-3</v>
      </c>
      <c r="D241" s="109" t="str">
        <f t="shared" si="67"/>
        <v>/</v>
      </c>
      <c r="E241" s="109">
        <f ca="1">IF(表2_3671626293034[[#This Row],[累计净值]]/MAX(INDIRECT("B21:B" &amp; ROW()))-1&lt;E240,表2_3671626293034[[#This Row],[累计净值]]/MAX(INDIRECT("B21:B" &amp; ROW()))-1,E240)</f>
        <v>-9.7560975609756184E-3</v>
      </c>
      <c r="F241" s="110">
        <f>表2_3671626293034[[#This Row],[累计净值]]-0.168</f>
        <v>1.0860000000000001</v>
      </c>
      <c r="G241" s="20">
        <f>表2_3671626293034[[#This Row],[累计净值]]/$B$21-1</f>
        <v>0.254</v>
      </c>
    </row>
    <row r="242" spans="1:7" x14ac:dyDescent="0.2">
      <c r="A242" s="15">
        <v>44034</v>
      </c>
      <c r="B242" s="112">
        <v>1.258</v>
      </c>
      <c r="C242" s="108">
        <f t="shared" si="66"/>
        <v>4.0000000000000036E-3</v>
      </c>
      <c r="D242" s="109" t="str">
        <f t="shared" si="67"/>
        <v>/</v>
      </c>
      <c r="E242" s="109">
        <f ca="1">IF(表2_3671626293034[[#This Row],[累计净值]]/MAX(INDIRECT("B21:B" &amp; ROW()))-1&lt;E241,表2_3671626293034[[#This Row],[累计净值]]/MAX(INDIRECT("B21:B" &amp; ROW()))-1,E241)</f>
        <v>-9.7560975609756184E-3</v>
      </c>
      <c r="F242" s="110">
        <f>表2_3671626293034[[#This Row],[累计净值]]-0.168</f>
        <v>1.0900000000000001</v>
      </c>
      <c r="G242" s="20">
        <f>表2_3671626293034[[#This Row],[累计净值]]/$B$21-1</f>
        <v>0.25800000000000001</v>
      </c>
    </row>
    <row r="243" spans="1:7" x14ac:dyDescent="0.2">
      <c r="A243" s="15">
        <v>44035</v>
      </c>
      <c r="B243" s="112">
        <v>1.2609999999999999</v>
      </c>
      <c r="C243" s="108">
        <f t="shared" si="66"/>
        <v>2.9999999999998916E-3</v>
      </c>
      <c r="D243" s="109" t="str">
        <f t="shared" si="67"/>
        <v>/</v>
      </c>
      <c r="E243" s="109">
        <f ca="1">IF(表2_3671626293034[[#This Row],[累计净值]]/MAX(INDIRECT("B21:B" &amp; ROW()))-1&lt;E242,表2_3671626293034[[#This Row],[累计净值]]/MAX(INDIRECT("B21:B" &amp; ROW()))-1,E242)</f>
        <v>-9.7560975609756184E-3</v>
      </c>
      <c r="F243" s="110">
        <f>表2_3671626293034[[#This Row],[累计净值]]-0.168</f>
        <v>1.093</v>
      </c>
      <c r="G243" s="20">
        <f>表2_3671626293034[[#This Row],[累计净值]]/$B$21-1</f>
        <v>0.2609999999999999</v>
      </c>
    </row>
    <row r="244" spans="1:7" x14ac:dyDescent="0.2">
      <c r="A244" s="15">
        <v>44036</v>
      </c>
      <c r="B244" s="112">
        <v>1.2629999999999999</v>
      </c>
      <c r="C244" s="108">
        <f t="shared" si="66"/>
        <v>2.0000000000000018E-3</v>
      </c>
      <c r="D244" s="109" t="str">
        <f t="shared" si="67"/>
        <v>/</v>
      </c>
      <c r="E244" s="109">
        <f ca="1">IF(表2_3671626293034[[#This Row],[累计净值]]/MAX(INDIRECT("B21:B" &amp; ROW()))-1&lt;E243,表2_3671626293034[[#This Row],[累计净值]]/MAX(INDIRECT("B21:B" &amp; ROW()))-1,E243)</f>
        <v>-9.7560975609756184E-3</v>
      </c>
      <c r="F244" s="110">
        <f>表2_3671626293034[[#This Row],[累计净值]]-0.168</f>
        <v>1.095</v>
      </c>
      <c r="G244" s="20">
        <f>表2_3671626293034[[#This Row],[累计净值]]/$B$21-1</f>
        <v>0.2629999999999999</v>
      </c>
    </row>
    <row r="245" spans="1:7" x14ac:dyDescent="0.2">
      <c r="A245" s="15">
        <v>44039</v>
      </c>
      <c r="B245" s="117">
        <v>1.2649999999999999</v>
      </c>
      <c r="C245" s="108">
        <f t="shared" ref="C245:C250" si="68">IFERROR(B245-B244,0)</f>
        <v>2.0000000000000018E-3</v>
      </c>
      <c r="D245" s="109" t="str">
        <f t="shared" ref="D245:D250" si="69">IF(C245&lt;0,C245,"/")</f>
        <v>/</v>
      </c>
      <c r="E245" s="109">
        <f ca="1">IF(表2_3671626293034[[#This Row],[累计净值]]/MAX(INDIRECT("B21:B" &amp; ROW()))-1&lt;E244,表2_3671626293034[[#This Row],[累计净值]]/MAX(INDIRECT("B21:B" &amp; ROW()))-1,E244)</f>
        <v>-9.7560975609756184E-3</v>
      </c>
      <c r="F245" s="110">
        <f>表2_3671626293034[[#This Row],[累计净值]]-0.168</f>
        <v>1.097</v>
      </c>
      <c r="G245" s="20">
        <f>表2_3671626293034[[#This Row],[累计净值]]/$B$21-1</f>
        <v>0.2649999999999999</v>
      </c>
    </row>
    <row r="246" spans="1:7" x14ac:dyDescent="0.2">
      <c r="A246" s="15">
        <v>44040</v>
      </c>
      <c r="B246" s="112">
        <v>1.264</v>
      </c>
      <c r="C246" s="108">
        <f t="shared" si="68"/>
        <v>-9.9999999999988987E-4</v>
      </c>
      <c r="D246" s="109">
        <f t="shared" si="69"/>
        <v>-9.9999999999988987E-4</v>
      </c>
      <c r="E246" s="109">
        <f ca="1">IF(表2_3671626293034[[#This Row],[累计净值]]/MAX(INDIRECT("B21:B" &amp; ROW()))-1&lt;E245,表2_3671626293034[[#This Row],[累计净值]]/MAX(INDIRECT("B21:B" &amp; ROW()))-1,E245)</f>
        <v>-9.7560975609756184E-3</v>
      </c>
      <c r="F246" s="110">
        <f>表2_3671626293034[[#This Row],[累计净值]]-0.168</f>
        <v>1.0960000000000001</v>
      </c>
      <c r="G246" s="20">
        <f>表2_3671626293034[[#This Row],[累计净值]]/$B$21-1</f>
        <v>0.26400000000000001</v>
      </c>
    </row>
    <row r="247" spans="1:7" x14ac:dyDescent="0.2">
      <c r="A247" s="15">
        <v>44041</v>
      </c>
      <c r="B247" s="112">
        <v>1.2629999999999999</v>
      </c>
      <c r="C247" s="108">
        <f t="shared" si="68"/>
        <v>-1.0000000000001119E-3</v>
      </c>
      <c r="D247" s="109">
        <f t="shared" si="69"/>
        <v>-1.0000000000001119E-3</v>
      </c>
      <c r="E247" s="109">
        <f ca="1">IF(表2_3671626293034[[#This Row],[累计净值]]/MAX(INDIRECT("B21:B" &amp; ROW()))-1&lt;E246,表2_3671626293034[[#This Row],[累计净值]]/MAX(INDIRECT("B21:B" &amp; ROW()))-1,E246)</f>
        <v>-9.7560975609756184E-3</v>
      </c>
      <c r="F247" s="110">
        <f>表2_3671626293034[[#This Row],[累计净值]]-0.168</f>
        <v>1.095</v>
      </c>
      <c r="G247" s="20">
        <f>表2_3671626293034[[#This Row],[累计净值]]/$B$21-1</f>
        <v>0.2629999999999999</v>
      </c>
    </row>
    <row r="248" spans="1:7" x14ac:dyDescent="0.2">
      <c r="A248" s="15">
        <v>44042</v>
      </c>
      <c r="B248" s="112">
        <v>1.264</v>
      </c>
      <c r="C248" s="108">
        <f t="shared" si="68"/>
        <v>1.0000000000001119E-3</v>
      </c>
      <c r="D248" s="109" t="str">
        <f t="shared" si="69"/>
        <v>/</v>
      </c>
      <c r="E248" s="109">
        <f ca="1">IF(表2_3671626293034[[#This Row],[累计净值]]/MAX(INDIRECT("B21:B" &amp; ROW()))-1&lt;E247,表2_3671626293034[[#This Row],[累计净值]]/MAX(INDIRECT("B21:B" &amp; ROW()))-1,E247)</f>
        <v>-9.7560975609756184E-3</v>
      </c>
      <c r="F248" s="110">
        <f>表2_3671626293034[[#This Row],[累计净值]]-0.168</f>
        <v>1.0960000000000001</v>
      </c>
      <c r="G248" s="20">
        <f>表2_3671626293034[[#This Row],[累计净值]]/$B$21-1</f>
        <v>0.26400000000000001</v>
      </c>
    </row>
    <row r="249" spans="1:7" x14ac:dyDescent="0.2">
      <c r="A249" s="15">
        <v>44043</v>
      </c>
      <c r="B249" s="112">
        <v>1.266</v>
      </c>
      <c r="C249" s="108">
        <f t="shared" si="68"/>
        <v>2.0000000000000018E-3</v>
      </c>
      <c r="D249" s="109" t="str">
        <f t="shared" si="69"/>
        <v>/</v>
      </c>
      <c r="E249" s="109">
        <f ca="1">IF(表2_3671626293034[[#This Row],[累计净值]]/MAX(INDIRECT("B21:B" &amp; ROW()))-1&lt;E248,表2_3671626293034[[#This Row],[累计净值]]/MAX(INDIRECT("B21:B" &amp; ROW()))-1,E248)</f>
        <v>-9.7560975609756184E-3</v>
      </c>
      <c r="F249" s="110">
        <f>表2_3671626293034[[#This Row],[累计净值]]-0.168</f>
        <v>1.0980000000000001</v>
      </c>
      <c r="G249" s="20">
        <f>表2_3671626293034[[#This Row],[累计净值]]/$B$21-1</f>
        <v>0.26600000000000001</v>
      </c>
    </row>
    <row r="250" spans="1:7" x14ac:dyDescent="0.2">
      <c r="A250" s="15">
        <v>44046</v>
      </c>
      <c r="B250" s="112">
        <v>1.266</v>
      </c>
      <c r="C250" s="108">
        <f t="shared" si="68"/>
        <v>0</v>
      </c>
      <c r="D250" s="109" t="str">
        <f t="shared" si="69"/>
        <v>/</v>
      </c>
      <c r="E250" s="109">
        <f ca="1">IF(表2_3671626293034[[#This Row],[累计净值]]/MAX(INDIRECT("B21:B" &amp; ROW()))-1&lt;E249,表2_3671626293034[[#This Row],[累计净值]]/MAX(INDIRECT("B21:B" &amp; ROW()))-1,E249)</f>
        <v>-9.7560975609756184E-3</v>
      </c>
      <c r="F250" s="110">
        <f>表2_3671626293034[[#This Row],[累计净值]]-0.168</f>
        <v>1.0980000000000001</v>
      </c>
      <c r="G250" s="20">
        <f>表2_3671626293034[[#This Row],[累计净值]]/$B$21-1</f>
        <v>0.26600000000000001</v>
      </c>
    </row>
    <row r="251" spans="1:7" x14ac:dyDescent="0.2">
      <c r="A251" s="15">
        <v>44047</v>
      </c>
      <c r="B251" s="112">
        <v>1.2669999999999999</v>
      </c>
      <c r="C251" s="108">
        <f t="shared" ref="C251:C256" si="70">IFERROR(B251-B250,0)</f>
        <v>9.9999999999988987E-4</v>
      </c>
      <c r="D251" s="109" t="str">
        <f t="shared" ref="D251:D256" si="71">IF(C251&lt;0,C251,"/")</f>
        <v>/</v>
      </c>
      <c r="E251" s="109">
        <f ca="1">IF(表2_3671626293034[[#This Row],[累计净值]]/MAX(INDIRECT("B21:B" &amp; ROW()))-1&lt;E250,表2_3671626293034[[#This Row],[累计净值]]/MAX(INDIRECT("B21:B" &amp; ROW()))-1,E250)</f>
        <v>-9.7560975609756184E-3</v>
      </c>
      <c r="F251" s="110">
        <f>表2_3671626293034[[#This Row],[累计净值]]-0.168</f>
        <v>1.099</v>
      </c>
      <c r="G251" s="20">
        <f>表2_3671626293034[[#This Row],[累计净值]]/$B$21-1</f>
        <v>0.2669999999999999</v>
      </c>
    </row>
    <row r="252" spans="1:7" x14ac:dyDescent="0.2">
      <c r="A252" s="15">
        <v>44048</v>
      </c>
      <c r="B252" s="112">
        <v>1.268</v>
      </c>
      <c r="C252" s="108">
        <f t="shared" si="70"/>
        <v>1.0000000000001119E-3</v>
      </c>
      <c r="D252" s="109" t="str">
        <f t="shared" si="71"/>
        <v>/</v>
      </c>
      <c r="E252" s="109">
        <f ca="1">IF(表2_3671626293034[[#This Row],[累计净值]]/MAX(INDIRECT("B21:B" &amp; ROW()))-1&lt;E251,表2_3671626293034[[#This Row],[累计净值]]/MAX(INDIRECT("B21:B" &amp; ROW()))-1,E251)</f>
        <v>-9.7560975609756184E-3</v>
      </c>
      <c r="F252" s="110">
        <f>表2_3671626293034[[#This Row],[累计净值]]-0.168</f>
        <v>1.1000000000000001</v>
      </c>
      <c r="G252" s="20">
        <f>表2_3671626293034[[#This Row],[累计净值]]/$B$21-1</f>
        <v>0.26800000000000002</v>
      </c>
    </row>
    <row r="253" spans="1:7" x14ac:dyDescent="0.2">
      <c r="A253" s="15">
        <v>44049</v>
      </c>
      <c r="B253" s="112">
        <v>1.272</v>
      </c>
      <c r="C253" s="108">
        <f t="shared" si="70"/>
        <v>4.0000000000000036E-3</v>
      </c>
      <c r="D253" s="109" t="str">
        <f t="shared" si="71"/>
        <v>/</v>
      </c>
      <c r="E253" s="109">
        <f ca="1">IF(表2_3671626293034[[#This Row],[累计净值]]/MAX(INDIRECT("B21:B" &amp; ROW()))-1&lt;E252,表2_3671626293034[[#This Row],[累计净值]]/MAX(INDIRECT("B21:B" &amp; ROW()))-1,E252)</f>
        <v>-9.7560975609756184E-3</v>
      </c>
      <c r="F253" s="110">
        <f>表2_3671626293034[[#This Row],[累计净值]]-0.168</f>
        <v>1.1040000000000001</v>
      </c>
      <c r="G253" s="20">
        <f>表2_3671626293034[[#This Row],[累计净值]]/$B$21-1</f>
        <v>0.27200000000000002</v>
      </c>
    </row>
    <row r="254" spans="1:7" x14ac:dyDescent="0.2">
      <c r="A254" s="15">
        <v>44050</v>
      </c>
      <c r="B254" s="112">
        <v>1.2709999999999999</v>
      </c>
      <c r="C254" s="108">
        <f t="shared" si="70"/>
        <v>-1.0000000000001119E-3</v>
      </c>
      <c r="D254" s="109">
        <f t="shared" si="71"/>
        <v>-1.0000000000001119E-3</v>
      </c>
      <c r="E254" s="109">
        <f ca="1">IF(表2_3671626293034[[#This Row],[累计净值]]/MAX(INDIRECT("B21:B" &amp; ROW()))-1&lt;E253,表2_3671626293034[[#This Row],[累计净值]]/MAX(INDIRECT("B21:B" &amp; ROW()))-1,E253)</f>
        <v>-9.7560975609756184E-3</v>
      </c>
      <c r="F254" s="110">
        <f>表2_3671626293034[[#This Row],[累计净值]]-0.168</f>
        <v>1.103</v>
      </c>
      <c r="G254" s="20">
        <f>表2_3671626293034[[#This Row],[累计净值]]/$B$21-1</f>
        <v>0.27099999999999991</v>
      </c>
    </row>
    <row r="255" spans="1:7" x14ac:dyDescent="0.2">
      <c r="A255" s="15">
        <v>44053</v>
      </c>
      <c r="B255" s="112">
        <v>1.2729999999999999</v>
      </c>
      <c r="C255" s="108">
        <f t="shared" si="70"/>
        <v>2.0000000000000018E-3</v>
      </c>
      <c r="D255" s="109" t="str">
        <f t="shared" si="71"/>
        <v>/</v>
      </c>
      <c r="E255" s="109">
        <f ca="1">IF(表2_3671626293034[[#This Row],[累计净值]]/MAX(INDIRECT("B21:B" &amp; ROW()))-1&lt;E254,表2_3671626293034[[#This Row],[累计净值]]/MAX(INDIRECT("B21:B" &amp; ROW()))-1,E254)</f>
        <v>-9.7560975609756184E-3</v>
      </c>
      <c r="F255" s="110">
        <f>表2_3671626293034[[#This Row],[累计净值]]-0.168</f>
        <v>1.105</v>
      </c>
      <c r="G255" s="20">
        <f>表2_3671626293034[[#This Row],[累计净值]]/$B$21-1</f>
        <v>0.27299999999999991</v>
      </c>
    </row>
    <row r="256" spans="1:7" x14ac:dyDescent="0.2">
      <c r="A256" s="15">
        <v>44054</v>
      </c>
      <c r="B256" s="112">
        <v>1.2729999999999999</v>
      </c>
      <c r="C256" s="108">
        <f t="shared" si="70"/>
        <v>0</v>
      </c>
      <c r="D256" s="109" t="str">
        <f t="shared" si="71"/>
        <v>/</v>
      </c>
      <c r="E256" s="109">
        <f ca="1">IF(表2_3671626293034[[#This Row],[累计净值]]/MAX(INDIRECT("B21:B" &amp; ROW()))-1&lt;E255,表2_3671626293034[[#This Row],[累计净值]]/MAX(INDIRECT("B21:B" &amp; ROW()))-1,E255)</f>
        <v>-9.7560975609756184E-3</v>
      </c>
      <c r="F256" s="110">
        <f>表2_3671626293034[[#This Row],[累计净值]]-0.168</f>
        <v>1.105</v>
      </c>
      <c r="G256" s="20">
        <f>表2_3671626293034[[#This Row],[累计净值]]/$B$21-1</f>
        <v>0.27299999999999991</v>
      </c>
    </row>
    <row r="257" spans="1:7" x14ac:dyDescent="0.2">
      <c r="A257" s="15">
        <v>44055</v>
      </c>
      <c r="B257" s="112">
        <v>1.276</v>
      </c>
      <c r="C257" s="108">
        <f t="shared" ref="C257:C262" si="72">IFERROR(B257-B256,0)</f>
        <v>3.0000000000001137E-3</v>
      </c>
      <c r="D257" s="109" t="str">
        <f t="shared" ref="D257:D262" si="73">IF(C257&lt;0,C257,"/")</f>
        <v>/</v>
      </c>
      <c r="E257" s="109">
        <f ca="1">IF(表2_3671626293034[[#This Row],[累计净值]]/MAX(INDIRECT("B21:B" &amp; ROW()))-1&lt;E256,表2_3671626293034[[#This Row],[累计净值]]/MAX(INDIRECT("B21:B" &amp; ROW()))-1,E256)</f>
        <v>-9.7560975609756184E-3</v>
      </c>
      <c r="F257" s="110">
        <f>表2_3671626293034[[#This Row],[累计净值]]-0.168</f>
        <v>1.1080000000000001</v>
      </c>
      <c r="G257" s="20">
        <f>表2_3671626293034[[#This Row],[累计净值]]/$B$21-1</f>
        <v>0.27600000000000002</v>
      </c>
    </row>
    <row r="258" spans="1:7" x14ac:dyDescent="0.2">
      <c r="A258" s="15">
        <v>44056</v>
      </c>
      <c r="B258" s="112">
        <v>1.2749999999999999</v>
      </c>
      <c r="C258" s="108">
        <f t="shared" si="72"/>
        <v>-1.0000000000001119E-3</v>
      </c>
      <c r="D258" s="109">
        <f t="shared" si="73"/>
        <v>-1.0000000000001119E-3</v>
      </c>
      <c r="E258" s="109">
        <f ca="1">IF(表2_3671626293034[[#This Row],[累计净值]]/MAX(INDIRECT("B21:B" &amp; ROW()))-1&lt;E257,表2_3671626293034[[#This Row],[累计净值]]/MAX(INDIRECT("B21:B" &amp; ROW()))-1,E257)</f>
        <v>-9.7560975609756184E-3</v>
      </c>
      <c r="F258" s="110">
        <f>表2_3671626293034[[#This Row],[累计净值]]-0.168</f>
        <v>1.107</v>
      </c>
      <c r="G258" s="20">
        <f>表2_3671626293034[[#This Row],[累计净值]]/$B$21-1</f>
        <v>0.27499999999999991</v>
      </c>
    </row>
    <row r="259" spans="1:7" x14ac:dyDescent="0.2">
      <c r="A259" s="15">
        <v>44057</v>
      </c>
      <c r="B259" s="117">
        <v>1.2769999999999999</v>
      </c>
      <c r="C259" s="108">
        <f t="shared" si="72"/>
        <v>2.0000000000000018E-3</v>
      </c>
      <c r="D259" s="109" t="str">
        <f t="shared" si="73"/>
        <v>/</v>
      </c>
      <c r="E259" s="109">
        <f ca="1">IF(表2_3671626293034[[#This Row],[累计净值]]/MAX(INDIRECT("B21:B" &amp; ROW()))-1&lt;E258,表2_3671626293034[[#This Row],[累计净值]]/MAX(INDIRECT("B21:B" &amp; ROW()))-1,E258)</f>
        <v>-9.7560975609756184E-3</v>
      </c>
      <c r="F259" s="110">
        <f>表2_3671626293034[[#This Row],[累计净值]]-0.168</f>
        <v>1.109</v>
      </c>
      <c r="G259" s="20">
        <f>表2_3671626293034[[#This Row],[累计净值]]/$B$21-1</f>
        <v>0.27699999999999991</v>
      </c>
    </row>
    <row r="260" spans="1:7" x14ac:dyDescent="0.2">
      <c r="A260" s="15">
        <v>44060</v>
      </c>
      <c r="B260" s="112">
        <v>1.2729999999999999</v>
      </c>
      <c r="C260" s="108">
        <f t="shared" si="72"/>
        <v>-4.0000000000000036E-3</v>
      </c>
      <c r="D260" s="109">
        <f t="shared" si="73"/>
        <v>-4.0000000000000036E-3</v>
      </c>
      <c r="E260" s="109">
        <f ca="1">IF(表2_3671626293034[[#This Row],[累计净值]]/MAX(INDIRECT("B21:B" &amp; ROW()))-1&lt;E259,表2_3671626293034[[#This Row],[累计净值]]/MAX(INDIRECT("B21:B" &amp; ROW()))-1,E259)</f>
        <v>-9.7560975609756184E-3</v>
      </c>
      <c r="F260" s="110">
        <f>表2_3671626293034[[#This Row],[累计净值]]-0.168</f>
        <v>1.105</v>
      </c>
      <c r="G260" s="20">
        <f>表2_3671626293034[[#This Row],[累计净值]]/$B$21-1</f>
        <v>0.27299999999999991</v>
      </c>
    </row>
    <row r="261" spans="1:7" x14ac:dyDescent="0.2">
      <c r="A261" s="15">
        <v>44061</v>
      </c>
      <c r="B261" s="112">
        <v>1.27</v>
      </c>
      <c r="C261" s="108">
        <f t="shared" si="72"/>
        <v>-2.9999999999998916E-3</v>
      </c>
      <c r="D261" s="109">
        <f t="shared" si="73"/>
        <v>-2.9999999999998916E-3</v>
      </c>
      <c r="E261" s="109">
        <f ca="1">IF(表2_3671626293034[[#This Row],[累计净值]]/MAX(INDIRECT("B21:B" &amp; ROW()))-1&lt;E260,表2_3671626293034[[#This Row],[累计净值]]/MAX(INDIRECT("B21:B" &amp; ROW()))-1,E260)</f>
        <v>-9.7560975609756184E-3</v>
      </c>
      <c r="F261" s="110">
        <f>表2_3671626293034[[#This Row],[累计净值]]-0.168</f>
        <v>1.1020000000000001</v>
      </c>
      <c r="G261" s="20">
        <f>表2_3671626293034[[#This Row],[累计净值]]/$B$21-1</f>
        <v>0.27</v>
      </c>
    </row>
    <row r="262" spans="1:7" x14ac:dyDescent="0.2">
      <c r="A262" s="15">
        <v>44062</v>
      </c>
      <c r="B262" s="112">
        <v>1.272</v>
      </c>
      <c r="C262" s="108">
        <f t="shared" si="72"/>
        <v>2.0000000000000018E-3</v>
      </c>
      <c r="D262" s="109" t="str">
        <f t="shared" si="73"/>
        <v>/</v>
      </c>
      <c r="E262" s="109">
        <f ca="1">IF(表2_3671626293034[[#This Row],[累计净值]]/MAX(INDIRECT("B21:B" &amp; ROW()))-1&lt;E261,表2_3671626293034[[#This Row],[累计净值]]/MAX(INDIRECT("B21:B" &amp; ROW()))-1,E261)</f>
        <v>-9.7560975609756184E-3</v>
      </c>
      <c r="F262" s="110">
        <f>表2_3671626293034[[#This Row],[累计净值]]-0.168</f>
        <v>1.1040000000000001</v>
      </c>
      <c r="G262" s="20">
        <f>表2_3671626293034[[#This Row],[累计净值]]/$B$21-1</f>
        <v>0.27200000000000002</v>
      </c>
    </row>
    <row r="263" spans="1:7" x14ac:dyDescent="0.2">
      <c r="A263" s="15">
        <v>44063</v>
      </c>
      <c r="B263" s="112">
        <v>1.2709999999999999</v>
      </c>
      <c r="C263" s="108">
        <f t="shared" ref="C263:C268" si="74">IFERROR(B263-B262,0)</f>
        <v>-1.0000000000001119E-3</v>
      </c>
      <c r="D263" s="109">
        <f t="shared" ref="D263:D268" si="75">IF(C263&lt;0,C263,"/")</f>
        <v>-1.0000000000001119E-3</v>
      </c>
      <c r="E263" s="109">
        <f ca="1">IF(表2_3671626293034[[#This Row],[累计净值]]/MAX(INDIRECT("B21:B" &amp; ROW()))-1&lt;E262,表2_3671626293034[[#This Row],[累计净值]]/MAX(INDIRECT("B21:B" &amp; ROW()))-1,E262)</f>
        <v>-9.7560975609756184E-3</v>
      </c>
      <c r="F263" s="110">
        <f>表2_3671626293034[[#This Row],[累计净值]]-0.168</f>
        <v>1.103</v>
      </c>
      <c r="G263" s="20">
        <f>表2_3671626293034[[#This Row],[累计净值]]/$B$21-1</f>
        <v>0.27099999999999991</v>
      </c>
    </row>
    <row r="264" spans="1:7" x14ac:dyDescent="0.2">
      <c r="A264" s="15">
        <v>44064</v>
      </c>
      <c r="B264" s="112">
        <v>1.2709999999999999</v>
      </c>
      <c r="C264" s="108">
        <f t="shared" si="74"/>
        <v>0</v>
      </c>
      <c r="D264" s="109" t="str">
        <f t="shared" si="75"/>
        <v>/</v>
      </c>
      <c r="E264" s="109">
        <f ca="1">IF(表2_3671626293034[[#This Row],[累计净值]]/MAX(INDIRECT("B21:B" &amp; ROW()))-1&lt;E263,表2_3671626293034[[#This Row],[累计净值]]/MAX(INDIRECT("B21:B" &amp; ROW()))-1,E263)</f>
        <v>-9.7560975609756184E-3</v>
      </c>
      <c r="F264" s="110">
        <f>表2_3671626293034[[#This Row],[累计净值]]-0.168</f>
        <v>1.103</v>
      </c>
      <c r="G264" s="20">
        <f>表2_3671626293034[[#This Row],[累计净值]]/$B$21-1</f>
        <v>0.27099999999999991</v>
      </c>
    </row>
    <row r="265" spans="1:7" x14ac:dyDescent="0.2">
      <c r="A265" s="15">
        <v>44067</v>
      </c>
      <c r="B265" s="112">
        <v>1.2729999999999999</v>
      </c>
      <c r="C265" s="108">
        <f t="shared" si="74"/>
        <v>2.0000000000000018E-3</v>
      </c>
      <c r="D265" s="109" t="str">
        <f t="shared" si="75"/>
        <v>/</v>
      </c>
      <c r="E265" s="109">
        <f ca="1">IF(表2_3671626293034[[#This Row],[累计净值]]/MAX(INDIRECT("B21:B" &amp; ROW()))-1&lt;E264,表2_3671626293034[[#This Row],[累计净值]]/MAX(INDIRECT("B21:B" &amp; ROW()))-1,E264)</f>
        <v>-9.7560975609756184E-3</v>
      </c>
      <c r="F265" s="110">
        <f>表2_3671626293034[[#This Row],[累计净值]]-0.168</f>
        <v>1.105</v>
      </c>
      <c r="G265" s="20">
        <f>表2_3671626293034[[#This Row],[累计净值]]/$B$21-1</f>
        <v>0.27299999999999991</v>
      </c>
    </row>
    <row r="266" spans="1:7" x14ac:dyDescent="0.2">
      <c r="A266" s="15">
        <v>44068</v>
      </c>
      <c r="B266" s="112">
        <v>1.274</v>
      </c>
      <c r="C266" s="108">
        <f t="shared" si="74"/>
        <v>1.0000000000001119E-3</v>
      </c>
      <c r="D266" s="109" t="str">
        <f t="shared" si="75"/>
        <v>/</v>
      </c>
      <c r="E266" s="109">
        <f ca="1">IF(表2_3671626293034[[#This Row],[累计净值]]/MAX(INDIRECT("B21:B" &amp; ROW()))-1&lt;E265,表2_3671626293034[[#This Row],[累计净值]]/MAX(INDIRECT("B21:B" &amp; ROW()))-1,E265)</f>
        <v>-9.7560975609756184E-3</v>
      </c>
      <c r="F266" s="110">
        <f>表2_3671626293034[[#This Row],[累计净值]]-0.168</f>
        <v>1.1060000000000001</v>
      </c>
      <c r="G266" s="20">
        <f>表2_3671626293034[[#This Row],[累计净值]]/$B$21-1</f>
        <v>0.27400000000000002</v>
      </c>
    </row>
    <row r="267" spans="1:7" x14ac:dyDescent="0.2">
      <c r="A267" s="15">
        <v>44069</v>
      </c>
      <c r="B267" s="112">
        <v>1.272</v>
      </c>
      <c r="C267" s="108">
        <f t="shared" si="74"/>
        <v>-2.0000000000000018E-3</v>
      </c>
      <c r="D267" s="109">
        <f t="shared" si="75"/>
        <v>-2.0000000000000018E-3</v>
      </c>
      <c r="E267" s="109">
        <f ca="1">IF(表2_3671626293034[[#This Row],[累计净值]]/MAX(INDIRECT("B21:B" &amp; ROW()))-1&lt;E266,表2_3671626293034[[#This Row],[累计净值]]/MAX(INDIRECT("B21:B" &amp; ROW()))-1,E266)</f>
        <v>-9.7560975609756184E-3</v>
      </c>
      <c r="F267" s="110">
        <f>表2_3671626293034[[#This Row],[累计净值]]-0.168</f>
        <v>1.1040000000000001</v>
      </c>
      <c r="G267" s="20">
        <f>表2_3671626293034[[#This Row],[累计净值]]/$B$21-1</f>
        <v>0.27200000000000002</v>
      </c>
    </row>
    <row r="268" spans="1:7" x14ac:dyDescent="0.2">
      <c r="A268" s="15">
        <v>44070</v>
      </c>
      <c r="B268" s="112">
        <v>1.2729999999999999</v>
      </c>
      <c r="C268" s="108">
        <f t="shared" si="74"/>
        <v>9.9999999999988987E-4</v>
      </c>
      <c r="D268" s="109" t="str">
        <f t="shared" si="75"/>
        <v>/</v>
      </c>
      <c r="E268" s="109">
        <f ca="1">IF(表2_3671626293034[[#This Row],[累计净值]]/MAX(INDIRECT("B21:B" &amp; ROW()))-1&lt;E267,表2_3671626293034[[#This Row],[累计净值]]/MAX(INDIRECT("B21:B" &amp; ROW()))-1,E267)</f>
        <v>-9.7560975609756184E-3</v>
      </c>
      <c r="F268" s="110">
        <f>表2_3671626293034[[#This Row],[累计净值]]-0.168</f>
        <v>1.105</v>
      </c>
      <c r="G268" s="20">
        <f>表2_3671626293034[[#This Row],[累计净值]]/$B$21-1</f>
        <v>0.27299999999999991</v>
      </c>
    </row>
    <row r="269" spans="1:7" x14ac:dyDescent="0.2">
      <c r="A269" s="15">
        <v>44071</v>
      </c>
      <c r="B269" s="112">
        <v>1.274</v>
      </c>
      <c r="C269" s="108">
        <f t="shared" ref="C269:C274" si="76">IFERROR(B269-B268,0)</f>
        <v>1.0000000000001119E-3</v>
      </c>
      <c r="D269" s="109" t="str">
        <f t="shared" ref="D269:D274" si="77">IF(C269&lt;0,C269,"/")</f>
        <v>/</v>
      </c>
      <c r="E269" s="109">
        <f ca="1">IF(表2_3671626293034[[#This Row],[累计净值]]/MAX(INDIRECT("B21:B" &amp; ROW()))-1&lt;E268,表2_3671626293034[[#This Row],[累计净值]]/MAX(INDIRECT("B21:B" &amp; ROW()))-1,E268)</f>
        <v>-9.7560975609756184E-3</v>
      </c>
      <c r="F269" s="110">
        <f>表2_3671626293034[[#This Row],[累计净值]]-0.168</f>
        <v>1.1060000000000001</v>
      </c>
      <c r="G269" s="20">
        <f>表2_3671626293034[[#This Row],[累计净值]]/$B$21-1</f>
        <v>0.27400000000000002</v>
      </c>
    </row>
    <row r="270" spans="1:7" x14ac:dyDescent="0.2">
      <c r="A270" s="15">
        <v>44074</v>
      </c>
      <c r="B270" s="112">
        <v>1.2729999999999999</v>
      </c>
      <c r="C270" s="108">
        <f t="shared" si="76"/>
        <v>-1.0000000000001119E-3</v>
      </c>
      <c r="D270" s="109">
        <f t="shared" si="77"/>
        <v>-1.0000000000001119E-3</v>
      </c>
      <c r="E270" s="109">
        <f ca="1">IF(表2_3671626293034[[#This Row],[累计净值]]/MAX(INDIRECT("B21:B" &amp; ROW()))-1&lt;E269,表2_3671626293034[[#This Row],[累计净值]]/MAX(INDIRECT("B21:B" &amp; ROW()))-1,E269)</f>
        <v>-9.7560975609756184E-3</v>
      </c>
      <c r="F270" s="110">
        <f>表2_3671626293034[[#This Row],[累计净值]]-0.168</f>
        <v>1.105</v>
      </c>
      <c r="G270" s="20">
        <f>表2_3671626293034[[#This Row],[累计净值]]/$B$21-1</f>
        <v>0.27299999999999991</v>
      </c>
    </row>
    <row r="271" spans="1:7" x14ac:dyDescent="0.2">
      <c r="A271" s="15">
        <v>44075</v>
      </c>
      <c r="B271" s="112">
        <v>1.2729999999999999</v>
      </c>
      <c r="C271" s="108">
        <f t="shared" si="76"/>
        <v>0</v>
      </c>
      <c r="D271" s="109" t="str">
        <f t="shared" si="77"/>
        <v>/</v>
      </c>
      <c r="E271" s="109">
        <f ca="1">IF(表2_3671626293034[[#This Row],[累计净值]]/MAX(INDIRECT("B21:B" &amp; ROW()))-1&lt;E270,表2_3671626293034[[#This Row],[累计净值]]/MAX(INDIRECT("B21:B" &amp; ROW()))-1,E270)</f>
        <v>-9.7560975609756184E-3</v>
      </c>
      <c r="F271" s="110">
        <f>表2_3671626293034[[#This Row],[累计净值]]-0.168</f>
        <v>1.105</v>
      </c>
      <c r="G271" s="20">
        <f>表2_3671626293034[[#This Row],[累计净值]]/$B$21-1</f>
        <v>0.27299999999999991</v>
      </c>
    </row>
    <row r="272" spans="1:7" x14ac:dyDescent="0.2">
      <c r="A272" s="15">
        <v>44076</v>
      </c>
      <c r="B272" s="112">
        <v>1.2729999999999999</v>
      </c>
      <c r="C272" s="108">
        <f t="shared" si="76"/>
        <v>0</v>
      </c>
      <c r="D272" s="109" t="str">
        <f t="shared" si="77"/>
        <v>/</v>
      </c>
      <c r="E272" s="109">
        <f ca="1">IF(表2_3671626293034[[#This Row],[累计净值]]/MAX(INDIRECT("B21:B" &amp; ROW()))-1&lt;E271,表2_3671626293034[[#This Row],[累计净值]]/MAX(INDIRECT("B21:B" &amp; ROW()))-1,E271)</f>
        <v>-9.7560975609756184E-3</v>
      </c>
      <c r="F272" s="110">
        <f>表2_3671626293034[[#This Row],[累计净值]]-0.168</f>
        <v>1.105</v>
      </c>
      <c r="G272" s="20">
        <f>表2_3671626293034[[#This Row],[累计净值]]/$B$21-1</f>
        <v>0.27299999999999991</v>
      </c>
    </row>
    <row r="273" spans="1:7" x14ac:dyDescent="0.2">
      <c r="A273" s="15">
        <v>44077</v>
      </c>
      <c r="B273" s="112">
        <v>1.276</v>
      </c>
      <c r="C273" s="108">
        <f t="shared" si="76"/>
        <v>3.0000000000001137E-3</v>
      </c>
      <c r="D273" s="109" t="str">
        <f t="shared" si="77"/>
        <v>/</v>
      </c>
      <c r="E273" s="109">
        <f ca="1">IF(表2_3671626293034[[#This Row],[累计净值]]/MAX(INDIRECT("B21:B" &amp; ROW()))-1&lt;E272,表2_3671626293034[[#This Row],[累计净值]]/MAX(INDIRECT("B21:B" &amp; ROW()))-1,E272)</f>
        <v>-9.7560975609756184E-3</v>
      </c>
      <c r="F273" s="110">
        <f>表2_3671626293034[[#This Row],[累计净值]]-0.168</f>
        <v>1.1080000000000001</v>
      </c>
      <c r="G273" s="20">
        <f>表2_3671626293034[[#This Row],[累计净值]]/$B$21-1</f>
        <v>0.27600000000000002</v>
      </c>
    </row>
    <row r="274" spans="1:7" x14ac:dyDescent="0.2">
      <c r="A274" s="15">
        <v>44078</v>
      </c>
      <c r="B274" s="112">
        <v>1.2749999999999999</v>
      </c>
      <c r="C274" s="108">
        <f t="shared" si="76"/>
        <v>-1.0000000000001119E-3</v>
      </c>
      <c r="D274" s="109">
        <f t="shared" si="77"/>
        <v>-1.0000000000001119E-3</v>
      </c>
      <c r="E274" s="109">
        <f ca="1">IF(表2_3671626293034[[#This Row],[累计净值]]/MAX(INDIRECT("B21:B" &amp; ROW()))-1&lt;E273,表2_3671626293034[[#This Row],[累计净值]]/MAX(INDIRECT("B21:B" &amp; ROW()))-1,E273)</f>
        <v>-9.7560975609756184E-3</v>
      </c>
      <c r="F274" s="110">
        <f>表2_3671626293034[[#This Row],[累计净值]]-0.168</f>
        <v>1.107</v>
      </c>
      <c r="G274" s="20">
        <f>表2_3671626293034[[#This Row],[累计净值]]/$B$21-1</f>
        <v>0.27499999999999991</v>
      </c>
    </row>
    <row r="275" spans="1:7" x14ac:dyDescent="0.2">
      <c r="A275" s="15">
        <v>44081</v>
      </c>
      <c r="B275" s="112">
        <v>1.278</v>
      </c>
      <c r="C275" s="108">
        <f t="shared" ref="C275:C280" si="78">IFERROR(B275-B274,0)</f>
        <v>3.0000000000001137E-3</v>
      </c>
      <c r="D275" s="109" t="str">
        <f t="shared" ref="D275:D280" si="79">IF(C275&lt;0,C275,"/")</f>
        <v>/</v>
      </c>
      <c r="E275" s="109">
        <f ca="1">IF(表2_3671626293034[[#This Row],[累计净值]]/MAX(INDIRECT("B21:B" &amp; ROW()))-1&lt;E274,表2_3671626293034[[#This Row],[累计净值]]/MAX(INDIRECT("B21:B" &amp; ROW()))-1,E274)</f>
        <v>-9.7560975609756184E-3</v>
      </c>
      <c r="F275" s="110">
        <f>表2_3671626293034[[#This Row],[累计净值]]-0.168</f>
        <v>1.1100000000000001</v>
      </c>
      <c r="G275" s="20">
        <f>表2_3671626293034[[#This Row],[累计净值]]/$B$21-1</f>
        <v>0.27800000000000002</v>
      </c>
    </row>
    <row r="276" spans="1:7" x14ac:dyDescent="0.2">
      <c r="A276" s="15">
        <v>44082</v>
      </c>
      <c r="B276" s="112">
        <v>1.2769999999999999</v>
      </c>
      <c r="C276" s="108">
        <f t="shared" si="78"/>
        <v>-1.0000000000001119E-3</v>
      </c>
      <c r="D276" s="109">
        <f t="shared" si="79"/>
        <v>-1.0000000000001119E-3</v>
      </c>
      <c r="E276" s="109">
        <f ca="1">IF(表2_3671626293034[[#This Row],[累计净值]]/MAX(INDIRECT("B21:B" &amp; ROW()))-1&lt;E275,表2_3671626293034[[#This Row],[累计净值]]/MAX(INDIRECT("B21:B" &amp; ROW()))-1,E275)</f>
        <v>-9.7560975609756184E-3</v>
      </c>
      <c r="F276" s="110">
        <f>表2_3671626293034[[#This Row],[累计净值]]-0.168</f>
        <v>1.109</v>
      </c>
      <c r="G276" s="20">
        <f>表2_3671626293034[[#This Row],[累计净值]]/$B$21-1</f>
        <v>0.27699999999999991</v>
      </c>
    </row>
    <row r="277" spans="1:7" x14ac:dyDescent="0.2">
      <c r="A277" s="15">
        <v>44083</v>
      </c>
      <c r="B277" s="112">
        <v>1.28</v>
      </c>
      <c r="C277" s="108">
        <f t="shared" si="78"/>
        <v>3.0000000000001137E-3</v>
      </c>
      <c r="D277" s="109" t="str">
        <f t="shared" si="79"/>
        <v>/</v>
      </c>
      <c r="E277" s="109">
        <f ca="1">IF(表2_3671626293034[[#This Row],[累计净值]]/MAX(INDIRECT("B21:B" &amp; ROW()))-1&lt;E276,表2_3671626293034[[#This Row],[累计净值]]/MAX(INDIRECT("B21:B" &amp; ROW()))-1,E276)</f>
        <v>-9.7560975609756184E-3</v>
      </c>
      <c r="F277" s="110">
        <f>表2_3671626293034[[#This Row],[累计净值]]-0.168</f>
        <v>1.1120000000000001</v>
      </c>
      <c r="G277" s="20">
        <f>表2_3671626293034[[#This Row],[累计净值]]/$B$21-1</f>
        <v>0.28000000000000003</v>
      </c>
    </row>
    <row r="278" spans="1:7" x14ac:dyDescent="0.2">
      <c r="A278" s="15">
        <v>44084</v>
      </c>
      <c r="B278" s="112">
        <v>1.2789999999999999</v>
      </c>
      <c r="C278" s="108">
        <f t="shared" si="78"/>
        <v>-1.0000000000001119E-3</v>
      </c>
      <c r="D278" s="109">
        <f t="shared" si="79"/>
        <v>-1.0000000000001119E-3</v>
      </c>
      <c r="E278" s="109">
        <f ca="1">IF(表2_3671626293034[[#This Row],[累计净值]]/MAX(INDIRECT("B21:B" &amp; ROW()))-1&lt;E277,表2_3671626293034[[#This Row],[累计净值]]/MAX(INDIRECT("B21:B" &amp; ROW()))-1,E277)</f>
        <v>-9.7560975609756184E-3</v>
      </c>
      <c r="F278" s="110">
        <f>表2_3671626293034[[#This Row],[累计净值]]-0.168</f>
        <v>1.111</v>
      </c>
      <c r="G278" s="20">
        <f>表2_3671626293034[[#This Row],[累计净值]]/$B$21-1</f>
        <v>0.27899999999999991</v>
      </c>
    </row>
    <row r="279" spans="1:7" x14ac:dyDescent="0.2">
      <c r="A279" s="15">
        <v>44085</v>
      </c>
      <c r="B279" s="112">
        <v>1.2809999999999999</v>
      </c>
      <c r="C279" s="108">
        <f t="shared" si="78"/>
        <v>2.0000000000000018E-3</v>
      </c>
      <c r="D279" s="109" t="str">
        <f t="shared" si="79"/>
        <v>/</v>
      </c>
      <c r="E279" s="109">
        <f ca="1">IF(表2_3671626293034[[#This Row],[累计净值]]/MAX(INDIRECT("B21:B" &amp; ROW()))-1&lt;E278,表2_3671626293034[[#This Row],[累计净值]]/MAX(INDIRECT("B21:B" &amp; ROW()))-1,E278)</f>
        <v>-9.7560975609756184E-3</v>
      </c>
      <c r="F279" s="110">
        <f>表2_3671626293034[[#This Row],[累计净值]]-0.168</f>
        <v>1.113</v>
      </c>
      <c r="G279" s="20">
        <f>表2_3671626293034[[#This Row],[累计净值]]/$B$21-1</f>
        <v>0.28099999999999992</v>
      </c>
    </row>
    <row r="280" spans="1:7" x14ac:dyDescent="0.2">
      <c r="A280" s="15">
        <v>44088</v>
      </c>
      <c r="B280" s="112">
        <v>1.2829999999999999</v>
      </c>
      <c r="C280" s="108">
        <f t="shared" si="78"/>
        <v>2.0000000000000018E-3</v>
      </c>
      <c r="D280" s="109" t="str">
        <f t="shared" si="79"/>
        <v>/</v>
      </c>
      <c r="E280" s="109">
        <f ca="1">IF(表2_3671626293034[[#This Row],[累计净值]]/MAX(INDIRECT("B21:B" &amp; ROW()))-1&lt;E279,表2_3671626293034[[#This Row],[累计净值]]/MAX(INDIRECT("B21:B" &amp; ROW()))-1,E279)</f>
        <v>-9.7560975609756184E-3</v>
      </c>
      <c r="F280" s="110">
        <f>表2_3671626293034[[#This Row],[累计净值]]-0.168</f>
        <v>1.115</v>
      </c>
      <c r="G280" s="20">
        <f>表2_3671626293034[[#This Row],[累计净值]]/$B$21-1</f>
        <v>0.28299999999999992</v>
      </c>
    </row>
    <row r="281" spans="1:7" x14ac:dyDescent="0.2">
      <c r="A281" s="15">
        <v>44089</v>
      </c>
      <c r="B281" s="112">
        <v>1.284</v>
      </c>
      <c r="C281" s="108">
        <f t="shared" ref="C281:C286" si="80">IFERROR(B281-B280,0)</f>
        <v>1.0000000000001119E-3</v>
      </c>
      <c r="D281" s="109" t="str">
        <f t="shared" ref="D281:D286" si="81">IF(C281&lt;0,C281,"/")</f>
        <v>/</v>
      </c>
      <c r="E281" s="109">
        <f ca="1">IF(表2_3671626293034[[#This Row],[累计净值]]/MAX(INDIRECT("B21:B" &amp; ROW()))-1&lt;E280,表2_3671626293034[[#This Row],[累计净值]]/MAX(INDIRECT("B21:B" &amp; ROW()))-1,E280)</f>
        <v>-9.7560975609756184E-3</v>
      </c>
      <c r="F281" s="110">
        <f>表2_3671626293034[[#This Row],[累计净值]]-0.168</f>
        <v>1.1160000000000001</v>
      </c>
      <c r="G281" s="20">
        <f>表2_3671626293034[[#This Row],[累计净值]]/$B$21-1</f>
        <v>0.28400000000000003</v>
      </c>
    </row>
    <row r="282" spans="1:7" x14ac:dyDescent="0.2">
      <c r="A282" s="15">
        <v>44090</v>
      </c>
      <c r="B282" s="112">
        <v>1.2849999999999999</v>
      </c>
      <c r="C282" s="108">
        <f t="shared" si="80"/>
        <v>9.9999999999988987E-4</v>
      </c>
      <c r="D282" s="109" t="str">
        <f t="shared" si="81"/>
        <v>/</v>
      </c>
      <c r="E282" s="109">
        <f ca="1">IF(表2_3671626293034[[#This Row],[累计净值]]/MAX(INDIRECT("B21:B" &amp; ROW()))-1&lt;E281,表2_3671626293034[[#This Row],[累计净值]]/MAX(INDIRECT("B21:B" &amp; ROW()))-1,E281)</f>
        <v>-9.7560975609756184E-3</v>
      </c>
      <c r="F282" s="110">
        <f>表2_3671626293034[[#This Row],[累计净值]]-0.168</f>
        <v>1.117</v>
      </c>
      <c r="G282" s="20">
        <f>表2_3671626293034[[#This Row],[累计净值]]/$B$21-1</f>
        <v>0.28499999999999992</v>
      </c>
    </row>
    <row r="283" spans="1:7" x14ac:dyDescent="0.2">
      <c r="A283" s="15">
        <v>44091</v>
      </c>
      <c r="B283" s="117">
        <v>1.286</v>
      </c>
      <c r="C283" s="108">
        <f t="shared" si="80"/>
        <v>1.0000000000001119E-3</v>
      </c>
      <c r="D283" s="109" t="str">
        <f t="shared" si="81"/>
        <v>/</v>
      </c>
      <c r="E283" s="109">
        <f ca="1">IF(表2_3671626293034[[#This Row],[累计净值]]/MAX(INDIRECT("B21:B" &amp; ROW()))-1&lt;E282,表2_3671626293034[[#This Row],[累计净值]]/MAX(INDIRECT("B21:B" &amp; ROW()))-1,E282)</f>
        <v>-9.7560975609756184E-3</v>
      </c>
      <c r="F283" s="110">
        <f>表2_3671626293034[[#This Row],[累计净值]]-0.168</f>
        <v>1.1180000000000001</v>
      </c>
      <c r="G283" s="20">
        <f>表2_3671626293034[[#This Row],[累计净值]]/$B$21-1</f>
        <v>0.28600000000000003</v>
      </c>
    </row>
    <row r="284" spans="1:7" x14ac:dyDescent="0.2">
      <c r="A284" s="15">
        <v>44092</v>
      </c>
      <c r="B284" s="112">
        <v>1.2829999999999999</v>
      </c>
      <c r="C284" s="108">
        <f t="shared" si="80"/>
        <v>-3.0000000000001137E-3</v>
      </c>
      <c r="D284" s="109">
        <f t="shared" si="81"/>
        <v>-3.0000000000001137E-3</v>
      </c>
      <c r="E284" s="109">
        <f ca="1">IF(表2_3671626293034[[#This Row],[累计净值]]/MAX(INDIRECT("B21:B" &amp; ROW()))-1&lt;E283,表2_3671626293034[[#This Row],[累计净值]]/MAX(INDIRECT("B21:B" &amp; ROW()))-1,E283)</f>
        <v>-9.7560975609756184E-3</v>
      </c>
      <c r="F284" s="110">
        <f>表2_3671626293034[[#This Row],[累计净值]]-0.168</f>
        <v>1.115</v>
      </c>
      <c r="G284" s="20">
        <f>表2_3671626293034[[#This Row],[累计净值]]/$B$21-1</f>
        <v>0.28299999999999992</v>
      </c>
    </row>
    <row r="285" spans="1:7" x14ac:dyDescent="0.2">
      <c r="A285" s="15">
        <v>44095</v>
      </c>
      <c r="B285" s="112">
        <v>1.28</v>
      </c>
      <c r="C285" s="108">
        <f t="shared" si="80"/>
        <v>-2.9999999999998916E-3</v>
      </c>
      <c r="D285" s="109">
        <f t="shared" si="81"/>
        <v>-2.9999999999998916E-3</v>
      </c>
      <c r="E285" s="109">
        <f ca="1">IF(表2_3671626293034[[#This Row],[累计净值]]/MAX(INDIRECT("B21:B" &amp; ROW()))-1&lt;E284,表2_3671626293034[[#This Row],[累计净值]]/MAX(INDIRECT("B21:B" &amp; ROW()))-1,E284)</f>
        <v>-9.7560975609756184E-3</v>
      </c>
      <c r="F285" s="110">
        <f>表2_3671626293034[[#This Row],[累计净值]]-0.168</f>
        <v>1.1120000000000001</v>
      </c>
      <c r="G285" s="20">
        <f>表2_3671626293034[[#This Row],[累计净值]]/$B$21-1</f>
        <v>0.28000000000000003</v>
      </c>
    </row>
    <row r="286" spans="1:7" x14ac:dyDescent="0.2">
      <c r="A286" s="15">
        <v>44096</v>
      </c>
      <c r="B286" s="112">
        <v>1.286</v>
      </c>
      <c r="C286" s="108">
        <f t="shared" si="80"/>
        <v>6.0000000000000053E-3</v>
      </c>
      <c r="D286" s="109" t="str">
        <f t="shared" si="81"/>
        <v>/</v>
      </c>
      <c r="E286" s="109">
        <f ca="1">IF(表2_3671626293034[[#This Row],[累计净值]]/MAX(INDIRECT("B21:B" &amp; ROW()))-1&lt;E285,表2_3671626293034[[#This Row],[累计净值]]/MAX(INDIRECT("B21:B" &amp; ROW()))-1,E285)</f>
        <v>-9.7560975609756184E-3</v>
      </c>
      <c r="F286" s="110">
        <f>表2_3671626293034[[#This Row],[累计净值]]-0.168</f>
        <v>1.1180000000000001</v>
      </c>
      <c r="G286" s="20">
        <f>表2_3671626293034[[#This Row],[累计净值]]/$B$21-1</f>
        <v>0.28600000000000003</v>
      </c>
    </row>
    <row r="287" spans="1:7" x14ac:dyDescent="0.2">
      <c r="A287" s="15">
        <v>44097</v>
      </c>
      <c r="B287" s="112">
        <v>1.2849999999999999</v>
      </c>
      <c r="C287" s="108">
        <f t="shared" ref="C287:C292" si="82">IFERROR(B287-B286,0)</f>
        <v>-1.0000000000001119E-3</v>
      </c>
      <c r="D287" s="109">
        <f t="shared" ref="D287:D292" si="83">IF(C287&lt;0,C287,"/")</f>
        <v>-1.0000000000001119E-3</v>
      </c>
      <c r="E287" s="109">
        <f ca="1">IF(表2_3671626293034[[#This Row],[累计净值]]/MAX(INDIRECT("B21:B" &amp; ROW()))-1&lt;E286,表2_3671626293034[[#This Row],[累计净值]]/MAX(INDIRECT("B21:B" &amp; ROW()))-1,E286)</f>
        <v>-9.7560975609756184E-3</v>
      </c>
      <c r="F287" s="110">
        <f>表2_3671626293034[[#This Row],[累计净值]]-0.168</f>
        <v>1.117</v>
      </c>
      <c r="G287" s="20">
        <f>表2_3671626293034[[#This Row],[累计净值]]/$B$21-1</f>
        <v>0.28499999999999992</v>
      </c>
    </row>
    <row r="288" spans="1:7" x14ac:dyDescent="0.2">
      <c r="A288" s="15">
        <v>44098</v>
      </c>
      <c r="B288" s="112">
        <v>1.2809999999999999</v>
      </c>
      <c r="C288" s="108">
        <f t="shared" si="82"/>
        <v>-4.0000000000000036E-3</v>
      </c>
      <c r="D288" s="109">
        <f t="shared" si="83"/>
        <v>-4.0000000000000036E-3</v>
      </c>
      <c r="E288" s="109">
        <f ca="1">IF(表2_3671626293034[[#This Row],[累计净值]]/MAX(INDIRECT("B21:B" &amp; ROW()))-1&lt;E287,表2_3671626293034[[#This Row],[累计净值]]/MAX(INDIRECT("B21:B" &amp; ROW()))-1,E287)</f>
        <v>-9.7560975609756184E-3</v>
      </c>
      <c r="F288" s="110">
        <f>表2_3671626293034[[#This Row],[累计净值]]-0.168</f>
        <v>1.113</v>
      </c>
      <c r="G288" s="20">
        <f>表2_3671626293034[[#This Row],[累计净值]]/$B$21-1</f>
        <v>0.28099999999999992</v>
      </c>
    </row>
    <row r="289" spans="1:7" x14ac:dyDescent="0.2">
      <c r="A289" s="15">
        <v>44099</v>
      </c>
      <c r="B289" s="112">
        <v>1.276</v>
      </c>
      <c r="C289" s="108">
        <f t="shared" si="82"/>
        <v>-4.9999999999998934E-3</v>
      </c>
      <c r="D289" s="109">
        <f t="shared" si="83"/>
        <v>-4.9999999999998934E-3</v>
      </c>
      <c r="E289" s="109">
        <f ca="1">IF(表2_3671626293034[[#This Row],[累计净值]]/MAX(INDIRECT("B21:B" &amp; ROW()))-1&lt;E288,表2_3671626293034[[#This Row],[累计净值]]/MAX(INDIRECT("B21:B" &amp; ROW()))-1,E288)</f>
        <v>-9.7560975609756184E-3</v>
      </c>
      <c r="F289" s="110">
        <f>表2_3671626293034[[#This Row],[累计净值]]-0.168</f>
        <v>1.1080000000000001</v>
      </c>
      <c r="G289" s="20">
        <f>表2_3671626293034[[#This Row],[累计净值]]/$B$21-1</f>
        <v>0.27600000000000002</v>
      </c>
    </row>
    <row r="290" spans="1:7" x14ac:dyDescent="0.2">
      <c r="A290" s="15">
        <v>44102</v>
      </c>
      <c r="B290" s="112">
        <v>1.2749999999999999</v>
      </c>
      <c r="C290" s="108">
        <f t="shared" si="82"/>
        <v>-1.0000000000001119E-3</v>
      </c>
      <c r="D290" s="109">
        <f t="shared" si="83"/>
        <v>-1.0000000000001119E-3</v>
      </c>
      <c r="E290" s="109">
        <f ca="1">IF(表2_3671626293034[[#This Row],[累计净值]]/MAX(INDIRECT("B21:B" &amp; ROW()))-1&lt;E289,表2_3671626293034[[#This Row],[累计净值]]/MAX(INDIRECT("B21:B" &amp; ROW()))-1,E289)</f>
        <v>-9.7560975609756184E-3</v>
      </c>
      <c r="F290" s="110">
        <f>表2_3671626293034[[#This Row],[累计净值]]-0.168</f>
        <v>1.107</v>
      </c>
      <c r="G290" s="20">
        <f>表2_3671626293034[[#This Row],[累计净值]]/$B$21-1</f>
        <v>0.27499999999999991</v>
      </c>
    </row>
    <row r="291" spans="1:7" x14ac:dyDescent="0.2">
      <c r="A291" s="15">
        <v>44103</v>
      </c>
      <c r="B291" s="112">
        <v>1.276</v>
      </c>
      <c r="C291" s="108">
        <f t="shared" si="82"/>
        <v>1.0000000000001119E-3</v>
      </c>
      <c r="D291" s="109" t="str">
        <f t="shared" si="83"/>
        <v>/</v>
      </c>
      <c r="E291" s="109">
        <f ca="1">IF(表2_3671626293034[[#This Row],[累计净值]]/MAX(INDIRECT("B21:B" &amp; ROW()))-1&lt;E290,表2_3671626293034[[#This Row],[累计净值]]/MAX(INDIRECT("B21:B" &amp; ROW()))-1,E290)</f>
        <v>-9.7560975609756184E-3</v>
      </c>
      <c r="F291" s="110">
        <f>表2_3671626293034[[#This Row],[累计净值]]-0.168</f>
        <v>1.1080000000000001</v>
      </c>
      <c r="G291" s="20">
        <f>表2_3671626293034[[#This Row],[累计净值]]/$B$21-1</f>
        <v>0.27600000000000002</v>
      </c>
    </row>
    <row r="292" spans="1:7" x14ac:dyDescent="0.2">
      <c r="A292" s="15">
        <v>44104</v>
      </c>
      <c r="B292" s="112">
        <v>1.276</v>
      </c>
      <c r="C292" s="108">
        <f t="shared" si="82"/>
        <v>0</v>
      </c>
      <c r="D292" s="109" t="str">
        <f t="shared" si="83"/>
        <v>/</v>
      </c>
      <c r="E292" s="109">
        <f ca="1">IF(表2_3671626293034[[#This Row],[累计净值]]/MAX(INDIRECT("B21:B" &amp; ROW()))-1&lt;E291,表2_3671626293034[[#This Row],[累计净值]]/MAX(INDIRECT("B21:B" &amp; ROW()))-1,E291)</f>
        <v>-9.7560975609756184E-3</v>
      </c>
      <c r="F292" s="110">
        <f>表2_3671626293034[[#This Row],[累计净值]]-0.168</f>
        <v>1.1080000000000001</v>
      </c>
      <c r="G292" s="20">
        <f>表2_3671626293034[[#This Row],[累计净值]]/$B$21-1</f>
        <v>0.27600000000000002</v>
      </c>
    </row>
    <row r="293" spans="1:7" x14ac:dyDescent="0.2">
      <c r="A293" s="15">
        <v>44113</v>
      </c>
      <c r="B293" s="112">
        <v>1.2789999999999999</v>
      </c>
      <c r="C293" s="108">
        <f t="shared" ref="C293:C298" si="84">IFERROR(B293-B292,0)</f>
        <v>2.9999999999998916E-3</v>
      </c>
      <c r="D293" s="109" t="str">
        <f t="shared" ref="D293:D298" si="85">IF(C293&lt;0,C293,"/")</f>
        <v>/</v>
      </c>
      <c r="E293" s="109">
        <f ca="1">IF(表2_3671626293034[[#This Row],[累计净值]]/MAX(INDIRECT("B21:B" &amp; ROW()))-1&lt;E292,表2_3671626293034[[#This Row],[累计净值]]/MAX(INDIRECT("B21:B" &amp; ROW()))-1,E292)</f>
        <v>-9.7560975609756184E-3</v>
      </c>
      <c r="F293" s="110">
        <f>表2_3671626293034[[#This Row],[累计净值]]-0.168</f>
        <v>1.111</v>
      </c>
      <c r="G293" s="20">
        <f>表2_3671626293034[[#This Row],[累计净值]]/$B$21-1</f>
        <v>0.27899999999999991</v>
      </c>
    </row>
    <row r="294" spans="1:7" x14ac:dyDescent="0.2">
      <c r="A294" s="15">
        <v>44116</v>
      </c>
      <c r="B294" s="112">
        <v>1.2789999999999999</v>
      </c>
      <c r="C294" s="108">
        <f t="shared" si="84"/>
        <v>0</v>
      </c>
      <c r="D294" s="109" t="str">
        <f t="shared" si="85"/>
        <v>/</v>
      </c>
      <c r="E294" s="109">
        <f ca="1">IF(表2_3671626293034[[#This Row],[累计净值]]/MAX(INDIRECT("B21:B" &amp; ROW()))-1&lt;E293,表2_3671626293034[[#This Row],[累计净值]]/MAX(INDIRECT("B21:B" &amp; ROW()))-1,E293)</f>
        <v>-9.7560975609756184E-3</v>
      </c>
      <c r="F294" s="110">
        <f>表2_3671626293034[[#This Row],[累计净值]]-0.168</f>
        <v>1.111</v>
      </c>
      <c r="G294" s="20">
        <f>表2_3671626293034[[#This Row],[累计净值]]/$B$21-1</f>
        <v>0.27899999999999991</v>
      </c>
    </row>
    <row r="295" spans="1:7" x14ac:dyDescent="0.2">
      <c r="A295" s="15">
        <v>44117</v>
      </c>
      <c r="B295" s="112">
        <v>1.28</v>
      </c>
      <c r="C295" s="108">
        <f t="shared" si="84"/>
        <v>1.0000000000001119E-3</v>
      </c>
      <c r="D295" s="109" t="str">
        <f t="shared" si="85"/>
        <v>/</v>
      </c>
      <c r="E295" s="109">
        <f ca="1">IF(表2_3671626293034[[#This Row],[累计净值]]/MAX(INDIRECT("B21:B" &amp; ROW()))-1&lt;E294,表2_3671626293034[[#This Row],[累计净值]]/MAX(INDIRECT("B21:B" &amp; ROW()))-1,E294)</f>
        <v>-9.7560975609756184E-3</v>
      </c>
      <c r="F295" s="110">
        <f>表2_3671626293034[[#This Row],[累计净值]]-0.168</f>
        <v>1.1120000000000001</v>
      </c>
      <c r="G295" s="20">
        <f>表2_3671626293034[[#This Row],[累计净值]]/$B$21-1</f>
        <v>0.28000000000000003</v>
      </c>
    </row>
    <row r="296" spans="1:7" x14ac:dyDescent="0.2">
      <c r="A296" s="15">
        <v>44118</v>
      </c>
      <c r="B296" s="112">
        <v>1.2809999999999999</v>
      </c>
      <c r="C296" s="108">
        <f t="shared" si="84"/>
        <v>9.9999999999988987E-4</v>
      </c>
      <c r="D296" s="109" t="str">
        <f t="shared" si="85"/>
        <v>/</v>
      </c>
      <c r="E296" s="109">
        <f ca="1">IF(表2_3671626293034[[#This Row],[累计净值]]/MAX(INDIRECT("B21:B" &amp; ROW()))-1&lt;E295,表2_3671626293034[[#This Row],[累计净值]]/MAX(INDIRECT("B21:B" &amp; ROW()))-1,E295)</f>
        <v>-9.7560975609756184E-3</v>
      </c>
      <c r="F296" s="110">
        <f>表2_3671626293034[[#This Row],[累计净值]]-0.168</f>
        <v>1.113</v>
      </c>
      <c r="G296" s="20">
        <f>表2_3671626293034[[#This Row],[累计净值]]/$B$21-1</f>
        <v>0.28099999999999992</v>
      </c>
    </row>
    <row r="297" spans="1:7" x14ac:dyDescent="0.2">
      <c r="A297" s="15">
        <v>44119</v>
      </c>
      <c r="B297" s="112">
        <v>1.28</v>
      </c>
      <c r="C297" s="108">
        <f t="shared" si="84"/>
        <v>-9.9999999999988987E-4</v>
      </c>
      <c r="D297" s="109">
        <f t="shared" si="85"/>
        <v>-9.9999999999988987E-4</v>
      </c>
      <c r="E297" s="109">
        <f ca="1">IF(表2_3671626293034[[#This Row],[累计净值]]/MAX(INDIRECT("B21:B" &amp; ROW()))-1&lt;E296,表2_3671626293034[[#This Row],[累计净值]]/MAX(INDIRECT("B21:B" &amp; ROW()))-1,E296)</f>
        <v>-9.7560975609756184E-3</v>
      </c>
      <c r="F297" s="110">
        <f>表2_3671626293034[[#This Row],[累计净值]]-0.168</f>
        <v>1.1120000000000001</v>
      </c>
      <c r="G297" s="20">
        <f>表2_3671626293034[[#This Row],[累计净值]]/$B$21-1</f>
        <v>0.28000000000000003</v>
      </c>
    </row>
    <row r="298" spans="1:7" x14ac:dyDescent="0.2">
      <c r="A298" s="15">
        <v>44120</v>
      </c>
      <c r="B298" s="112">
        <v>1.2829999999999999</v>
      </c>
      <c r="C298" s="108">
        <f t="shared" si="84"/>
        <v>2.9999999999998916E-3</v>
      </c>
      <c r="D298" s="109" t="str">
        <f t="shared" si="85"/>
        <v>/</v>
      </c>
      <c r="E298" s="109">
        <f ca="1">IF(表2_3671626293034[[#This Row],[累计净值]]/MAX(INDIRECT("B21:B" &amp; ROW()))-1&lt;E297,表2_3671626293034[[#This Row],[累计净值]]/MAX(INDIRECT("B21:B" &amp; ROW()))-1,E297)</f>
        <v>-9.7560975609756184E-3</v>
      </c>
      <c r="F298" s="110">
        <f>表2_3671626293034[[#This Row],[累计净值]]-0.168</f>
        <v>1.115</v>
      </c>
      <c r="G298" s="20">
        <f>表2_3671626293034[[#This Row],[累计净值]]/$B$21-1</f>
        <v>0.28299999999999992</v>
      </c>
    </row>
    <row r="299" spans="1:7" x14ac:dyDescent="0.2">
      <c r="A299" s="15">
        <v>44123</v>
      </c>
      <c r="B299" s="112">
        <v>1.284</v>
      </c>
      <c r="C299" s="108">
        <f t="shared" ref="C299:C304" si="86">IFERROR(B299-B298,0)</f>
        <v>1.0000000000001119E-3</v>
      </c>
      <c r="D299" s="109" t="str">
        <f t="shared" ref="D299:D304" si="87">IF(C299&lt;0,C299,"/")</f>
        <v>/</v>
      </c>
      <c r="E299" s="109">
        <f ca="1">IF(表2_3671626293034[[#This Row],[累计净值]]/MAX(INDIRECT("B21:B" &amp; ROW()))-1&lt;E298,表2_3671626293034[[#This Row],[累计净值]]/MAX(INDIRECT("B21:B" &amp; ROW()))-1,E298)</f>
        <v>-9.7560975609756184E-3</v>
      </c>
      <c r="F299" s="110">
        <f>表2_3671626293034[[#This Row],[累计净值]]-0.168</f>
        <v>1.1160000000000001</v>
      </c>
      <c r="G299" s="20">
        <f>表2_3671626293034[[#This Row],[累计净值]]/$B$21-1</f>
        <v>0.28400000000000003</v>
      </c>
    </row>
    <row r="300" spans="1:7" x14ac:dyDescent="0.2">
      <c r="A300" s="15">
        <v>44124</v>
      </c>
      <c r="B300" s="112">
        <v>1.284</v>
      </c>
      <c r="C300" s="108">
        <f t="shared" si="86"/>
        <v>0</v>
      </c>
      <c r="D300" s="109" t="str">
        <f t="shared" si="87"/>
        <v>/</v>
      </c>
      <c r="E300" s="109">
        <f ca="1">IF(表2_3671626293034[[#This Row],[累计净值]]/MAX(INDIRECT("B21:B" &amp; ROW()))-1&lt;E299,表2_3671626293034[[#This Row],[累计净值]]/MAX(INDIRECT("B21:B" &amp; ROW()))-1,E299)</f>
        <v>-9.7560975609756184E-3</v>
      </c>
      <c r="F300" s="110">
        <f>表2_3671626293034[[#This Row],[累计净值]]-0.168</f>
        <v>1.1160000000000001</v>
      </c>
      <c r="G300" s="20">
        <f>表2_3671626293034[[#This Row],[累计净值]]/$B$21-1</f>
        <v>0.28400000000000003</v>
      </c>
    </row>
    <row r="301" spans="1:7" x14ac:dyDescent="0.2">
      <c r="A301" s="15">
        <v>44125</v>
      </c>
      <c r="B301" s="112">
        <v>1.2849999999999999</v>
      </c>
      <c r="C301" s="108">
        <f t="shared" si="86"/>
        <v>9.9999999999988987E-4</v>
      </c>
      <c r="D301" s="109" t="str">
        <f t="shared" si="87"/>
        <v>/</v>
      </c>
      <c r="E301" s="109">
        <f ca="1">IF(表2_3671626293034[[#This Row],[累计净值]]/MAX(INDIRECT("B21:B" &amp; ROW()))-1&lt;E300,表2_3671626293034[[#This Row],[累计净值]]/MAX(INDIRECT("B21:B" &amp; ROW()))-1,E300)</f>
        <v>-9.7560975609756184E-3</v>
      </c>
      <c r="F301" s="110">
        <f>表2_3671626293034[[#This Row],[累计净值]]-0.168</f>
        <v>1.117</v>
      </c>
      <c r="G301" s="20">
        <f>表2_3671626293034[[#This Row],[累计净值]]/$B$21-1</f>
        <v>0.28499999999999992</v>
      </c>
    </row>
    <row r="302" spans="1:7" x14ac:dyDescent="0.2">
      <c r="A302" s="15">
        <v>44126</v>
      </c>
      <c r="B302" s="112">
        <v>1.2849999999999999</v>
      </c>
      <c r="C302" s="108">
        <f t="shared" si="86"/>
        <v>0</v>
      </c>
      <c r="D302" s="109" t="str">
        <f t="shared" si="87"/>
        <v>/</v>
      </c>
      <c r="E302" s="109">
        <f ca="1">IF(表2_3671626293034[[#This Row],[累计净值]]/MAX(INDIRECT("B21:B" &amp; ROW()))-1&lt;E301,表2_3671626293034[[#This Row],[累计净值]]/MAX(INDIRECT("B21:B" &amp; ROW()))-1,E301)</f>
        <v>-9.7560975609756184E-3</v>
      </c>
      <c r="F302" s="110">
        <f>表2_3671626293034[[#This Row],[累计净值]]-0.168</f>
        <v>1.117</v>
      </c>
      <c r="G302" s="20">
        <f>表2_3671626293034[[#This Row],[累计净值]]/$B$21-1</f>
        <v>0.28499999999999992</v>
      </c>
    </row>
    <row r="303" spans="1:7" x14ac:dyDescent="0.2">
      <c r="A303" s="15">
        <v>44127</v>
      </c>
      <c r="B303" s="112">
        <v>1.2829999999999999</v>
      </c>
      <c r="C303" s="108">
        <f t="shared" si="86"/>
        <v>-2.0000000000000018E-3</v>
      </c>
      <c r="D303" s="109">
        <f t="shared" si="87"/>
        <v>-2.0000000000000018E-3</v>
      </c>
      <c r="E303" s="109">
        <f ca="1">IF(表2_3671626293034[[#This Row],[累计净值]]/MAX(INDIRECT("B21:B" &amp; ROW()))-1&lt;E302,表2_3671626293034[[#This Row],[累计净值]]/MAX(INDIRECT("B21:B" &amp; ROW()))-1,E302)</f>
        <v>-9.7560975609756184E-3</v>
      </c>
      <c r="F303" s="110">
        <f>表2_3671626293034[[#This Row],[累计净值]]-0.168</f>
        <v>1.115</v>
      </c>
      <c r="G303" s="20">
        <f>表2_3671626293034[[#This Row],[累计净值]]/$B$21-1</f>
        <v>0.28299999999999992</v>
      </c>
    </row>
    <row r="304" spans="1:7" x14ac:dyDescent="0.2">
      <c r="A304" s="15">
        <v>44130</v>
      </c>
      <c r="B304" s="112">
        <v>1.2849999999999999</v>
      </c>
      <c r="C304" s="108">
        <f t="shared" si="86"/>
        <v>2.0000000000000018E-3</v>
      </c>
      <c r="D304" s="109" t="str">
        <f t="shared" si="87"/>
        <v>/</v>
      </c>
      <c r="E304" s="109">
        <f ca="1">IF(表2_3671626293034[[#This Row],[累计净值]]/MAX(INDIRECT("B21:B" &amp; ROW()))-1&lt;E303,表2_3671626293034[[#This Row],[累计净值]]/MAX(INDIRECT("B21:B" &amp; ROW()))-1,E303)</f>
        <v>-9.7560975609756184E-3</v>
      </c>
      <c r="F304" s="110">
        <f>表2_3671626293034[[#This Row],[累计净值]]-0.168</f>
        <v>1.117</v>
      </c>
      <c r="G304" s="20">
        <f>表2_3671626293034[[#This Row],[累计净值]]/$B$21-1</f>
        <v>0.28499999999999992</v>
      </c>
    </row>
    <row r="305" spans="1:7" x14ac:dyDescent="0.2">
      <c r="A305" s="15">
        <v>44131</v>
      </c>
      <c r="B305" s="112">
        <v>1.2849999999999999</v>
      </c>
      <c r="C305" s="108">
        <f t="shared" ref="C305:C311" si="88">IFERROR(B305-B304,0)</f>
        <v>0</v>
      </c>
      <c r="D305" s="109" t="str">
        <f t="shared" ref="D305:D311" si="89">IF(C305&lt;0,C305,"/")</f>
        <v>/</v>
      </c>
      <c r="E305" s="109">
        <f ca="1">IF(表2_3671626293034[[#This Row],[累计净值]]/MAX(INDIRECT("B21:B" &amp; ROW()))-1&lt;E304,表2_3671626293034[[#This Row],[累计净值]]/MAX(INDIRECT("B21:B" &amp; ROW()))-1,E304)</f>
        <v>-9.7560975609756184E-3</v>
      </c>
      <c r="F305" s="110">
        <f>表2_3671626293034[[#This Row],[累计净值]]-0.168</f>
        <v>1.117</v>
      </c>
      <c r="G305" s="20">
        <f>表2_3671626293034[[#This Row],[累计净值]]/$B$21-1</f>
        <v>0.28499999999999992</v>
      </c>
    </row>
    <row r="306" spans="1:7" x14ac:dyDescent="0.2">
      <c r="A306" s="15">
        <v>44132</v>
      </c>
      <c r="B306" s="112">
        <v>1.286</v>
      </c>
      <c r="C306" s="108">
        <f t="shared" si="88"/>
        <v>1.0000000000001119E-3</v>
      </c>
      <c r="D306" s="109" t="str">
        <f t="shared" si="89"/>
        <v>/</v>
      </c>
      <c r="E306" s="109">
        <f ca="1">IF(表2_3671626293034[[#This Row],[累计净值]]/MAX(INDIRECT("B21:B" &amp; ROW()))-1&lt;E305,表2_3671626293034[[#This Row],[累计净值]]/MAX(INDIRECT("B21:B" &amp; ROW()))-1,E305)</f>
        <v>-9.7560975609756184E-3</v>
      </c>
      <c r="F306" s="110">
        <f>表2_3671626293034[[#This Row],[累计净值]]-0.168</f>
        <v>1.1180000000000001</v>
      </c>
      <c r="G306" s="20">
        <f>表2_3671626293034[[#This Row],[累计净值]]/$B$21-1</f>
        <v>0.28600000000000003</v>
      </c>
    </row>
    <row r="307" spans="1:7" x14ac:dyDescent="0.2">
      <c r="A307" s="15">
        <v>44133</v>
      </c>
      <c r="B307" s="112">
        <v>1.288</v>
      </c>
      <c r="C307" s="108">
        <f t="shared" si="88"/>
        <v>2.0000000000000018E-3</v>
      </c>
      <c r="D307" s="109" t="str">
        <f t="shared" si="89"/>
        <v>/</v>
      </c>
      <c r="E307" s="109">
        <f ca="1">IF(表2_3671626293034[[#This Row],[累计净值]]/MAX(INDIRECT("B21:B" &amp; ROW()))-1&lt;E306,表2_3671626293034[[#This Row],[累计净值]]/MAX(INDIRECT("B21:B" &amp; ROW()))-1,E306)</f>
        <v>-9.7560975609756184E-3</v>
      </c>
      <c r="F307" s="110">
        <f>表2_3671626293034[[#This Row],[累计净值]]-0.168</f>
        <v>1.1200000000000001</v>
      </c>
      <c r="G307" s="20">
        <f>表2_3671626293034[[#This Row],[累计净值]]/$B$21-1</f>
        <v>0.28800000000000003</v>
      </c>
    </row>
    <row r="308" spans="1:7" x14ac:dyDescent="0.2">
      <c r="A308" s="15">
        <v>44134</v>
      </c>
      <c r="B308" s="112">
        <v>1.2929999999999999</v>
      </c>
      <c r="C308" s="108">
        <f t="shared" si="88"/>
        <v>4.9999999999998934E-3</v>
      </c>
      <c r="D308" s="109" t="str">
        <f t="shared" si="89"/>
        <v>/</v>
      </c>
      <c r="E308" s="109">
        <f ca="1">IF(表2_3671626293034[[#This Row],[累计净值]]/MAX(INDIRECT("B21:B" &amp; ROW()))-1&lt;E307,表2_3671626293034[[#This Row],[累计净值]]/MAX(INDIRECT("B21:B" &amp; ROW()))-1,E307)</f>
        <v>-9.7560975609756184E-3</v>
      </c>
      <c r="F308" s="110">
        <f>表2_3671626293034[[#This Row],[累计净值]]-0.168</f>
        <v>1.125</v>
      </c>
      <c r="G308" s="20">
        <f>表2_3671626293034[[#This Row],[累计净值]]/$B$21-1</f>
        <v>0.29299999999999993</v>
      </c>
    </row>
    <row r="309" spans="1:7" x14ac:dyDescent="0.2">
      <c r="A309" s="15">
        <v>44137</v>
      </c>
      <c r="B309" s="112">
        <v>1.294</v>
      </c>
      <c r="C309" s="108">
        <f t="shared" si="88"/>
        <v>1.0000000000001119E-3</v>
      </c>
      <c r="D309" s="109" t="str">
        <f t="shared" si="89"/>
        <v>/</v>
      </c>
      <c r="E309" s="109">
        <f ca="1">IF(表2_3671626293034[[#This Row],[累计净值]]/MAX(INDIRECT("B21:B" &amp; ROW()))-1&lt;E308,表2_3671626293034[[#This Row],[累计净值]]/MAX(INDIRECT("B21:B" &amp; ROW()))-1,E308)</f>
        <v>-9.7560975609756184E-3</v>
      </c>
      <c r="F309" s="110">
        <f>表2_3671626293034[[#This Row],[累计净值]]-0.168</f>
        <v>1.1260000000000001</v>
      </c>
      <c r="G309" s="20">
        <f>表2_3671626293034[[#This Row],[累计净值]]/$B$21-1</f>
        <v>0.29400000000000004</v>
      </c>
    </row>
    <row r="310" spans="1:7" x14ac:dyDescent="0.2">
      <c r="A310" s="15">
        <v>44138</v>
      </c>
      <c r="B310" s="112">
        <v>1.2969999999999999</v>
      </c>
      <c r="C310" s="108">
        <f t="shared" si="88"/>
        <v>2.9999999999998916E-3</v>
      </c>
      <c r="D310" s="109" t="str">
        <f t="shared" si="89"/>
        <v>/</v>
      </c>
      <c r="E310" s="109">
        <f ca="1">IF(表2_3671626293034[[#This Row],[累计净值]]/MAX(INDIRECT("B21:B" &amp; ROW()))-1&lt;E309,表2_3671626293034[[#This Row],[累计净值]]/MAX(INDIRECT("B21:B" &amp; ROW()))-1,E309)</f>
        <v>-9.7560975609756184E-3</v>
      </c>
      <c r="F310" s="110">
        <f>表2_3671626293034[[#This Row],[累计净值]]-0.168</f>
        <v>1.129</v>
      </c>
      <c r="G310" s="20">
        <f>表2_3671626293034[[#This Row],[累计净值]]/$B$21-1</f>
        <v>0.29699999999999993</v>
      </c>
    </row>
    <row r="311" spans="1:7" x14ac:dyDescent="0.2">
      <c r="A311" s="15">
        <v>44139</v>
      </c>
      <c r="B311" s="112">
        <v>1.298</v>
      </c>
      <c r="C311" s="108">
        <f t="shared" si="88"/>
        <v>1.0000000000001119E-3</v>
      </c>
      <c r="D311" s="109" t="str">
        <f t="shared" si="89"/>
        <v>/</v>
      </c>
      <c r="E311" s="109">
        <f ca="1">IF(表2_3671626293034[[#This Row],[累计净值]]/MAX(INDIRECT("B21:B" &amp; ROW()))-1&lt;E310,表2_3671626293034[[#This Row],[累计净值]]/MAX(INDIRECT("B21:B" &amp; ROW()))-1,E310)</f>
        <v>-9.7560975609756184E-3</v>
      </c>
      <c r="F311" s="110">
        <f>表2_3671626293034[[#This Row],[累计净值]]-0.168</f>
        <v>1.1300000000000001</v>
      </c>
      <c r="G311" s="20">
        <f>表2_3671626293034[[#This Row],[累计净值]]/$B$21-1</f>
        <v>0.29800000000000004</v>
      </c>
    </row>
    <row r="312" spans="1:7" x14ac:dyDescent="0.2">
      <c r="A312" s="15">
        <v>44140</v>
      </c>
      <c r="B312" s="112">
        <v>1.2989999999999999</v>
      </c>
      <c r="C312" s="108">
        <f t="shared" ref="C312:C317" si="90">IFERROR(B312-B311,0)</f>
        <v>9.9999999999988987E-4</v>
      </c>
      <c r="D312" s="109" t="str">
        <f t="shared" ref="D312:D317" si="91">IF(C312&lt;0,C312,"/")</f>
        <v>/</v>
      </c>
      <c r="E312" s="109">
        <f ca="1">IF(表2_3671626293034[[#This Row],[累计净值]]/MAX(INDIRECT("B21:B" &amp; ROW()))-1&lt;E311,表2_3671626293034[[#This Row],[累计净值]]/MAX(INDIRECT("B21:B" &amp; ROW()))-1,E311)</f>
        <v>-9.7560975609756184E-3</v>
      </c>
      <c r="F312" s="110">
        <f>表2_3671626293034[[#This Row],[累计净值]]-0.168</f>
        <v>1.131</v>
      </c>
      <c r="G312" s="20">
        <f>表2_3671626293034[[#This Row],[累计净值]]/$B$21-1</f>
        <v>0.29899999999999993</v>
      </c>
    </row>
    <row r="313" spans="1:7" x14ac:dyDescent="0.2">
      <c r="A313" s="15">
        <v>44141</v>
      </c>
      <c r="B313" s="112">
        <v>1.3</v>
      </c>
      <c r="C313" s="108">
        <f t="shared" si="90"/>
        <v>1.0000000000001119E-3</v>
      </c>
      <c r="D313" s="109" t="str">
        <f t="shared" si="91"/>
        <v>/</v>
      </c>
      <c r="E313" s="109">
        <f ca="1">IF(表2_3671626293034[[#This Row],[累计净值]]/MAX(INDIRECT("B21:B" &amp; ROW()))-1&lt;E312,表2_3671626293034[[#This Row],[累计净值]]/MAX(INDIRECT("B21:B" &amp; ROW()))-1,E312)</f>
        <v>-9.7560975609756184E-3</v>
      </c>
      <c r="F313" s="110">
        <f>表2_3671626293034[[#This Row],[累计净值]]-0.168</f>
        <v>1.1320000000000001</v>
      </c>
      <c r="G313" s="20">
        <f>表2_3671626293034[[#This Row],[累计净值]]/$B$21-1</f>
        <v>0.30000000000000004</v>
      </c>
    </row>
    <row r="314" spans="1:7" x14ac:dyDescent="0.2">
      <c r="A314" s="15">
        <v>44144</v>
      </c>
      <c r="B314" s="112">
        <v>1.3029999999999999</v>
      </c>
      <c r="C314" s="108">
        <f t="shared" si="90"/>
        <v>2.9999999999998916E-3</v>
      </c>
      <c r="D314" s="109" t="str">
        <f t="shared" si="91"/>
        <v>/</v>
      </c>
      <c r="E314" s="109">
        <f ca="1">IF(表2_3671626293034[[#This Row],[累计净值]]/MAX(INDIRECT("B21:B" &amp; ROW()))-1&lt;E313,表2_3671626293034[[#This Row],[累计净值]]/MAX(INDIRECT("B21:B" &amp; ROW()))-1,E313)</f>
        <v>-9.7560975609756184E-3</v>
      </c>
      <c r="F314" s="110">
        <f>表2_3671626293034[[#This Row],[累计净值]]-0.168</f>
        <v>1.135</v>
      </c>
      <c r="G314" s="20">
        <f>表2_3671626293034[[#This Row],[累计净值]]/$B$21-1</f>
        <v>0.30299999999999994</v>
      </c>
    </row>
    <row r="315" spans="1:7" x14ac:dyDescent="0.2">
      <c r="A315" s="15">
        <v>44145</v>
      </c>
      <c r="B315" s="112">
        <v>1.3080000000000001</v>
      </c>
      <c r="C315" s="108">
        <f t="shared" si="90"/>
        <v>5.0000000000001155E-3</v>
      </c>
      <c r="D315" s="109" t="str">
        <f t="shared" si="91"/>
        <v>/</v>
      </c>
      <c r="E315" s="109">
        <f ca="1">IF(表2_3671626293034[[#This Row],[累计净值]]/MAX(INDIRECT("B21:B" &amp; ROW()))-1&lt;E314,表2_3671626293034[[#This Row],[累计净值]]/MAX(INDIRECT("B21:B" &amp; ROW()))-1,E314)</f>
        <v>-9.7560975609756184E-3</v>
      </c>
      <c r="F315" s="110">
        <f>表2_3671626293034[[#This Row],[累计净值]]-0.168</f>
        <v>1.1400000000000001</v>
      </c>
      <c r="G315" s="20">
        <f>表2_3671626293034[[#This Row],[累计净值]]/$B$21-1</f>
        <v>0.30800000000000005</v>
      </c>
    </row>
    <row r="316" spans="1:7" x14ac:dyDescent="0.2">
      <c r="A316" s="15">
        <v>44146</v>
      </c>
      <c r="B316" s="112">
        <v>1.3129999999999999</v>
      </c>
      <c r="C316" s="108">
        <f t="shared" si="90"/>
        <v>4.9999999999998934E-3</v>
      </c>
      <c r="D316" s="109" t="str">
        <f t="shared" si="91"/>
        <v>/</v>
      </c>
      <c r="E316" s="109">
        <f ca="1">IF(表2_3671626293034[[#This Row],[累计净值]]/MAX(INDIRECT("B21:B" &amp; ROW()))-1&lt;E315,表2_3671626293034[[#This Row],[累计净值]]/MAX(INDIRECT("B21:B" &amp; ROW()))-1,E315)</f>
        <v>-9.7560975609756184E-3</v>
      </c>
      <c r="F316" s="110">
        <f>表2_3671626293034[[#This Row],[累计净值]]-0.168</f>
        <v>1.145</v>
      </c>
      <c r="G316" s="20">
        <f>表2_3671626293034[[#This Row],[累计净值]]/$B$21-1</f>
        <v>0.31299999999999994</v>
      </c>
    </row>
    <row r="317" spans="1:7" x14ac:dyDescent="0.2">
      <c r="A317" s="15">
        <v>44147</v>
      </c>
      <c r="B317" s="112">
        <v>1.31</v>
      </c>
      <c r="C317" s="108">
        <f t="shared" si="90"/>
        <v>-2.9999999999998916E-3</v>
      </c>
      <c r="D317" s="109">
        <f t="shared" si="91"/>
        <v>-2.9999999999998916E-3</v>
      </c>
      <c r="E317" s="109">
        <f ca="1">IF(表2_3671626293034[[#This Row],[累计净值]]/MAX(INDIRECT("B21:B" &amp; ROW()))-1&lt;E316,表2_3671626293034[[#This Row],[累计净值]]/MAX(INDIRECT("B21:B" &amp; ROW()))-1,E316)</f>
        <v>-9.7560975609756184E-3</v>
      </c>
      <c r="F317" s="110">
        <f>表2_3671626293034[[#This Row],[累计净值]]-0.168</f>
        <v>1.1420000000000001</v>
      </c>
      <c r="G317" s="20">
        <f>表2_3671626293034[[#This Row],[累计净值]]/$B$21-1</f>
        <v>0.31000000000000005</v>
      </c>
    </row>
    <row r="318" spans="1:7" x14ac:dyDescent="0.2">
      <c r="A318" s="15">
        <v>44148</v>
      </c>
      <c r="B318" s="112">
        <v>1.3140000000000001</v>
      </c>
      <c r="C318" s="108">
        <f t="shared" ref="C318:C323" si="92">IFERROR(B318-B317,0)</f>
        <v>4.0000000000000036E-3</v>
      </c>
      <c r="D318" s="109" t="str">
        <f t="shared" ref="D318:D323" si="93">IF(C318&lt;0,C318,"/")</f>
        <v>/</v>
      </c>
      <c r="E318" s="109">
        <f ca="1">IF(表2_3671626293034[[#This Row],[累计净值]]/MAX(INDIRECT("B21:B" &amp; ROW()))-1&lt;E317,表2_3671626293034[[#This Row],[累计净值]]/MAX(INDIRECT("B21:B" &amp; ROW()))-1,E317)</f>
        <v>-9.7560975609756184E-3</v>
      </c>
      <c r="F318" s="110">
        <f>表2_3671626293034[[#This Row],[累计净值]]-0.168</f>
        <v>1.1460000000000001</v>
      </c>
      <c r="G318" s="20">
        <f>表2_3671626293034[[#This Row],[累计净值]]/$B$21-1</f>
        <v>0.31400000000000006</v>
      </c>
    </row>
    <row r="319" spans="1:7" x14ac:dyDescent="0.2">
      <c r="A319" s="15">
        <v>44151</v>
      </c>
      <c r="B319" s="117">
        <v>1.3169999999999999</v>
      </c>
      <c r="C319" s="108">
        <f t="shared" si="92"/>
        <v>2.9999999999998916E-3</v>
      </c>
      <c r="D319" s="109" t="str">
        <f t="shared" si="93"/>
        <v>/</v>
      </c>
      <c r="E319" s="109">
        <f ca="1">IF(表2_3671626293034[[#This Row],[累计净值]]/MAX(INDIRECT("B21:B" &amp; ROW()))-1&lt;E318,表2_3671626293034[[#This Row],[累计净值]]/MAX(INDIRECT("B21:B" &amp; ROW()))-1,E318)</f>
        <v>-9.7560975609756184E-3</v>
      </c>
      <c r="F319" s="110">
        <f>表2_3671626293034[[#This Row],[累计净值]]-0.168</f>
        <v>1.149</v>
      </c>
      <c r="G319" s="20">
        <f>表2_3671626293034[[#This Row],[累计净值]]/$B$21-1</f>
        <v>0.31699999999999995</v>
      </c>
    </row>
    <row r="320" spans="1:7" x14ac:dyDescent="0.2">
      <c r="A320" s="15">
        <v>44152</v>
      </c>
      <c r="B320" s="112">
        <v>1.3169999999999999</v>
      </c>
      <c r="C320" s="108">
        <f t="shared" si="92"/>
        <v>0</v>
      </c>
      <c r="D320" s="109" t="str">
        <f t="shared" si="93"/>
        <v>/</v>
      </c>
      <c r="E320" s="109">
        <f ca="1">IF(表2_3671626293034[[#This Row],[累计净值]]/MAX(INDIRECT("B21:B" &amp; ROW()))-1&lt;E319,表2_3671626293034[[#This Row],[累计净值]]/MAX(INDIRECT("B21:B" &amp; ROW()))-1,E319)</f>
        <v>-9.7560975609756184E-3</v>
      </c>
      <c r="F320" s="110">
        <f>表2_3671626293034[[#This Row],[累计净值]]-0.168</f>
        <v>1.149</v>
      </c>
      <c r="G320" s="20">
        <f>表2_3671626293034[[#This Row],[累计净值]]/$B$21-1</f>
        <v>0.31699999999999995</v>
      </c>
    </row>
    <row r="321" spans="1:7" x14ac:dyDescent="0.2">
      <c r="A321" s="15">
        <v>44153</v>
      </c>
      <c r="B321" s="112">
        <v>1.3169999999999999</v>
      </c>
      <c r="C321" s="108">
        <f t="shared" si="92"/>
        <v>0</v>
      </c>
      <c r="D321" s="109" t="str">
        <f t="shared" si="93"/>
        <v>/</v>
      </c>
      <c r="E321" s="109">
        <f ca="1">IF(表2_3671626293034[[#This Row],[累计净值]]/MAX(INDIRECT("B21:B" &amp; ROW()))-1&lt;E320,表2_3671626293034[[#This Row],[累计净值]]/MAX(INDIRECT("B21:B" &amp; ROW()))-1,E320)</f>
        <v>-9.7560975609756184E-3</v>
      </c>
      <c r="F321" s="110">
        <f>表2_3671626293034[[#This Row],[累计净值]]-0.168</f>
        <v>1.149</v>
      </c>
      <c r="G321" s="20">
        <f>表2_3671626293034[[#This Row],[累计净值]]/$B$21-1</f>
        <v>0.31699999999999995</v>
      </c>
    </row>
    <row r="322" spans="1:7" x14ac:dyDescent="0.2">
      <c r="A322" s="15">
        <v>44154</v>
      </c>
      <c r="B322" s="112">
        <v>1.3169999999999999</v>
      </c>
      <c r="C322" s="108">
        <f t="shared" si="92"/>
        <v>0</v>
      </c>
      <c r="D322" s="109" t="str">
        <f t="shared" si="93"/>
        <v>/</v>
      </c>
      <c r="E322" s="109">
        <f ca="1">IF(表2_3671626293034[[#This Row],[累计净值]]/MAX(INDIRECT("B21:B" &amp; ROW()))-1&lt;E321,表2_3671626293034[[#This Row],[累计净值]]/MAX(INDIRECT("B21:B" &amp; ROW()))-1,E321)</f>
        <v>-9.7560975609756184E-3</v>
      </c>
      <c r="F322" s="110">
        <f>表2_3671626293034[[#This Row],[累计净值]]-0.168</f>
        <v>1.149</v>
      </c>
      <c r="G322" s="20">
        <f>表2_3671626293034[[#This Row],[累计净值]]/$B$21-1</f>
        <v>0.31699999999999995</v>
      </c>
    </row>
    <row r="323" spans="1:7" x14ac:dyDescent="0.2">
      <c r="A323" s="15">
        <v>44155</v>
      </c>
      <c r="B323" s="112">
        <v>1.3160000000000001</v>
      </c>
      <c r="C323" s="108">
        <f t="shared" si="92"/>
        <v>-9.9999999999988987E-4</v>
      </c>
      <c r="D323" s="109">
        <f t="shared" si="93"/>
        <v>-9.9999999999988987E-4</v>
      </c>
      <c r="E323" s="109">
        <f ca="1">IF(表2_3671626293034[[#This Row],[累计净值]]/MAX(INDIRECT("B21:B" &amp; ROW()))-1&lt;E322,表2_3671626293034[[#This Row],[累计净值]]/MAX(INDIRECT("B21:B" &amp; ROW()))-1,E322)</f>
        <v>-9.7560975609756184E-3</v>
      </c>
      <c r="F323" s="110">
        <f>表2_3671626293034[[#This Row],[累计净值]]-0.168</f>
        <v>1.1480000000000001</v>
      </c>
      <c r="G323" s="20">
        <f>表2_3671626293034[[#This Row],[累计净值]]/$B$21-1</f>
        <v>0.31600000000000006</v>
      </c>
    </row>
    <row r="324" spans="1:7" x14ac:dyDescent="0.2">
      <c r="A324" s="15">
        <v>44158</v>
      </c>
      <c r="B324" s="112">
        <v>1.3120000000000001</v>
      </c>
      <c r="C324" s="108">
        <f t="shared" ref="C324:C329" si="94">IFERROR(B324-B323,0)</f>
        <v>-4.0000000000000036E-3</v>
      </c>
      <c r="D324" s="109">
        <f t="shared" ref="D324:D329" si="95">IF(C324&lt;0,C324,"/")</f>
        <v>-4.0000000000000036E-3</v>
      </c>
      <c r="E324" s="109">
        <f ca="1">IF(表2_3671626293034[[#This Row],[累计净值]]/MAX(INDIRECT("B21:B" &amp; ROW()))-1&lt;E323,表2_3671626293034[[#This Row],[累计净值]]/MAX(INDIRECT("B21:B" &amp; ROW()))-1,E323)</f>
        <v>-9.7560975609756184E-3</v>
      </c>
      <c r="F324" s="110">
        <f>表2_3671626293034[[#This Row],[累计净值]]-0.168</f>
        <v>1.1440000000000001</v>
      </c>
      <c r="G324" s="20">
        <f>表2_3671626293034[[#This Row],[累计净值]]/$B$21-1</f>
        <v>0.31200000000000006</v>
      </c>
    </row>
    <row r="325" spans="1:7" x14ac:dyDescent="0.2">
      <c r="A325" s="15">
        <v>44159</v>
      </c>
      <c r="B325" s="112">
        <v>1.306</v>
      </c>
      <c r="C325" s="108">
        <f t="shared" si="94"/>
        <v>-6.0000000000000053E-3</v>
      </c>
      <c r="D325" s="109">
        <f t="shared" si="95"/>
        <v>-6.0000000000000053E-3</v>
      </c>
      <c r="E325" s="109">
        <f ca="1">IF(表2_3671626293034[[#This Row],[累计净值]]/MAX(INDIRECT("B21:B" &amp; ROW()))-1&lt;E324,表2_3671626293034[[#This Row],[累计净值]]/MAX(INDIRECT("B21:B" &amp; ROW()))-1,E324)</f>
        <v>-9.7560975609756184E-3</v>
      </c>
      <c r="F325" s="110">
        <f>表2_3671626293034[[#This Row],[累计净值]]-0.168</f>
        <v>1.1380000000000001</v>
      </c>
      <c r="G325" s="20">
        <f>表2_3671626293034[[#This Row],[累计净值]]/$B$21-1</f>
        <v>0.30600000000000005</v>
      </c>
    </row>
    <row r="326" spans="1:7" x14ac:dyDescent="0.2">
      <c r="A326" s="15">
        <v>44160</v>
      </c>
      <c r="B326" s="112">
        <v>1.306</v>
      </c>
      <c r="C326" s="108">
        <f t="shared" si="94"/>
        <v>0</v>
      </c>
      <c r="D326" s="109" t="str">
        <f t="shared" si="95"/>
        <v>/</v>
      </c>
      <c r="E326" s="109">
        <f ca="1">IF(表2_3671626293034[[#This Row],[累计净值]]/MAX(INDIRECT("B21:B" &amp; ROW()))-1&lt;E325,表2_3671626293034[[#This Row],[累计净值]]/MAX(INDIRECT("B21:B" &amp; ROW()))-1,E325)</f>
        <v>-9.7560975609756184E-3</v>
      </c>
      <c r="F326" s="110">
        <f>表2_3671626293034[[#This Row],[累计净值]]-0.168</f>
        <v>1.1380000000000001</v>
      </c>
      <c r="G326" s="20">
        <f>表2_3671626293034[[#This Row],[累计净值]]/$B$21-1</f>
        <v>0.30600000000000005</v>
      </c>
    </row>
    <row r="327" spans="1:7" x14ac:dyDescent="0.2">
      <c r="A327" s="15">
        <v>44161</v>
      </c>
      <c r="B327" s="112">
        <v>1.3140000000000001</v>
      </c>
      <c r="C327" s="108">
        <f t="shared" si="94"/>
        <v>8.0000000000000071E-3</v>
      </c>
      <c r="D327" s="109" t="str">
        <f t="shared" si="95"/>
        <v>/</v>
      </c>
      <c r="E327" s="109">
        <f ca="1">IF(表2_3671626293034[[#This Row],[累计净值]]/MAX(INDIRECT("B21:B" &amp; ROW()))-1&lt;E326,表2_3671626293034[[#This Row],[累计净值]]/MAX(INDIRECT("B21:B" &amp; ROW()))-1,E326)</f>
        <v>-9.7560975609756184E-3</v>
      </c>
      <c r="F327" s="110">
        <f>表2_3671626293034[[#This Row],[累计净值]]-0.168</f>
        <v>1.1460000000000001</v>
      </c>
      <c r="G327" s="20">
        <f>表2_3671626293034[[#This Row],[累计净值]]/$B$21-1</f>
        <v>0.31400000000000006</v>
      </c>
    </row>
    <row r="328" spans="1:7" x14ac:dyDescent="0.2">
      <c r="A328" s="15">
        <v>44162</v>
      </c>
      <c r="B328" s="112">
        <v>1.3149999999999999</v>
      </c>
      <c r="C328" s="108">
        <f t="shared" si="94"/>
        <v>9.9999999999988987E-4</v>
      </c>
      <c r="D328" s="109" t="str">
        <f t="shared" si="95"/>
        <v>/</v>
      </c>
      <c r="E328" s="109">
        <f ca="1">IF(表2_3671626293034[[#This Row],[累计净值]]/MAX(INDIRECT("B21:B" &amp; ROW()))-1&lt;E327,表2_3671626293034[[#This Row],[累计净值]]/MAX(INDIRECT("B21:B" &amp; ROW()))-1,E327)</f>
        <v>-9.7560975609756184E-3</v>
      </c>
      <c r="F328" s="110">
        <f>表2_3671626293034[[#This Row],[累计净值]]-0.168</f>
        <v>1.147</v>
      </c>
      <c r="G328" s="20">
        <f>表2_3671626293034[[#This Row],[累计净值]]/$B$21-1</f>
        <v>0.31499999999999995</v>
      </c>
    </row>
    <row r="329" spans="1:7" x14ac:dyDescent="0.2">
      <c r="A329" s="15">
        <v>44165</v>
      </c>
      <c r="B329" s="117">
        <v>1.319</v>
      </c>
      <c r="C329" s="108">
        <f t="shared" si="94"/>
        <v>4.0000000000000036E-3</v>
      </c>
      <c r="D329" s="109" t="str">
        <f t="shared" si="95"/>
        <v>/</v>
      </c>
      <c r="E329" s="109">
        <f ca="1">IF(表2_3671626293034[[#This Row],[累计净值]]/MAX(INDIRECT("B21:B" &amp; ROW()))-1&lt;E328,表2_3671626293034[[#This Row],[累计净值]]/MAX(INDIRECT("B21:B" &amp; ROW()))-1,E328)</f>
        <v>-9.7560975609756184E-3</v>
      </c>
      <c r="F329" s="110">
        <f>表2_3671626293034[[#This Row],[累计净值]]-0.168</f>
        <v>1.151</v>
      </c>
      <c r="G329" s="20">
        <f>表2_3671626293034[[#This Row],[累计净值]]/$B$21-1</f>
        <v>0.31899999999999995</v>
      </c>
    </row>
    <row r="330" spans="1:7" x14ac:dyDescent="0.2">
      <c r="A330" s="15">
        <v>44166</v>
      </c>
      <c r="B330" s="112">
        <v>1.3129999999999999</v>
      </c>
      <c r="C330" s="108">
        <f t="shared" ref="C330:C335" si="96">IFERROR(B330-B329,0)</f>
        <v>-6.0000000000000053E-3</v>
      </c>
      <c r="D330" s="109">
        <f t="shared" ref="D330:D335" si="97">IF(C330&lt;0,C330,"/")</f>
        <v>-6.0000000000000053E-3</v>
      </c>
      <c r="E330" s="109">
        <f ca="1">IF(表2_3671626293034[[#This Row],[累计净值]]/MAX(INDIRECT("B21:B" &amp; ROW()))-1&lt;E329,表2_3671626293034[[#This Row],[累计净值]]/MAX(INDIRECT("B21:B" &amp; ROW()))-1,E329)</f>
        <v>-9.7560975609756184E-3</v>
      </c>
      <c r="F330" s="110">
        <f>表2_3671626293034[[#This Row],[累计净值]]-0.168</f>
        <v>1.145</v>
      </c>
      <c r="G330" s="20">
        <f>表2_3671626293034[[#This Row],[累计净值]]/$B$21-1</f>
        <v>0.31299999999999994</v>
      </c>
    </row>
    <row r="331" spans="1:7" x14ac:dyDescent="0.2">
      <c r="A331" s="15">
        <v>44167</v>
      </c>
      <c r="B331" s="112">
        <v>1.302</v>
      </c>
      <c r="C331" s="108">
        <f t="shared" si="96"/>
        <v>-1.0999999999999899E-2</v>
      </c>
      <c r="D331" s="109">
        <f t="shared" si="97"/>
        <v>-1.0999999999999899E-2</v>
      </c>
      <c r="E331" s="109">
        <f ca="1">IF(表2_3671626293034[[#This Row],[累计净值]]/MAX(INDIRECT("B21:B" &amp; ROW()))-1&lt;E330,表2_3671626293034[[#This Row],[累计净值]]/MAX(INDIRECT("B21:B" &amp; ROW()))-1,E330)</f>
        <v>-1.2888551933282755E-2</v>
      </c>
      <c r="F331" s="110">
        <f>表2_3671626293034[[#This Row],[累计净值]]-0.168</f>
        <v>1.1340000000000001</v>
      </c>
      <c r="G331" s="20">
        <f>表2_3671626293034[[#This Row],[累计净值]]/$B$21-1</f>
        <v>0.30200000000000005</v>
      </c>
    </row>
    <row r="332" spans="1:7" x14ac:dyDescent="0.2">
      <c r="A332" s="15">
        <v>44168</v>
      </c>
      <c r="B332" s="112">
        <v>1.3009999999999999</v>
      </c>
      <c r="C332" s="108">
        <f t="shared" si="96"/>
        <v>-1.0000000000001119E-3</v>
      </c>
      <c r="D332" s="109">
        <f t="shared" si="97"/>
        <v>-1.0000000000001119E-3</v>
      </c>
      <c r="E332" s="109">
        <f ca="1">IF(表2_3671626293034[[#This Row],[累计净值]]/MAX(INDIRECT("B21:B" &amp; ROW()))-1&lt;E331,表2_3671626293034[[#This Row],[累计净值]]/MAX(INDIRECT("B21:B" &amp; ROW()))-1,E331)</f>
        <v>-1.3646702047005355E-2</v>
      </c>
      <c r="F332" s="110">
        <f>表2_3671626293034[[#This Row],[累计净值]]-0.168</f>
        <v>1.133</v>
      </c>
      <c r="G332" s="20">
        <f>表2_3671626293034[[#This Row],[累计净值]]/$B$21-1</f>
        <v>0.30099999999999993</v>
      </c>
    </row>
    <row r="333" spans="1:7" x14ac:dyDescent="0.2">
      <c r="A333" s="15">
        <v>44169</v>
      </c>
      <c r="B333" s="112">
        <v>1.3009999999999999</v>
      </c>
      <c r="C333" s="108">
        <f t="shared" si="96"/>
        <v>0</v>
      </c>
      <c r="D333" s="109" t="str">
        <f t="shared" si="97"/>
        <v>/</v>
      </c>
      <c r="E333" s="109">
        <f ca="1">IF(表2_3671626293034[[#This Row],[累计净值]]/MAX(INDIRECT("B21:B" &amp; ROW()))-1&lt;E332,表2_3671626293034[[#This Row],[累计净值]]/MAX(INDIRECT("B21:B" &amp; ROW()))-1,E332)</f>
        <v>-1.3646702047005355E-2</v>
      </c>
      <c r="F333" s="110">
        <f>表2_3671626293034[[#This Row],[累计净值]]-0.168</f>
        <v>1.133</v>
      </c>
      <c r="G333" s="20">
        <f>表2_3671626293034[[#This Row],[累计净值]]/$B$21-1</f>
        <v>0.30099999999999993</v>
      </c>
    </row>
    <row r="334" spans="1:7" x14ac:dyDescent="0.2">
      <c r="A334" s="15">
        <v>44172</v>
      </c>
      <c r="B334" s="112">
        <v>1.3009999999999999</v>
      </c>
      <c r="C334" s="108">
        <f t="shared" si="96"/>
        <v>0</v>
      </c>
      <c r="D334" s="109" t="str">
        <f t="shared" si="97"/>
        <v>/</v>
      </c>
      <c r="E334" s="109">
        <f ca="1">IF(表2_3671626293034[[#This Row],[累计净值]]/MAX(INDIRECT("B21:B" &amp; ROW()))-1&lt;E333,表2_3671626293034[[#This Row],[累计净值]]/MAX(INDIRECT("B21:B" &amp; ROW()))-1,E333)</f>
        <v>-1.3646702047005355E-2</v>
      </c>
      <c r="F334" s="110">
        <f>表2_3671626293034[[#This Row],[累计净值]]-0.168</f>
        <v>1.133</v>
      </c>
      <c r="G334" s="20">
        <f>表2_3671626293034[[#This Row],[累计净值]]/$B$21-1</f>
        <v>0.30099999999999993</v>
      </c>
    </row>
    <row r="335" spans="1:7" x14ac:dyDescent="0.2">
      <c r="A335" s="15">
        <v>44173</v>
      </c>
      <c r="B335" s="112">
        <v>1.304</v>
      </c>
      <c r="C335" s="108">
        <f t="shared" si="96"/>
        <v>3.0000000000001137E-3</v>
      </c>
      <c r="D335" s="109" t="str">
        <f t="shared" si="97"/>
        <v>/</v>
      </c>
      <c r="E335" s="109">
        <f ca="1">IF(表2_3671626293034[[#This Row],[累计净值]]/MAX(INDIRECT("B21:B" &amp; ROW()))-1&lt;E334,表2_3671626293034[[#This Row],[累计净值]]/MAX(INDIRECT("B21:B" &amp; ROW()))-1,E334)</f>
        <v>-1.3646702047005355E-2</v>
      </c>
      <c r="F335" s="110">
        <f>表2_3671626293034[[#This Row],[累计净值]]-0.168</f>
        <v>1.1360000000000001</v>
      </c>
      <c r="G335" s="20">
        <f>表2_3671626293034[[#This Row],[累计净值]]/$B$21-1</f>
        <v>0.30400000000000005</v>
      </c>
    </row>
    <row r="336" spans="1:7" x14ac:dyDescent="0.2">
      <c r="A336" s="15">
        <v>44174</v>
      </c>
      <c r="B336" s="112">
        <v>1.3069999999999999</v>
      </c>
      <c r="C336" s="108">
        <f t="shared" ref="C336:C341" si="98">IFERROR(B336-B335,0)</f>
        <v>2.9999999999998916E-3</v>
      </c>
      <c r="D336" s="109" t="str">
        <f t="shared" ref="D336:D341" si="99">IF(C336&lt;0,C336,"/")</f>
        <v>/</v>
      </c>
      <c r="E336" s="109">
        <f ca="1">IF(表2_3671626293034[[#This Row],[累计净值]]/MAX(INDIRECT("B21:B" &amp; ROW()))-1&lt;E335,表2_3671626293034[[#This Row],[累计净值]]/MAX(INDIRECT("B21:B" &amp; ROW()))-1,E335)</f>
        <v>-1.3646702047005355E-2</v>
      </c>
      <c r="F336" s="110">
        <f>表2_3671626293034[[#This Row],[累计净值]]-0.168</f>
        <v>1.139</v>
      </c>
      <c r="G336" s="20">
        <f>表2_3671626293034[[#This Row],[累计净值]]/$B$21-1</f>
        <v>0.30699999999999994</v>
      </c>
    </row>
    <row r="337" spans="1:7" x14ac:dyDescent="0.2">
      <c r="A337" s="15">
        <v>44175</v>
      </c>
      <c r="B337" s="112">
        <v>1.3080000000000001</v>
      </c>
      <c r="C337" s="108">
        <f t="shared" si="98"/>
        <v>1.0000000000001119E-3</v>
      </c>
      <c r="D337" s="109" t="str">
        <f t="shared" si="99"/>
        <v>/</v>
      </c>
      <c r="E337" s="109">
        <f ca="1">IF(表2_3671626293034[[#This Row],[累计净值]]/MAX(INDIRECT("B21:B" &amp; ROW()))-1&lt;E336,表2_3671626293034[[#This Row],[累计净值]]/MAX(INDIRECT("B21:B" &amp; ROW()))-1,E336)</f>
        <v>-1.3646702047005355E-2</v>
      </c>
      <c r="F337" s="110">
        <f>表2_3671626293034[[#This Row],[累计净值]]-0.168</f>
        <v>1.1400000000000001</v>
      </c>
      <c r="G337" s="20">
        <f>表2_3671626293034[[#This Row],[累计净值]]/$B$21-1</f>
        <v>0.30800000000000005</v>
      </c>
    </row>
    <row r="338" spans="1:7" x14ac:dyDescent="0.2">
      <c r="A338" s="15">
        <v>44176</v>
      </c>
      <c r="B338" s="112">
        <v>1.3120000000000001</v>
      </c>
      <c r="C338" s="108">
        <f t="shared" si="98"/>
        <v>4.0000000000000036E-3</v>
      </c>
      <c r="D338" s="109" t="str">
        <f t="shared" si="99"/>
        <v>/</v>
      </c>
      <c r="E338" s="109">
        <f ca="1">IF(表2_3671626293034[[#This Row],[累计净值]]/MAX(INDIRECT("B21:B" &amp; ROW()))-1&lt;E337,表2_3671626293034[[#This Row],[累计净值]]/MAX(INDIRECT("B21:B" &amp; ROW()))-1,E337)</f>
        <v>-1.3646702047005355E-2</v>
      </c>
      <c r="F338" s="110">
        <f>表2_3671626293034[[#This Row],[累计净值]]-0.168</f>
        <v>1.1440000000000001</v>
      </c>
      <c r="G338" s="20">
        <f>表2_3671626293034[[#This Row],[累计净值]]/$B$21-1</f>
        <v>0.31200000000000006</v>
      </c>
    </row>
    <row r="339" spans="1:7" x14ac:dyDescent="0.2">
      <c r="A339" s="15">
        <v>44179</v>
      </c>
      <c r="B339" s="112">
        <v>1.3120000000000001</v>
      </c>
      <c r="C339" s="108">
        <f t="shared" si="98"/>
        <v>0</v>
      </c>
      <c r="D339" s="109" t="str">
        <f t="shared" si="99"/>
        <v>/</v>
      </c>
      <c r="E339" s="109">
        <f ca="1">IF(表2_3671626293034[[#This Row],[累计净值]]/MAX(INDIRECT("B21:B" &amp; ROW()))-1&lt;E338,表2_3671626293034[[#This Row],[累计净值]]/MAX(INDIRECT("B21:B" &amp; ROW()))-1,E338)</f>
        <v>-1.3646702047005355E-2</v>
      </c>
      <c r="F339" s="110">
        <f>表2_3671626293034[[#This Row],[累计净值]]-0.168</f>
        <v>1.1440000000000001</v>
      </c>
      <c r="G339" s="20">
        <f>表2_3671626293034[[#This Row],[累计净值]]/$B$21-1</f>
        <v>0.31200000000000006</v>
      </c>
    </row>
    <row r="340" spans="1:7" x14ac:dyDescent="0.2">
      <c r="A340" s="15">
        <v>44180</v>
      </c>
      <c r="B340" s="112">
        <v>1.3140000000000001</v>
      </c>
      <c r="C340" s="108">
        <f t="shared" si="98"/>
        <v>2.0000000000000018E-3</v>
      </c>
      <c r="D340" s="109" t="str">
        <f t="shared" si="99"/>
        <v>/</v>
      </c>
      <c r="E340" s="109">
        <f ca="1">IF(表2_3671626293034[[#This Row],[累计净值]]/MAX(INDIRECT("B21:B" &amp; ROW()))-1&lt;E339,表2_3671626293034[[#This Row],[累计净值]]/MAX(INDIRECT("B21:B" &amp; ROW()))-1,E339)</f>
        <v>-1.3646702047005355E-2</v>
      </c>
      <c r="F340" s="110">
        <f>表2_3671626293034[[#This Row],[累计净值]]-0.168</f>
        <v>1.1460000000000001</v>
      </c>
      <c r="G340" s="20">
        <f>表2_3671626293034[[#This Row],[累计净值]]/$B$21-1</f>
        <v>0.31400000000000006</v>
      </c>
    </row>
    <row r="341" spans="1:7" x14ac:dyDescent="0.2">
      <c r="A341" s="15">
        <v>44181</v>
      </c>
      <c r="B341" s="112">
        <v>1.3149999999999999</v>
      </c>
      <c r="C341" s="108">
        <f t="shared" si="98"/>
        <v>9.9999999999988987E-4</v>
      </c>
      <c r="D341" s="109" t="str">
        <f t="shared" si="99"/>
        <v>/</v>
      </c>
      <c r="E341" s="109">
        <f ca="1">IF(表2_3671626293034[[#This Row],[累计净值]]/MAX(INDIRECT("B21:B" &amp; ROW()))-1&lt;E340,表2_3671626293034[[#This Row],[累计净值]]/MAX(INDIRECT("B21:B" &amp; ROW()))-1,E340)</f>
        <v>-1.3646702047005355E-2</v>
      </c>
      <c r="F341" s="110">
        <f>表2_3671626293034[[#This Row],[累计净值]]-0.168</f>
        <v>1.147</v>
      </c>
      <c r="G341" s="20">
        <f>表2_3671626293034[[#This Row],[累计净值]]/$B$21-1</f>
        <v>0.31499999999999995</v>
      </c>
    </row>
    <row r="342" spans="1:7" x14ac:dyDescent="0.2">
      <c r="A342" s="15">
        <v>44182</v>
      </c>
      <c r="B342" s="112">
        <v>1.3160000000000001</v>
      </c>
      <c r="C342" s="108">
        <f t="shared" ref="C342:C347" si="100">IFERROR(B342-B341,0)</f>
        <v>1.0000000000001119E-3</v>
      </c>
      <c r="D342" s="109" t="str">
        <f t="shared" ref="D342:D347" si="101">IF(C342&lt;0,C342,"/")</f>
        <v>/</v>
      </c>
      <c r="E342" s="109">
        <f ca="1">IF(表2_3671626293034[[#This Row],[累计净值]]/MAX(INDIRECT("B21:B" &amp; ROW()))-1&lt;E341,表2_3671626293034[[#This Row],[累计净值]]/MAX(INDIRECT("B21:B" &amp; ROW()))-1,E341)</f>
        <v>-1.3646702047005355E-2</v>
      </c>
      <c r="F342" s="110">
        <f>表2_3671626293034[[#This Row],[累计净值]]-0.168</f>
        <v>1.1480000000000001</v>
      </c>
      <c r="G342" s="20">
        <f>表2_3671626293034[[#This Row],[累计净值]]/$B$21-1</f>
        <v>0.31600000000000006</v>
      </c>
    </row>
    <row r="343" spans="1:7" x14ac:dyDescent="0.2">
      <c r="A343" s="15">
        <v>44183</v>
      </c>
      <c r="B343" s="112">
        <v>1.3169999999999999</v>
      </c>
      <c r="C343" s="108">
        <f t="shared" si="100"/>
        <v>9.9999999999988987E-4</v>
      </c>
      <c r="D343" s="109" t="str">
        <f t="shared" si="101"/>
        <v>/</v>
      </c>
      <c r="E343" s="109">
        <f ca="1">IF(表2_3671626293034[[#This Row],[累计净值]]/MAX(INDIRECT("B21:B" &amp; ROW()))-1&lt;E342,表2_3671626293034[[#This Row],[累计净值]]/MAX(INDIRECT("B21:B" &amp; ROW()))-1,E342)</f>
        <v>-1.3646702047005355E-2</v>
      </c>
      <c r="F343" s="110">
        <f>表2_3671626293034[[#This Row],[累计净值]]-0.168</f>
        <v>1.149</v>
      </c>
      <c r="G343" s="20">
        <f>表2_3671626293034[[#This Row],[累计净值]]/$B$21-1</f>
        <v>0.31699999999999995</v>
      </c>
    </row>
    <row r="344" spans="1:7" x14ac:dyDescent="0.2">
      <c r="A344" s="15">
        <v>44186</v>
      </c>
      <c r="B344" s="112">
        <v>1.3140000000000001</v>
      </c>
      <c r="C344" s="108">
        <f t="shared" si="100"/>
        <v>-2.9999999999998916E-3</v>
      </c>
      <c r="D344" s="109">
        <f t="shared" si="101"/>
        <v>-2.9999999999998916E-3</v>
      </c>
      <c r="E344" s="109">
        <f ca="1">IF(表2_3671626293034[[#This Row],[累计净值]]/MAX(INDIRECT("B21:B" &amp; ROW()))-1&lt;E343,表2_3671626293034[[#This Row],[累计净值]]/MAX(INDIRECT("B21:B" &amp; ROW()))-1,E343)</f>
        <v>-1.3646702047005355E-2</v>
      </c>
      <c r="F344" s="110">
        <f>表2_3671626293034[[#This Row],[累计净值]]-0.168</f>
        <v>1.1460000000000001</v>
      </c>
      <c r="G344" s="20">
        <f>0.7*(表2_3671626293034[[#This Row],[累计净值]]/$B$21-1)</f>
        <v>0.21980000000000002</v>
      </c>
    </row>
    <row r="345" spans="1:7" x14ac:dyDescent="0.2">
      <c r="A345" s="15">
        <v>44187</v>
      </c>
      <c r="B345" s="112">
        <v>1.3169999999999999</v>
      </c>
      <c r="C345" s="108">
        <f t="shared" si="100"/>
        <v>2.9999999999998916E-3</v>
      </c>
      <c r="D345" s="109" t="str">
        <f t="shared" si="101"/>
        <v>/</v>
      </c>
      <c r="E345" s="109">
        <f ca="1">IF(表2_3671626293034[[#This Row],[累计净值]]/MAX(INDIRECT("B21:B" &amp; ROW()))-1&lt;E344,表2_3671626293034[[#This Row],[累计净值]]/MAX(INDIRECT("B21:B" &amp; ROW()))-1,E344)</f>
        <v>-1.3646702047005355E-2</v>
      </c>
      <c r="F345" s="110">
        <f>表2_3671626293034[[#This Row],[累计净值]]-0.168</f>
        <v>1.149</v>
      </c>
      <c r="G345" s="20">
        <f>0.7*(表2_3671626293034[[#This Row],[累计净值]]/$B$21-1)</f>
        <v>0.22189999999999996</v>
      </c>
    </row>
    <row r="346" spans="1:7" x14ac:dyDescent="0.2">
      <c r="A346" s="15">
        <v>44188</v>
      </c>
      <c r="B346" s="117">
        <v>1.327</v>
      </c>
      <c r="C346" s="108">
        <f t="shared" si="100"/>
        <v>1.0000000000000009E-2</v>
      </c>
      <c r="D346" s="109" t="str">
        <f t="shared" si="101"/>
        <v>/</v>
      </c>
      <c r="E346" s="109">
        <f ca="1">IF(表2_3671626293034[[#This Row],[累计净值]]/MAX(INDIRECT("B21:B" &amp; ROW()))-1&lt;E345,表2_3671626293034[[#This Row],[累计净值]]/MAX(INDIRECT("B21:B" &amp; ROW()))-1,E345)</f>
        <v>-1.3646702047005355E-2</v>
      </c>
      <c r="F346" s="110">
        <f>表2_3671626293034[[#This Row],[累计净值]]-0.168</f>
        <v>1.159</v>
      </c>
      <c r="G346" s="20">
        <f>0.7*(表2_3671626293034[[#This Row],[累计净值]]/$B$21-1)</f>
        <v>0.22889999999999996</v>
      </c>
    </row>
    <row r="347" spans="1:7" x14ac:dyDescent="0.2">
      <c r="A347" s="15">
        <v>44189</v>
      </c>
      <c r="B347" s="112">
        <v>1.325</v>
      </c>
      <c r="C347" s="108">
        <f t="shared" si="100"/>
        <v>-2.0000000000000018E-3</v>
      </c>
      <c r="D347" s="109">
        <f t="shared" si="101"/>
        <v>-2.0000000000000018E-3</v>
      </c>
      <c r="E347" s="109">
        <f ca="1">IF(表2_3671626293034[[#This Row],[累计净值]]/MAX(INDIRECT("B21:B" &amp; ROW()))-1&lt;E346,表2_3671626293034[[#This Row],[累计净值]]/MAX(INDIRECT("B21:B" &amp; ROW()))-1,E346)</f>
        <v>-1.3646702047005355E-2</v>
      </c>
      <c r="F347" s="110">
        <f>表2_3671626293034[[#This Row],[累计净值]]-0.168</f>
        <v>1.157</v>
      </c>
      <c r="G347" s="20">
        <f>0.7*(表2_3671626293034[[#This Row],[累计净值]]/$B$21-1)</f>
        <v>0.22749999999999995</v>
      </c>
    </row>
    <row r="348" spans="1:7" x14ac:dyDescent="0.2">
      <c r="A348" s="15">
        <v>44190</v>
      </c>
      <c r="B348" s="112">
        <v>1.3149999999999999</v>
      </c>
      <c r="C348" s="108">
        <f t="shared" ref="C348:C353" si="102">IFERROR(B348-B347,0)</f>
        <v>-1.0000000000000009E-2</v>
      </c>
      <c r="D348" s="109">
        <f t="shared" ref="D348:D353" si="103">IF(C348&lt;0,C348,"/")</f>
        <v>-1.0000000000000009E-2</v>
      </c>
      <c r="E348" s="109">
        <f ca="1">IF(表2_3671626293034[[#This Row],[累计净值]]/MAX(INDIRECT("B21:B" &amp; ROW()))-1&lt;E347,表2_3671626293034[[#This Row],[累计净值]]/MAX(INDIRECT("B21:B" &amp; ROW()))-1,E347)</f>
        <v>-1.3646702047005355E-2</v>
      </c>
      <c r="F348" s="110">
        <f>表2_3671626293034[[#This Row],[累计净值]]-0.308</f>
        <v>1.0069999999999999</v>
      </c>
      <c r="G348" s="20">
        <f>0.7*(表2_3671626293034[[#This Row],[累计净值]]/$B$21-1)</f>
        <v>0.22049999999999995</v>
      </c>
    </row>
    <row r="349" spans="1:7" x14ac:dyDescent="0.2">
      <c r="A349" s="15">
        <v>44193</v>
      </c>
      <c r="B349" s="112">
        <v>1.3140000000000001</v>
      </c>
      <c r="C349" s="108">
        <f t="shared" si="102"/>
        <v>-9.9999999999988987E-4</v>
      </c>
      <c r="D349" s="109">
        <f t="shared" si="103"/>
        <v>-9.9999999999988987E-4</v>
      </c>
      <c r="E349" s="109">
        <f ca="1">IF(表2_3671626293034[[#This Row],[累计净值]]/MAX(INDIRECT("B21:B" &amp; ROW()))-1&lt;E348,表2_3671626293034[[#This Row],[累计净值]]/MAX(INDIRECT("B21:B" &amp; ROW()))-1,E348)</f>
        <v>-1.3646702047005355E-2</v>
      </c>
      <c r="F349" s="110">
        <f>表2_3671626293034[[#This Row],[累计净值]]-0.308</f>
        <v>1.006</v>
      </c>
      <c r="G349" s="20">
        <f>0.7*(表2_3671626293034[[#This Row],[累计净值]]/$B$21-1)</f>
        <v>0.21980000000000002</v>
      </c>
    </row>
    <row r="350" spans="1:7" x14ac:dyDescent="0.2">
      <c r="A350" s="15">
        <v>44194</v>
      </c>
      <c r="B350" s="112">
        <v>1.3129999999999999</v>
      </c>
      <c r="C350" s="108">
        <f t="shared" si="102"/>
        <v>-1.0000000000001119E-3</v>
      </c>
      <c r="D350" s="109">
        <f t="shared" si="103"/>
        <v>-1.0000000000001119E-3</v>
      </c>
      <c r="E350" s="109">
        <f ca="1">IF(表2_3671626293034[[#This Row],[累计净值]]/MAX(INDIRECT("B21:B" &amp; ROW()))-1&lt;E349,表2_3671626293034[[#This Row],[累计净值]]/MAX(INDIRECT("B21:B" &amp; ROW()))-1,E349)</f>
        <v>-1.3646702047005355E-2</v>
      </c>
      <c r="F350" s="110">
        <f>表2_3671626293034[[#This Row],[累计净值]]-0.308</f>
        <v>1.0049999999999999</v>
      </c>
      <c r="G350" s="20">
        <f>0.7*(表2_3671626293034[[#This Row],[累计净值]]/$B$21-1)</f>
        <v>0.21909999999999993</v>
      </c>
    </row>
    <row r="351" spans="1:7" x14ac:dyDescent="0.2">
      <c r="A351" s="15">
        <v>44195</v>
      </c>
      <c r="B351" s="112">
        <v>1.3169999999999999</v>
      </c>
      <c r="C351" s="108">
        <f t="shared" si="102"/>
        <v>4.0000000000000036E-3</v>
      </c>
      <c r="D351" s="109" t="str">
        <f t="shared" si="103"/>
        <v>/</v>
      </c>
      <c r="E351" s="109">
        <f ca="1">IF(表2_3671626293034[[#This Row],[累计净值]]/MAX(INDIRECT("B21:B" &amp; ROW()))-1&lt;E350,表2_3671626293034[[#This Row],[累计净值]]/MAX(INDIRECT("B21:B" &amp; ROW()))-1,E350)</f>
        <v>-1.3646702047005355E-2</v>
      </c>
      <c r="F351" s="110">
        <f>表2_3671626293034[[#This Row],[累计净值]]-0.308</f>
        <v>1.0089999999999999</v>
      </c>
      <c r="G351" s="20">
        <f>0.7*(表2_3671626293034[[#This Row],[累计净值]]/$B$21-1)</f>
        <v>0.22189999999999996</v>
      </c>
    </row>
    <row r="352" spans="1:7" x14ac:dyDescent="0.2">
      <c r="A352" s="15">
        <v>44196</v>
      </c>
      <c r="B352" s="112">
        <v>1.3149999999999999</v>
      </c>
      <c r="C352" s="108">
        <f t="shared" si="102"/>
        <v>-2.0000000000000018E-3</v>
      </c>
      <c r="D352" s="109">
        <f t="shared" si="103"/>
        <v>-2.0000000000000018E-3</v>
      </c>
      <c r="E352" s="109">
        <f ca="1">IF(表2_3671626293034[[#This Row],[累计净值]]/MAX(INDIRECT("B21:B" &amp; ROW()))-1&lt;E351,表2_3671626293034[[#This Row],[累计净值]]/MAX(INDIRECT("B21:B" &amp; ROW()))-1,E351)</f>
        <v>-1.3646702047005355E-2</v>
      </c>
      <c r="F352" s="110">
        <f>表2_3671626293034[[#This Row],[累计净值]]-0.308</f>
        <v>1.0069999999999999</v>
      </c>
      <c r="G352" s="20">
        <f>0.7*(表2_3671626293034[[#This Row],[累计净值]]/$B$21-1)</f>
        <v>0.22049999999999995</v>
      </c>
    </row>
    <row r="353" spans="1:7" x14ac:dyDescent="0.2">
      <c r="A353" s="15">
        <v>44200</v>
      </c>
      <c r="B353" s="112">
        <v>1.3129999999999999</v>
      </c>
      <c r="C353" s="108">
        <f t="shared" si="102"/>
        <v>-2.0000000000000018E-3</v>
      </c>
      <c r="D353" s="109">
        <f t="shared" si="103"/>
        <v>-2.0000000000000018E-3</v>
      </c>
      <c r="E353" s="109">
        <f ca="1">IF(表2_3671626293034[[#This Row],[累计净值]]/MAX(INDIRECT("B21:B" &amp; ROW()))-1&lt;E352,表2_3671626293034[[#This Row],[累计净值]]/MAX(INDIRECT("B21:B" &amp; ROW()))-1,E352)</f>
        <v>-1.3646702047005355E-2</v>
      </c>
      <c r="F353" s="110">
        <f>表2_3671626293034[[#This Row],[累计净值]]-0.308</f>
        <v>1.0049999999999999</v>
      </c>
      <c r="G353" s="20">
        <f>0.7*(表2_3671626293034[[#This Row],[累计净值]]/$B$21-1)</f>
        <v>0.21909999999999993</v>
      </c>
    </row>
    <row r="354" spans="1:7" x14ac:dyDescent="0.2">
      <c r="A354" s="15">
        <v>44201</v>
      </c>
      <c r="B354" s="112">
        <v>1.3120000000000001</v>
      </c>
      <c r="C354" s="108">
        <f>IFERROR(B354-B353,0)</f>
        <v>-9.9999999999988987E-4</v>
      </c>
      <c r="D354" s="109">
        <f>IF(C354&lt;0,C354,"/")</f>
        <v>-9.9999999999988987E-4</v>
      </c>
      <c r="E354" s="109">
        <f ca="1">IF(表2_3671626293034[[#This Row],[累计净值]]/MAX(INDIRECT("B21:B" &amp; ROW()))-1&lt;E353,表2_3671626293034[[#This Row],[累计净值]]/MAX(INDIRECT("B21:B" &amp; ROW()))-1,E353)</f>
        <v>-1.3646702047005355E-2</v>
      </c>
      <c r="F354" s="110">
        <f>表2_3671626293034[[#This Row],[累计净值]]-0.308</f>
        <v>1.004</v>
      </c>
      <c r="G354" s="20">
        <f>0.7*(表2_3671626293034[[#This Row],[累计净值]]/$B$21-1)</f>
        <v>0.21840000000000004</v>
      </c>
    </row>
    <row r="355" spans="1:7" x14ac:dyDescent="0.2">
      <c r="A355" s="15">
        <v>44202</v>
      </c>
      <c r="B355" s="112">
        <v>1.3140000000000001</v>
      </c>
      <c r="C355" s="108">
        <f>IFERROR(B355-B354,0)</f>
        <v>2.0000000000000018E-3</v>
      </c>
      <c r="D355" s="109" t="str">
        <f>IF(C355&lt;0,C355,"/")</f>
        <v>/</v>
      </c>
      <c r="E355" s="109">
        <f ca="1">IF(表2_3671626293034[[#This Row],[累计净值]]/MAX(INDIRECT("B21:B" &amp; ROW()))-1&lt;E354,表2_3671626293034[[#This Row],[累计净值]]/MAX(INDIRECT("B21:B" &amp; ROW()))-1,E354)</f>
        <v>-1.3646702047005355E-2</v>
      </c>
      <c r="F355" s="110">
        <f>表2_3671626293034[[#This Row],[累计净值]]-0.308</f>
        <v>1.006</v>
      </c>
      <c r="G355" s="20">
        <f>0.7*(表2_3671626293034[[#This Row],[累计净值]]/$B$21-1)</f>
        <v>0.21980000000000002</v>
      </c>
    </row>
    <row r="356" spans="1:7" x14ac:dyDescent="0.2">
      <c r="A356" s="15">
        <v>44203</v>
      </c>
      <c r="B356" s="112">
        <v>1.3089999999999999</v>
      </c>
      <c r="C356" s="108">
        <f>IFERROR(B356-B355,0)</f>
        <v>-5.0000000000001155E-3</v>
      </c>
      <c r="D356" s="109">
        <f>IF(C356&lt;0,C356,"/")</f>
        <v>-5.0000000000001155E-3</v>
      </c>
      <c r="E356" s="109">
        <f ca="1">IF(表2_3671626293034[[#This Row],[累计净值]]/MAX(INDIRECT("B21:B" &amp; ROW()))-1&lt;E355,表2_3671626293034[[#This Row],[累计净值]]/MAX(INDIRECT("B21:B" &amp; ROW()))-1,E355)</f>
        <v>-1.3646702047005355E-2</v>
      </c>
      <c r="F356" s="110">
        <f>表2_3671626293034[[#This Row],[累计净值]]-0.308</f>
        <v>1.0009999999999999</v>
      </c>
      <c r="G356" s="20">
        <f>0.7*(表2_3671626293034[[#This Row],[累计净值]]/$B$21-1)</f>
        <v>0.21629999999999994</v>
      </c>
    </row>
    <row r="357" spans="1:7" x14ac:dyDescent="0.2">
      <c r="A357" s="15">
        <v>44204</v>
      </c>
      <c r="B357" s="112">
        <v>1.3009999999999999</v>
      </c>
      <c r="C357" s="108">
        <f t="shared" ref="C357:C358" si="104">IFERROR(B357-B356,0)</f>
        <v>-8.0000000000000071E-3</v>
      </c>
      <c r="D357" s="109">
        <f t="shared" ref="D357:D358" si="105">IF(C357&lt;0,C357,"/")</f>
        <v>-8.0000000000000071E-3</v>
      </c>
      <c r="E357" s="109">
        <f ca="1">IF(表2_3671626293034[[#This Row],[累计净值]]/MAX(INDIRECT("B21:B" &amp; ROW()))-1&lt;E356,表2_3671626293034[[#This Row],[累计净值]]/MAX(INDIRECT("B21:B" &amp; ROW()))-1,E356)</f>
        <v>-1.9593067068575776E-2</v>
      </c>
      <c r="F357" s="110">
        <f>表2_3671626293034[[#This Row],[累计净值]]-0.308</f>
        <v>0.99299999999999988</v>
      </c>
      <c r="G357" s="20">
        <f>0.7*(表2_3671626293034[[#This Row],[累计净值]]/$B$21-1)</f>
        <v>0.21069999999999994</v>
      </c>
    </row>
    <row r="358" spans="1:7" x14ac:dyDescent="0.2">
      <c r="A358" s="15">
        <v>44207</v>
      </c>
      <c r="B358" s="112">
        <v>1.3089999999999999</v>
      </c>
      <c r="C358" s="108">
        <f t="shared" si="104"/>
        <v>8.0000000000000071E-3</v>
      </c>
      <c r="D358" s="109" t="str">
        <f t="shared" si="105"/>
        <v>/</v>
      </c>
      <c r="E358" s="109">
        <f ca="1">IF(表2_3671626293034[[#This Row],[累计净值]]/MAX(INDIRECT("B21:B" &amp; ROW()))-1&lt;E357,表2_3671626293034[[#This Row],[累计净值]]/MAX(INDIRECT("B21:B" &amp; ROW()))-1,E357)</f>
        <v>-1.9593067068575776E-2</v>
      </c>
      <c r="F358" s="110">
        <f>表2_3671626293034[[#This Row],[累计净值]]-0.308</f>
        <v>1.0009999999999999</v>
      </c>
      <c r="G358" s="20">
        <f>0.7*(表2_3671626293034[[#This Row],[累计净值]]/$B$21-1)</f>
        <v>0.21629999999999994</v>
      </c>
    </row>
    <row r="359" spans="1:7" x14ac:dyDescent="0.2">
      <c r="A359" s="15">
        <v>44208</v>
      </c>
      <c r="B359" s="112">
        <v>1.3120000000000001</v>
      </c>
      <c r="C359" s="108">
        <f t="shared" ref="C359:C365" si="106">IFERROR(B359-B358,0)</f>
        <v>3.0000000000001137E-3</v>
      </c>
      <c r="D359" s="109" t="str">
        <f t="shared" ref="D359:D365" si="107">IF(C359&lt;0,C359,"/")</f>
        <v>/</v>
      </c>
      <c r="E359" s="109">
        <f ca="1">IF(表2_3671626293034[[#This Row],[累计净值]]/MAX(INDIRECT("B21:B" &amp; ROW()))-1&lt;E358,表2_3671626293034[[#This Row],[累计净值]]/MAX(INDIRECT("B21:B" &amp; ROW()))-1,E358)</f>
        <v>-1.9593067068575776E-2</v>
      </c>
      <c r="F359" s="110">
        <f>表2_3671626293034[[#This Row],[累计净值]]-0.308</f>
        <v>1.004</v>
      </c>
      <c r="G359" s="20">
        <f>0.7*(表2_3671626293034[[#This Row],[累计净值]]/$B$21-1)</f>
        <v>0.21840000000000004</v>
      </c>
    </row>
    <row r="360" spans="1:7" x14ac:dyDescent="0.2">
      <c r="A360" s="15">
        <v>44209</v>
      </c>
      <c r="B360" s="112">
        <v>1.3120000000000001</v>
      </c>
      <c r="C360" s="108">
        <f t="shared" si="106"/>
        <v>0</v>
      </c>
      <c r="D360" s="109" t="str">
        <f t="shared" si="107"/>
        <v>/</v>
      </c>
      <c r="E360" s="109">
        <f ca="1">IF(表2_3671626293034[[#This Row],[累计净值]]/MAX(INDIRECT("B21:B" &amp; ROW()))-1&lt;E359,表2_3671626293034[[#This Row],[累计净值]]/MAX(INDIRECT("B21:B" &amp; ROW()))-1,E359)</f>
        <v>-1.9593067068575776E-2</v>
      </c>
      <c r="F360" s="110">
        <f>表2_3671626293034[[#This Row],[累计净值]]-0.308</f>
        <v>1.004</v>
      </c>
      <c r="G360" s="20">
        <f>0.7*(表2_3671626293034[[#This Row],[累计净值]]/$B$21-1)</f>
        <v>0.21840000000000004</v>
      </c>
    </row>
    <row r="361" spans="1:7" x14ac:dyDescent="0.2">
      <c r="A361" s="15">
        <v>44210</v>
      </c>
      <c r="B361" s="112">
        <v>1.3160000000000001</v>
      </c>
      <c r="C361" s="108">
        <f t="shared" si="106"/>
        <v>4.0000000000000036E-3</v>
      </c>
      <c r="D361" s="109" t="str">
        <f t="shared" si="107"/>
        <v>/</v>
      </c>
      <c r="E361" s="109">
        <f ca="1">IF(表2_3671626293034[[#This Row],[累计净值]]/MAX(INDIRECT("B21:B" &amp; ROW()))-1&lt;E360,表2_3671626293034[[#This Row],[累计净值]]/MAX(INDIRECT("B21:B" &amp; ROW()))-1,E360)</f>
        <v>-1.9593067068575776E-2</v>
      </c>
      <c r="F361" s="110">
        <f>表2_3671626293034[[#This Row],[累计净值]]-0.308</f>
        <v>1.008</v>
      </c>
      <c r="G361" s="20">
        <f>0.7*(表2_3671626293034[[#This Row],[累计净值]]/$B$21-1)</f>
        <v>0.22120000000000004</v>
      </c>
    </row>
    <row r="362" spans="1:7" x14ac:dyDescent="0.2">
      <c r="A362" s="15">
        <v>44211</v>
      </c>
      <c r="B362" s="112">
        <v>1.325</v>
      </c>
      <c r="C362" s="108">
        <f t="shared" si="106"/>
        <v>8.999999999999897E-3</v>
      </c>
      <c r="D362" s="109" t="str">
        <f t="shared" si="107"/>
        <v>/</v>
      </c>
      <c r="E362" s="109">
        <f ca="1">IF(表2_3671626293034[[#This Row],[累计净值]]/MAX(INDIRECT("B21:B" &amp; ROW()))-1&lt;E361,表2_3671626293034[[#This Row],[累计净值]]/MAX(INDIRECT("B21:B" &amp; ROW()))-1,E361)</f>
        <v>-1.9593067068575776E-2</v>
      </c>
      <c r="F362" s="110">
        <f>表2_3671626293034[[#This Row],[累计净值]]-0.308</f>
        <v>1.0169999999999999</v>
      </c>
      <c r="G362" s="20">
        <f>0.7*(表2_3671626293034[[#This Row],[累计净值]]/$B$21-1)</f>
        <v>0.22749999999999995</v>
      </c>
    </row>
    <row r="363" spans="1:7" x14ac:dyDescent="0.2">
      <c r="A363" s="15">
        <v>44214</v>
      </c>
      <c r="B363" s="112">
        <v>1.32</v>
      </c>
      <c r="C363" s="108">
        <f t="shared" si="106"/>
        <v>-4.9999999999998934E-3</v>
      </c>
      <c r="D363" s="109">
        <f t="shared" si="107"/>
        <v>-4.9999999999998934E-3</v>
      </c>
      <c r="E363" s="109">
        <f ca="1">IF(表2_3671626293034[[#This Row],[累计净值]]/MAX(INDIRECT("B21:B" &amp; ROW()))-1&lt;E362,表2_3671626293034[[#This Row],[累计净值]]/MAX(INDIRECT("B21:B" &amp; ROW()))-1,E362)</f>
        <v>-1.9593067068575776E-2</v>
      </c>
      <c r="F363" s="110">
        <f>表2_3671626293034[[#This Row],[累计净值]]-0.308</f>
        <v>1.012</v>
      </c>
      <c r="G363" s="20">
        <f>0.7*(表2_3671626293034[[#This Row],[累计净值]]/$B$21-1)</f>
        <v>0.22400000000000003</v>
      </c>
    </row>
    <row r="364" spans="1:7" x14ac:dyDescent="0.2">
      <c r="A364" s="15">
        <v>44215</v>
      </c>
      <c r="B364" s="112">
        <v>1.319</v>
      </c>
      <c r="C364" s="108">
        <f t="shared" si="106"/>
        <v>-1.0000000000001119E-3</v>
      </c>
      <c r="D364" s="109">
        <f t="shared" si="107"/>
        <v>-1.0000000000001119E-3</v>
      </c>
      <c r="E364" s="109">
        <f ca="1">IF(表2_3671626293034[[#This Row],[累计净值]]/MAX(INDIRECT("B21:B" &amp; ROW()))-1&lt;E363,表2_3671626293034[[#This Row],[累计净值]]/MAX(INDIRECT("B21:B" &amp; ROW()))-1,E363)</f>
        <v>-1.9593067068575776E-2</v>
      </c>
      <c r="F364" s="110">
        <f>表2_3671626293034[[#This Row],[累计净值]]-0.308</f>
        <v>1.0109999999999999</v>
      </c>
      <c r="G364" s="20">
        <f>0.7*(表2_3671626293034[[#This Row],[累计净值]]/$B$21-1)</f>
        <v>0.22329999999999994</v>
      </c>
    </row>
    <row r="365" spans="1:7" x14ac:dyDescent="0.2">
      <c r="A365" s="15">
        <v>44216</v>
      </c>
      <c r="B365" s="112">
        <v>1.3180000000000001</v>
      </c>
      <c r="C365" s="108">
        <f t="shared" si="106"/>
        <v>-9.9999999999988987E-4</v>
      </c>
      <c r="D365" s="109">
        <f t="shared" si="107"/>
        <v>-9.9999999999988987E-4</v>
      </c>
      <c r="E365" s="109">
        <f ca="1">IF(表2_3671626293034[[#This Row],[累计净值]]/MAX(INDIRECT("B21:B" &amp; ROW()))-1&lt;E364,表2_3671626293034[[#This Row],[累计净值]]/MAX(INDIRECT("B21:B" &amp; ROW()))-1,E364)</f>
        <v>-1.9593067068575776E-2</v>
      </c>
      <c r="F365" s="110">
        <f>表2_3671626293034[[#This Row],[累计净值]]-0.308</f>
        <v>1.01</v>
      </c>
      <c r="G365" s="20">
        <f>0.7*(表2_3671626293034[[#This Row],[累计净值]]/$B$21-1)</f>
        <v>0.22260000000000002</v>
      </c>
    </row>
    <row r="366" spans="1:7" x14ac:dyDescent="0.2">
      <c r="A366" s="15">
        <v>44217</v>
      </c>
      <c r="B366" s="112">
        <v>1.32</v>
      </c>
      <c r="C366" s="108">
        <f t="shared" ref="C366:C371" si="108">IFERROR(B366-B365,0)</f>
        <v>2.0000000000000018E-3</v>
      </c>
      <c r="D366" s="109" t="str">
        <f t="shared" ref="D366:D371" si="109">IF(C366&lt;0,C366,"/")</f>
        <v>/</v>
      </c>
      <c r="E366" s="109">
        <f ca="1">IF(表2_3671626293034[[#This Row],[累计净值]]/MAX(INDIRECT("B21:B" &amp; ROW()))-1&lt;E365,表2_3671626293034[[#This Row],[累计净值]]/MAX(INDIRECT("B21:B" &amp; ROW()))-1,E365)</f>
        <v>-1.9593067068575776E-2</v>
      </c>
      <c r="F366" s="110">
        <f>表2_3671626293034[[#This Row],[累计净值]]-0.308</f>
        <v>1.012</v>
      </c>
      <c r="G366" s="20">
        <f>0.7*(表2_3671626293034[[#This Row],[累计净值]]/$B$21-1)</f>
        <v>0.22400000000000003</v>
      </c>
    </row>
    <row r="367" spans="1:7" x14ac:dyDescent="0.2">
      <c r="A367" s="15">
        <v>44218</v>
      </c>
      <c r="B367" s="112">
        <v>1.319</v>
      </c>
      <c r="C367" s="108">
        <f t="shared" si="108"/>
        <v>-1.0000000000001119E-3</v>
      </c>
      <c r="D367" s="109">
        <f t="shared" si="109"/>
        <v>-1.0000000000001119E-3</v>
      </c>
      <c r="E367" s="109">
        <f ca="1">IF(表2_3671626293034[[#This Row],[累计净值]]/MAX(INDIRECT("B21:B" &amp; ROW()))-1&lt;E366,表2_3671626293034[[#This Row],[累计净值]]/MAX(INDIRECT("B21:B" &amp; ROW()))-1,E366)</f>
        <v>-1.9593067068575776E-2</v>
      </c>
      <c r="F367" s="110">
        <f>表2_3671626293034[[#This Row],[累计净值]]-0.308</f>
        <v>1.0109999999999999</v>
      </c>
      <c r="G367" s="20">
        <f>0.7*(表2_3671626293034[[#This Row],[累计净值]]/$B$21-1)</f>
        <v>0.22329999999999994</v>
      </c>
    </row>
    <row r="368" spans="1:7" x14ac:dyDescent="0.2">
      <c r="A368" s="15">
        <v>44221</v>
      </c>
      <c r="B368" s="112">
        <v>1.3260000000000001</v>
      </c>
      <c r="C368" s="108">
        <f t="shared" si="108"/>
        <v>7.0000000000001172E-3</v>
      </c>
      <c r="D368" s="109" t="str">
        <f t="shared" si="109"/>
        <v>/</v>
      </c>
      <c r="E368" s="109">
        <f ca="1">IF(表2_3671626293034[[#This Row],[累计净值]]/MAX(INDIRECT("B21:B" &amp; ROW()))-1&lt;E367,表2_3671626293034[[#This Row],[累计净值]]/MAX(INDIRECT("B21:B" &amp; ROW()))-1,E367)</f>
        <v>-1.9593067068575776E-2</v>
      </c>
      <c r="F368" s="110">
        <f>表2_3671626293034[[#This Row],[累计净值]]-0.308</f>
        <v>1.018</v>
      </c>
      <c r="G368" s="20">
        <f>0.7*(表2_3671626293034[[#This Row],[累计净值]]/$B$21-1)</f>
        <v>0.22820000000000004</v>
      </c>
    </row>
    <row r="369" spans="1:7" x14ac:dyDescent="0.2">
      <c r="A369" s="15">
        <v>44222</v>
      </c>
      <c r="B369" s="112">
        <v>1.327</v>
      </c>
      <c r="C369" s="108">
        <f t="shared" si="108"/>
        <v>9.9999999999988987E-4</v>
      </c>
      <c r="D369" s="109" t="str">
        <f t="shared" si="109"/>
        <v>/</v>
      </c>
      <c r="E369" s="109">
        <f ca="1">IF(表2_3671626293034[[#This Row],[累计净值]]/MAX(INDIRECT("B21:B" &amp; ROW()))-1&lt;E368,表2_3671626293034[[#This Row],[累计净值]]/MAX(INDIRECT("B21:B" &amp; ROW()))-1,E368)</f>
        <v>-1.9593067068575776E-2</v>
      </c>
      <c r="F369" s="110">
        <f>表2_3671626293034[[#This Row],[累计净值]]-0.308</f>
        <v>1.0189999999999999</v>
      </c>
      <c r="G369" s="20">
        <f>0.7*(表2_3671626293034[[#This Row],[累计净值]]/$B$21-1)</f>
        <v>0.22889999999999996</v>
      </c>
    </row>
    <row r="370" spans="1:7" x14ac:dyDescent="0.2">
      <c r="A370" s="15">
        <v>44223</v>
      </c>
      <c r="B370" s="112">
        <v>1.329</v>
      </c>
      <c r="C370" s="108">
        <f t="shared" si="108"/>
        <v>2.0000000000000018E-3</v>
      </c>
      <c r="D370" s="109" t="str">
        <f t="shared" si="109"/>
        <v>/</v>
      </c>
      <c r="E370" s="109">
        <f ca="1">IF(表2_3671626293034[[#This Row],[累计净值]]/MAX(INDIRECT("B21:B" &amp; ROW()))-1&lt;E369,表2_3671626293034[[#This Row],[累计净值]]/MAX(INDIRECT("B21:B" &amp; ROW()))-1,E369)</f>
        <v>-1.9593067068575776E-2</v>
      </c>
      <c r="F370" s="110">
        <f>表2_3671626293034[[#This Row],[累计净值]]-0.308</f>
        <v>1.0209999999999999</v>
      </c>
      <c r="G370" s="20">
        <f>0.7*(表2_3671626293034[[#This Row],[累计净值]]/$B$21-1)</f>
        <v>0.23029999999999995</v>
      </c>
    </row>
    <row r="371" spans="1:7" x14ac:dyDescent="0.2">
      <c r="A371" s="15">
        <v>44224</v>
      </c>
      <c r="B371" s="112">
        <v>1.329</v>
      </c>
      <c r="C371" s="108">
        <f t="shared" si="108"/>
        <v>0</v>
      </c>
      <c r="D371" s="109" t="str">
        <f t="shared" si="109"/>
        <v>/</v>
      </c>
      <c r="E371" s="109">
        <f ca="1">IF(表2_3671626293034[[#This Row],[累计净值]]/MAX(INDIRECT("B21:B" &amp; ROW()))-1&lt;E370,表2_3671626293034[[#This Row],[累计净值]]/MAX(INDIRECT("B21:B" &amp; ROW()))-1,E370)</f>
        <v>-1.9593067068575776E-2</v>
      </c>
      <c r="F371" s="110">
        <f>表2_3671626293034[[#This Row],[累计净值]]-0.308</f>
        <v>1.0209999999999999</v>
      </c>
      <c r="G371" s="20">
        <f>0.7*(表2_3671626293034[[#This Row],[累计净值]]/$B$21-1)</f>
        <v>0.23029999999999995</v>
      </c>
    </row>
    <row r="372" spans="1:7" x14ac:dyDescent="0.2">
      <c r="A372" s="15">
        <v>44225</v>
      </c>
      <c r="B372" s="112">
        <v>1.331</v>
      </c>
      <c r="C372" s="108">
        <f t="shared" ref="C372:C377" si="110">IFERROR(B372-B371,0)</f>
        <v>2.0000000000000018E-3</v>
      </c>
      <c r="D372" s="109" t="str">
        <f t="shared" ref="D372:D377" si="111">IF(C372&lt;0,C372,"/")</f>
        <v>/</v>
      </c>
      <c r="E372" s="109">
        <f ca="1">IF(表2_3671626293034[[#This Row],[累计净值]]/MAX(INDIRECT("B21:B" &amp; ROW()))-1&lt;E371,表2_3671626293034[[#This Row],[累计净值]]/MAX(INDIRECT("B21:B" &amp; ROW()))-1,E371)</f>
        <v>-1.9593067068575776E-2</v>
      </c>
      <c r="F372" s="110">
        <f>表2_3671626293034[[#This Row],[累计净值]]-0.308</f>
        <v>1.0229999999999999</v>
      </c>
      <c r="G372" s="20">
        <f>0.7*(表2_3671626293034[[#This Row],[累计净值]]/$B$21-1)</f>
        <v>0.23169999999999996</v>
      </c>
    </row>
    <row r="373" spans="1:7" x14ac:dyDescent="0.2">
      <c r="A373" s="15">
        <v>44228</v>
      </c>
      <c r="B373" s="112">
        <v>1.3320000000000001</v>
      </c>
      <c r="C373" s="108">
        <f t="shared" si="110"/>
        <v>1.0000000000001119E-3</v>
      </c>
      <c r="D373" s="109" t="str">
        <f t="shared" si="111"/>
        <v>/</v>
      </c>
      <c r="E373" s="109">
        <f ca="1">IF(表2_3671626293034[[#This Row],[累计净值]]/MAX(INDIRECT("B21:B" &amp; ROW()))-1&lt;E372,表2_3671626293034[[#This Row],[累计净值]]/MAX(INDIRECT("B21:B" &amp; ROW()))-1,E372)</f>
        <v>-1.9593067068575776E-2</v>
      </c>
      <c r="F373" s="110">
        <f>表2_3671626293034[[#This Row],[累计净值]]-0.308</f>
        <v>1.024</v>
      </c>
      <c r="G373" s="20">
        <f>0.7*(表2_3671626293034[[#This Row],[累计净值]]/$B$21-1)</f>
        <v>0.23240000000000002</v>
      </c>
    </row>
    <row r="374" spans="1:7" x14ac:dyDescent="0.2">
      <c r="A374" s="15">
        <v>44229</v>
      </c>
      <c r="B374" s="112">
        <v>1.3360000000000001</v>
      </c>
      <c r="C374" s="108">
        <f t="shared" si="110"/>
        <v>4.0000000000000036E-3</v>
      </c>
      <c r="D374" s="109" t="str">
        <f t="shared" si="111"/>
        <v>/</v>
      </c>
      <c r="E374" s="109">
        <f ca="1">IF(表2_3671626293034[[#This Row],[累计净值]]/MAX(INDIRECT("B21:B" &amp; ROW()))-1&lt;E373,表2_3671626293034[[#This Row],[累计净值]]/MAX(INDIRECT("B21:B" &amp; ROW()))-1,E373)</f>
        <v>-1.9593067068575776E-2</v>
      </c>
      <c r="F374" s="110">
        <f>表2_3671626293034[[#This Row],[累计净值]]-0.308</f>
        <v>1.028</v>
      </c>
      <c r="G374" s="20">
        <f>0.7*(表2_3671626293034[[#This Row],[累计净值]]/$B$21-1)</f>
        <v>0.23520000000000005</v>
      </c>
    </row>
    <row r="375" spans="1:7" x14ac:dyDescent="0.2">
      <c r="A375" s="15">
        <v>44230</v>
      </c>
      <c r="B375" s="112">
        <v>1.335</v>
      </c>
      <c r="C375" s="108">
        <f t="shared" si="110"/>
        <v>-1.0000000000001119E-3</v>
      </c>
      <c r="D375" s="109">
        <f t="shared" si="111"/>
        <v>-1.0000000000001119E-3</v>
      </c>
      <c r="E375" s="109">
        <f ca="1">IF(表2_3671626293034[[#This Row],[累计净值]]/MAX(INDIRECT("B21:B" &amp; ROW()))-1&lt;E374,表2_3671626293034[[#This Row],[累计净值]]/MAX(INDIRECT("B21:B" &amp; ROW()))-1,E374)</f>
        <v>-1.9593067068575776E-2</v>
      </c>
      <c r="F375" s="110">
        <f>表2_3671626293034[[#This Row],[累计净值]]-0.308</f>
        <v>1.0269999999999999</v>
      </c>
      <c r="G375" s="20">
        <f>0.7*(表2_3671626293034[[#This Row],[累计净值]]/$B$21-1)</f>
        <v>0.23449999999999996</v>
      </c>
    </row>
    <row r="376" spans="1:7" x14ac:dyDescent="0.2">
      <c r="A376" s="15">
        <v>44231</v>
      </c>
      <c r="B376" s="112">
        <v>1.3360000000000001</v>
      </c>
      <c r="C376" s="108">
        <f t="shared" si="110"/>
        <v>1.0000000000001119E-3</v>
      </c>
      <c r="D376" s="109" t="str">
        <f t="shared" si="111"/>
        <v>/</v>
      </c>
      <c r="E376" s="109">
        <f ca="1">IF(表2_3671626293034[[#This Row],[累计净值]]/MAX(INDIRECT("B21:B" &amp; ROW()))-1&lt;E375,表2_3671626293034[[#This Row],[累计净值]]/MAX(INDIRECT("B21:B" &amp; ROW()))-1,E375)</f>
        <v>-1.9593067068575776E-2</v>
      </c>
      <c r="F376" s="110">
        <f>表2_3671626293034[[#This Row],[累计净值]]-0.308</f>
        <v>1.028</v>
      </c>
      <c r="G376" s="20">
        <f>0.7*(表2_3671626293034[[#This Row],[累计净值]]/$B$21-1)</f>
        <v>0.23520000000000005</v>
      </c>
    </row>
    <row r="377" spans="1:7" x14ac:dyDescent="0.2">
      <c r="A377" s="15">
        <v>44232</v>
      </c>
      <c r="B377" s="112">
        <v>1.3340000000000001</v>
      </c>
      <c r="C377" s="108">
        <f t="shared" si="110"/>
        <v>-2.0000000000000018E-3</v>
      </c>
      <c r="D377" s="109">
        <f t="shared" si="111"/>
        <v>-2.0000000000000018E-3</v>
      </c>
      <c r="E377" s="109">
        <f ca="1">IF(表2_3671626293034[[#This Row],[累计净值]]/MAX(INDIRECT("B21:B" &amp; ROW()))-1&lt;E376,表2_3671626293034[[#This Row],[累计净值]]/MAX(INDIRECT("B21:B" &amp; ROW()))-1,E376)</f>
        <v>-1.9593067068575776E-2</v>
      </c>
      <c r="F377" s="110">
        <f>表2_3671626293034[[#This Row],[累计净值]]-0.308</f>
        <v>1.026</v>
      </c>
      <c r="G377" s="20">
        <f>0.7*(表2_3671626293034[[#This Row],[累计净值]]/$B$21-1)</f>
        <v>0.23380000000000004</v>
      </c>
    </row>
    <row r="378" spans="1:7" x14ac:dyDescent="0.2">
      <c r="A378" s="15">
        <v>44235</v>
      </c>
      <c r="B378" s="112">
        <v>1.335</v>
      </c>
      <c r="C378" s="108">
        <f>IFERROR(B378-B377,0)</f>
        <v>9.9999999999988987E-4</v>
      </c>
      <c r="D378" s="109" t="str">
        <f>IF(C378&lt;0,C378,"/")</f>
        <v>/</v>
      </c>
      <c r="E378" s="109">
        <f ca="1">IF(表2_3671626293034[[#This Row],[累计净值]]/MAX(INDIRECT("B21:B" &amp; ROW()))-1&lt;E377,表2_3671626293034[[#This Row],[累计净值]]/MAX(INDIRECT("B21:B" &amp; ROW()))-1,E377)</f>
        <v>-1.9593067068575776E-2</v>
      </c>
      <c r="F378" s="110">
        <f>表2_3671626293034[[#This Row],[累计净值]]-0.308</f>
        <v>1.0269999999999999</v>
      </c>
      <c r="G378" s="20">
        <f>0.7*(表2_3671626293034[[#This Row],[累计净值]]/$B$21-1)</f>
        <v>0.23449999999999996</v>
      </c>
    </row>
    <row r="379" spans="1:7" x14ac:dyDescent="0.2">
      <c r="A379" s="15">
        <v>44236</v>
      </c>
      <c r="B379" s="112">
        <v>1.337</v>
      </c>
      <c r="C379" s="108">
        <f>IFERROR(B379-B378,0)</f>
        <v>2.0000000000000018E-3</v>
      </c>
      <c r="D379" s="109" t="str">
        <f>IF(C379&lt;0,C379,"/")</f>
        <v>/</v>
      </c>
      <c r="E379" s="109">
        <f ca="1">IF(表2_3671626293034[[#This Row],[累计净值]]/MAX(INDIRECT("B21:B" &amp; ROW()))-1&lt;E378,表2_3671626293034[[#This Row],[累计净值]]/MAX(INDIRECT("B21:B" &amp; ROW()))-1,E378)</f>
        <v>-1.9593067068575776E-2</v>
      </c>
      <c r="F379" s="110">
        <f>表2_3671626293034[[#This Row],[累计净值]]-0.308</f>
        <v>1.0289999999999999</v>
      </c>
      <c r="G379" s="20">
        <f>0.7*(表2_3671626293034[[#This Row],[累计净值]]/$B$21-1)</f>
        <v>0.23589999999999997</v>
      </c>
    </row>
    <row r="380" spans="1:7" x14ac:dyDescent="0.2">
      <c r="A380" s="15">
        <v>44237</v>
      </c>
      <c r="B380" s="112">
        <v>1.3360000000000001</v>
      </c>
      <c r="C380" s="108">
        <f t="shared" ref="C380:C381" si="112">IFERROR(B380-B379,0)</f>
        <v>-9.9999999999988987E-4</v>
      </c>
      <c r="D380" s="109">
        <f t="shared" ref="D380:D381" si="113">IF(C380&lt;0,C380,"/")</f>
        <v>-9.9999999999988987E-4</v>
      </c>
      <c r="E380" s="109">
        <f ca="1">IF(表2_3671626293034[[#This Row],[累计净值]]/MAX(INDIRECT("B21:B" &amp; ROW()))-1&lt;E379,表2_3671626293034[[#This Row],[累计净值]]/MAX(INDIRECT("B21:B" &amp; ROW()))-1,E379)</f>
        <v>-1.9593067068575776E-2</v>
      </c>
      <c r="F380" s="110">
        <f>表2_3671626293034[[#This Row],[累计净值]]-0.308</f>
        <v>1.028</v>
      </c>
      <c r="G380" s="20">
        <f>0.7*(表2_3671626293034[[#This Row],[累计净值]]/$B$21-1)</f>
        <v>0.23520000000000005</v>
      </c>
    </row>
    <row r="381" spans="1:7" x14ac:dyDescent="0.2">
      <c r="A381" s="15">
        <v>44245</v>
      </c>
      <c r="B381" s="112">
        <v>1.337</v>
      </c>
      <c r="C381" s="108">
        <f t="shared" si="112"/>
        <v>9.9999999999988987E-4</v>
      </c>
      <c r="D381" s="109" t="str">
        <f t="shared" si="113"/>
        <v>/</v>
      </c>
      <c r="E381" s="109">
        <f ca="1">IF(表2_3671626293034[[#This Row],[累计净值]]/MAX(INDIRECT("B21:B" &amp; ROW()))-1&lt;E380,表2_3671626293034[[#This Row],[累计净值]]/MAX(INDIRECT("B21:B" &amp; ROW()))-1,E380)</f>
        <v>-1.9593067068575776E-2</v>
      </c>
      <c r="F381" s="110">
        <f>表2_3671626293034[[#This Row],[累计净值]]-0.308</f>
        <v>1.0289999999999999</v>
      </c>
      <c r="G381" s="20">
        <f>0.7*(表2_3671626293034[[#This Row],[累计净值]]/$B$21-1)</f>
        <v>0.23589999999999997</v>
      </c>
    </row>
    <row r="382" spans="1:7" x14ac:dyDescent="0.2">
      <c r="A382" s="15">
        <v>44246</v>
      </c>
      <c r="B382" s="112">
        <v>1.34</v>
      </c>
      <c r="C382" s="108">
        <f>IFERROR(B382-B381,0)</f>
        <v>3.0000000000001137E-3</v>
      </c>
      <c r="D382" s="109" t="str">
        <f>IF(C382&lt;0,C382,"/")</f>
        <v>/</v>
      </c>
      <c r="E382" s="109">
        <f ca="1">IF(表2_3671626293034[[#This Row],[累计净值]]/MAX(INDIRECT("B21:B" &amp; ROW()))-1&lt;E381,表2_3671626293034[[#This Row],[累计净值]]/MAX(INDIRECT("B21:B" &amp; ROW()))-1,E381)</f>
        <v>-1.9593067068575776E-2</v>
      </c>
      <c r="F382" s="110">
        <f>表2_3671626293034[[#This Row],[累计净值]]-0.308</f>
        <v>1.032</v>
      </c>
      <c r="G382" s="20">
        <f>0.7*(表2_3671626293034[[#This Row],[累计净值]]/$B$21-1)</f>
        <v>0.23800000000000004</v>
      </c>
    </row>
    <row r="383" spans="1:7" x14ac:dyDescent="0.2">
      <c r="A383" s="15">
        <v>44249</v>
      </c>
      <c r="B383" s="112">
        <v>1.341</v>
      </c>
      <c r="C383" s="108">
        <f>IFERROR(B383-B382,0)</f>
        <v>9.9999999999988987E-4</v>
      </c>
      <c r="D383" s="109" t="str">
        <f>IF(C383&lt;0,C383,"/")</f>
        <v>/</v>
      </c>
      <c r="E383" s="109">
        <f ca="1">IF(表2_3671626293034[[#This Row],[累计净值]]/MAX(INDIRECT("B21:B" &amp; ROW()))-1&lt;E382,表2_3671626293034[[#This Row],[累计净值]]/MAX(INDIRECT("B21:B" &amp; ROW()))-1,E382)</f>
        <v>-1.9593067068575776E-2</v>
      </c>
      <c r="F383" s="110">
        <f>表2_3671626293034[[#This Row],[累计净值]]-0.308</f>
        <v>1.0329999999999999</v>
      </c>
      <c r="G383" s="20">
        <f>0.7*(表2_3671626293034[[#This Row],[累计净值]]/$B$21-1)</f>
        <v>0.23869999999999997</v>
      </c>
    </row>
    <row r="384" spans="1:7" x14ac:dyDescent="0.2">
      <c r="A384" s="15">
        <v>44250</v>
      </c>
      <c r="B384" s="112">
        <v>1.341</v>
      </c>
      <c r="C384" s="108">
        <f t="shared" ref="C384:C387" si="114">IFERROR(B384-B383,0)</f>
        <v>0</v>
      </c>
      <c r="D384" s="109" t="str">
        <f t="shared" ref="D384:D387" si="115">IF(C384&lt;0,C384,"/")</f>
        <v>/</v>
      </c>
      <c r="E384" s="109">
        <f ca="1">IF(表2_3671626293034[[#This Row],[累计净值]]/MAX(INDIRECT("B21:B" &amp; ROW()))-1&lt;E383,表2_3671626293034[[#This Row],[累计净值]]/MAX(INDIRECT("B21:B" &amp; ROW()))-1,E383)</f>
        <v>-1.9593067068575776E-2</v>
      </c>
      <c r="F384" s="110">
        <f>表2_3671626293034[[#This Row],[累计净值]]-0.308</f>
        <v>1.0329999999999999</v>
      </c>
      <c r="G384" s="20">
        <f>0.7*(表2_3671626293034[[#This Row],[累计净值]]/$B$21-1)</f>
        <v>0.23869999999999997</v>
      </c>
    </row>
    <row r="385" spans="1:7" x14ac:dyDescent="0.2">
      <c r="A385" s="15">
        <v>44251</v>
      </c>
      <c r="B385" s="112">
        <v>1.3420000000000001</v>
      </c>
      <c r="C385" s="108">
        <f t="shared" si="114"/>
        <v>1.0000000000001119E-3</v>
      </c>
      <c r="D385" s="109" t="str">
        <f t="shared" si="115"/>
        <v>/</v>
      </c>
      <c r="E385" s="109">
        <f ca="1">IF(表2_3671626293034[[#This Row],[累计净值]]/MAX(INDIRECT("B21:B" &amp; ROW()))-1&lt;E384,表2_3671626293034[[#This Row],[累计净值]]/MAX(INDIRECT("B21:B" &amp; ROW()))-1,E384)</f>
        <v>-1.9593067068575776E-2</v>
      </c>
      <c r="F385" s="110">
        <f>表2_3671626293034[[#This Row],[累计净值]]-0.308</f>
        <v>1.034</v>
      </c>
      <c r="G385" s="20">
        <f>0.7*(表2_3671626293034[[#This Row],[累计净值]]/$B$21-1)</f>
        <v>0.23940000000000003</v>
      </c>
    </row>
    <row r="386" spans="1:7" x14ac:dyDescent="0.2">
      <c r="A386" s="15">
        <v>44252</v>
      </c>
      <c r="B386" s="112">
        <v>1.341</v>
      </c>
      <c r="C386" s="108">
        <f t="shared" si="114"/>
        <v>-1.0000000000001119E-3</v>
      </c>
      <c r="D386" s="109">
        <f t="shared" si="115"/>
        <v>-1.0000000000001119E-3</v>
      </c>
      <c r="E386" s="109">
        <f ca="1">IF(表2_3671626293034[[#This Row],[累计净值]]/MAX(INDIRECT("B21:B" &amp; ROW()))-1&lt;E385,表2_3671626293034[[#This Row],[累计净值]]/MAX(INDIRECT("B21:B" &amp; ROW()))-1,E385)</f>
        <v>-1.9593067068575776E-2</v>
      </c>
      <c r="F386" s="110">
        <f>表2_3671626293034[[#This Row],[累计净值]]-0.308</f>
        <v>1.0329999999999999</v>
      </c>
      <c r="G386" s="20">
        <f>0.7*(表2_3671626293034[[#This Row],[累计净值]]/$B$21-1)</f>
        <v>0.23869999999999997</v>
      </c>
    </row>
    <row r="387" spans="1:7" x14ac:dyDescent="0.2">
      <c r="A387" s="15">
        <v>44253</v>
      </c>
      <c r="B387" s="112">
        <v>1.345</v>
      </c>
      <c r="C387" s="108">
        <f t="shared" si="114"/>
        <v>4.0000000000000036E-3</v>
      </c>
      <c r="D387" s="109" t="str">
        <f t="shared" si="115"/>
        <v>/</v>
      </c>
      <c r="E387" s="109">
        <f ca="1">IF(表2_3671626293034[[#This Row],[累计净值]]/MAX(INDIRECT("B21:B" &amp; ROW()))-1&lt;E386,表2_3671626293034[[#This Row],[累计净值]]/MAX(INDIRECT("B21:B" &amp; ROW()))-1,E386)</f>
        <v>-1.9593067068575776E-2</v>
      </c>
      <c r="F387" s="110">
        <f>表2_3671626293034[[#This Row],[累计净值]]-0.308</f>
        <v>1.0369999999999999</v>
      </c>
      <c r="G387" s="20">
        <f>0.7*(表2_3671626293034[[#This Row],[累计净值]]/$B$21-1)</f>
        <v>0.24149999999999996</v>
      </c>
    </row>
    <row r="388" spans="1:7" x14ac:dyDescent="0.2">
      <c r="A388" s="15">
        <v>44256</v>
      </c>
      <c r="B388" s="112">
        <v>1.3460000000000001</v>
      </c>
      <c r="C388" s="108">
        <f t="shared" ref="C388:C389" si="116">IFERROR(B388-B387,0)</f>
        <v>1.0000000000001119E-3</v>
      </c>
      <c r="D388" s="109" t="str">
        <f t="shared" ref="D388:D389" si="117">IF(C388&lt;0,C388,"/")</f>
        <v>/</v>
      </c>
      <c r="E388" s="109">
        <f ca="1">IF(表2_3671626293034[[#This Row],[累计净值]]/MAX(INDIRECT("B21:B" &amp; ROW()))-1&lt;E387,表2_3671626293034[[#This Row],[累计净值]]/MAX(INDIRECT("B21:B" &amp; ROW()))-1,E387)</f>
        <v>-1.9593067068575776E-2</v>
      </c>
      <c r="F388" s="110">
        <f>表2_3671626293034[[#This Row],[累计净值]]-0.308</f>
        <v>1.038</v>
      </c>
      <c r="G388" s="20">
        <f>0.7*(表2_3671626293034[[#This Row],[累计净值]]/$B$21-1)</f>
        <v>0.24220000000000005</v>
      </c>
    </row>
    <row r="389" spans="1:7" x14ac:dyDescent="0.2">
      <c r="A389" s="15">
        <v>44257</v>
      </c>
      <c r="B389" s="112">
        <v>1.347</v>
      </c>
      <c r="C389" s="108">
        <f t="shared" si="116"/>
        <v>9.9999999999988987E-4</v>
      </c>
      <c r="D389" s="109" t="str">
        <f t="shared" si="117"/>
        <v>/</v>
      </c>
      <c r="E389" s="109">
        <f ca="1">IF(表2_3671626293034[[#This Row],[累计净值]]/MAX(INDIRECT("B21:B" &amp; ROW()))-1&lt;E388,表2_3671626293034[[#This Row],[累计净值]]/MAX(INDIRECT("B21:B" &amp; ROW()))-1,E388)</f>
        <v>-1.9593067068575776E-2</v>
      </c>
      <c r="F389" s="110">
        <f>表2_3671626293034[[#This Row],[累计净值]]-0.308</f>
        <v>1.0389999999999999</v>
      </c>
      <c r="G389" s="20">
        <f>0.7*(表2_3671626293034[[#This Row],[累计净值]]/$B$21-1)</f>
        <v>0.24289999999999998</v>
      </c>
    </row>
    <row r="390" spans="1:7" x14ac:dyDescent="0.2">
      <c r="A390" s="15">
        <v>44258</v>
      </c>
      <c r="B390" s="112">
        <v>1.347</v>
      </c>
      <c r="C390" s="108">
        <f t="shared" ref="C390" si="118">IFERROR(B390-B389,0)</f>
        <v>0</v>
      </c>
      <c r="D390" s="109" t="str">
        <f t="shared" ref="D390" si="119">IF(C390&lt;0,C390,"/")</f>
        <v>/</v>
      </c>
      <c r="E390" s="109">
        <f ca="1">IF(表2_3671626293034[[#This Row],[累计净值]]/MAX(INDIRECT("B21:B" &amp; ROW()))-1&lt;E389,表2_3671626293034[[#This Row],[累计净值]]/MAX(INDIRECT("B21:B" &amp; ROW()))-1,E389)</f>
        <v>-1.9593067068575776E-2</v>
      </c>
      <c r="F390" s="110">
        <f>表2_3671626293034[[#This Row],[累计净值]]-0.308</f>
        <v>1.0389999999999999</v>
      </c>
      <c r="G390" s="20">
        <f>0.7*(表2_3671626293034[[#This Row],[累计净值]]/$B$21-1)</f>
        <v>0.24289999999999998</v>
      </c>
    </row>
    <row r="391" spans="1:7" x14ac:dyDescent="0.2">
      <c r="A391" s="15">
        <v>44259</v>
      </c>
      <c r="B391" s="112">
        <v>1.35</v>
      </c>
      <c r="C391" s="108">
        <f t="shared" ref="C391:C396" si="120">IFERROR(B391-B390,0)</f>
        <v>3.0000000000001137E-3</v>
      </c>
      <c r="D391" s="109" t="str">
        <f t="shared" ref="D391:D396" si="121">IF(C391&lt;0,C391,"/")</f>
        <v>/</v>
      </c>
      <c r="E391" s="109">
        <f ca="1">IF(表2_3671626293034[[#This Row],[累计净值]]/MAX(INDIRECT("B21:B" &amp; ROW()))-1&lt;E390,表2_3671626293034[[#This Row],[累计净值]]/MAX(INDIRECT("B21:B" &amp; ROW()))-1,E390)</f>
        <v>-1.9593067068575776E-2</v>
      </c>
      <c r="F391" s="110">
        <f>表2_3671626293034[[#This Row],[累计净值]]-0.308</f>
        <v>1.042</v>
      </c>
      <c r="G391" s="20">
        <f>0.7*(表2_3671626293034[[#This Row],[累计净值]]/$B$21-1)</f>
        <v>0.24500000000000005</v>
      </c>
    </row>
    <row r="392" spans="1:7" x14ac:dyDescent="0.2">
      <c r="A392" s="15">
        <v>44260</v>
      </c>
      <c r="B392" s="112">
        <v>1.347</v>
      </c>
      <c r="C392" s="108">
        <f t="shared" si="120"/>
        <v>-3.0000000000001137E-3</v>
      </c>
      <c r="D392" s="109">
        <f t="shared" si="121"/>
        <v>-3.0000000000001137E-3</v>
      </c>
      <c r="E392" s="109">
        <f ca="1">IF(表2_3671626293034[[#This Row],[累计净值]]/MAX(INDIRECT("B21:B" &amp; ROW()))-1&lt;E391,表2_3671626293034[[#This Row],[累计净值]]/MAX(INDIRECT("B21:B" &amp; ROW()))-1,E391)</f>
        <v>-1.9593067068575776E-2</v>
      </c>
      <c r="F392" s="110">
        <f>表2_3671626293034[[#This Row],[累计净值]]-0.308</f>
        <v>1.0389999999999999</v>
      </c>
      <c r="G392" s="20">
        <f>0.7*(表2_3671626293034[[#This Row],[累计净值]]/$B$21-1)</f>
        <v>0.24289999999999998</v>
      </c>
    </row>
    <row r="393" spans="1:7" x14ac:dyDescent="0.2">
      <c r="A393" s="15">
        <v>44263</v>
      </c>
      <c r="B393" s="112">
        <v>1.3520000000000001</v>
      </c>
      <c r="C393" s="108">
        <f t="shared" si="120"/>
        <v>5.0000000000001155E-3</v>
      </c>
      <c r="D393" s="109" t="str">
        <f t="shared" si="121"/>
        <v>/</v>
      </c>
      <c r="E393" s="109">
        <f ca="1">IF(表2_3671626293034[[#This Row],[累计净值]]/MAX(INDIRECT("B21:B" &amp; ROW()))-1&lt;E392,表2_3671626293034[[#This Row],[累计净值]]/MAX(INDIRECT("B21:B" &amp; ROW()))-1,E392)</f>
        <v>-1.9593067068575776E-2</v>
      </c>
      <c r="F393" s="110">
        <f>表2_3671626293034[[#This Row],[累计净值]]-0.308</f>
        <v>1.044</v>
      </c>
      <c r="G393" s="20">
        <f>0.7*(表2_3671626293034[[#This Row],[累计净值]]/$B$21-1)</f>
        <v>0.24640000000000004</v>
      </c>
    </row>
    <row r="394" spans="1:7" x14ac:dyDescent="0.2">
      <c r="A394" s="15">
        <v>44264</v>
      </c>
      <c r="B394" s="112">
        <v>1.355</v>
      </c>
      <c r="C394" s="108">
        <f t="shared" si="120"/>
        <v>2.9999999999998916E-3</v>
      </c>
      <c r="D394" s="109" t="str">
        <f t="shared" si="121"/>
        <v>/</v>
      </c>
      <c r="E394" s="109">
        <f ca="1">IF(表2_3671626293034[[#This Row],[累计净值]]/MAX(INDIRECT("B21:B" &amp; ROW()))-1&lt;E393,表2_3671626293034[[#This Row],[累计净值]]/MAX(INDIRECT("B21:B" &amp; ROW()))-1,E393)</f>
        <v>-1.9593067068575776E-2</v>
      </c>
      <c r="F394" s="110">
        <f>表2_3671626293034[[#This Row],[累计净值]]-0.308</f>
        <v>1.0469999999999999</v>
      </c>
      <c r="G394" s="20">
        <f>0.7*(表2_3671626293034[[#This Row],[累计净值]]/$B$21-1)</f>
        <v>0.24849999999999997</v>
      </c>
    </row>
    <row r="395" spans="1:7" x14ac:dyDescent="0.2">
      <c r="A395" s="15">
        <v>44265</v>
      </c>
      <c r="B395" s="112">
        <v>1.357</v>
      </c>
      <c r="C395" s="108">
        <f t="shared" si="120"/>
        <v>2.0000000000000018E-3</v>
      </c>
      <c r="D395" s="109" t="str">
        <f t="shared" si="121"/>
        <v>/</v>
      </c>
      <c r="E395" s="109">
        <f ca="1">IF(表2_3671626293034[[#This Row],[累计净值]]/MAX(INDIRECT("B21:B" &amp; ROW()))-1&lt;E394,表2_3671626293034[[#This Row],[累计净值]]/MAX(INDIRECT("B21:B" &amp; ROW()))-1,E394)</f>
        <v>-1.9593067068575776E-2</v>
      </c>
      <c r="F395" s="110">
        <f>表2_3671626293034[[#This Row],[累计净值]]-0.308</f>
        <v>1.0489999999999999</v>
      </c>
      <c r="G395" s="20">
        <f>0.7*(表2_3671626293034[[#This Row],[累计净值]]/$B$21-1)</f>
        <v>0.24989999999999998</v>
      </c>
    </row>
    <row r="396" spans="1:7" x14ac:dyDescent="0.2">
      <c r="A396" s="15">
        <v>44266</v>
      </c>
      <c r="B396" s="112">
        <v>1.3580000000000001</v>
      </c>
      <c r="C396" s="108">
        <f t="shared" si="120"/>
        <v>1.0000000000001119E-3</v>
      </c>
      <c r="D396" s="109" t="str">
        <f t="shared" si="121"/>
        <v>/</v>
      </c>
      <c r="E396" s="109">
        <f ca="1">IF(表2_3671626293034[[#This Row],[累计净值]]/MAX(INDIRECT("B21:B" &amp; ROW()))-1&lt;E395,表2_3671626293034[[#This Row],[累计净值]]/MAX(INDIRECT("B21:B" &amp; ROW()))-1,E395)</f>
        <v>-1.9593067068575776E-2</v>
      </c>
      <c r="F396" s="110">
        <f>表2_3671626293034[[#This Row],[累计净值]]-0.308</f>
        <v>1.05</v>
      </c>
      <c r="G396" s="20">
        <f>0.7*(表2_3671626293034[[#This Row],[累计净值]]/$B$21-1)</f>
        <v>0.25060000000000004</v>
      </c>
    </row>
    <row r="397" spans="1:7" x14ac:dyDescent="0.2">
      <c r="A397" s="15">
        <v>44267</v>
      </c>
      <c r="B397" s="112">
        <v>1.36</v>
      </c>
      <c r="C397" s="108">
        <f t="shared" ref="C397:C402" si="122">IFERROR(B397-B396,0)</f>
        <v>2.0000000000000018E-3</v>
      </c>
      <c r="D397" s="109" t="str">
        <f t="shared" ref="D397:D402" si="123">IF(C397&lt;0,C397,"/")</f>
        <v>/</v>
      </c>
      <c r="E397" s="109">
        <f ca="1">IF(表2_3671626293034[[#This Row],[累计净值]]/MAX(INDIRECT("B21:B" &amp; ROW()))-1&lt;E396,表2_3671626293034[[#This Row],[累计净值]]/MAX(INDIRECT("B21:B" &amp; ROW()))-1,E396)</f>
        <v>-1.9593067068575776E-2</v>
      </c>
      <c r="F397" s="110">
        <f>表2_3671626293034[[#This Row],[累计净值]]-0.308</f>
        <v>1.052</v>
      </c>
      <c r="G397" s="20">
        <f>0.7*(表2_3671626293034[[#This Row],[累计净值]]/$B$21-1)</f>
        <v>0.25200000000000006</v>
      </c>
    </row>
    <row r="398" spans="1:7" x14ac:dyDescent="0.2">
      <c r="A398" s="15">
        <v>44270</v>
      </c>
      <c r="B398" s="112">
        <v>1.3660000000000001</v>
      </c>
      <c r="C398" s="108">
        <f t="shared" si="122"/>
        <v>6.0000000000000053E-3</v>
      </c>
      <c r="D398" s="109" t="str">
        <f t="shared" si="123"/>
        <v>/</v>
      </c>
      <c r="E398" s="109">
        <f ca="1">IF(表2_3671626293034[[#This Row],[累计净值]]/MAX(INDIRECT("B21:B" &amp; ROW()))-1&lt;E397,表2_3671626293034[[#This Row],[累计净值]]/MAX(INDIRECT("B21:B" &amp; ROW()))-1,E397)</f>
        <v>-1.9593067068575776E-2</v>
      </c>
      <c r="F398" s="110">
        <f>表2_3671626293034[[#This Row],[累计净值]]-0.308</f>
        <v>1.0580000000000001</v>
      </c>
      <c r="G398" s="20">
        <f>0.7*(表2_3671626293034[[#This Row],[累计净值]]/$B$21-1)</f>
        <v>0.25620000000000004</v>
      </c>
    </row>
    <row r="399" spans="1:7" x14ac:dyDescent="0.2">
      <c r="A399" s="15">
        <v>44271</v>
      </c>
      <c r="B399" s="112">
        <v>1.3660000000000001</v>
      </c>
      <c r="C399" s="108">
        <f t="shared" si="122"/>
        <v>0</v>
      </c>
      <c r="D399" s="109" t="str">
        <f t="shared" si="123"/>
        <v>/</v>
      </c>
      <c r="E399" s="109">
        <f ca="1">IF(表2_3671626293034[[#This Row],[累计净值]]/MAX(INDIRECT("B21:B" &amp; ROW()))-1&lt;E398,表2_3671626293034[[#This Row],[累计净值]]/MAX(INDIRECT("B21:B" &amp; ROW()))-1,E398)</f>
        <v>-1.9593067068575776E-2</v>
      </c>
      <c r="F399" s="110">
        <f>表2_3671626293034[[#This Row],[累计净值]]-0.308</f>
        <v>1.0580000000000001</v>
      </c>
      <c r="G399" s="20">
        <f>0.7*(表2_3671626293034[[#This Row],[累计净值]]/$B$21-1)</f>
        <v>0.25620000000000004</v>
      </c>
    </row>
    <row r="400" spans="1:7" x14ac:dyDescent="0.2">
      <c r="A400" s="15">
        <v>44272</v>
      </c>
      <c r="B400" s="112">
        <v>1.3680000000000001</v>
      </c>
      <c r="C400" s="108">
        <f t="shared" si="122"/>
        <v>2.0000000000000018E-3</v>
      </c>
      <c r="D400" s="109" t="str">
        <f t="shared" si="123"/>
        <v>/</v>
      </c>
      <c r="E400" s="109">
        <f ca="1">IF(表2_3671626293034[[#This Row],[累计净值]]/MAX(INDIRECT("B21:B" &amp; ROW()))-1&lt;E399,表2_3671626293034[[#This Row],[累计净值]]/MAX(INDIRECT("B21:B" &amp; ROW()))-1,E399)</f>
        <v>-1.9593067068575776E-2</v>
      </c>
      <c r="F400" s="110">
        <f>表2_3671626293034[[#This Row],[累计净值]]-0.308</f>
        <v>1.06</v>
      </c>
      <c r="G400" s="20">
        <f>0.7*(表2_3671626293034[[#This Row],[累计净值]]/$B$21-1)</f>
        <v>0.25760000000000005</v>
      </c>
    </row>
    <row r="401" spans="1:7" x14ac:dyDescent="0.2">
      <c r="A401" s="15">
        <v>44273</v>
      </c>
      <c r="B401" s="112">
        <v>1.367</v>
      </c>
      <c r="C401" s="108">
        <f t="shared" si="122"/>
        <v>-1.0000000000001119E-3</v>
      </c>
      <c r="D401" s="109">
        <f t="shared" si="123"/>
        <v>-1.0000000000001119E-3</v>
      </c>
      <c r="E401" s="109">
        <f ca="1">IF(表2_3671626293034[[#This Row],[累计净值]]/MAX(INDIRECT("B21:B" &amp; ROW()))-1&lt;E400,表2_3671626293034[[#This Row],[累计净值]]/MAX(INDIRECT("B21:B" &amp; ROW()))-1,E400)</f>
        <v>-1.9593067068575776E-2</v>
      </c>
      <c r="F401" s="110">
        <f>表2_3671626293034[[#This Row],[累计净值]]-0.308</f>
        <v>1.0589999999999999</v>
      </c>
      <c r="G401" s="20">
        <f>0.7*(表2_3671626293034[[#This Row],[累计净值]]/$B$21-1)</f>
        <v>0.25689999999999996</v>
      </c>
    </row>
    <row r="402" spans="1:7" x14ac:dyDescent="0.2">
      <c r="A402" s="15">
        <v>44274</v>
      </c>
      <c r="B402" s="112">
        <v>1.371</v>
      </c>
      <c r="C402" s="108">
        <f t="shared" si="122"/>
        <v>4.0000000000000036E-3</v>
      </c>
      <c r="D402" s="109" t="str">
        <f t="shared" si="123"/>
        <v>/</v>
      </c>
      <c r="E402" s="109">
        <f ca="1">IF(表2_3671626293034[[#This Row],[累计净值]]/MAX(INDIRECT("B21:B" &amp; ROW()))-1&lt;E401,表2_3671626293034[[#This Row],[累计净值]]/MAX(INDIRECT("B21:B" &amp; ROW()))-1,E401)</f>
        <v>-1.9593067068575776E-2</v>
      </c>
      <c r="F402" s="110">
        <f>表2_3671626293034[[#This Row],[累计净值]]-0.308</f>
        <v>1.0629999999999999</v>
      </c>
      <c r="G402" s="20">
        <f>0.7*(表2_3671626293034[[#This Row],[累计净值]]/$B$21-1)</f>
        <v>0.25969999999999999</v>
      </c>
    </row>
    <row r="403" spans="1:7" x14ac:dyDescent="0.2">
      <c r="A403" s="15">
        <v>44277</v>
      </c>
      <c r="B403" s="112">
        <v>1.3720000000000001</v>
      </c>
      <c r="C403" s="108">
        <f>IFERROR(B403-B402,0)</f>
        <v>1.0000000000001119E-3</v>
      </c>
      <c r="D403" s="109" t="str">
        <f>IF(C403&lt;0,C403,"/")</f>
        <v>/</v>
      </c>
      <c r="E403" s="109">
        <f ca="1">IF(表2_3671626293034[[#This Row],[累计净值]]/MAX(INDIRECT("B21:B" &amp; ROW()))-1&lt;E402,表2_3671626293034[[#This Row],[累计净值]]/MAX(INDIRECT("B21:B" &amp; ROW()))-1,E402)</f>
        <v>-1.9593067068575776E-2</v>
      </c>
      <c r="F403" s="110">
        <f>表2_3671626293034[[#This Row],[累计净值]]-0.308</f>
        <v>1.0640000000000001</v>
      </c>
      <c r="G403" s="20">
        <f>0.7*(表2_3671626293034[[#This Row],[累计净值]]/$B$21-1)</f>
        <v>0.26040000000000008</v>
      </c>
    </row>
    <row r="404" spans="1:7" x14ac:dyDescent="0.2">
      <c r="A404" s="15">
        <v>44278</v>
      </c>
      <c r="B404" s="112">
        <v>1.369</v>
      </c>
      <c r="C404" s="108">
        <f t="shared" ref="C404:C407" si="124">IFERROR(B404-B403,0)</f>
        <v>-3.0000000000001137E-3</v>
      </c>
      <c r="D404" s="109">
        <f t="shared" ref="D404:D407" si="125">IF(C404&lt;0,C404,"/")</f>
        <v>-3.0000000000001137E-3</v>
      </c>
      <c r="E404" s="109">
        <f ca="1">IF(表2_3671626293034[[#This Row],[累计净值]]/MAX(INDIRECT("B21:B" &amp; ROW()))-1&lt;E403,表2_3671626293034[[#This Row],[累计净值]]/MAX(INDIRECT("B21:B" &amp; ROW()))-1,E403)</f>
        <v>-1.9593067068575776E-2</v>
      </c>
      <c r="F404" s="110">
        <f>表2_3671626293034[[#This Row],[累计净值]]-0.308</f>
        <v>1.0609999999999999</v>
      </c>
      <c r="G404" s="20">
        <f>0.7*(表2_3671626293034[[#This Row],[累计净值]]/$B$21-1)</f>
        <v>0.25829999999999997</v>
      </c>
    </row>
    <row r="405" spans="1:7" x14ac:dyDescent="0.2">
      <c r="A405" s="15">
        <v>44279</v>
      </c>
      <c r="B405" s="112">
        <v>1.37</v>
      </c>
      <c r="C405" s="108">
        <f t="shared" si="124"/>
        <v>1.0000000000001119E-3</v>
      </c>
      <c r="D405" s="109" t="str">
        <f t="shared" si="125"/>
        <v>/</v>
      </c>
      <c r="E405" s="109">
        <f ca="1">IF(表2_3671626293034[[#This Row],[累计净值]]/MAX(INDIRECT("B21:B" &amp; ROW()))-1&lt;E404,表2_3671626293034[[#This Row],[累计净值]]/MAX(INDIRECT("B21:B" &amp; ROW()))-1,E404)</f>
        <v>-1.9593067068575776E-2</v>
      </c>
      <c r="F405" s="110">
        <f>表2_3671626293034[[#This Row],[累计净值]]-0.308</f>
        <v>1.0620000000000001</v>
      </c>
      <c r="G405" s="20">
        <f>0.7*(表2_3671626293034[[#This Row],[累计净值]]/$B$21-1)</f>
        <v>0.25900000000000006</v>
      </c>
    </row>
    <row r="406" spans="1:7" x14ac:dyDescent="0.2">
      <c r="A406" s="15">
        <v>44280</v>
      </c>
      <c r="B406" s="112">
        <v>1.3740000000000001</v>
      </c>
      <c r="C406" s="108">
        <f t="shared" si="124"/>
        <v>4.0000000000000036E-3</v>
      </c>
      <c r="D406" s="109" t="str">
        <f t="shared" si="125"/>
        <v>/</v>
      </c>
      <c r="E406" s="109">
        <f ca="1">IF(表2_3671626293034[[#This Row],[累计净值]]/MAX(INDIRECT("B21:B" &amp; ROW()))-1&lt;E405,表2_3671626293034[[#This Row],[累计净值]]/MAX(INDIRECT("B21:B" &amp; ROW()))-1,E405)</f>
        <v>-1.9593067068575776E-2</v>
      </c>
      <c r="F406" s="110">
        <f>表2_3671626293034[[#This Row],[累计净值]]-0.308</f>
        <v>1.0660000000000001</v>
      </c>
      <c r="G406" s="20">
        <f>0.7*(表2_3671626293034[[#This Row],[累计净值]]/$B$21-1)</f>
        <v>0.26180000000000009</v>
      </c>
    </row>
    <row r="407" spans="1:7" x14ac:dyDescent="0.2">
      <c r="A407" s="15">
        <v>44281</v>
      </c>
      <c r="B407" s="112">
        <v>1.3759999999999999</v>
      </c>
      <c r="C407" s="108">
        <f t="shared" si="124"/>
        <v>1.9999999999997797E-3</v>
      </c>
      <c r="D407" s="109" t="str">
        <f t="shared" si="125"/>
        <v>/</v>
      </c>
      <c r="E407" s="109">
        <f ca="1">IF(表2_3671626293034[[#This Row],[累计净值]]/MAX(INDIRECT("B21:B" &amp; ROW()))-1&lt;E406,表2_3671626293034[[#This Row],[累计净值]]/MAX(INDIRECT("B21:B" &amp; ROW()))-1,E406)</f>
        <v>-1.9593067068575776E-2</v>
      </c>
      <c r="F407" s="110">
        <f>表2_3671626293034[[#This Row],[累计净值]]-0.308</f>
        <v>1.0679999999999998</v>
      </c>
      <c r="G407" s="20">
        <f>0.7*(表2_3671626293034[[#This Row],[累计净值]]/$B$21-1)</f>
        <v>0.26319999999999988</v>
      </c>
    </row>
    <row r="408" spans="1:7" x14ac:dyDescent="0.2">
      <c r="A408" s="15">
        <v>44284</v>
      </c>
      <c r="B408" s="112">
        <v>1.379</v>
      </c>
      <c r="C408" s="108">
        <f>IFERROR(B408-B407,0)</f>
        <v>3.0000000000001137E-3</v>
      </c>
      <c r="D408" s="109" t="str">
        <f>IF(C408&lt;0,C408,"/")</f>
        <v>/</v>
      </c>
      <c r="E408" s="109">
        <f ca="1">IF(表2_3671626293034[[#This Row],[累计净值]]/MAX(INDIRECT("B21:B" &amp; ROW()))-1&lt;E407,表2_3671626293034[[#This Row],[累计净值]]/MAX(INDIRECT("B21:B" &amp; ROW()))-1,E407)</f>
        <v>-1.9593067068575776E-2</v>
      </c>
      <c r="F408" s="110">
        <f>表2_3671626293034[[#This Row],[累计净值]]-0.308</f>
        <v>1.071</v>
      </c>
      <c r="G408" s="20">
        <f>0.7*(表2_3671626293034[[#This Row],[累计净值]]/$B$21-1)</f>
        <v>0.26529999999999998</v>
      </c>
    </row>
    <row r="409" spans="1:7" x14ac:dyDescent="0.2">
      <c r="A409" s="15">
        <v>44285</v>
      </c>
      <c r="B409" s="112">
        <v>1.3819999999999999</v>
      </c>
      <c r="C409" s="108">
        <f>IFERROR(B409-B408,0)</f>
        <v>2.9999999999998916E-3</v>
      </c>
      <c r="D409" s="109" t="str">
        <f>IF(C409&lt;0,C409,"/")</f>
        <v>/</v>
      </c>
      <c r="E409" s="109">
        <f ca="1">IF(表2_3671626293034[[#This Row],[累计净值]]/MAX(INDIRECT("B21:B" &amp; ROW()))-1&lt;E408,表2_3671626293034[[#This Row],[累计净值]]/MAX(INDIRECT("B21:B" &amp; ROW()))-1,E408)</f>
        <v>-1.9593067068575776E-2</v>
      </c>
      <c r="F409" s="110">
        <f>表2_3671626293034[[#This Row],[累计净值]]-0.308</f>
        <v>1.0739999999999998</v>
      </c>
      <c r="G409" s="20">
        <f>0.7*(表2_3671626293034[[#This Row],[累计净值]]/$B$21-1)</f>
        <v>0.26739999999999992</v>
      </c>
    </row>
    <row r="410" spans="1:7" x14ac:dyDescent="0.2">
      <c r="A410" s="15">
        <v>44286</v>
      </c>
      <c r="B410" s="112">
        <v>1.379</v>
      </c>
      <c r="C410" s="108">
        <f>IFERROR(B410-B409,0)</f>
        <v>-2.9999999999998916E-3</v>
      </c>
      <c r="D410" s="109">
        <f>IF(C410&lt;0,C410,"/")</f>
        <v>-2.9999999999998916E-3</v>
      </c>
      <c r="E410" s="109">
        <f ca="1">IF(表2_3671626293034[[#This Row],[累计净值]]/MAX(INDIRECT("B21:B" &amp; ROW()))-1&lt;E409,表2_3671626293034[[#This Row],[累计净值]]/MAX(INDIRECT("B21:B" &amp; ROW()))-1,E409)</f>
        <v>-1.9593067068575776E-2</v>
      </c>
      <c r="F410" s="110">
        <f>表2_3671626293034[[#This Row],[累计净值]]-0.308</f>
        <v>1.071</v>
      </c>
      <c r="G410" s="20">
        <f>0.7*(表2_3671626293034[[#This Row],[累计净值]]/$B$21-1)</f>
        <v>0.26529999999999998</v>
      </c>
    </row>
    <row r="411" spans="1:7" x14ac:dyDescent="0.2">
      <c r="A411" s="15">
        <v>44287</v>
      </c>
      <c r="B411" s="112">
        <v>1.38</v>
      </c>
      <c r="C411" s="108">
        <f>IFERROR(B411-B410,0)</f>
        <v>9.9999999999988987E-4</v>
      </c>
      <c r="D411" s="109" t="str">
        <f>IF(C411&lt;0,C411,"/")</f>
        <v>/</v>
      </c>
      <c r="E411" s="109">
        <f ca="1">IF(表2_3671626293034[[#This Row],[累计净值]]/MAX(INDIRECT("B21:B" &amp; ROW()))-1&lt;E410,表2_3671626293034[[#This Row],[累计净值]]/MAX(INDIRECT("B21:B" &amp; ROW()))-1,E410)</f>
        <v>-1.9593067068575776E-2</v>
      </c>
      <c r="F411" s="110">
        <f>表2_3671626293034[[#This Row],[累计净值]]-0.308</f>
        <v>1.0719999999999998</v>
      </c>
      <c r="G411" s="20">
        <f>0.7*(表2_3671626293034[[#This Row],[累计净值]]/$B$21-1)</f>
        <v>0.2659999999999999</v>
      </c>
    </row>
    <row r="412" spans="1:7" x14ac:dyDescent="0.2">
      <c r="A412" s="15">
        <v>44288</v>
      </c>
      <c r="B412" s="117">
        <v>1.3839999999999999</v>
      </c>
      <c r="C412" s="108">
        <f t="shared" ref="C412:C413" si="126">IFERROR(B412-B411,0)</f>
        <v>4.0000000000000036E-3</v>
      </c>
      <c r="D412" s="109" t="str">
        <f t="shared" ref="D412:D413" si="127">IF(C412&lt;0,C412,"/")</f>
        <v>/</v>
      </c>
      <c r="E412" s="109">
        <f ca="1">IF(表2_3671626293034[[#This Row],[累计净值]]/MAX(INDIRECT("B21:B" &amp; ROW()))-1&lt;E411,表2_3671626293034[[#This Row],[累计净值]]/MAX(INDIRECT("B21:B" &amp; ROW()))-1,E411)</f>
        <v>-1.9593067068575776E-2</v>
      </c>
      <c r="F412" s="110">
        <f>表2_3671626293034[[#This Row],[累计净值]]-0.308</f>
        <v>1.0759999999999998</v>
      </c>
      <c r="G412" s="20">
        <f>0.7*(表2_3671626293034[[#This Row],[累计净值]]/$B$21-1)</f>
        <v>0.26879999999999993</v>
      </c>
    </row>
    <row r="413" spans="1:7" x14ac:dyDescent="0.2">
      <c r="A413" s="15">
        <v>44292</v>
      </c>
      <c r="B413" s="112">
        <v>1.383</v>
      </c>
      <c r="C413" s="108">
        <f t="shared" si="126"/>
        <v>-9.9999999999988987E-4</v>
      </c>
      <c r="D413" s="109">
        <f t="shared" si="127"/>
        <v>-9.9999999999988987E-4</v>
      </c>
      <c r="E413" s="109">
        <f ca="1">IF(表2_3671626293034[[#This Row],[累计净值]]/MAX(INDIRECT("B21:B" &amp; ROW()))-1&lt;E412,表2_3671626293034[[#This Row],[累计净值]]/MAX(INDIRECT("B21:B" &amp; ROW()))-1,E412)</f>
        <v>-1.9593067068575776E-2</v>
      </c>
      <c r="F413" s="110">
        <f>表2_3671626293034[[#This Row],[累计净值]]-0.308</f>
        <v>1.075</v>
      </c>
      <c r="G413" s="20">
        <f>0.7*(表2_3671626293034[[#This Row],[累计净值]]/$B$21-1)</f>
        <v>0.2681</v>
      </c>
    </row>
    <row r="414" spans="1:7" x14ac:dyDescent="0.2">
      <c r="A414" s="15">
        <v>44293</v>
      </c>
      <c r="B414" s="112">
        <v>1.381</v>
      </c>
      <c r="C414" s="108">
        <f t="shared" ref="C414:C420" si="128">IFERROR(B414-B413,0)</f>
        <v>-2.0000000000000018E-3</v>
      </c>
      <c r="D414" s="109">
        <f t="shared" ref="D414:D420" si="129">IF(C414&lt;0,C414,"/")</f>
        <v>-2.0000000000000018E-3</v>
      </c>
      <c r="E414" s="109">
        <f ca="1">IF(表2_3671626293034[[#This Row],[累计净值]]/MAX(INDIRECT("B21:B" &amp; ROW()))-1&lt;E413,表2_3671626293034[[#This Row],[累计净值]]/MAX(INDIRECT("B21:B" &amp; ROW()))-1,E413)</f>
        <v>-1.9593067068575776E-2</v>
      </c>
      <c r="F414" s="110">
        <f>表2_3671626293034[[#This Row],[累计净值]]-0.308</f>
        <v>1.073</v>
      </c>
      <c r="G414" s="20">
        <f>0.7*(表2_3671626293034[[#This Row],[累计净值]]/$B$21-1)</f>
        <v>0.26669999999999999</v>
      </c>
    </row>
    <row r="415" spans="1:7" x14ac:dyDescent="0.2">
      <c r="A415" s="15">
        <v>44294</v>
      </c>
      <c r="B415" s="112">
        <v>1.3819999999999999</v>
      </c>
      <c r="C415" s="108">
        <f t="shared" si="128"/>
        <v>9.9999999999988987E-4</v>
      </c>
      <c r="D415" s="109" t="str">
        <f t="shared" si="129"/>
        <v>/</v>
      </c>
      <c r="E415" s="109">
        <f ca="1">IF(表2_3671626293034[[#This Row],[累计净值]]/MAX(INDIRECT("B21:B" &amp; ROW()))-1&lt;E414,表2_3671626293034[[#This Row],[累计净值]]/MAX(INDIRECT("B21:B" &amp; ROW()))-1,E414)</f>
        <v>-1.9593067068575776E-2</v>
      </c>
      <c r="F415" s="110">
        <f>表2_3671626293034[[#This Row],[累计净值]]-0.308</f>
        <v>1.0739999999999998</v>
      </c>
      <c r="G415" s="20">
        <f>0.7*(表2_3671626293034[[#This Row],[累计净值]]/$B$21-1)</f>
        <v>0.26739999999999992</v>
      </c>
    </row>
    <row r="416" spans="1:7" x14ac:dyDescent="0.2">
      <c r="A416" s="15">
        <v>44295</v>
      </c>
      <c r="B416" s="112">
        <v>1.3819999999999999</v>
      </c>
      <c r="C416" s="108">
        <f t="shared" si="128"/>
        <v>0</v>
      </c>
      <c r="D416" s="109" t="str">
        <f t="shared" si="129"/>
        <v>/</v>
      </c>
      <c r="E416" s="109">
        <f ca="1">IF(表2_3671626293034[[#This Row],[累计净值]]/MAX(INDIRECT("B21:B" &amp; ROW()))-1&lt;E415,表2_3671626293034[[#This Row],[累计净值]]/MAX(INDIRECT("B21:B" &amp; ROW()))-1,E415)</f>
        <v>-1.9593067068575776E-2</v>
      </c>
      <c r="F416" s="110">
        <f>表2_3671626293034[[#This Row],[累计净值]]-0.308</f>
        <v>1.0739999999999998</v>
      </c>
      <c r="G416" s="20">
        <f>0.7*(表2_3671626293034[[#This Row],[累计净值]]/$B$21-1)</f>
        <v>0.26739999999999992</v>
      </c>
    </row>
    <row r="417" spans="1:7" x14ac:dyDescent="0.2">
      <c r="A417" s="15">
        <v>44298</v>
      </c>
      <c r="B417" s="112">
        <v>1.381</v>
      </c>
      <c r="C417" s="108">
        <f t="shared" si="128"/>
        <v>-9.9999999999988987E-4</v>
      </c>
      <c r="D417" s="109">
        <f t="shared" si="129"/>
        <v>-9.9999999999988987E-4</v>
      </c>
      <c r="E417" s="109">
        <f ca="1">IF(表2_3671626293034[[#This Row],[累计净值]]/MAX(INDIRECT("B21:B" &amp; ROW()))-1&lt;E416,表2_3671626293034[[#This Row],[累计净值]]/MAX(INDIRECT("B21:B" &amp; ROW()))-1,E416)</f>
        <v>-1.9593067068575776E-2</v>
      </c>
      <c r="F417" s="110">
        <f>表2_3671626293034[[#This Row],[累计净值]]-0.308</f>
        <v>1.073</v>
      </c>
      <c r="G417" s="20">
        <f>0.7*(表2_3671626293034[[#This Row],[累计净值]]/$B$21-1)</f>
        <v>0.26669999999999999</v>
      </c>
    </row>
    <row r="418" spans="1:7" x14ac:dyDescent="0.2">
      <c r="A418" s="15">
        <v>44299</v>
      </c>
      <c r="B418" s="112">
        <v>1.3819999999999999</v>
      </c>
      <c r="C418" s="108">
        <f t="shared" si="128"/>
        <v>9.9999999999988987E-4</v>
      </c>
      <c r="D418" s="109" t="str">
        <f t="shared" si="129"/>
        <v>/</v>
      </c>
      <c r="E418" s="109">
        <f ca="1">IF(表2_3671626293034[[#This Row],[累计净值]]/MAX(INDIRECT("B21:B" &amp; ROW()))-1&lt;E417,表2_3671626293034[[#This Row],[累计净值]]/MAX(INDIRECT("B21:B" &amp; ROW()))-1,E417)</f>
        <v>-1.9593067068575776E-2</v>
      </c>
      <c r="F418" s="110">
        <f>表2_3671626293034[[#This Row],[累计净值]]-0.308</f>
        <v>1.0739999999999998</v>
      </c>
      <c r="G418" s="20">
        <f>0.7*(表2_3671626293034[[#This Row],[累计净值]]/$B$21-1)</f>
        <v>0.26739999999999992</v>
      </c>
    </row>
    <row r="419" spans="1:7" x14ac:dyDescent="0.2">
      <c r="A419" s="15">
        <v>44300</v>
      </c>
      <c r="B419" s="112">
        <v>1.3759999999999999</v>
      </c>
      <c r="C419" s="108">
        <f t="shared" si="128"/>
        <v>-6.0000000000000053E-3</v>
      </c>
      <c r="D419" s="109">
        <f t="shared" si="129"/>
        <v>-6.0000000000000053E-3</v>
      </c>
      <c r="E419" s="109">
        <f ca="1">IF(表2_3671626293034[[#This Row],[累计净值]]/MAX(INDIRECT("B21:B" &amp; ROW()))-1&lt;E418,表2_3671626293034[[#This Row],[累计净值]]/MAX(INDIRECT("B21:B" &amp; ROW()))-1,E418)</f>
        <v>-1.9593067068575776E-2</v>
      </c>
      <c r="F419" s="110">
        <f>表2_3671626293034[[#This Row],[累计净值]]-0.308</f>
        <v>1.0679999999999998</v>
      </c>
      <c r="G419" s="20">
        <f>0.7*(表2_3671626293034[[#This Row],[累计净值]]/$B$21-1)</f>
        <v>0.26319999999999988</v>
      </c>
    </row>
    <row r="420" spans="1:7" x14ac:dyDescent="0.2">
      <c r="A420" s="15">
        <v>44301</v>
      </c>
      <c r="B420" s="112">
        <v>1.385</v>
      </c>
      <c r="C420" s="108">
        <f t="shared" si="128"/>
        <v>9.000000000000119E-3</v>
      </c>
      <c r="D420" s="109" t="str">
        <f t="shared" si="129"/>
        <v>/</v>
      </c>
      <c r="E420" s="109">
        <f ca="1">IF(表2_3671626293034[[#This Row],[累计净值]]/MAX(INDIRECT("B21:B" &amp; ROW()))-1&lt;E419,表2_3671626293034[[#This Row],[累计净值]]/MAX(INDIRECT("B21:B" &amp; ROW()))-1,E419)</f>
        <v>-1.9593067068575776E-2</v>
      </c>
      <c r="F420" s="110">
        <f>表2_3671626293034[[#This Row],[累计净值]]-0.308</f>
        <v>1.077</v>
      </c>
      <c r="G420" s="20">
        <f>0.7*(表2_3671626293034[[#This Row],[累计净值]]/$B$21-1)</f>
        <v>0.26949999999999996</v>
      </c>
    </row>
    <row r="421" spans="1:7" x14ac:dyDescent="0.2">
      <c r="A421" s="15">
        <v>44302</v>
      </c>
      <c r="B421" s="112">
        <v>1.3859999999999999</v>
      </c>
      <c r="C421" s="108">
        <f>IFERROR(B421-B420,0)</f>
        <v>9.9999999999988987E-4</v>
      </c>
      <c r="D421" s="109" t="str">
        <f>IF(C421&lt;0,C421,"/")</f>
        <v>/</v>
      </c>
      <c r="E421" s="109">
        <f ca="1">IF(表2_3671626293034[[#This Row],[累计净值]]/MAX(INDIRECT("B21:B" &amp; ROW()))-1&lt;E420,表2_3671626293034[[#This Row],[累计净值]]/MAX(INDIRECT("B21:B" &amp; ROW()))-1,E420)</f>
        <v>-1.9593067068575776E-2</v>
      </c>
      <c r="F421" s="110">
        <f>表2_3671626293034[[#This Row],[累计净值]]-0.308</f>
        <v>1.0779999999999998</v>
      </c>
      <c r="G421" s="20">
        <f>0.7*(表2_3671626293034[[#This Row],[累计净值]]/$B$21-1)</f>
        <v>0.27019999999999988</v>
      </c>
    </row>
    <row r="422" spans="1:7" x14ac:dyDescent="0.2">
      <c r="A422" s="15">
        <v>44305</v>
      </c>
      <c r="B422" s="112">
        <v>1.39</v>
      </c>
      <c r="C422" s="108">
        <f>IFERROR(B422-B421,0)</f>
        <v>4.0000000000000036E-3</v>
      </c>
      <c r="D422" s="109" t="str">
        <f>IF(C422&lt;0,C422,"/")</f>
        <v>/</v>
      </c>
      <c r="E422" s="109">
        <f ca="1">IF(表2_3671626293034[[#This Row],[累计净值]]/MAX(INDIRECT("B21:B" &amp; ROW()))-1&lt;E421,表2_3671626293034[[#This Row],[累计净值]]/MAX(INDIRECT("B21:B" &amp; ROW()))-1,E421)</f>
        <v>-1.9593067068575776E-2</v>
      </c>
      <c r="F422" s="110">
        <f>表2_3671626293034[[#This Row],[累计净值]]-0.308</f>
        <v>1.0819999999999999</v>
      </c>
      <c r="G422" s="20">
        <f>0.7*(表2_3671626293034[[#This Row],[累计净值]]/$B$21-1)</f>
        <v>0.27299999999999991</v>
      </c>
    </row>
    <row r="423" spans="1:7" x14ac:dyDescent="0.2">
      <c r="A423" s="15">
        <v>44306</v>
      </c>
      <c r="B423" s="112">
        <v>1.39</v>
      </c>
      <c r="C423" s="108">
        <f>IFERROR(B423-B422,0)</f>
        <v>0</v>
      </c>
      <c r="D423" s="109" t="str">
        <f>IF(C423&lt;0,C423,"/")</f>
        <v>/</v>
      </c>
      <c r="E423" s="109">
        <f ca="1">IF(表2_3671626293034[[#This Row],[累计净值]]/MAX(INDIRECT("B21:B" &amp; ROW()))-1&lt;E422,表2_3671626293034[[#This Row],[累计净值]]/MAX(INDIRECT("B21:B" &amp; ROW()))-1,E422)</f>
        <v>-1.9593067068575776E-2</v>
      </c>
      <c r="F423" s="110">
        <f>表2_3671626293034[[#This Row],[累计净值]]-0.308</f>
        <v>1.0819999999999999</v>
      </c>
      <c r="G423" s="20">
        <f>0.7*(表2_3671626293034[[#This Row],[累计净值]]/$B$21-1)</f>
        <v>0.27299999999999991</v>
      </c>
    </row>
    <row r="424" spans="1:7" x14ac:dyDescent="0.2">
      <c r="A424" s="15">
        <v>44307</v>
      </c>
      <c r="B424" s="112">
        <v>1.389</v>
      </c>
      <c r="C424" s="108">
        <f>IFERROR(B424-B423,0)</f>
        <v>-9.9999999999988987E-4</v>
      </c>
      <c r="D424" s="109">
        <f>IF(C424&lt;0,C424,"/")</f>
        <v>-9.9999999999988987E-4</v>
      </c>
      <c r="E424" s="109">
        <f ca="1">IF(表2_3671626293034[[#This Row],[累计净值]]/MAX(INDIRECT("B21:B" &amp; ROW()))-1&lt;E423,表2_3671626293034[[#This Row],[累计净值]]/MAX(INDIRECT("B21:B" &amp; ROW()))-1,E423)</f>
        <v>-1.9593067068575776E-2</v>
      </c>
      <c r="F424" s="110">
        <f>表2_3671626293034[[#This Row],[累计净值]]-0.308</f>
        <v>1.081</v>
      </c>
      <c r="G424" s="20">
        <f>0.7*(表2_3671626293034[[#This Row],[累计净值]]/$B$21-1)</f>
        <v>0.27229999999999999</v>
      </c>
    </row>
    <row r="425" spans="1:7" x14ac:dyDescent="0.2">
      <c r="A425" s="15">
        <v>44308</v>
      </c>
      <c r="B425" s="112">
        <v>1.3879999999999999</v>
      </c>
      <c r="C425" s="108">
        <f>IFERROR(B425-B424,0)</f>
        <v>-1.0000000000001119E-3</v>
      </c>
      <c r="D425" s="109">
        <f>IF(C425&lt;0,C425,"/")</f>
        <v>-1.0000000000001119E-3</v>
      </c>
      <c r="E425" s="109">
        <f ca="1">IF(表2_3671626293034[[#This Row],[累计净值]]/MAX(INDIRECT("B21:B" &amp; ROW()))-1&lt;E424,表2_3671626293034[[#This Row],[累计净值]]/MAX(INDIRECT("B21:B" &amp; ROW()))-1,E424)</f>
        <v>-1.9593067068575776E-2</v>
      </c>
      <c r="F425" s="110">
        <f>表2_3671626293034[[#This Row],[累计净值]]-0.308</f>
        <v>1.0799999999999998</v>
      </c>
      <c r="G425" s="20">
        <f>0.7*(表2_3671626293034[[#This Row],[累计净值]]/$B$21-1)</f>
        <v>0.2715999999999999</v>
      </c>
    </row>
    <row r="426" spans="1:7" x14ac:dyDescent="0.2">
      <c r="A426" s="15">
        <v>44309</v>
      </c>
      <c r="B426" s="112">
        <v>1.389</v>
      </c>
      <c r="C426" s="108">
        <f t="shared" ref="C426:C427" si="130">IFERROR(B426-B425,0)</f>
        <v>1.0000000000001119E-3</v>
      </c>
      <c r="D426" s="109" t="str">
        <f t="shared" ref="D426:D427" si="131">IF(C426&lt;0,C426,"/")</f>
        <v>/</v>
      </c>
      <c r="E426" s="109">
        <f ca="1">IF(表2_3671626293034[[#This Row],[累计净值]]/MAX(INDIRECT("B21:B" &amp; ROW()))-1&lt;E425,表2_3671626293034[[#This Row],[累计净值]]/MAX(INDIRECT("B21:B" &amp; ROW()))-1,E425)</f>
        <v>-1.9593067068575776E-2</v>
      </c>
      <c r="F426" s="110">
        <f>表2_3671626293034[[#This Row],[累计净值]]-0.308</f>
        <v>1.081</v>
      </c>
      <c r="G426" s="20">
        <f>0.7*(表2_3671626293034[[#This Row],[累计净值]]/$B$21-1)</f>
        <v>0.27229999999999999</v>
      </c>
    </row>
    <row r="427" spans="1:7" x14ac:dyDescent="0.2">
      <c r="A427" s="15">
        <v>44312</v>
      </c>
      <c r="B427" s="112">
        <v>1.391</v>
      </c>
      <c r="C427" s="108">
        <f t="shared" si="130"/>
        <v>2.0000000000000018E-3</v>
      </c>
      <c r="D427" s="109" t="str">
        <f t="shared" si="131"/>
        <v>/</v>
      </c>
      <c r="E427" s="109">
        <f ca="1">IF(表2_3671626293034[[#This Row],[累计净值]]/MAX(INDIRECT("B21:B" &amp; ROW()))-1&lt;E426,表2_3671626293034[[#This Row],[累计净值]]/MAX(INDIRECT("B21:B" &amp; ROW()))-1,E426)</f>
        <v>-1.9593067068575776E-2</v>
      </c>
      <c r="F427" s="110">
        <f>表2_3671626293034[[#This Row],[累计净值]]-0.308</f>
        <v>1.083</v>
      </c>
      <c r="G427" s="20">
        <f>0.7*(表2_3671626293034[[#This Row],[累计净值]]/$B$21-1)</f>
        <v>0.2737</v>
      </c>
    </row>
    <row r="428" spans="1:7" x14ac:dyDescent="0.2">
      <c r="A428" s="15">
        <v>44313</v>
      </c>
      <c r="B428" s="112">
        <v>1.39</v>
      </c>
      <c r="C428" s="108">
        <f>IFERROR(B428-B427,0)</f>
        <v>-1.0000000000001119E-3</v>
      </c>
      <c r="D428" s="109">
        <f>IF(C428&lt;0,C428,"/")</f>
        <v>-1.0000000000001119E-3</v>
      </c>
      <c r="E428" s="109">
        <f ca="1">IF(表2_3671626293034[[#This Row],[累计净值]]/MAX(INDIRECT("B21:B" &amp; ROW()))-1&lt;E427,表2_3671626293034[[#This Row],[累计净值]]/MAX(INDIRECT("B21:B" &amp; ROW()))-1,E427)</f>
        <v>-1.9593067068575776E-2</v>
      </c>
      <c r="F428" s="110">
        <f>表2_3671626293034[[#This Row],[累计净值]]-0.308</f>
        <v>1.0819999999999999</v>
      </c>
      <c r="G428" s="20">
        <f>0.7*(表2_3671626293034[[#This Row],[累计净值]]/$B$21-1)</f>
        <v>0.27299999999999991</v>
      </c>
    </row>
    <row r="429" spans="1:7" x14ac:dyDescent="0.2">
      <c r="A429" s="15">
        <v>44314</v>
      </c>
      <c r="B429" s="112">
        <v>1.391</v>
      </c>
      <c r="C429" s="108">
        <f>IFERROR(B429-B428,0)</f>
        <v>1.0000000000001119E-3</v>
      </c>
      <c r="D429" s="109" t="str">
        <f>IF(C429&lt;0,C429,"/")</f>
        <v>/</v>
      </c>
      <c r="E429" s="109">
        <f ca="1">IF(表2_3671626293034[[#This Row],[累计净值]]/MAX(INDIRECT("B21:B" &amp; ROW()))-1&lt;E428,表2_3671626293034[[#This Row],[累计净值]]/MAX(INDIRECT("B21:B" &amp; ROW()))-1,E428)</f>
        <v>-1.9593067068575776E-2</v>
      </c>
      <c r="F429" s="110">
        <f>表2_3671626293034[[#This Row],[累计净值]]-0.308</f>
        <v>1.083</v>
      </c>
      <c r="G429" s="20">
        <f>0.7*(表2_3671626293034[[#This Row],[累计净值]]/$B$21-1)</f>
        <v>0.2737</v>
      </c>
    </row>
    <row r="430" spans="1:7" x14ac:dyDescent="0.2">
      <c r="A430" s="15">
        <v>44315</v>
      </c>
      <c r="B430" s="112">
        <v>1.3919999999999999</v>
      </c>
      <c r="C430" s="108">
        <f>IFERROR(B430-B429,0)</f>
        <v>9.9999999999988987E-4</v>
      </c>
      <c r="D430" s="109" t="str">
        <f>IF(C430&lt;0,C430,"/")</f>
        <v>/</v>
      </c>
      <c r="E430" s="109">
        <f ca="1">IF(表2_3671626293034[[#This Row],[累计净值]]/MAX(INDIRECT("B21:B" &amp; ROW()))-1&lt;E429,表2_3671626293034[[#This Row],[累计净值]]/MAX(INDIRECT("B21:B" &amp; ROW()))-1,E429)</f>
        <v>-1.9593067068575776E-2</v>
      </c>
      <c r="F430" s="110">
        <f>表2_3671626293034[[#This Row],[累计净值]]-0.308</f>
        <v>1.0839999999999999</v>
      </c>
      <c r="G430" s="20">
        <f>0.7*(表2_3671626293034[[#This Row],[累计净值]]/$B$21-1)</f>
        <v>0.27439999999999992</v>
      </c>
    </row>
    <row r="431" spans="1:7" x14ac:dyDescent="0.2">
      <c r="A431" s="15">
        <v>44316</v>
      </c>
      <c r="B431" s="112">
        <v>1.389</v>
      </c>
      <c r="C431" s="108">
        <f t="shared" ref="C431:C432" si="132">IFERROR(B431-B430,0)</f>
        <v>-2.9999999999998916E-3</v>
      </c>
      <c r="D431" s="109">
        <f t="shared" ref="D431:D432" si="133">IF(C431&lt;0,C431,"/")</f>
        <v>-2.9999999999998916E-3</v>
      </c>
      <c r="E431" s="109">
        <f ca="1">IF(表2_3671626293034[[#This Row],[累计净值]]/MAX(INDIRECT("B21:B" &amp; ROW()))-1&lt;E430,表2_3671626293034[[#This Row],[累计净值]]/MAX(INDIRECT("B21:B" &amp; ROW()))-1,E430)</f>
        <v>-1.9593067068575776E-2</v>
      </c>
      <c r="F431" s="110">
        <f>表2_3671626293034[[#This Row],[累计净值]]-0.308</f>
        <v>1.081</v>
      </c>
      <c r="G431" s="20">
        <f>0.7*(表2_3671626293034[[#This Row],[累计净值]]/$B$21-1)</f>
        <v>0.27229999999999999</v>
      </c>
    </row>
    <row r="432" spans="1:7" x14ac:dyDescent="0.2">
      <c r="A432" s="15">
        <v>44322</v>
      </c>
      <c r="B432" s="112">
        <v>1.3879999999999999</v>
      </c>
      <c r="C432" s="108">
        <f t="shared" si="132"/>
        <v>-1.0000000000001119E-3</v>
      </c>
      <c r="D432" s="109">
        <f t="shared" si="133"/>
        <v>-1.0000000000001119E-3</v>
      </c>
      <c r="E432" s="109">
        <f ca="1">IF(表2_3671626293034[[#This Row],[累计净值]]/MAX(INDIRECT("B21:B" &amp; ROW()))-1&lt;E431,表2_3671626293034[[#This Row],[累计净值]]/MAX(INDIRECT("B21:B" &amp; ROW()))-1,E431)</f>
        <v>-1.9593067068575776E-2</v>
      </c>
      <c r="F432" s="110">
        <f>表2_3671626293034[[#This Row],[累计净值]]-0.308</f>
        <v>1.0799999999999998</v>
      </c>
      <c r="G432" s="20">
        <f>0.7*(表2_3671626293034[[#This Row],[累计净值]]/$B$21-1)</f>
        <v>0.2715999999999999</v>
      </c>
    </row>
    <row r="433" spans="1:7" x14ac:dyDescent="0.2">
      <c r="A433" s="15">
        <v>44323</v>
      </c>
      <c r="B433" s="112">
        <v>1.3879999999999999</v>
      </c>
      <c r="C433" s="108">
        <f>IFERROR(B433-B432,0)</f>
        <v>0</v>
      </c>
      <c r="D433" s="109" t="str">
        <f>IF(C433&lt;0,C433,"/")</f>
        <v>/</v>
      </c>
      <c r="E433" s="109">
        <f ca="1">IF(表2_3671626293034[[#This Row],[累计净值]]/MAX(INDIRECT("B21:B" &amp; ROW()))-1&lt;E432,表2_3671626293034[[#This Row],[累计净值]]/MAX(INDIRECT("B21:B" &amp; ROW()))-1,E432)</f>
        <v>-1.9593067068575776E-2</v>
      </c>
      <c r="F433" s="110">
        <f>表2_3671626293034[[#This Row],[累计净值]]-0.308</f>
        <v>1.0799999999999998</v>
      </c>
      <c r="G433" s="20">
        <f>0.7*(表2_3671626293034[[#This Row],[累计净值]]/$B$21-1)</f>
        <v>0.2715999999999999</v>
      </c>
    </row>
    <row r="434" spans="1:7" x14ac:dyDescent="0.2">
      <c r="A434" s="15">
        <v>44326</v>
      </c>
      <c r="B434" s="112">
        <v>1.389</v>
      </c>
      <c r="C434" s="108">
        <f>IFERROR(B434-B433,0)</f>
        <v>1.0000000000001119E-3</v>
      </c>
      <c r="D434" s="109" t="str">
        <f>IF(C434&lt;0,C434,"/")</f>
        <v>/</v>
      </c>
      <c r="E434" s="109">
        <f ca="1">IF(表2_3671626293034[[#This Row],[累计净值]]/MAX(INDIRECT("B21:B" &amp; ROW()))-1&lt;E433,表2_3671626293034[[#This Row],[累计净值]]/MAX(INDIRECT("B21:B" &amp; ROW()))-1,E433)</f>
        <v>-1.9593067068575776E-2</v>
      </c>
      <c r="F434" s="110">
        <f>表2_3671626293034[[#This Row],[累计净值]]-0.308</f>
        <v>1.081</v>
      </c>
      <c r="G434" s="20">
        <f>0.7*(表2_3671626293034[[#This Row],[累计净值]]/$B$21-1)</f>
        <v>0.27229999999999999</v>
      </c>
    </row>
    <row r="435" spans="1:7" x14ac:dyDescent="0.2">
      <c r="A435" s="15">
        <v>44327</v>
      </c>
      <c r="B435" s="112">
        <v>1.389</v>
      </c>
      <c r="C435" s="108">
        <f>IFERROR(B435-B434,0)</f>
        <v>0</v>
      </c>
      <c r="D435" s="109" t="str">
        <f>IF(C435&lt;0,C435,"/")</f>
        <v>/</v>
      </c>
      <c r="E435" s="109">
        <f ca="1">IF(表2_3671626293034[[#This Row],[累计净值]]/MAX(INDIRECT("B21:B" &amp; ROW()))-1&lt;E434,表2_3671626293034[[#This Row],[累计净值]]/MAX(INDIRECT("B21:B" &amp; ROW()))-1,E434)</f>
        <v>-1.9593067068575776E-2</v>
      </c>
      <c r="F435" s="110">
        <f>表2_3671626293034[[#This Row],[累计净值]]-0.308</f>
        <v>1.081</v>
      </c>
      <c r="G435" s="20">
        <f>0.7*(表2_3671626293034[[#This Row],[累计净值]]/$B$21-1)</f>
        <v>0.27229999999999999</v>
      </c>
    </row>
    <row r="436" spans="1:7" x14ac:dyDescent="0.2">
      <c r="A436" s="15">
        <v>44328</v>
      </c>
      <c r="B436" s="112">
        <v>1.3919999999999999</v>
      </c>
      <c r="C436" s="108">
        <f>IFERROR(B436-B435,0)</f>
        <v>2.9999999999998916E-3</v>
      </c>
      <c r="D436" s="109" t="str">
        <f>IF(C436&lt;0,C436,"/")</f>
        <v>/</v>
      </c>
      <c r="E436" s="109">
        <f ca="1">IF(表2_3671626293034[[#This Row],[累计净值]]/MAX(INDIRECT("B21:B" &amp; ROW()))-1&lt;E435,表2_3671626293034[[#This Row],[累计净值]]/MAX(INDIRECT("B21:B" &amp; ROW()))-1,E435)</f>
        <v>-1.9593067068575776E-2</v>
      </c>
      <c r="F436" s="110">
        <f>表2_3671626293034[[#This Row],[累计净值]]-0.308</f>
        <v>1.0839999999999999</v>
      </c>
      <c r="G436" s="20">
        <f>0.7*(表2_3671626293034[[#This Row],[累计净值]]/$B$21-1)</f>
        <v>0.27439999999999992</v>
      </c>
    </row>
    <row r="437" spans="1:7" x14ac:dyDescent="0.2">
      <c r="A437" s="15">
        <v>44329</v>
      </c>
      <c r="B437" s="112">
        <v>1.3939999999999999</v>
      </c>
      <c r="C437" s="108">
        <f>IFERROR(B437-B436,0)</f>
        <v>2.0000000000000018E-3</v>
      </c>
      <c r="D437" s="109" t="str">
        <f>IF(C437&lt;0,C437,"/")</f>
        <v>/</v>
      </c>
      <c r="E437" s="109">
        <f ca="1">IF(表2_3671626293034[[#This Row],[累计净值]]/MAX(INDIRECT("B21:B" &amp; ROW()))-1&lt;E436,表2_3671626293034[[#This Row],[累计净值]]/MAX(INDIRECT("B21:B" &amp; ROW()))-1,E436)</f>
        <v>-1.9593067068575776E-2</v>
      </c>
      <c r="F437" s="110">
        <f>表2_3671626293034[[#This Row],[累计净值]]-0.308</f>
        <v>1.0859999999999999</v>
      </c>
      <c r="G437" s="20">
        <f>0.7*(表2_3671626293034[[#This Row],[累计净值]]/$B$21-1)</f>
        <v>0.27579999999999993</v>
      </c>
    </row>
    <row r="438" spans="1:7" x14ac:dyDescent="0.2">
      <c r="A438" s="15">
        <v>44330</v>
      </c>
      <c r="B438" s="112">
        <v>1.397</v>
      </c>
      <c r="C438" s="108">
        <f t="shared" ref="C438:C439" si="134">IFERROR(B438-B437,0)</f>
        <v>3.0000000000001137E-3</v>
      </c>
      <c r="D438" s="109" t="str">
        <f t="shared" ref="D438:D439" si="135">IF(C438&lt;0,C438,"/")</f>
        <v>/</v>
      </c>
      <c r="E438" s="109">
        <f ca="1">IF(表2_3671626293034[[#This Row],[累计净值]]/MAX(INDIRECT("B21:B" &amp; ROW()))-1&lt;E437,表2_3671626293034[[#This Row],[累计净值]]/MAX(INDIRECT("B21:B" &amp; ROW()))-1,E437)</f>
        <v>-1.9593067068575776E-2</v>
      </c>
      <c r="F438" s="110">
        <f>表2_3671626293034[[#This Row],[累计净值]]-0.308</f>
        <v>1.089</v>
      </c>
      <c r="G438" s="20">
        <f>0.7*(表2_3671626293034[[#This Row],[累计净值]]/$B$21-1)</f>
        <v>0.27789999999999998</v>
      </c>
    </row>
    <row r="439" spans="1:7" x14ac:dyDescent="0.2">
      <c r="A439" s="15">
        <v>44333</v>
      </c>
      <c r="B439" s="112">
        <v>1.3979999999999999</v>
      </c>
      <c r="C439" s="108">
        <f t="shared" si="134"/>
        <v>9.9999999999988987E-4</v>
      </c>
      <c r="D439" s="109" t="str">
        <f t="shared" si="135"/>
        <v>/</v>
      </c>
      <c r="E439" s="109">
        <f ca="1">IF(表2_3671626293034[[#This Row],[累计净值]]/MAX(INDIRECT("B21:B" &amp; ROW()))-1&lt;E438,表2_3671626293034[[#This Row],[累计净值]]/MAX(INDIRECT("B21:B" &amp; ROW()))-1,E438)</f>
        <v>-1.9593067068575776E-2</v>
      </c>
      <c r="F439" s="110">
        <f>表2_3671626293034[[#This Row],[累计净值]]-0.308</f>
        <v>1.0899999999999999</v>
      </c>
      <c r="G439" s="20">
        <f>0.7*(表2_3671626293034[[#This Row],[累计净值]]/$B$21-1)</f>
        <v>0.2785999999999999</v>
      </c>
    </row>
  </sheetData>
  <mergeCells count="1">
    <mergeCell ref="G2:G3"/>
  </mergeCells>
  <phoneticPr fontId="24" type="noConversion"/>
  <pageMargins left="0.7" right="0.7" top="0.75" bottom="0.75" header="0.3" footer="0.3"/>
  <pageSetup paperSize="9" orientation="portrait" horizontalDpi="200" verticalDpi="20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I436"/>
  <sheetViews>
    <sheetView workbookViewId="0">
      <pane xSplit="1" ySplit="20" topLeftCell="B428" activePane="bottomRight" state="frozen"/>
      <selection pane="topRight" activeCell="B1" sqref="B1"/>
      <selection pane="bottomLeft" activeCell="A21" sqref="A21"/>
      <selection pane="bottomRight" activeCell="I434" sqref="I434"/>
    </sheetView>
  </sheetViews>
  <sheetFormatPr defaultColWidth="9" defaultRowHeight="14.25" x14ac:dyDescent="0.2"/>
  <cols>
    <col min="1" max="1" width="11.625" style="1" bestFit="1" customWidth="1"/>
    <col min="2" max="2" width="13" style="1" customWidth="1"/>
    <col min="3" max="4" width="13.5" style="1" bestFit="1" customWidth="1"/>
    <col min="5" max="5" width="10.25" style="1" customWidth="1"/>
    <col min="6" max="6" width="11.125" style="1" customWidth="1"/>
    <col min="7" max="7" width="18.875" style="2" customWidth="1"/>
    <col min="8" max="8" width="14.25" style="1" customWidth="1"/>
    <col min="9" max="9" width="12" style="1" bestFit="1" customWidth="1"/>
    <col min="10" max="16384" width="9" style="1"/>
  </cols>
  <sheetData>
    <row r="1" spans="1:7" ht="15" thickBot="1" x14ac:dyDescent="0.25"/>
    <row r="2" spans="1:7" ht="15" thickBot="1" x14ac:dyDescent="0.25">
      <c r="A2" s="23" t="s">
        <v>0</v>
      </c>
      <c r="B2" s="24">
        <f>COUNT(表2_3671626293034567[每日盈亏])</f>
        <v>416</v>
      </c>
      <c r="C2" s="27"/>
      <c r="D2" s="3" t="s">
        <v>1</v>
      </c>
      <c r="E2" s="28"/>
      <c r="F2" s="35" t="s">
        <v>2</v>
      </c>
      <c r="G2" s="394" t="s">
        <v>3</v>
      </c>
    </row>
    <row r="3" spans="1:7" x14ac:dyDescent="0.2">
      <c r="A3" s="25" t="s">
        <v>4</v>
      </c>
      <c r="B3" s="26">
        <f>COUNTIF(表2_3671626293034567[每日盈亏],"&gt;0")</f>
        <v>231</v>
      </c>
      <c r="C3" s="29"/>
      <c r="D3" s="30" t="s">
        <v>5</v>
      </c>
      <c r="E3" s="31">
        <f>245^0.5*(B10-0.025/365)/E10</f>
        <v>1.8485420860634179</v>
      </c>
      <c r="F3" s="35"/>
      <c r="G3" s="394"/>
    </row>
    <row r="4" spans="1:7" x14ac:dyDescent="0.2">
      <c r="A4" s="25" t="s">
        <v>6</v>
      </c>
      <c r="B4" s="26">
        <f>COUNTIF(表2_3671626293034567[每日盈亏],"&lt;0")</f>
        <v>180</v>
      </c>
      <c r="C4" s="29"/>
      <c r="D4" s="32" t="s">
        <v>7</v>
      </c>
      <c r="E4" s="31">
        <f ca="1">-B9/E8</f>
        <v>3.7089098570137646</v>
      </c>
      <c r="F4" s="35"/>
      <c r="G4" s="2">
        <f>LOOKUP(999^10,表2_3671626293034567[累计净值])</f>
        <v>1.2158</v>
      </c>
    </row>
    <row r="5" spans="1:7" x14ac:dyDescent="0.2">
      <c r="A5" s="25" t="s">
        <v>8</v>
      </c>
      <c r="B5" s="26">
        <f>B2-B3-B4</f>
        <v>5</v>
      </c>
      <c r="C5" s="29"/>
      <c r="D5" s="33" t="s">
        <v>9</v>
      </c>
      <c r="E5" s="4">
        <f>245^0.5*(B10-0.025/365)/E9</f>
        <v>2.9322655983311727</v>
      </c>
      <c r="F5" s="35"/>
    </row>
    <row r="6" spans="1:7" ht="15" thickBot="1" x14ac:dyDescent="0.25">
      <c r="A6" s="34"/>
      <c r="B6" s="35"/>
      <c r="C6" s="35"/>
      <c r="D6" s="35"/>
      <c r="E6" s="36"/>
      <c r="F6" s="35"/>
    </row>
    <row r="7" spans="1:7" ht="15" thickBot="1" x14ac:dyDescent="0.25">
      <c r="A7" s="5" t="s">
        <v>10</v>
      </c>
      <c r="B7" s="35"/>
      <c r="C7" s="35"/>
      <c r="D7" s="3" t="s">
        <v>11</v>
      </c>
      <c r="E7" s="37"/>
      <c r="F7" s="35"/>
    </row>
    <row r="8" spans="1:7" x14ac:dyDescent="0.2">
      <c r="A8" s="38" t="s">
        <v>12</v>
      </c>
      <c r="B8" s="39">
        <f>LOOKUP(999^10,表2_3671626293034567[累计净值])/$B$22-1</f>
        <v>0.2079483358171883</v>
      </c>
      <c r="C8" s="40"/>
      <c r="D8" s="30" t="s">
        <v>13</v>
      </c>
      <c r="E8" s="41">
        <f ca="1">MIN(表2_3671626293034567[最大回撤])</f>
        <v>-3.3020369191597565E-2</v>
      </c>
      <c r="F8" s="35"/>
    </row>
    <row r="9" spans="1:7" x14ac:dyDescent="0.2">
      <c r="A9" s="25" t="s">
        <v>14</v>
      </c>
      <c r="B9" s="32">
        <f>B8*245/B2</f>
        <v>0.12246957277694984</v>
      </c>
      <c r="C9" s="40"/>
      <c r="D9" s="33" t="s">
        <v>15</v>
      </c>
      <c r="E9" s="6">
        <f>STDEV(表2_3671626293034567[下跌幅度])</f>
        <v>2.320071048699125E-3</v>
      </c>
      <c r="F9" s="35"/>
    </row>
    <row r="10" spans="1:7" x14ac:dyDescent="0.2">
      <c r="A10" s="42" t="s">
        <v>16</v>
      </c>
      <c r="B10" s="43">
        <f>AVERAGE(表2_3671626293034567[每日盈亏])</f>
        <v>5.031250000000001E-4</v>
      </c>
      <c r="C10" s="44"/>
      <c r="D10" s="33" t="s">
        <v>17</v>
      </c>
      <c r="E10" s="6">
        <f>STDEV(表2_3671626293034567[每日盈亏])</f>
        <v>3.6802324237432478E-3</v>
      </c>
      <c r="F10" s="35"/>
    </row>
    <row r="11" spans="1:7" x14ac:dyDescent="0.2">
      <c r="A11" s="7" t="s">
        <v>18</v>
      </c>
      <c r="B11" s="32">
        <f>B3/B2</f>
        <v>0.55528846153846156</v>
      </c>
      <c r="C11" s="40"/>
      <c r="D11" s="32" t="s">
        <v>19</v>
      </c>
      <c r="E11" s="41">
        <f>245^0.5*E10</f>
        <v>5.7604749107420992E-2</v>
      </c>
      <c r="F11" s="35"/>
    </row>
    <row r="12" spans="1:7" ht="15" thickBot="1" x14ac:dyDescent="0.25">
      <c r="A12" s="45" t="s">
        <v>20</v>
      </c>
      <c r="B12" s="46">
        <f>-(SUMIF(表2_3671626293034567[每日盈亏],"&gt;=0")/B3)/(SUMIF(表2_3671626293034567[每日盈亏],"&lt;0")/B4)</f>
        <v>1.1144538914323086</v>
      </c>
      <c r="C12" s="47"/>
      <c r="D12" s="48"/>
      <c r="E12" s="49"/>
      <c r="F12" s="35"/>
    </row>
    <row r="13" spans="1:7" x14ac:dyDescent="0.2">
      <c r="A13" s="35"/>
      <c r="B13" s="35"/>
      <c r="C13" s="35"/>
      <c r="D13" s="35"/>
      <c r="E13" s="35"/>
      <c r="F13" s="35"/>
    </row>
    <row r="14" spans="1:7" ht="28.5" x14ac:dyDescent="0.2">
      <c r="A14" s="202" t="s">
        <v>21</v>
      </c>
      <c r="B14" s="202" t="s">
        <v>14</v>
      </c>
      <c r="C14" s="203" t="s">
        <v>19</v>
      </c>
      <c r="D14" s="203" t="s">
        <v>13</v>
      </c>
      <c r="E14" s="203" t="s">
        <v>5</v>
      </c>
      <c r="F14" s="203" t="s">
        <v>7</v>
      </c>
    </row>
    <row r="15" spans="1:7" x14ac:dyDescent="0.2">
      <c r="A15" s="52">
        <f>B2</f>
        <v>416</v>
      </c>
      <c r="B15" s="53">
        <f>B9</f>
        <v>0.12246957277694984</v>
      </c>
      <c r="C15" s="53">
        <f>E11</f>
        <v>5.7604749107420992E-2</v>
      </c>
      <c r="D15" s="53">
        <f ca="1">E8</f>
        <v>-3.3020369191597565E-2</v>
      </c>
      <c r="E15" s="54">
        <f>E3</f>
        <v>1.8485420860634179</v>
      </c>
      <c r="F15" s="54">
        <f ca="1">E4</f>
        <v>3.7089098570137646</v>
      </c>
    </row>
    <row r="19" spans="1:7" x14ac:dyDescent="0.2">
      <c r="A19" s="8"/>
      <c r="B19" s="1" t="s">
        <v>22</v>
      </c>
    </row>
    <row r="20" spans="1:7" ht="15.75" x14ac:dyDescent="0.2">
      <c r="A20" s="22" t="s">
        <v>23</v>
      </c>
      <c r="B20" s="22" t="s">
        <v>24</v>
      </c>
      <c r="C20" s="22" t="s">
        <v>25</v>
      </c>
      <c r="D20" s="22" t="s">
        <v>26</v>
      </c>
      <c r="E20" s="22" t="s">
        <v>27</v>
      </c>
      <c r="F20" s="22" t="s">
        <v>28</v>
      </c>
      <c r="G20" s="22" t="s">
        <v>29</v>
      </c>
    </row>
    <row r="21" spans="1:7" x14ac:dyDescent="0.2">
      <c r="A21" s="55">
        <v>43703</v>
      </c>
      <c r="B21" s="56">
        <v>1.0053000000000001</v>
      </c>
      <c r="C21" s="57">
        <f>IFERROR(B21-B20,0)</f>
        <v>0</v>
      </c>
      <c r="D21" s="58" t="str">
        <f>IF(C21&lt;0,C21,"/")</f>
        <v>/</v>
      </c>
      <c r="E21" s="58">
        <f ca="1">IF(表2_3671626293034567[[#This Row],[累计净值]]/MAX(INDIRECT("B21:B" &amp; ROW()))-1&lt;E20,表2_3671626293034567[[#This Row],[累计净值]]/MAX(INDIRECT("B21:B" &amp; ROW()))-1,E20)</f>
        <v>0</v>
      </c>
      <c r="F21" s="21">
        <f>表2_3671626293034567[[#This Row],[累计净值]]</f>
        <v>1.0053000000000001</v>
      </c>
      <c r="G21" s="20"/>
    </row>
    <row r="22" spans="1:7" x14ac:dyDescent="0.2">
      <c r="A22" s="9">
        <v>43704</v>
      </c>
      <c r="B22" s="10">
        <v>1.0065</v>
      </c>
      <c r="C22" s="11">
        <f>IFERROR(B22-B20,0)</f>
        <v>0</v>
      </c>
      <c r="D22" s="12" t="str">
        <f>IF(C22&lt;0,C22,"/")</f>
        <v>/</v>
      </c>
      <c r="E22" s="12">
        <f ca="1">IF(表2_3671626293034567[[#This Row],[累计净值]]/MAX(INDIRECT("B21:B" &amp; ROW()))-1&lt;E20,表2_3671626293034567[[#This Row],[累计净值]]/MAX(INDIRECT("B21:B" &amp; ROW()))-1,E20)</f>
        <v>0</v>
      </c>
      <c r="F22" s="13">
        <f>表2_3671626293034567[[#This Row],[累计净值]]</f>
        <v>1.0065</v>
      </c>
      <c r="G22" s="14" t="s">
        <v>30</v>
      </c>
    </row>
    <row r="23" spans="1:7" x14ac:dyDescent="0.2">
      <c r="A23" s="55">
        <v>43705</v>
      </c>
      <c r="B23" s="56">
        <v>1.0037</v>
      </c>
      <c r="C23" s="57">
        <f>IFERROR(B23-B22,0)</f>
        <v>-2.7999999999999137E-3</v>
      </c>
      <c r="D23" s="58">
        <f>IF(C23&lt;0,C23,"/")</f>
        <v>-2.7999999999999137E-3</v>
      </c>
      <c r="E23" s="58">
        <f ca="1">IF(表2_3671626293034567[[#This Row],[累计净值]]/MAX(INDIRECT("B21:B" &amp; ROW()))-1&lt;E22,表2_3671626293034567[[#This Row],[累计净值]]/MAX(INDIRECT("B21:B" &amp; ROW()))-1,E22)</f>
        <v>-2.7819175360158654E-3</v>
      </c>
      <c r="F23" s="21">
        <f>表2_3671626293034567[[#This Row],[累计净值]]</f>
        <v>1.0037</v>
      </c>
      <c r="G23" s="20">
        <f>表2_3671626293034567[[#This Row],[累计净值]]/$B$22-1</f>
        <v>-2.7819175360158654E-3</v>
      </c>
    </row>
    <row r="24" spans="1:7" x14ac:dyDescent="0.2">
      <c r="A24" s="55">
        <v>43706</v>
      </c>
      <c r="B24" s="16">
        <v>1.0051000000000001</v>
      </c>
      <c r="C24" s="17">
        <f>IFERROR(B24-B23,0)</f>
        <v>1.4000000000000679E-3</v>
      </c>
      <c r="D24" s="18" t="str">
        <f>IF(C24&lt;0,C24,"/")</f>
        <v>/</v>
      </c>
      <c r="E24" s="18">
        <f ca="1">IF(表2_3671626293034567[[#This Row],[累计净值]]/MAX(INDIRECT("B21:B" &amp; ROW()))-1&lt;E23,表2_3671626293034567[[#This Row],[累计净值]]/MAX(INDIRECT("B21:B" &amp; ROW()))-1,E23)</f>
        <v>-2.7819175360158654E-3</v>
      </c>
      <c r="F24" s="19">
        <f>表2_3671626293034567[[#This Row],[累计净值]]</f>
        <v>1.0051000000000001</v>
      </c>
      <c r="G24" s="20">
        <f>表2_3671626293034567[[#This Row],[累计净值]]/$B$22-1</f>
        <v>-1.3909587680077662E-3</v>
      </c>
    </row>
    <row r="25" spans="1:7" x14ac:dyDescent="0.2">
      <c r="A25" s="55">
        <v>43707</v>
      </c>
      <c r="B25" s="16">
        <v>1.0065999999999999</v>
      </c>
      <c r="C25" s="17">
        <f>IFERROR(B25-B24,0)</f>
        <v>1.4999999999998348E-3</v>
      </c>
      <c r="D25" s="18" t="str">
        <f>IF(C25&lt;0,C25,"/")</f>
        <v>/</v>
      </c>
      <c r="E25" s="18">
        <f ca="1">IF(表2_3671626293034567[[#This Row],[累计净值]]/MAX(INDIRECT("B21:B" &amp; ROW()))-1&lt;E24,表2_3671626293034567[[#This Row],[累计净值]]/MAX(INDIRECT("B21:B" &amp; ROW()))-1,E24)</f>
        <v>-2.7819175360158654E-3</v>
      </c>
      <c r="F25" s="19">
        <f>表2_3671626293034567[[#This Row],[累计净值]]</f>
        <v>1.0065999999999999</v>
      </c>
      <c r="G25" s="20">
        <f>表2_3671626293034567[[#This Row],[累计净值]]/$B$22-1</f>
        <v>9.9354197714784931E-5</v>
      </c>
    </row>
    <row r="26" spans="1:7" x14ac:dyDescent="0.2">
      <c r="A26" s="55">
        <v>43710</v>
      </c>
      <c r="B26" s="16">
        <v>1.0025999999999999</v>
      </c>
      <c r="C26" s="61">
        <f t="shared" ref="C26:C31" si="0">IFERROR(B26-B25,0)</f>
        <v>-4.0000000000000036E-3</v>
      </c>
      <c r="D26" s="18">
        <f t="shared" ref="D26:D31" si="1">IF(C26&lt;0,C26,"/")</f>
        <v>-4.0000000000000036E-3</v>
      </c>
      <c r="E26" s="18">
        <f ca="1">IF(表2_3671626293034567[[#This Row],[累计净值]]/MAX(INDIRECT("B21:B" &amp; ROW()))-1&lt;E25,表2_3671626293034567[[#This Row],[累计净值]]/MAX(INDIRECT("B21:B" &amp; ROW()))-1,E25)</f>
        <v>-3.9737730975560881E-3</v>
      </c>
      <c r="F26" s="19">
        <f>表2_3671626293034567[[#This Row],[累计净值]]</f>
        <v>1.0025999999999999</v>
      </c>
      <c r="G26" s="20">
        <f>表2_3671626293034567[[#This Row],[累计净值]]/$B$22-1</f>
        <v>-3.8748137108792768E-3</v>
      </c>
    </row>
    <row r="27" spans="1:7" x14ac:dyDescent="0.2">
      <c r="A27" s="55">
        <v>43711</v>
      </c>
      <c r="B27" s="16">
        <v>1.0043</v>
      </c>
      <c r="C27" s="61">
        <f t="shared" si="0"/>
        <v>1.7000000000000348E-3</v>
      </c>
      <c r="D27" s="18" t="str">
        <f t="shared" si="1"/>
        <v>/</v>
      </c>
      <c r="E27" s="18">
        <f ca="1">IF(表2_3671626293034567[[#This Row],[累计净值]]/MAX(INDIRECT("B21:B" &amp; ROW()))-1&lt;E26,表2_3671626293034567[[#This Row],[累计净值]]/MAX(INDIRECT("B21:B" &amp; ROW()))-1,E26)</f>
        <v>-3.9737730975560881E-3</v>
      </c>
      <c r="F27" s="19">
        <f>表2_3671626293034567[[#This Row],[累计净值]]</f>
        <v>1.0043</v>
      </c>
      <c r="G27" s="20">
        <f>表2_3671626293034567[[#This Row],[累计净值]]/$B$22-1</f>
        <v>-2.1857923497267118E-3</v>
      </c>
    </row>
    <row r="28" spans="1:7" x14ac:dyDescent="0.2">
      <c r="A28" s="55">
        <v>43712</v>
      </c>
      <c r="B28" s="16">
        <v>1.0016</v>
      </c>
      <c r="C28" s="61">
        <f t="shared" si="0"/>
        <v>-2.6999999999999247E-3</v>
      </c>
      <c r="D28" s="18">
        <f t="shared" si="1"/>
        <v>-2.6999999999999247E-3</v>
      </c>
      <c r="E28" s="18">
        <f ca="1">IF(表2_3671626293034567[[#This Row],[累计净值]]/MAX(INDIRECT("B21:B" &amp; ROW()))-1&lt;E27,表2_3671626293034567[[#This Row],[累计净值]]/MAX(INDIRECT("B21:B" &amp; ROW()))-1,E27)</f>
        <v>-4.9672163719450824E-3</v>
      </c>
      <c r="F28" s="19">
        <f>表2_3671626293034567[[#This Row],[累计净值]]</f>
        <v>1.0016</v>
      </c>
      <c r="G28" s="20">
        <f>表2_3671626293034567[[#This Row],[累计净值]]/$B$22-1</f>
        <v>-4.8683556880276813E-3</v>
      </c>
    </row>
    <row r="29" spans="1:7" x14ac:dyDescent="0.2">
      <c r="A29" s="55">
        <v>43713</v>
      </c>
      <c r="B29" s="16">
        <v>0.99309999999999998</v>
      </c>
      <c r="C29" s="61">
        <f t="shared" si="0"/>
        <v>-8.5000000000000631E-3</v>
      </c>
      <c r="D29" s="18">
        <f t="shared" si="1"/>
        <v>-8.5000000000000631E-3</v>
      </c>
      <c r="E29" s="18">
        <f ca="1">IF(表2_3671626293034567[[#This Row],[累计净值]]/MAX(INDIRECT("B21:B" &amp; ROW()))-1&lt;E28,表2_3671626293034567[[#This Row],[累计净值]]/MAX(INDIRECT("B21:B" &amp; ROW()))-1,E28)</f>
        <v>-1.3411484204251867E-2</v>
      </c>
      <c r="F29" s="19">
        <f>表2_3671626293034567[[#This Row],[累计净值]]</f>
        <v>0.99309999999999998</v>
      </c>
      <c r="G29" s="20">
        <f>表2_3671626293034567[[#This Row],[累计净值]]/$B$22-1</f>
        <v>-1.3313462493790285E-2</v>
      </c>
    </row>
    <row r="30" spans="1:7" x14ac:dyDescent="0.2">
      <c r="A30" s="55">
        <v>43714</v>
      </c>
      <c r="B30" s="16">
        <v>0.99639999999999995</v>
      </c>
      <c r="C30" s="61">
        <f t="shared" si="0"/>
        <v>3.2999999999999696E-3</v>
      </c>
      <c r="D30" s="18" t="str">
        <f t="shared" si="1"/>
        <v>/</v>
      </c>
      <c r="E30" s="18">
        <f ca="1">IF(表2_3671626293034567[[#This Row],[累计净值]]/MAX(INDIRECT("B21:B" &amp; ROW()))-1&lt;E29,表2_3671626293034567[[#This Row],[累计净值]]/MAX(INDIRECT("B21:B" &amp; ROW()))-1,E29)</f>
        <v>-1.3411484204251867E-2</v>
      </c>
      <c r="F30" s="19">
        <f>表2_3671626293034567[[#This Row],[累计净值]]</f>
        <v>0.99639999999999995</v>
      </c>
      <c r="G30" s="20">
        <f>表2_3671626293034567[[#This Row],[累计净值]]/$B$22-1</f>
        <v>-1.0034773969200161E-2</v>
      </c>
    </row>
    <row r="31" spans="1:7" x14ac:dyDescent="0.2">
      <c r="A31" s="55">
        <v>43717</v>
      </c>
      <c r="B31" s="16">
        <v>0.99829999999999997</v>
      </c>
      <c r="C31" s="61">
        <f t="shared" si="0"/>
        <v>1.9000000000000128E-3</v>
      </c>
      <c r="D31" s="18" t="str">
        <f t="shared" si="1"/>
        <v>/</v>
      </c>
      <c r="E31" s="18">
        <f ca="1">IF(表2_3671626293034567[[#This Row],[累计净值]]/MAX(INDIRECT("B21:B" &amp; ROW()))-1&lt;E30,表2_3671626293034567[[#This Row],[累计净值]]/MAX(INDIRECT("B21:B" &amp; ROW()))-1,E30)</f>
        <v>-1.3411484204251867E-2</v>
      </c>
      <c r="F31" s="62">
        <f>表2_3671626293034567[[#This Row],[累计净值]]</f>
        <v>0.99829999999999997</v>
      </c>
      <c r="G31" s="20">
        <f>表2_3671626293034567[[#This Row],[累计净值]]/$B$22-1</f>
        <v>-8.1470442126179154E-3</v>
      </c>
    </row>
    <row r="32" spans="1:7" x14ac:dyDescent="0.2">
      <c r="A32" s="55">
        <v>43718</v>
      </c>
      <c r="B32" s="16">
        <v>0.99890000000000001</v>
      </c>
      <c r="C32" s="61">
        <f t="shared" ref="C32:C39" si="2">IFERROR(B32-B31,0)</f>
        <v>6.0000000000004494E-4</v>
      </c>
      <c r="D32" s="18" t="str">
        <f t="shared" ref="D32:D39" si="3">IF(C32&lt;0,C32,"/")</f>
        <v>/</v>
      </c>
      <c r="E32" s="18">
        <f ca="1">IF(表2_3671626293034567[[#This Row],[累计净值]]/MAX(INDIRECT("B21:B" &amp; ROW()))-1&lt;E31,表2_3671626293034567[[#This Row],[累计净值]]/MAX(INDIRECT("B21:B" &amp; ROW()))-1,E31)</f>
        <v>-1.3411484204251867E-2</v>
      </c>
      <c r="F32" s="62">
        <f>表2_3671626293034567[[#This Row],[累计净值]]</f>
        <v>0.99890000000000001</v>
      </c>
      <c r="G32" s="20">
        <f>表2_3671626293034567[[#This Row],[累计净值]]/$B$22-1</f>
        <v>-7.5509190263287618E-3</v>
      </c>
    </row>
    <row r="33" spans="1:7" x14ac:dyDescent="0.2">
      <c r="A33" s="55">
        <v>43719</v>
      </c>
      <c r="B33" s="16">
        <v>0.99550000000000005</v>
      </c>
      <c r="C33" s="61">
        <f t="shared" si="2"/>
        <v>-3.3999999999999586E-3</v>
      </c>
      <c r="D33" s="18">
        <f t="shared" si="3"/>
        <v>-3.3999999999999586E-3</v>
      </c>
      <c r="E33" s="18">
        <f ca="1">IF(表2_3671626293034567[[#This Row],[累计净值]]/MAX(INDIRECT("B21:B" &amp; ROW()))-1&lt;E32,表2_3671626293034567[[#This Row],[累计净值]]/MAX(INDIRECT("B21:B" &amp; ROW()))-1,E32)</f>
        <v>-1.3411484204251867E-2</v>
      </c>
      <c r="F33" s="62">
        <f>表2_3671626293034567[[#This Row],[累计净值]]</f>
        <v>0.99550000000000005</v>
      </c>
      <c r="G33" s="20">
        <f>表2_3671626293034567[[#This Row],[累计净值]]/$B$22-1</f>
        <v>-1.0928961748633781E-2</v>
      </c>
    </row>
    <row r="34" spans="1:7" x14ac:dyDescent="0.2">
      <c r="A34" s="55">
        <v>43720</v>
      </c>
      <c r="B34" s="16">
        <v>0.99560000000000004</v>
      </c>
      <c r="C34" s="61">
        <f t="shared" si="2"/>
        <v>9.9999999999988987E-5</v>
      </c>
      <c r="D34" s="18" t="str">
        <f t="shared" si="3"/>
        <v>/</v>
      </c>
      <c r="E34" s="18">
        <f ca="1">IF(表2_3671626293034567[[#This Row],[累计净值]]/MAX(INDIRECT("B21:B" &amp; ROW()))-1&lt;E33,表2_3671626293034567[[#This Row],[累计净值]]/MAX(INDIRECT("B21:B" &amp; ROW()))-1,E33)</f>
        <v>-1.3411484204251867E-2</v>
      </c>
      <c r="F34" s="62">
        <f>表2_3671626293034567[[#This Row],[累计净值]]</f>
        <v>0.99560000000000004</v>
      </c>
      <c r="G34" s="20">
        <f>表2_3671626293034567[[#This Row],[累计净值]]/$B$22-1</f>
        <v>-1.0829607550918885E-2</v>
      </c>
    </row>
    <row r="35" spans="1:7" x14ac:dyDescent="0.2">
      <c r="A35" s="55">
        <v>43724</v>
      </c>
      <c r="B35" s="16">
        <v>1.0016</v>
      </c>
      <c r="C35" s="61">
        <f t="shared" si="2"/>
        <v>6.0000000000000053E-3</v>
      </c>
      <c r="D35" s="18" t="str">
        <f t="shared" si="3"/>
        <v>/</v>
      </c>
      <c r="E35" s="18">
        <f ca="1">IF(表2_3671626293034567[[#This Row],[累计净值]]/MAX(INDIRECT("B21:B" &amp; ROW()))-1&lt;E34,表2_3671626293034567[[#This Row],[累计净值]]/MAX(INDIRECT("B21:B" &amp; ROW()))-1,E34)</f>
        <v>-1.3411484204251867E-2</v>
      </c>
      <c r="F35" s="62">
        <f>表2_3671626293034567[[#This Row],[累计净值]]</f>
        <v>1.0016</v>
      </c>
      <c r="G35" s="20">
        <f>表2_3671626293034567[[#This Row],[累计净值]]/$B$22-1</f>
        <v>-4.8683556880276813E-3</v>
      </c>
    </row>
    <row r="36" spans="1:7" x14ac:dyDescent="0.2">
      <c r="A36" s="55">
        <v>43725</v>
      </c>
      <c r="B36" s="16">
        <v>1.0027999999999999</v>
      </c>
      <c r="C36" s="61">
        <f t="shared" si="2"/>
        <v>1.1999999999998678E-3</v>
      </c>
      <c r="D36" s="18" t="str">
        <f t="shared" si="3"/>
        <v>/</v>
      </c>
      <c r="E36" s="18">
        <f ca="1">IF(表2_3671626293034567[[#This Row],[累计净值]]/MAX(INDIRECT("B21:B" &amp; ROW()))-1&lt;E35,表2_3671626293034567[[#This Row],[累计净值]]/MAX(INDIRECT("B21:B" &amp; ROW()))-1,E35)</f>
        <v>-1.3411484204251867E-2</v>
      </c>
      <c r="F36" s="62">
        <f>表2_3671626293034567[[#This Row],[累计净值]]</f>
        <v>1.0027999999999999</v>
      </c>
      <c r="G36" s="20">
        <f>表2_3671626293034567[[#This Row],[累计净值]]/$B$22-1</f>
        <v>-3.676105315449596E-3</v>
      </c>
    </row>
    <row r="37" spans="1:7" x14ac:dyDescent="0.2">
      <c r="A37" s="55">
        <v>43726</v>
      </c>
      <c r="B37" s="16">
        <v>1.0038</v>
      </c>
      <c r="C37" s="61">
        <f t="shared" si="2"/>
        <v>1.0000000000001119E-3</v>
      </c>
      <c r="D37" s="18" t="str">
        <f t="shared" si="3"/>
        <v>/</v>
      </c>
      <c r="E37" s="18">
        <f ca="1">IF(表2_3671626293034567[[#This Row],[累计净值]]/MAX(INDIRECT("B21:B" &amp; ROW()))-1&lt;E36,表2_3671626293034567[[#This Row],[累计净值]]/MAX(INDIRECT("B21:B" &amp; ROW()))-1,E36)</f>
        <v>-1.3411484204251867E-2</v>
      </c>
      <c r="F37" s="62">
        <f>表2_3671626293034567[[#This Row],[累计净值]]</f>
        <v>1.0038</v>
      </c>
      <c r="G37" s="20">
        <f>表2_3671626293034567[[#This Row],[累计净值]]/$B$22-1</f>
        <v>-2.6825633383009695E-3</v>
      </c>
    </row>
    <row r="38" spans="1:7" x14ac:dyDescent="0.2">
      <c r="A38" s="55">
        <v>43727</v>
      </c>
      <c r="B38" s="16">
        <v>1.0085999999999999</v>
      </c>
      <c r="C38" s="61">
        <f t="shared" si="2"/>
        <v>4.7999999999999154E-3</v>
      </c>
      <c r="D38" s="18" t="str">
        <f t="shared" si="3"/>
        <v>/</v>
      </c>
      <c r="E38" s="18">
        <f ca="1">IF(表2_3671626293034567[[#This Row],[累计净值]]/MAX(INDIRECT("B21:B" &amp; ROW()))-1&lt;E37,表2_3671626293034567[[#This Row],[累计净值]]/MAX(INDIRECT("B21:B" &amp; ROW()))-1,E37)</f>
        <v>-1.3411484204251867E-2</v>
      </c>
      <c r="F38" s="62">
        <f>表2_3671626293034567[[#This Row],[累计净值]]</f>
        <v>1.0085999999999999</v>
      </c>
      <c r="G38" s="20">
        <f>表2_3671626293034567[[#This Row],[累计净值]]/$B$22-1</f>
        <v>2.0864381520118158E-3</v>
      </c>
    </row>
    <row r="39" spans="1:7" x14ac:dyDescent="0.2">
      <c r="A39" s="55">
        <v>43728</v>
      </c>
      <c r="B39" s="16">
        <v>1.0072000000000001</v>
      </c>
      <c r="C39" s="61">
        <f t="shared" si="2"/>
        <v>-1.3999999999998458E-3</v>
      </c>
      <c r="D39" s="18">
        <f t="shared" si="3"/>
        <v>-1.3999999999998458E-3</v>
      </c>
      <c r="E39" s="18">
        <f ca="1">IF(表2_3671626293034567[[#This Row],[累计净值]]/MAX(INDIRECT("B21:B" &amp; ROW()))-1&lt;E38,表2_3671626293034567[[#This Row],[累计净值]]/MAX(INDIRECT("B21:B" &amp; ROW()))-1,E38)</f>
        <v>-1.3411484204251867E-2</v>
      </c>
      <c r="F39" s="62">
        <f>表2_3671626293034567[[#This Row],[累计净值]]</f>
        <v>1.0072000000000001</v>
      </c>
      <c r="G39" s="20">
        <f>表2_3671626293034567[[#This Row],[累计净值]]/$B$22-1</f>
        <v>6.9547938400416065E-4</v>
      </c>
    </row>
    <row r="40" spans="1:7" x14ac:dyDescent="0.2">
      <c r="A40" s="55">
        <v>43731</v>
      </c>
      <c r="B40" s="16">
        <v>1.0055000000000001</v>
      </c>
      <c r="C40" s="61">
        <f t="shared" ref="C40:C45" si="4">IFERROR(B40-B39,0)</f>
        <v>-1.7000000000000348E-3</v>
      </c>
      <c r="D40" s="18">
        <f t="shared" ref="D40:D45" si="5">IF(C40&lt;0,C40,"/")</f>
        <v>-1.7000000000000348E-3</v>
      </c>
      <c r="E40" s="18">
        <f ca="1">IF(表2_3671626293034567[[#This Row],[累计净值]]/MAX(INDIRECT("B21:B" &amp; ROW()))-1&lt;E39,表2_3671626293034567[[#This Row],[累计净值]]/MAX(INDIRECT("B21:B" &amp; ROW()))-1,E39)</f>
        <v>-1.3411484204251867E-2</v>
      </c>
      <c r="F40" s="62">
        <f>表2_3671626293034567[[#This Row],[累计净值]]</f>
        <v>1.0055000000000001</v>
      </c>
      <c r="G40" s="20">
        <f>表2_3671626293034567[[#This Row],[累计净值]]/$B$22-1</f>
        <v>-9.9354197714840442E-4</v>
      </c>
    </row>
    <row r="41" spans="1:7" x14ac:dyDescent="0.2">
      <c r="A41" s="55">
        <v>43732</v>
      </c>
      <c r="B41" s="16">
        <v>1.0046999999999999</v>
      </c>
      <c r="C41" s="61">
        <f t="shared" si="4"/>
        <v>-8.0000000000013394E-4</v>
      </c>
      <c r="D41" s="18">
        <f t="shared" si="5"/>
        <v>-8.0000000000013394E-4</v>
      </c>
      <c r="E41" s="18">
        <f ca="1">IF(表2_3671626293034567[[#This Row],[累计净值]]/MAX(INDIRECT("B21:B" &amp; ROW()))-1&lt;E40,表2_3671626293034567[[#This Row],[累计净值]]/MAX(INDIRECT("B21:B" &amp; ROW()))-1,E40)</f>
        <v>-1.3411484204251867E-2</v>
      </c>
      <c r="F41" s="62">
        <f>表2_3671626293034567[[#This Row],[累计净值]]</f>
        <v>1.0046999999999999</v>
      </c>
      <c r="G41" s="20">
        <f>表2_3671626293034567[[#This Row],[累计净值]]/$B$22-1</f>
        <v>-1.78837555886735E-3</v>
      </c>
    </row>
    <row r="42" spans="1:7" x14ac:dyDescent="0.2">
      <c r="A42" s="55">
        <v>43733</v>
      </c>
      <c r="B42" s="16">
        <v>1.0024999999999999</v>
      </c>
      <c r="C42" s="61">
        <f t="shared" si="4"/>
        <v>-2.1999999999999797E-3</v>
      </c>
      <c r="D42" s="18">
        <f t="shared" si="5"/>
        <v>-2.1999999999999797E-3</v>
      </c>
      <c r="E42" s="18">
        <f ca="1">IF(表2_3671626293034567[[#This Row],[累计净值]]/MAX(INDIRECT("B21:B" &amp; ROW()))-1&lt;E41,表2_3671626293034567[[#This Row],[累计净值]]/MAX(INDIRECT("B21:B" &amp; ROW()))-1,E41)</f>
        <v>-1.3411484204251867E-2</v>
      </c>
      <c r="F42" s="62">
        <f>表2_3671626293034567[[#This Row],[累计净值]]</f>
        <v>1.0024999999999999</v>
      </c>
      <c r="G42" s="20">
        <f>表2_3671626293034567[[#This Row],[累计净值]]/$B$22-1</f>
        <v>-3.9741679085941728E-3</v>
      </c>
    </row>
    <row r="43" spans="1:7" x14ac:dyDescent="0.2">
      <c r="A43" s="55">
        <v>43734</v>
      </c>
      <c r="B43" s="16">
        <v>1.0007999999999999</v>
      </c>
      <c r="C43" s="61">
        <f t="shared" si="4"/>
        <v>-1.7000000000000348E-3</v>
      </c>
      <c r="D43" s="18">
        <f t="shared" si="5"/>
        <v>-1.7000000000000348E-3</v>
      </c>
      <c r="E43" s="18">
        <f ca="1">IF(表2_3671626293034567[[#This Row],[累计净值]]/MAX(INDIRECT("B21:B" &amp; ROW()))-1&lt;E42,表2_3671626293034567[[#This Row],[累计净值]]/MAX(INDIRECT("B21:B" &amp; ROW()))-1,E42)</f>
        <v>-1.3411484204251867E-2</v>
      </c>
      <c r="F43" s="62">
        <f>表2_3671626293034567[[#This Row],[累计净值]]</f>
        <v>1.0007999999999999</v>
      </c>
      <c r="G43" s="20">
        <f>表2_3671626293034567[[#This Row],[累计净值]]/$B$22-1</f>
        <v>-5.6631892697467379E-3</v>
      </c>
    </row>
    <row r="44" spans="1:7" x14ac:dyDescent="0.2">
      <c r="A44" s="55">
        <v>43735</v>
      </c>
      <c r="B44" s="16">
        <v>1.0048999999999999</v>
      </c>
      <c r="C44" s="61">
        <f t="shared" si="4"/>
        <v>4.0999999999999925E-3</v>
      </c>
      <c r="D44" s="18" t="str">
        <f t="shared" si="5"/>
        <v>/</v>
      </c>
      <c r="E44" s="18">
        <f ca="1">IF(表2_3671626293034567[[#This Row],[累计净值]]/MAX(INDIRECT("B21:B" &amp; ROW()))-1&lt;E43,表2_3671626293034567[[#This Row],[累计净值]]/MAX(INDIRECT("B21:B" &amp; ROW()))-1,E43)</f>
        <v>-1.3411484204251867E-2</v>
      </c>
      <c r="F44" s="62">
        <f>表2_3671626293034567[[#This Row],[累计净值]]</f>
        <v>1.0048999999999999</v>
      </c>
      <c r="G44" s="20">
        <f>表2_3671626293034567[[#This Row],[累计净值]]/$B$22-1</f>
        <v>-1.5896671634376691E-3</v>
      </c>
    </row>
    <row r="45" spans="1:7" x14ac:dyDescent="0.2">
      <c r="A45" s="55">
        <v>43738</v>
      </c>
      <c r="B45" s="16">
        <v>1.0058</v>
      </c>
      <c r="C45" s="61">
        <f t="shared" si="4"/>
        <v>9.0000000000012292E-4</v>
      </c>
      <c r="D45" s="18" t="str">
        <f t="shared" si="5"/>
        <v>/</v>
      </c>
      <c r="E45" s="18">
        <f ca="1">IF(表2_3671626293034567[[#This Row],[累计净值]]/MAX(INDIRECT("B21:B" &amp; ROW()))-1&lt;E44,表2_3671626293034567[[#This Row],[累计净值]]/MAX(INDIRECT("B21:B" &amp; ROW()))-1,E44)</f>
        <v>-1.3411484204251867E-2</v>
      </c>
      <c r="F45" s="62">
        <f>表2_3671626293034567[[#This Row],[累计净值]]</f>
        <v>1.0058</v>
      </c>
      <c r="G45" s="20">
        <f>表2_3671626293034567[[#This Row],[累计净值]]/$B$22-1</f>
        <v>-6.9547938400393861E-4</v>
      </c>
    </row>
    <row r="46" spans="1:7" x14ac:dyDescent="0.2">
      <c r="A46" s="55">
        <v>43746</v>
      </c>
      <c r="B46" s="16">
        <v>1.0081</v>
      </c>
      <c r="C46" s="61">
        <f>IFERROR(B46-B45,0)</f>
        <v>2.2999999999999687E-3</v>
      </c>
      <c r="D46" s="18" t="str">
        <f>IF(C46&lt;0,C46,"/")</f>
        <v>/</v>
      </c>
      <c r="E46" s="18">
        <f ca="1">IF(表2_3671626293034567[[#This Row],[累计净值]]/MAX(INDIRECT("B21:B" &amp; ROW()))-1&lt;E45,表2_3671626293034567[[#This Row],[累计净值]]/MAX(INDIRECT("B21:B" &amp; ROW()))-1,E45)</f>
        <v>-1.3411484204251867E-2</v>
      </c>
      <c r="F46" s="62">
        <f>表2_3671626293034567[[#This Row],[累计净值]]</f>
        <v>1.0081</v>
      </c>
      <c r="G46" s="20">
        <f>表2_3671626293034567[[#This Row],[累计净值]]/$B$22-1</f>
        <v>1.5896671634376691E-3</v>
      </c>
    </row>
    <row r="47" spans="1:7" x14ac:dyDescent="0.2">
      <c r="A47" s="55">
        <v>43747</v>
      </c>
      <c r="B47" s="16">
        <v>1.0112000000000001</v>
      </c>
      <c r="C47" s="61">
        <f>IFERROR(B47-B46,0)</f>
        <v>3.1000000000001027E-3</v>
      </c>
      <c r="D47" s="18" t="str">
        <f>IF(C47&lt;0,C47,"/")</f>
        <v>/</v>
      </c>
      <c r="E47" s="18">
        <f ca="1">IF(表2_3671626293034567[[#This Row],[累计净值]]/MAX(INDIRECT("B21:B" &amp; ROW()))-1&lt;E46,表2_3671626293034567[[#This Row],[累计净值]]/MAX(INDIRECT("B21:B" &amp; ROW()))-1,E46)</f>
        <v>-1.3411484204251867E-2</v>
      </c>
      <c r="F47" s="62">
        <f>表2_3671626293034567[[#This Row],[累计净值]]</f>
        <v>1.0112000000000001</v>
      </c>
      <c r="G47" s="20">
        <f>表2_3671626293034567[[#This Row],[累计净值]]/$B$22-1</f>
        <v>4.6696472925982224E-3</v>
      </c>
    </row>
    <row r="48" spans="1:7" x14ac:dyDescent="0.2">
      <c r="A48" s="55">
        <v>43748</v>
      </c>
      <c r="B48" s="16">
        <v>1.0142</v>
      </c>
      <c r="C48" s="61">
        <f>IFERROR(B48-B47,0)</f>
        <v>2.9999999999998916E-3</v>
      </c>
      <c r="D48" s="18" t="str">
        <f>IF(C48&lt;0,C48,"/")</f>
        <v>/</v>
      </c>
      <c r="E48" s="18">
        <f ca="1">IF(表2_3671626293034567[[#This Row],[累计净值]]/MAX(INDIRECT("B21:B" &amp; ROW()))-1&lt;E47,表2_3671626293034567[[#This Row],[累计净值]]/MAX(INDIRECT("B21:B" &amp; ROW()))-1,E47)</f>
        <v>-1.3411484204251867E-2</v>
      </c>
      <c r="F48" s="62">
        <f>表2_3671626293034567[[#This Row],[累计净值]]</f>
        <v>1.0142</v>
      </c>
      <c r="G48" s="20">
        <f>表2_3671626293034567[[#This Row],[累计净值]]/$B$22-1</f>
        <v>7.6502732240437687E-3</v>
      </c>
    </row>
    <row r="49" spans="1:7" x14ac:dyDescent="0.2">
      <c r="A49" s="55">
        <v>43749</v>
      </c>
      <c r="B49" s="16">
        <v>1.0105999999999999</v>
      </c>
      <c r="C49" s="61">
        <f>IFERROR(B49-B48,0)</f>
        <v>-3.6000000000000476E-3</v>
      </c>
      <c r="D49" s="18">
        <f>IF(C49&lt;0,C49,"/")</f>
        <v>-3.6000000000000476E-3</v>
      </c>
      <c r="E49" s="18">
        <f ca="1">IF(表2_3671626293034567[[#This Row],[累计净值]]/MAX(INDIRECT("B21:B" &amp; ROW()))-1&lt;E48,表2_3671626293034567[[#This Row],[累计净值]]/MAX(INDIRECT("B21:B" &amp; ROW()))-1,E48)</f>
        <v>-1.3411484204251867E-2</v>
      </c>
      <c r="F49" s="62">
        <f>表2_3671626293034567[[#This Row],[累计净值]]</f>
        <v>1.0105999999999999</v>
      </c>
      <c r="G49" s="20">
        <f>表2_3671626293034567[[#This Row],[累计净值]]/$B$22-1</f>
        <v>4.0735221063090687E-3</v>
      </c>
    </row>
    <row r="50" spans="1:7" x14ac:dyDescent="0.2">
      <c r="A50" s="55">
        <v>43752</v>
      </c>
      <c r="B50" s="16">
        <v>1.0111000000000001</v>
      </c>
      <c r="C50" s="61">
        <f t="shared" ref="C50:C55" si="6">IFERROR(B50-B49,0)</f>
        <v>5.0000000000016698E-4</v>
      </c>
      <c r="D50" s="18" t="str">
        <f t="shared" ref="D50:D55" si="7">IF(C50&lt;0,C50,"/")</f>
        <v>/</v>
      </c>
      <c r="E50" s="18">
        <f ca="1">IF(表2_3671626293034567[[#This Row],[累计净值]]/MAX(INDIRECT("B21:B" &amp; ROW()))-1&lt;E49,表2_3671626293034567[[#This Row],[累计净值]]/MAX(INDIRECT("B21:B" &amp; ROW()))-1,E49)</f>
        <v>-1.3411484204251867E-2</v>
      </c>
      <c r="F50" s="62">
        <f>表2_3671626293034567[[#This Row],[累计净值]]</f>
        <v>1.0111000000000001</v>
      </c>
      <c r="G50" s="20">
        <f>表2_3671626293034567[[#This Row],[累计净值]]/$B$22-1</f>
        <v>4.5702930948834375E-3</v>
      </c>
    </row>
    <row r="51" spans="1:7" x14ac:dyDescent="0.2">
      <c r="A51" s="55">
        <v>43753</v>
      </c>
      <c r="B51" s="16">
        <v>1.0093000000000001</v>
      </c>
      <c r="C51" s="61">
        <f t="shared" si="6"/>
        <v>-1.8000000000000238E-3</v>
      </c>
      <c r="D51" s="18">
        <f t="shared" si="7"/>
        <v>-1.8000000000000238E-3</v>
      </c>
      <c r="E51" s="18">
        <f ca="1">IF(表2_3671626293034567[[#This Row],[累计净值]]/MAX(INDIRECT("B21:B" &amp; ROW()))-1&lt;E50,表2_3671626293034567[[#This Row],[累计净值]]/MAX(INDIRECT("B21:B" &amp; ROW()))-1,E50)</f>
        <v>-1.3411484204251867E-2</v>
      </c>
      <c r="F51" s="62">
        <f>表2_3671626293034567[[#This Row],[累计净值]]</f>
        <v>1.0093000000000001</v>
      </c>
      <c r="G51" s="20">
        <f>表2_3671626293034567[[#This Row],[累计净值]]/$B$22-1</f>
        <v>2.7819175360159765E-3</v>
      </c>
    </row>
    <row r="52" spans="1:7" x14ac:dyDescent="0.2">
      <c r="A52" s="55">
        <v>43754</v>
      </c>
      <c r="B52" s="16">
        <v>1.0119</v>
      </c>
      <c r="C52" s="61">
        <f t="shared" si="6"/>
        <v>2.5999999999999357E-3</v>
      </c>
      <c r="D52" s="18" t="str">
        <f t="shared" si="7"/>
        <v>/</v>
      </c>
      <c r="E52" s="18">
        <f ca="1">IF(表2_3671626293034567[[#This Row],[累计净值]]/MAX(INDIRECT("B21:B" &amp; ROW()))-1&lt;E51,表2_3671626293034567[[#This Row],[累计净值]]/MAX(INDIRECT("B21:B" &amp; ROW()))-1,E51)</f>
        <v>-1.3411484204251867E-2</v>
      </c>
      <c r="F52" s="62">
        <f>表2_3671626293034567[[#This Row],[累计净值]]</f>
        <v>1.0119</v>
      </c>
      <c r="G52" s="20">
        <f>表2_3671626293034567[[#This Row],[累计净值]]/$B$22-1</f>
        <v>5.365126676602161E-3</v>
      </c>
    </row>
    <row r="53" spans="1:7" x14ac:dyDescent="0.2">
      <c r="A53" s="55">
        <v>43755</v>
      </c>
      <c r="B53" s="16">
        <v>1.0135000000000001</v>
      </c>
      <c r="C53" s="61">
        <f t="shared" si="6"/>
        <v>1.6000000000000458E-3</v>
      </c>
      <c r="D53" s="18" t="str">
        <f t="shared" si="7"/>
        <v>/</v>
      </c>
      <c r="E53" s="18">
        <f ca="1">IF(表2_3671626293034567[[#This Row],[累计净值]]/MAX(INDIRECT("B21:B" &amp; ROW()))-1&lt;E52,表2_3671626293034567[[#This Row],[累计净值]]/MAX(INDIRECT("B21:B" &amp; ROW()))-1,E52)</f>
        <v>-1.3411484204251867E-2</v>
      </c>
      <c r="F53" s="62">
        <f>表2_3671626293034567[[#This Row],[累计净值]]</f>
        <v>1.0135000000000001</v>
      </c>
      <c r="G53" s="20">
        <f>表2_3671626293034567[[#This Row],[累计净值]]/$B$22-1</f>
        <v>6.9547938400398301E-3</v>
      </c>
    </row>
    <row r="54" spans="1:7" x14ac:dyDescent="0.2">
      <c r="A54" s="55">
        <v>43756</v>
      </c>
      <c r="B54" s="16">
        <v>1.016</v>
      </c>
      <c r="C54" s="61">
        <f t="shared" si="6"/>
        <v>2.4999999999999467E-3</v>
      </c>
      <c r="D54" s="18" t="str">
        <f t="shared" si="7"/>
        <v>/</v>
      </c>
      <c r="E54" s="18">
        <f ca="1">IF(表2_3671626293034567[[#This Row],[累计净值]]/MAX(INDIRECT("B21:B" &amp; ROW()))-1&lt;E53,表2_3671626293034567[[#This Row],[累计净值]]/MAX(INDIRECT("B21:B" &amp; ROW()))-1,E53)</f>
        <v>-1.3411484204251867E-2</v>
      </c>
      <c r="F54" s="62">
        <f>表2_3671626293034567[[#This Row],[累计净值]]</f>
        <v>1.016</v>
      </c>
      <c r="G54" s="20">
        <f>表2_3671626293034567[[#This Row],[累计净值]]/$B$22-1</f>
        <v>9.4386487829112298E-3</v>
      </c>
    </row>
    <row r="55" spans="1:7" x14ac:dyDescent="0.2">
      <c r="A55" s="77">
        <v>43759</v>
      </c>
      <c r="B55" s="76">
        <v>1.0174000000000001</v>
      </c>
      <c r="C55" s="73">
        <f t="shared" si="6"/>
        <v>1.4000000000000679E-3</v>
      </c>
      <c r="D55" s="18" t="str">
        <f t="shared" si="7"/>
        <v>/</v>
      </c>
      <c r="E55" s="18">
        <f ca="1">IF(表2_3671626293034567[[#This Row],[累计净值]]/MAX(INDIRECT("B21:B" &amp; ROW()))-1&lt;E54,表2_3671626293034567[[#This Row],[累计净值]]/MAX(INDIRECT("B21:B" &amp; ROW()))-1,E54)</f>
        <v>-1.3411484204251867E-2</v>
      </c>
      <c r="F55" s="62">
        <f>表2_3671626293034567[[#This Row],[累计净值]]</f>
        <v>1.0174000000000001</v>
      </c>
      <c r="G55" s="20">
        <f>表2_3671626293034567[[#This Row],[累计净值]]/$B$22-1</f>
        <v>1.0829607550919107E-2</v>
      </c>
    </row>
    <row r="56" spans="1:7" x14ac:dyDescent="0.2">
      <c r="A56" s="55">
        <v>43760</v>
      </c>
      <c r="B56" s="16">
        <v>1.0167999999999999</v>
      </c>
      <c r="C56" s="73">
        <f t="shared" ref="C56:C62" si="8">IFERROR(B56-B55,0)</f>
        <v>-6.0000000000015596E-4</v>
      </c>
      <c r="D56" s="18">
        <f t="shared" ref="D56:D62" si="9">IF(C56&lt;0,C56,"/")</f>
        <v>-6.0000000000015596E-4</v>
      </c>
      <c r="E56" s="18">
        <f ca="1">IF(表2_3671626293034567[[#This Row],[累计净值]]/MAX(INDIRECT("B21:B" &amp; ROW()))-1&lt;E55,表2_3671626293034567[[#This Row],[累计净值]]/MAX(INDIRECT("B21:B" &amp; ROW()))-1,E55)</f>
        <v>-1.3411484204251867E-2</v>
      </c>
      <c r="F56" s="62">
        <f>表2_3671626293034567[[#This Row],[累计净值]]</f>
        <v>1.0167999999999999</v>
      </c>
      <c r="G56" s="20">
        <f>表2_3671626293034567[[#This Row],[累计净值]]/$B$22-1</f>
        <v>1.0233482364629953E-2</v>
      </c>
    </row>
    <row r="57" spans="1:7" x14ac:dyDescent="0.2">
      <c r="A57" s="55">
        <v>43761</v>
      </c>
      <c r="B57" s="16">
        <v>1.0165</v>
      </c>
      <c r="C57" s="73">
        <f t="shared" si="8"/>
        <v>-2.9999999999996696E-4</v>
      </c>
      <c r="D57" s="18">
        <f t="shared" si="9"/>
        <v>-2.9999999999996696E-4</v>
      </c>
      <c r="E57" s="18">
        <f ca="1">IF(表2_3671626293034567[[#This Row],[累计净值]]/MAX(INDIRECT("B21:B" &amp; ROW()))-1&lt;E56,表2_3671626293034567[[#This Row],[累计净值]]/MAX(INDIRECT("B21:B" &amp; ROW()))-1,E56)</f>
        <v>-1.3411484204251867E-2</v>
      </c>
      <c r="F57" s="62">
        <f>表2_3671626293034567[[#This Row],[累计净值]]</f>
        <v>1.0165</v>
      </c>
      <c r="G57" s="20">
        <f>表2_3671626293034567[[#This Row],[累计净值]]/$B$22-1</f>
        <v>9.9354197714853765E-3</v>
      </c>
    </row>
    <row r="58" spans="1:7" x14ac:dyDescent="0.2">
      <c r="A58" s="55">
        <v>43762</v>
      </c>
      <c r="B58" s="16">
        <v>1.0153000000000001</v>
      </c>
      <c r="C58" s="73">
        <f t="shared" si="8"/>
        <v>-1.1999999999998678E-3</v>
      </c>
      <c r="D58" s="18">
        <f t="shared" si="9"/>
        <v>-1.1999999999998678E-3</v>
      </c>
      <c r="E58" s="18">
        <f ca="1">IF(表2_3671626293034567[[#This Row],[累计净值]]/MAX(INDIRECT("B21:B" &amp; ROW()))-1&lt;E57,表2_3671626293034567[[#This Row],[累计净值]]/MAX(INDIRECT("B21:B" &amp; ROW()))-1,E57)</f>
        <v>-1.3411484204251867E-2</v>
      </c>
      <c r="F58" s="62">
        <f>表2_3671626293034567[[#This Row],[累计净值]]</f>
        <v>1.0153000000000001</v>
      </c>
      <c r="G58" s="20">
        <f>表2_3671626293034567[[#This Row],[累计净值]]/$B$22-1</f>
        <v>8.7431693989072912E-3</v>
      </c>
    </row>
    <row r="59" spans="1:7" x14ac:dyDescent="0.2">
      <c r="A59" s="55">
        <v>43763</v>
      </c>
      <c r="B59" s="16">
        <v>1.0161</v>
      </c>
      <c r="C59" s="73">
        <f t="shared" si="8"/>
        <v>7.9999999999991189E-4</v>
      </c>
      <c r="D59" s="18" t="str">
        <f t="shared" si="9"/>
        <v>/</v>
      </c>
      <c r="E59" s="18">
        <f ca="1">IF(表2_3671626293034567[[#This Row],[累计净值]]/MAX(INDIRECT("B21:B" &amp; ROW()))-1&lt;E58,表2_3671626293034567[[#This Row],[累计净值]]/MAX(INDIRECT("B21:B" &amp; ROW()))-1,E58)</f>
        <v>-1.3411484204251867E-2</v>
      </c>
      <c r="F59" s="62">
        <f>表2_3671626293034567[[#This Row],[累计净值]]</f>
        <v>1.0161</v>
      </c>
      <c r="G59" s="20">
        <f>表2_3671626293034567[[#This Row],[累计净值]]/$B$22-1</f>
        <v>9.5380029806260147E-3</v>
      </c>
    </row>
    <row r="60" spans="1:7" x14ac:dyDescent="0.2">
      <c r="A60" s="55">
        <v>43766</v>
      </c>
      <c r="B60" s="76">
        <v>1.0190999999999999</v>
      </c>
      <c r="C60" s="73">
        <f t="shared" si="8"/>
        <v>2.9999999999998916E-3</v>
      </c>
      <c r="D60" s="18" t="str">
        <f t="shared" si="9"/>
        <v>/</v>
      </c>
      <c r="E60" s="18">
        <f ca="1">IF(表2_3671626293034567[[#This Row],[累计净值]]/MAX(INDIRECT("B21:B" &amp; ROW()))-1&lt;E59,表2_3671626293034567[[#This Row],[累计净值]]/MAX(INDIRECT("B21:B" &amp; ROW()))-1,E59)</f>
        <v>-1.3411484204251867E-2</v>
      </c>
      <c r="F60" s="62">
        <f>表2_3671626293034567[[#This Row],[累计净值]]</f>
        <v>1.0190999999999999</v>
      </c>
      <c r="G60" s="20">
        <f>表2_3671626293034567[[#This Row],[累计净值]]/$B$22-1</f>
        <v>1.2518628912071561E-2</v>
      </c>
    </row>
    <row r="61" spans="1:7" x14ac:dyDescent="0.2">
      <c r="A61" s="55">
        <v>43767</v>
      </c>
      <c r="B61" s="16">
        <v>1.0178</v>
      </c>
      <c r="C61" s="73">
        <f t="shared" si="8"/>
        <v>-1.2999999999998568E-3</v>
      </c>
      <c r="D61" s="18">
        <f t="shared" si="9"/>
        <v>-1.2999999999998568E-3</v>
      </c>
      <c r="E61" s="18">
        <f ca="1">IF(表2_3671626293034567[[#This Row],[累计净值]]/MAX(INDIRECT("B21:B" &amp; ROW()))-1&lt;E60,表2_3671626293034567[[#This Row],[累计净值]]/MAX(INDIRECT("B21:B" &amp; ROW()))-1,E60)</f>
        <v>-1.3411484204251867E-2</v>
      </c>
      <c r="F61" s="62">
        <f>表2_3671626293034567[[#This Row],[累计净值]]</f>
        <v>1.0178</v>
      </c>
      <c r="G61" s="20">
        <f>表2_3671626293034567[[#This Row],[累计净值]]/$B$22-1</f>
        <v>1.1227024341778469E-2</v>
      </c>
    </row>
    <row r="62" spans="1:7" x14ac:dyDescent="0.2">
      <c r="A62" s="55">
        <v>43768</v>
      </c>
      <c r="B62" s="16">
        <v>1.0201</v>
      </c>
      <c r="C62" s="73">
        <f t="shared" si="8"/>
        <v>2.2999999999999687E-3</v>
      </c>
      <c r="D62" s="18" t="str">
        <f t="shared" si="9"/>
        <v>/</v>
      </c>
      <c r="E62" s="18">
        <f ca="1">IF(表2_3671626293034567[[#This Row],[累计净值]]/MAX(INDIRECT("B21:B" &amp; ROW()))-1&lt;E61,表2_3671626293034567[[#This Row],[累计净值]]/MAX(INDIRECT("B21:B" &amp; ROW()))-1,E61)</f>
        <v>-1.3411484204251867E-2</v>
      </c>
      <c r="F62" s="62">
        <f>表2_3671626293034567[[#This Row],[累计净值]]</f>
        <v>1.0201</v>
      </c>
      <c r="G62" s="20">
        <f>表2_3671626293034567[[#This Row],[累计净值]]/$B$22-1</f>
        <v>1.3512170889220076E-2</v>
      </c>
    </row>
    <row r="63" spans="1:7" x14ac:dyDescent="0.2">
      <c r="A63" s="55">
        <v>43769</v>
      </c>
      <c r="B63" s="16">
        <v>1.0185</v>
      </c>
      <c r="C63" s="73">
        <f t="shared" ref="C63:C68" si="10">IFERROR(B63-B62,0)</f>
        <v>-1.6000000000000458E-3</v>
      </c>
      <c r="D63" s="18">
        <f t="shared" ref="D63:D68" si="11">IF(C63&lt;0,C63,"/")</f>
        <v>-1.6000000000000458E-3</v>
      </c>
      <c r="E63" s="18">
        <f ca="1">IF(表2_3671626293034567[[#This Row],[累计净值]]/MAX(INDIRECT("B21:B" &amp; ROW()))-1&lt;E62,表2_3671626293034567[[#This Row],[累计净值]]/MAX(INDIRECT("B21:B" &amp; ROW()))-1,E62)</f>
        <v>-1.3411484204251867E-2</v>
      </c>
      <c r="F63" s="62">
        <f>表2_3671626293034567[[#This Row],[累计净值]]</f>
        <v>1.0185</v>
      </c>
      <c r="G63" s="20">
        <f>表2_3671626293034567[[#This Row],[累计净值]]/$B$22-1</f>
        <v>1.1922503725782407E-2</v>
      </c>
    </row>
    <row r="64" spans="1:7" x14ac:dyDescent="0.2">
      <c r="A64" s="55">
        <v>43770</v>
      </c>
      <c r="B64" s="16">
        <v>1.0217000000000001</v>
      </c>
      <c r="C64" s="73">
        <f t="shared" si="10"/>
        <v>3.2000000000000917E-3</v>
      </c>
      <c r="D64" s="18" t="str">
        <f t="shared" si="11"/>
        <v>/</v>
      </c>
      <c r="E64" s="18">
        <f ca="1">IF(表2_3671626293034567[[#This Row],[累计净值]]/MAX(INDIRECT("B21:B" &amp; ROW()))-1&lt;E63,表2_3671626293034567[[#This Row],[累计净值]]/MAX(INDIRECT("B21:B" &amp; ROW()))-1,E63)</f>
        <v>-1.3411484204251867E-2</v>
      </c>
      <c r="F64" s="62">
        <f>表2_3671626293034567[[#This Row],[累计净值]]</f>
        <v>1.0217000000000001</v>
      </c>
      <c r="G64" s="20">
        <f>表2_3671626293034567[[#This Row],[累计净值]]/$B$22-1</f>
        <v>1.5101838052657746E-2</v>
      </c>
    </row>
    <row r="65" spans="1:7" x14ac:dyDescent="0.2">
      <c r="A65" s="55">
        <v>43773</v>
      </c>
      <c r="B65" s="16">
        <v>1.0241</v>
      </c>
      <c r="C65" s="73">
        <f t="shared" si="10"/>
        <v>2.3999999999999577E-3</v>
      </c>
      <c r="D65" s="18" t="str">
        <f t="shared" si="11"/>
        <v>/</v>
      </c>
      <c r="E65" s="18">
        <f ca="1">IF(表2_3671626293034567[[#This Row],[累计净值]]/MAX(INDIRECT("B21:B" &amp; ROW()))-1&lt;E64,表2_3671626293034567[[#This Row],[累计净值]]/MAX(INDIRECT("B21:B" &amp; ROW()))-1,E64)</f>
        <v>-1.3411484204251867E-2</v>
      </c>
      <c r="F65" s="62">
        <f>表2_3671626293034567[[#This Row],[累计净值]]</f>
        <v>1.0241</v>
      </c>
      <c r="G65" s="20">
        <f>表2_3671626293034567[[#This Row],[累计净值]]/$B$22-1</f>
        <v>1.748633879781436E-2</v>
      </c>
    </row>
    <row r="66" spans="1:7" x14ac:dyDescent="0.2">
      <c r="A66" s="55">
        <v>43774</v>
      </c>
      <c r="B66" s="16">
        <v>1.0221</v>
      </c>
      <c r="C66" s="73">
        <f t="shared" si="10"/>
        <v>-2.0000000000000018E-3</v>
      </c>
      <c r="D66" s="18">
        <f t="shared" si="11"/>
        <v>-2.0000000000000018E-3</v>
      </c>
      <c r="E66" s="18">
        <f ca="1">IF(表2_3671626293034567[[#This Row],[累计净值]]/MAX(INDIRECT("B21:B" &amp; ROW()))-1&lt;E65,表2_3671626293034567[[#This Row],[累计净值]]/MAX(INDIRECT("B21:B" &amp; ROW()))-1,E65)</f>
        <v>-1.3411484204251867E-2</v>
      </c>
      <c r="F66" s="62">
        <f>表2_3671626293034567[[#This Row],[累计净值]]</f>
        <v>1.0221</v>
      </c>
      <c r="G66" s="20">
        <f>表2_3671626293034567[[#This Row],[累计净值]]/$B$22-1</f>
        <v>1.5499254843517107E-2</v>
      </c>
    </row>
    <row r="67" spans="1:7" x14ac:dyDescent="0.2">
      <c r="A67" s="55">
        <v>43775</v>
      </c>
      <c r="B67" s="16">
        <v>1.0262</v>
      </c>
      <c r="C67" s="73">
        <f t="shared" si="10"/>
        <v>4.0999999999999925E-3</v>
      </c>
      <c r="D67" s="18" t="str">
        <f t="shared" si="11"/>
        <v>/</v>
      </c>
      <c r="E67" s="18">
        <f ca="1">IF(表2_3671626293034567[[#This Row],[累计净值]]/MAX(INDIRECT("B21:B" &amp; ROW()))-1&lt;E66,表2_3671626293034567[[#This Row],[累计净值]]/MAX(INDIRECT("B21:B" &amp; ROW()))-1,E66)</f>
        <v>-1.3411484204251867E-2</v>
      </c>
      <c r="F67" s="62">
        <f>表2_3671626293034567[[#This Row],[累计净值]]</f>
        <v>1.0262</v>
      </c>
      <c r="G67" s="20">
        <f>表2_3671626293034567[[#This Row],[累计净值]]/$B$22-1</f>
        <v>1.9572776949826176E-2</v>
      </c>
    </row>
    <row r="68" spans="1:7" x14ac:dyDescent="0.2">
      <c r="A68" s="55">
        <v>43776</v>
      </c>
      <c r="B68" s="16">
        <v>1.0274000000000001</v>
      </c>
      <c r="C68" s="73">
        <f t="shared" si="10"/>
        <v>1.2000000000000899E-3</v>
      </c>
      <c r="D68" s="18" t="str">
        <f t="shared" si="11"/>
        <v>/</v>
      </c>
      <c r="E68" s="18">
        <f ca="1">IF(表2_3671626293034567[[#This Row],[累计净值]]/MAX(INDIRECT("B21:B" &amp; ROW()))-1&lt;E67,表2_3671626293034567[[#This Row],[累计净值]]/MAX(INDIRECT("B21:B" &amp; ROW()))-1,E67)</f>
        <v>-1.3411484204251867E-2</v>
      </c>
      <c r="F68" s="62">
        <f>表2_3671626293034567[[#This Row],[累计净值]]</f>
        <v>1.0274000000000001</v>
      </c>
      <c r="G68" s="20">
        <f>表2_3671626293034567[[#This Row],[累计净值]]/$B$22-1</f>
        <v>2.0765027322404483E-2</v>
      </c>
    </row>
    <row r="69" spans="1:7" x14ac:dyDescent="0.2">
      <c r="A69" s="55">
        <v>43777</v>
      </c>
      <c r="B69" s="16">
        <v>1.0263</v>
      </c>
      <c r="C69" s="73">
        <f t="shared" ref="C69:C74" si="12">IFERROR(B69-B68,0)</f>
        <v>-1.1000000000001009E-3</v>
      </c>
      <c r="D69" s="18">
        <f t="shared" ref="D69:D74" si="13">IF(C69&lt;0,C69,"/")</f>
        <v>-1.1000000000001009E-3</v>
      </c>
      <c r="E69" s="18">
        <f ca="1">IF(表2_3671626293034567[[#This Row],[累计净值]]/MAX(INDIRECT("B21:B" &amp; ROW()))-1&lt;E68,表2_3671626293034567[[#This Row],[累计净值]]/MAX(INDIRECT("B21:B" &amp; ROW()))-1,E68)</f>
        <v>-1.3411484204251867E-2</v>
      </c>
      <c r="F69" s="62">
        <f>表2_3671626293034567[[#This Row],[累计净值]]</f>
        <v>1.0263</v>
      </c>
      <c r="G69" s="20">
        <f>表2_3671626293034567[[#This Row],[累计净值]]/$B$22-1</f>
        <v>1.9672131147540961E-2</v>
      </c>
    </row>
    <row r="70" spans="1:7" x14ac:dyDescent="0.2">
      <c r="A70" s="55">
        <v>43780</v>
      </c>
      <c r="B70" s="16">
        <v>1.0264</v>
      </c>
      <c r="C70" s="73">
        <f t="shared" si="12"/>
        <v>9.9999999999988987E-5</v>
      </c>
      <c r="D70" s="18" t="str">
        <f t="shared" si="13"/>
        <v>/</v>
      </c>
      <c r="E70" s="18">
        <f ca="1">IF(表2_3671626293034567[[#This Row],[累计净值]]/MAX(INDIRECT("B21:B" &amp; ROW()))-1&lt;E69,表2_3671626293034567[[#This Row],[累计净值]]/MAX(INDIRECT("B21:B" &amp; ROW()))-1,E69)</f>
        <v>-1.3411484204251867E-2</v>
      </c>
      <c r="F70" s="62">
        <f>表2_3671626293034567[[#This Row],[累计净值]]</f>
        <v>1.0264</v>
      </c>
      <c r="G70" s="20">
        <f>表2_3671626293034567[[#This Row],[累计净值]]/$B$22-1</f>
        <v>1.9771485345255968E-2</v>
      </c>
    </row>
    <row r="71" spans="1:7" x14ac:dyDescent="0.2">
      <c r="A71" s="55">
        <v>43781</v>
      </c>
      <c r="B71" s="76">
        <v>1.0316000000000001</v>
      </c>
      <c r="C71" s="73">
        <f t="shared" si="12"/>
        <v>5.2000000000000934E-3</v>
      </c>
      <c r="D71" s="18" t="str">
        <f t="shared" si="13"/>
        <v>/</v>
      </c>
      <c r="E71" s="18">
        <f ca="1">IF(表2_3671626293034567[[#This Row],[累计净值]]/MAX(INDIRECT("B21:B" &amp; ROW()))-1&lt;E70,表2_3671626293034567[[#This Row],[累计净值]]/MAX(INDIRECT("B21:B" &amp; ROW()))-1,E70)</f>
        <v>-1.3411484204251867E-2</v>
      </c>
      <c r="F71" s="62">
        <f>表2_3671626293034567[[#This Row],[累计净值]]</f>
        <v>1.0316000000000001</v>
      </c>
      <c r="G71" s="20">
        <f>表2_3671626293034567[[#This Row],[累计净值]]/$B$22-1</f>
        <v>2.4937903626428337E-2</v>
      </c>
    </row>
    <row r="72" spans="1:7" x14ac:dyDescent="0.2">
      <c r="A72" s="55">
        <v>43782</v>
      </c>
      <c r="B72" s="16">
        <v>1.0290999999999999</v>
      </c>
      <c r="C72" s="73">
        <f t="shared" si="12"/>
        <v>-2.5000000000001688E-3</v>
      </c>
      <c r="D72" s="18">
        <f t="shared" si="13"/>
        <v>-2.5000000000001688E-3</v>
      </c>
      <c r="E72" s="18">
        <f ca="1">IF(表2_3671626293034567[[#This Row],[累计净值]]/MAX(INDIRECT("B21:B" &amp; ROW()))-1&lt;E71,表2_3671626293034567[[#This Row],[累计净值]]/MAX(INDIRECT("B21:B" &amp; ROW()))-1,E71)</f>
        <v>-1.3411484204251867E-2</v>
      </c>
      <c r="F72" s="62">
        <f>表2_3671626293034567[[#This Row],[累计净值]]</f>
        <v>1.0290999999999999</v>
      </c>
      <c r="G72" s="20">
        <f>表2_3671626293034567[[#This Row],[累计净值]]/$B$22-1</f>
        <v>2.2454048683556938E-2</v>
      </c>
    </row>
    <row r="73" spans="1:7" x14ac:dyDescent="0.2">
      <c r="A73" s="55">
        <v>43783</v>
      </c>
      <c r="B73" s="16">
        <v>1.0301</v>
      </c>
      <c r="C73" s="73">
        <f t="shared" si="12"/>
        <v>1.0000000000001119E-3</v>
      </c>
      <c r="D73" s="18" t="str">
        <f t="shared" si="13"/>
        <v>/</v>
      </c>
      <c r="E73" s="18">
        <f ca="1">IF(表2_3671626293034567[[#This Row],[累计净值]]/MAX(INDIRECT("B21:B" &amp; ROW()))-1&lt;E72,表2_3671626293034567[[#This Row],[累计净值]]/MAX(INDIRECT("B21:B" &amp; ROW()))-1,E72)</f>
        <v>-1.3411484204251867E-2</v>
      </c>
      <c r="F73" s="62">
        <f>表2_3671626293034567[[#This Row],[累计净值]]</f>
        <v>1.0301</v>
      </c>
      <c r="G73" s="20">
        <f>表2_3671626293034567[[#This Row],[累计净值]]/$B$22-1</f>
        <v>2.3447590660705453E-2</v>
      </c>
    </row>
    <row r="74" spans="1:7" x14ac:dyDescent="0.2">
      <c r="A74" s="55">
        <v>43784</v>
      </c>
      <c r="B74" s="16">
        <v>1.0254000000000001</v>
      </c>
      <c r="C74" s="73">
        <f t="shared" si="12"/>
        <v>-4.6999999999999265E-3</v>
      </c>
      <c r="D74" s="18">
        <f t="shared" si="13"/>
        <v>-4.6999999999999265E-3</v>
      </c>
      <c r="E74" s="18">
        <f ca="1">IF(表2_3671626293034567[[#This Row],[累计净值]]/MAX(INDIRECT("B21:B" &amp; ROW()))-1&lt;E73,表2_3671626293034567[[#This Row],[累计净值]]/MAX(INDIRECT("B21:B" &amp; ROW()))-1,E73)</f>
        <v>-1.3411484204251867E-2</v>
      </c>
      <c r="F74" s="62">
        <f>表2_3671626293034567[[#This Row],[累计净值]]</f>
        <v>1.0254000000000001</v>
      </c>
      <c r="G74" s="20">
        <f>表2_3671626293034567[[#This Row],[累计净值]]/$B$22-1</f>
        <v>1.8777943368107453E-2</v>
      </c>
    </row>
    <row r="75" spans="1:7" x14ac:dyDescent="0.2">
      <c r="A75" s="55">
        <v>43787</v>
      </c>
      <c r="B75" s="16">
        <v>1.0297000000000001</v>
      </c>
      <c r="C75" s="73">
        <f t="shared" ref="C75:C84" si="14">IFERROR(B75-B74,0)</f>
        <v>4.2999999999999705E-3</v>
      </c>
      <c r="D75" s="18" t="str">
        <f t="shared" ref="D75:D84" si="15">IF(C75&lt;0,C75,"/")</f>
        <v>/</v>
      </c>
      <c r="E75" s="18">
        <f ca="1">IF(表2_3671626293034567[[#This Row],[累计净值]]/MAX(INDIRECT("B21:B" &amp; ROW()))-1&lt;E74,表2_3671626293034567[[#This Row],[累计净值]]/MAX(INDIRECT("B21:B" &amp; ROW()))-1,E74)</f>
        <v>-1.3411484204251867E-2</v>
      </c>
      <c r="F75" s="62">
        <f>表2_3671626293034567[[#This Row],[累计净值]]</f>
        <v>1.0297000000000001</v>
      </c>
      <c r="G75" s="20">
        <f>表2_3671626293034567[[#This Row],[累计净值]]/$B$22-1</f>
        <v>2.3050173869846091E-2</v>
      </c>
    </row>
    <row r="76" spans="1:7" x14ac:dyDescent="0.2">
      <c r="A76" s="55">
        <v>43788</v>
      </c>
      <c r="B76" s="16">
        <v>1.0311999999999999</v>
      </c>
      <c r="C76" s="73">
        <f t="shared" si="14"/>
        <v>1.4999999999998348E-3</v>
      </c>
      <c r="D76" s="18" t="str">
        <f t="shared" si="15"/>
        <v>/</v>
      </c>
      <c r="E76" s="18">
        <f ca="1">IF(表2_3671626293034567[[#This Row],[累计净值]]/MAX(INDIRECT("B21:B" &amp; ROW()))-1&lt;E75,表2_3671626293034567[[#This Row],[累计净值]]/MAX(INDIRECT("B21:B" &amp; ROW()))-1,E75)</f>
        <v>-1.3411484204251867E-2</v>
      </c>
      <c r="F76" s="62">
        <f>表2_3671626293034567[[#This Row],[累计净值]]</f>
        <v>1.0311999999999999</v>
      </c>
      <c r="G76" s="20">
        <f>表2_3671626293034567[[#This Row],[累计净值]]/$B$22-1</f>
        <v>2.4540486835568753E-2</v>
      </c>
    </row>
    <row r="77" spans="1:7" x14ac:dyDescent="0.2">
      <c r="A77" s="55">
        <v>43789</v>
      </c>
      <c r="B77" s="16">
        <v>1.0303</v>
      </c>
      <c r="C77" s="73">
        <f t="shared" si="14"/>
        <v>-8.9999999999990088E-4</v>
      </c>
      <c r="D77" s="18">
        <f t="shared" si="15"/>
        <v>-8.9999999999990088E-4</v>
      </c>
      <c r="E77" s="18">
        <f ca="1">IF(表2_3671626293034567[[#This Row],[累计净值]]/MAX(INDIRECT("B21:B" &amp; ROW()))-1&lt;E76,表2_3671626293034567[[#This Row],[累计净值]]/MAX(INDIRECT("B21:B" &amp; ROW()))-1,E76)</f>
        <v>-1.3411484204251867E-2</v>
      </c>
      <c r="F77" s="62">
        <f>表2_3671626293034567[[#This Row],[累计净值]]</f>
        <v>1.0303</v>
      </c>
      <c r="G77" s="20">
        <f>表2_3671626293034567[[#This Row],[累计净值]]/$B$22-1</f>
        <v>2.3646299056135245E-2</v>
      </c>
    </row>
    <row r="78" spans="1:7" x14ac:dyDescent="0.2">
      <c r="A78" s="55">
        <v>43790</v>
      </c>
      <c r="B78" s="16">
        <v>1.03</v>
      </c>
      <c r="C78" s="73">
        <f t="shared" si="14"/>
        <v>-2.9999999999996696E-4</v>
      </c>
      <c r="D78" s="18">
        <f t="shared" si="15"/>
        <v>-2.9999999999996696E-4</v>
      </c>
      <c r="E78" s="18">
        <f ca="1">IF(表2_3671626293034567[[#This Row],[累计净值]]/MAX(INDIRECT("B21:B" &amp; ROW()))-1&lt;E77,表2_3671626293034567[[#This Row],[累计净值]]/MAX(INDIRECT("B21:B" &amp; ROW()))-1,E77)</f>
        <v>-1.3411484204251867E-2</v>
      </c>
      <c r="F78" s="62">
        <f>表2_3671626293034567[[#This Row],[累计净值]]</f>
        <v>1.03</v>
      </c>
      <c r="G78" s="20">
        <f>表2_3671626293034567[[#This Row],[累计净值]]/$B$22-1</f>
        <v>2.3348236462990668E-2</v>
      </c>
    </row>
    <row r="79" spans="1:7" x14ac:dyDescent="0.2">
      <c r="A79" s="55">
        <v>43791</v>
      </c>
      <c r="B79" s="16">
        <v>1.0279</v>
      </c>
      <c r="C79" s="73">
        <f t="shared" si="14"/>
        <v>-2.0999999999999908E-3</v>
      </c>
      <c r="D79" s="18">
        <f t="shared" si="15"/>
        <v>-2.0999999999999908E-3</v>
      </c>
      <c r="E79" s="18">
        <f ca="1">IF(表2_3671626293034567[[#This Row],[累计净值]]/MAX(INDIRECT("B21:B" &amp; ROW()))-1&lt;E78,表2_3671626293034567[[#This Row],[累计净值]]/MAX(INDIRECT("B21:B" &amp; ROW()))-1,E78)</f>
        <v>-1.3411484204251867E-2</v>
      </c>
      <c r="F79" s="62">
        <f>表2_3671626293034567[[#This Row],[累计净值]]</f>
        <v>1.0279</v>
      </c>
      <c r="G79" s="20">
        <f>表2_3671626293034567[[#This Row],[累计净值]]/$B$22-1</f>
        <v>2.126179831097863E-2</v>
      </c>
    </row>
    <row r="80" spans="1:7" x14ac:dyDescent="0.2">
      <c r="A80" s="55">
        <v>43794</v>
      </c>
      <c r="B80" s="16">
        <v>1.0264</v>
      </c>
      <c r="C80" s="73">
        <f t="shared" si="14"/>
        <v>-1.5000000000000568E-3</v>
      </c>
      <c r="D80" s="18">
        <f t="shared" si="15"/>
        <v>-1.5000000000000568E-3</v>
      </c>
      <c r="E80" s="18">
        <f ca="1">IF(表2_3671626293034567[[#This Row],[累计净值]]/MAX(INDIRECT("B21:B" &amp; ROW()))-1&lt;E79,表2_3671626293034567[[#This Row],[累计净值]]/MAX(INDIRECT("B21:B" &amp; ROW()))-1,E79)</f>
        <v>-1.3411484204251867E-2</v>
      </c>
      <c r="F80" s="62">
        <f>表2_3671626293034567[[#This Row],[累计净值]]</f>
        <v>1.0264</v>
      </c>
      <c r="G80" s="20">
        <f>表2_3671626293034567[[#This Row],[累计净值]]/$B$22-1</f>
        <v>1.9771485345255968E-2</v>
      </c>
    </row>
    <row r="81" spans="1:7" x14ac:dyDescent="0.2">
      <c r="A81" s="55">
        <v>43795</v>
      </c>
      <c r="B81" s="16">
        <v>1.0271999999999999</v>
      </c>
      <c r="C81" s="73">
        <f t="shared" si="14"/>
        <v>7.9999999999991189E-4</v>
      </c>
      <c r="D81" s="18" t="str">
        <f t="shared" si="15"/>
        <v>/</v>
      </c>
      <c r="E81" s="18">
        <f ca="1">IF(表2_3671626293034567[[#This Row],[累计净值]]/MAX(INDIRECT("B21:B" &amp; ROW()))-1&lt;E80,表2_3671626293034567[[#This Row],[累计净值]]/MAX(INDIRECT("B21:B" &amp; ROW()))-1,E80)</f>
        <v>-1.3411484204251867E-2</v>
      </c>
      <c r="F81" s="62">
        <f>表2_3671626293034567[[#This Row],[累计净值]]</f>
        <v>1.0271999999999999</v>
      </c>
      <c r="G81" s="20">
        <f>表2_3671626293034567[[#This Row],[累计净值]]/$B$22-1</f>
        <v>2.0566318926974692E-2</v>
      </c>
    </row>
    <row r="82" spans="1:7" x14ac:dyDescent="0.2">
      <c r="A82" s="55">
        <v>43796</v>
      </c>
      <c r="B82" s="16">
        <v>1.0267999999999999</v>
      </c>
      <c r="C82" s="73">
        <f t="shared" si="14"/>
        <v>-3.9999999999995595E-4</v>
      </c>
      <c r="D82" s="18">
        <f t="shared" si="15"/>
        <v>-3.9999999999995595E-4</v>
      </c>
      <c r="E82" s="18">
        <f ca="1">IF(表2_3671626293034567[[#This Row],[累计净值]]/MAX(INDIRECT("B21:B" &amp; ROW()))-1&lt;E81,表2_3671626293034567[[#This Row],[累计净值]]/MAX(INDIRECT("B21:B" &amp; ROW()))-1,E81)</f>
        <v>-1.3411484204251867E-2</v>
      </c>
      <c r="F82" s="62">
        <f>表2_3671626293034567[[#This Row],[累计净值]]</f>
        <v>1.0267999999999999</v>
      </c>
      <c r="G82" s="20">
        <f>表2_3671626293034567[[#This Row],[累计净值]]/$B$22-1</f>
        <v>2.016890213611533E-2</v>
      </c>
    </row>
    <row r="83" spans="1:7" x14ac:dyDescent="0.2">
      <c r="A83" s="55">
        <v>43797</v>
      </c>
      <c r="B83" s="16">
        <v>1.0246999999999999</v>
      </c>
      <c r="C83" s="73">
        <f t="shared" si="14"/>
        <v>-2.0999999999999908E-3</v>
      </c>
      <c r="D83" s="18">
        <f t="shared" si="15"/>
        <v>-2.0999999999999908E-3</v>
      </c>
      <c r="E83" s="18">
        <f ca="1">IF(表2_3671626293034567[[#This Row],[累计净值]]/MAX(INDIRECT("B21:B" &amp; ROW()))-1&lt;E82,表2_3671626293034567[[#This Row],[累计净值]]/MAX(INDIRECT("B21:B" &amp; ROW()))-1,E82)</f>
        <v>-1.3411484204251867E-2</v>
      </c>
      <c r="F83" s="62">
        <f>表2_3671626293034567[[#This Row],[累计净值]]</f>
        <v>1.0246999999999999</v>
      </c>
      <c r="G83" s="20">
        <f>表2_3671626293034567[[#This Row],[累计净值]]/$B$22-1</f>
        <v>1.8082463984103292E-2</v>
      </c>
    </row>
    <row r="84" spans="1:7" x14ac:dyDescent="0.2">
      <c r="A84" s="55">
        <v>43798</v>
      </c>
      <c r="B84" s="16">
        <v>1.0232000000000001</v>
      </c>
      <c r="C84" s="73">
        <f t="shared" si="14"/>
        <v>-1.4999999999998348E-3</v>
      </c>
      <c r="D84" s="18">
        <f t="shared" si="15"/>
        <v>-1.4999999999998348E-3</v>
      </c>
      <c r="E84" s="18">
        <f ca="1">IF(表2_3671626293034567[[#This Row],[累计净值]]/MAX(INDIRECT("B21:B" &amp; ROW()))-1&lt;E83,表2_3671626293034567[[#This Row],[累计净值]]/MAX(INDIRECT("B21:B" &amp; ROW()))-1,E83)</f>
        <v>-1.3411484204251867E-2</v>
      </c>
      <c r="F84" s="62">
        <f>表2_3671626293034567[[#This Row],[累计净值]]</f>
        <v>1.0232000000000001</v>
      </c>
      <c r="G84" s="20">
        <f>表2_3671626293034567[[#This Row],[累计净值]]/$B$22-1</f>
        <v>1.659215101838063E-2</v>
      </c>
    </row>
    <row r="85" spans="1:7" x14ac:dyDescent="0.2">
      <c r="A85" s="55">
        <v>43801</v>
      </c>
      <c r="B85" s="16">
        <v>1.0221</v>
      </c>
      <c r="C85" s="73">
        <f t="shared" ref="C85:C91" si="16">IFERROR(B85-B84,0)</f>
        <v>-1.1000000000001009E-3</v>
      </c>
      <c r="D85" s="18">
        <f t="shared" ref="D85:D91" si="17">IF(C85&lt;0,C85,"/")</f>
        <v>-1.1000000000001009E-3</v>
      </c>
      <c r="E85" s="18">
        <f ca="1">IF(表2_3671626293034567[[#This Row],[累计净值]]/MAX(INDIRECT("B21:B" &amp; ROW()))-1&lt;E84,表2_3671626293034567[[#This Row],[累计净值]]/MAX(INDIRECT("B21:B" &amp; ROW()))-1,E84)</f>
        <v>-1.3411484204251867E-2</v>
      </c>
      <c r="F85" s="62">
        <f>表2_3671626293034567[[#This Row],[累计净值]]</f>
        <v>1.0221</v>
      </c>
      <c r="G85" s="20">
        <f>表2_3671626293034567[[#This Row],[累计净值]]/$B$22-1</f>
        <v>1.5499254843517107E-2</v>
      </c>
    </row>
    <row r="86" spans="1:7" x14ac:dyDescent="0.2">
      <c r="A86" s="55">
        <v>43802</v>
      </c>
      <c r="B86" s="16">
        <v>1.0227999999999999</v>
      </c>
      <c r="C86" s="73">
        <f t="shared" si="16"/>
        <v>6.9999999999992291E-4</v>
      </c>
      <c r="D86" s="18" t="str">
        <f t="shared" si="17"/>
        <v>/</v>
      </c>
      <c r="E86" s="18">
        <f ca="1">IF(表2_3671626293034567[[#This Row],[累计净值]]/MAX(INDIRECT("B21:B" &amp; ROW()))-1&lt;E85,表2_3671626293034567[[#This Row],[累计净值]]/MAX(INDIRECT("B21:B" &amp; ROW()))-1,E85)</f>
        <v>-1.3411484204251867E-2</v>
      </c>
      <c r="F86" s="62">
        <f>表2_3671626293034567[[#This Row],[累计净值]]</f>
        <v>1.0227999999999999</v>
      </c>
      <c r="G86" s="20">
        <f>表2_3671626293034567[[#This Row],[累计净值]]/$B$22-1</f>
        <v>1.6194734227521046E-2</v>
      </c>
    </row>
    <row r="87" spans="1:7" x14ac:dyDescent="0.2">
      <c r="A87" s="55">
        <v>43803</v>
      </c>
      <c r="B87" s="16">
        <v>1.0234000000000001</v>
      </c>
      <c r="C87" s="73">
        <f t="shared" si="16"/>
        <v>6.0000000000015596E-4</v>
      </c>
      <c r="D87" s="18" t="str">
        <f t="shared" si="17"/>
        <v>/</v>
      </c>
      <c r="E87" s="18">
        <f ca="1">IF(表2_3671626293034567[[#This Row],[累计净值]]/MAX(INDIRECT("B21:B" &amp; ROW()))-1&lt;E86,表2_3671626293034567[[#This Row],[累计净值]]/MAX(INDIRECT("B21:B" &amp; ROW()))-1,E86)</f>
        <v>-1.3411484204251867E-2</v>
      </c>
      <c r="F87" s="62">
        <f>表2_3671626293034567[[#This Row],[累计净值]]</f>
        <v>1.0234000000000001</v>
      </c>
      <c r="G87" s="20">
        <f>表2_3671626293034567[[#This Row],[累计净值]]/$B$22-1</f>
        <v>1.6790859413810422E-2</v>
      </c>
    </row>
    <row r="88" spans="1:7" x14ac:dyDescent="0.2">
      <c r="A88" s="55">
        <v>43804</v>
      </c>
      <c r="B88" s="16">
        <v>1.0226999999999999</v>
      </c>
      <c r="C88" s="73">
        <f t="shared" si="16"/>
        <v>-7.0000000000014495E-4</v>
      </c>
      <c r="D88" s="18">
        <f t="shared" si="17"/>
        <v>-7.0000000000014495E-4</v>
      </c>
      <c r="E88" s="18">
        <f ca="1">IF(表2_3671626293034567[[#This Row],[累计净值]]/MAX(INDIRECT("B21:B" &amp; ROW()))-1&lt;E87,表2_3671626293034567[[#This Row],[累计净值]]/MAX(INDIRECT("B21:B" &amp; ROW()))-1,E87)</f>
        <v>-1.3411484204251867E-2</v>
      </c>
      <c r="F88" s="62">
        <f>表2_3671626293034567[[#This Row],[累计净值]]</f>
        <v>1.0226999999999999</v>
      </c>
      <c r="G88" s="20">
        <f>表2_3671626293034567[[#This Row],[累计净值]]/$B$22-1</f>
        <v>1.6095380029806261E-2</v>
      </c>
    </row>
    <row r="89" spans="1:7" x14ac:dyDescent="0.2">
      <c r="A89" s="55">
        <v>43805</v>
      </c>
      <c r="B89" s="16">
        <v>1.0237000000000001</v>
      </c>
      <c r="C89" s="73">
        <f t="shared" si="16"/>
        <v>1.0000000000001119E-3</v>
      </c>
      <c r="D89" s="18" t="str">
        <f t="shared" si="17"/>
        <v>/</v>
      </c>
      <c r="E89" s="18">
        <f ca="1">IF(表2_3671626293034567[[#This Row],[累计净值]]/MAX(INDIRECT("B21:B" &amp; ROW()))-1&lt;E88,表2_3671626293034567[[#This Row],[累计净值]]/MAX(INDIRECT("B21:B" &amp; ROW()))-1,E88)</f>
        <v>-1.3411484204251867E-2</v>
      </c>
      <c r="F89" s="62">
        <f>表2_3671626293034567[[#This Row],[累计净值]]</f>
        <v>1.0237000000000001</v>
      </c>
      <c r="G89" s="20">
        <f>表2_3671626293034567[[#This Row],[累计净值]]/$B$22-1</f>
        <v>1.7088922006954999E-2</v>
      </c>
    </row>
    <row r="90" spans="1:7" x14ac:dyDescent="0.2">
      <c r="A90" s="55">
        <v>43808</v>
      </c>
      <c r="B90" s="16">
        <v>1.0195000000000001</v>
      </c>
      <c r="C90" s="73">
        <f t="shared" si="16"/>
        <v>-4.1999999999999815E-3</v>
      </c>
      <c r="D90" s="18">
        <f t="shared" si="17"/>
        <v>-4.1999999999999815E-3</v>
      </c>
      <c r="E90" s="18">
        <f ca="1">IF(表2_3671626293034567[[#This Row],[累计净值]]/MAX(INDIRECT("B21:B" &amp; ROW()))-1&lt;E89,表2_3671626293034567[[#This Row],[累计净值]]/MAX(INDIRECT("B21:B" &amp; ROW()))-1,E89)</f>
        <v>-1.3411484204251867E-2</v>
      </c>
      <c r="F90" s="62">
        <f>表2_3671626293034567[[#This Row],[累计净值]]</f>
        <v>1.0195000000000001</v>
      </c>
      <c r="G90" s="20">
        <f>表2_3671626293034567[[#This Row],[累计净值]]/$B$22-1</f>
        <v>1.2916045702931145E-2</v>
      </c>
    </row>
    <row r="91" spans="1:7" x14ac:dyDescent="0.2">
      <c r="A91" s="55">
        <v>43809</v>
      </c>
      <c r="B91" s="16">
        <v>1.0147999999999999</v>
      </c>
      <c r="C91" s="73">
        <f t="shared" si="16"/>
        <v>-4.7000000000001485E-3</v>
      </c>
      <c r="D91" s="18">
        <f t="shared" si="17"/>
        <v>-4.7000000000001485E-3</v>
      </c>
      <c r="E91" s="18">
        <f ca="1">IF(表2_3671626293034567[[#This Row],[累计净值]]/MAX(INDIRECT("B21:B" &amp; ROW()))-1&lt;E90,表2_3671626293034567[[#This Row],[累计净值]]/MAX(INDIRECT("B21:B" &amp; ROW()))-1,E90)</f>
        <v>-1.6285381930981169E-2</v>
      </c>
      <c r="F91" s="62">
        <f>表2_3671626293034567[[#This Row],[累计净值]]</f>
        <v>1.0147999999999999</v>
      </c>
      <c r="G91" s="20">
        <f>表2_3671626293034567[[#This Row],[累计净值]]/$B$22-1</f>
        <v>8.2463984103327004E-3</v>
      </c>
    </row>
    <row r="92" spans="1:7" x14ac:dyDescent="0.2">
      <c r="A92" s="55">
        <v>43810</v>
      </c>
      <c r="B92" s="16">
        <v>1.0158</v>
      </c>
      <c r="C92" s="73">
        <f t="shared" ref="C92:C99" si="18">IFERROR(B92-B91,0)</f>
        <v>1.0000000000001119E-3</v>
      </c>
      <c r="D92" s="18" t="str">
        <f t="shared" ref="D92:D99" si="19">IF(C92&lt;0,C92,"/")</f>
        <v>/</v>
      </c>
      <c r="E92" s="18">
        <f ca="1">IF(表2_3671626293034567[[#This Row],[累计净值]]/MAX(INDIRECT("B21:B" &amp; ROW()))-1&lt;E91,表2_3671626293034567[[#This Row],[累计净值]]/MAX(INDIRECT("B21:B" &amp; ROW()))-1,E91)</f>
        <v>-1.6285381930981169E-2</v>
      </c>
      <c r="F92" s="62">
        <f>表2_3671626293034567[[#This Row],[累计净值]]</f>
        <v>1.0158</v>
      </c>
      <c r="G92" s="20">
        <f>表2_3671626293034567[[#This Row],[累计净值]]/$B$22-1</f>
        <v>9.2399403874814379E-3</v>
      </c>
    </row>
    <row r="93" spans="1:7" x14ac:dyDescent="0.2">
      <c r="A93" s="55">
        <v>43811</v>
      </c>
      <c r="B93" s="16">
        <v>1.016</v>
      </c>
      <c r="C93" s="73">
        <f t="shared" si="18"/>
        <v>1.9999999999997797E-4</v>
      </c>
      <c r="D93" s="18" t="str">
        <f t="shared" si="19"/>
        <v>/</v>
      </c>
      <c r="E93" s="18">
        <f ca="1">IF(表2_3671626293034567[[#This Row],[累计净值]]/MAX(INDIRECT("B21:B" &amp; ROW()))-1&lt;E92,表2_3671626293034567[[#This Row],[累计净值]]/MAX(INDIRECT("B21:B" &amp; ROW()))-1,E92)</f>
        <v>-1.6285381930981169E-2</v>
      </c>
      <c r="F93" s="62">
        <f>表2_3671626293034567[[#This Row],[累计净值]]</f>
        <v>1.016</v>
      </c>
      <c r="G93" s="20">
        <f>表2_3671626293034567[[#This Row],[累计净值]]/$B$22-1</f>
        <v>9.4386487829112298E-3</v>
      </c>
    </row>
    <row r="94" spans="1:7" x14ac:dyDescent="0.2">
      <c r="A94" s="55">
        <v>43812</v>
      </c>
      <c r="B94" s="16">
        <v>1.0187999999999999</v>
      </c>
      <c r="C94" s="73">
        <f t="shared" si="18"/>
        <v>2.7999999999999137E-3</v>
      </c>
      <c r="D94" s="18" t="str">
        <f t="shared" si="19"/>
        <v>/</v>
      </c>
      <c r="E94" s="18">
        <f ca="1">IF(表2_3671626293034567[[#This Row],[累计净值]]/MAX(INDIRECT("B21:B" &amp; ROW()))-1&lt;E93,表2_3671626293034567[[#This Row],[累计净值]]/MAX(INDIRECT("B21:B" &amp; ROW()))-1,E93)</f>
        <v>-1.6285381930981169E-2</v>
      </c>
      <c r="F94" s="62">
        <f>表2_3671626293034567[[#This Row],[累计净值]]</f>
        <v>1.0187999999999999</v>
      </c>
      <c r="G94" s="20">
        <f>表2_3671626293034567[[#This Row],[累计净值]]/$B$22-1</f>
        <v>1.2220566318926984E-2</v>
      </c>
    </row>
    <row r="95" spans="1:7" x14ac:dyDescent="0.2">
      <c r="A95" s="55">
        <v>43815</v>
      </c>
      <c r="B95" s="16">
        <v>1.0221</v>
      </c>
      <c r="C95" s="73">
        <f t="shared" si="18"/>
        <v>3.3000000000000806E-3</v>
      </c>
      <c r="D95" s="18" t="str">
        <f t="shared" si="19"/>
        <v>/</v>
      </c>
      <c r="E95" s="18">
        <f ca="1">IF(表2_3671626293034567[[#This Row],[累计净值]]/MAX(INDIRECT("B21:B" &amp; ROW()))-1&lt;E94,表2_3671626293034567[[#This Row],[累计净值]]/MAX(INDIRECT("B21:B" &amp; ROW()))-1,E94)</f>
        <v>-1.6285381930981169E-2</v>
      </c>
      <c r="F95" s="62">
        <f>表2_3671626293034567[[#This Row],[累计净值]]</f>
        <v>1.0221</v>
      </c>
      <c r="G95" s="20">
        <f>表2_3671626293034567[[#This Row],[累计净值]]/$B$22-1</f>
        <v>1.5499254843517107E-2</v>
      </c>
    </row>
    <row r="96" spans="1:7" x14ac:dyDescent="0.2">
      <c r="A96" s="55">
        <v>43816</v>
      </c>
      <c r="B96" s="16">
        <v>1.0132000000000001</v>
      </c>
      <c r="C96" s="73">
        <f t="shared" si="18"/>
        <v>-8.899999999999908E-3</v>
      </c>
      <c r="D96" s="18">
        <f t="shared" si="19"/>
        <v>-8.899999999999908E-3</v>
      </c>
      <c r="E96" s="18">
        <f ca="1">IF(表2_3671626293034567[[#This Row],[累计净值]]/MAX(INDIRECT("B21:B" &amp; ROW()))-1&lt;E95,表2_3671626293034567[[#This Row],[累计净值]]/MAX(INDIRECT("B21:B" &amp; ROW()))-1,E95)</f>
        <v>-1.7836370686312497E-2</v>
      </c>
      <c r="F96" s="62">
        <f>表2_3671626293034567[[#This Row],[累计净值]]</f>
        <v>1.0132000000000001</v>
      </c>
      <c r="G96" s="20">
        <f>表2_3671626293034567[[#This Row],[累计净值]]/$B$22-1</f>
        <v>6.6567312468952533E-3</v>
      </c>
    </row>
    <row r="97" spans="1:7" x14ac:dyDescent="0.2">
      <c r="A97" s="55">
        <v>43817</v>
      </c>
      <c r="B97" s="16">
        <v>1.0130999999999999</v>
      </c>
      <c r="C97" s="73">
        <f t="shared" si="18"/>
        <v>-1.0000000000021103E-4</v>
      </c>
      <c r="D97" s="18">
        <f t="shared" si="19"/>
        <v>-1.0000000000021103E-4</v>
      </c>
      <c r="E97" s="18">
        <f ca="1">IF(表2_3671626293034567[[#This Row],[累计净值]]/MAX(INDIRECT("B21:B" &amp; ROW()))-1&lt;E96,表2_3671626293034567[[#This Row],[累计净值]]/MAX(INDIRECT("B21:B" &amp; ROW()))-1,E96)</f>
        <v>-1.7933307483520955E-2</v>
      </c>
      <c r="F97" s="62">
        <f>表2_3671626293034567[[#This Row],[累计净值]]</f>
        <v>1.0130999999999999</v>
      </c>
      <c r="G97" s="20">
        <f>表2_3671626293034567[[#This Row],[累计净值]]/$B$22-1</f>
        <v>6.5573770491802463E-3</v>
      </c>
    </row>
    <row r="98" spans="1:7" x14ac:dyDescent="0.2">
      <c r="A98" s="55">
        <v>43818</v>
      </c>
      <c r="B98" s="16">
        <v>1.0124</v>
      </c>
      <c r="C98" s="73">
        <f t="shared" si="18"/>
        <v>-6.9999999999992291E-4</v>
      </c>
      <c r="D98" s="18">
        <f t="shared" si="19"/>
        <v>-6.9999999999992291E-4</v>
      </c>
      <c r="E98" s="18">
        <f ca="1">IF(表2_3671626293034567[[#This Row],[累计净值]]/MAX(INDIRECT("B21:B" &amp; ROW()))-1&lt;E97,表2_3671626293034567[[#This Row],[累计净值]]/MAX(INDIRECT("B21:B" &amp; ROW()))-1,E97)</f>
        <v>-1.8611865063978383E-2</v>
      </c>
      <c r="F98" s="62">
        <f>表2_3671626293034567[[#This Row],[累计净值]]</f>
        <v>1.0124</v>
      </c>
      <c r="G98" s="20">
        <f>表2_3671626293034567[[#This Row],[累计净值]]/$B$22-1</f>
        <v>5.8618976651763077E-3</v>
      </c>
    </row>
    <row r="99" spans="1:7" x14ac:dyDescent="0.2">
      <c r="A99" s="55">
        <v>43819</v>
      </c>
      <c r="B99" s="16">
        <v>1.0056</v>
      </c>
      <c r="C99" s="73">
        <f t="shared" si="18"/>
        <v>-6.7999999999999172E-3</v>
      </c>
      <c r="D99" s="18">
        <f t="shared" si="19"/>
        <v>-6.7999999999999172E-3</v>
      </c>
      <c r="E99" s="18">
        <f ca="1">IF(表2_3671626293034567[[#This Row],[累计净值]]/MAX(INDIRECT("B21:B" &amp; ROW()))-1&lt;E98,表2_3671626293034567[[#This Row],[累计净值]]/MAX(INDIRECT("B21:B" &amp; ROW()))-1,E98)</f>
        <v>-2.5203567274137306E-2</v>
      </c>
      <c r="F99" s="62">
        <f>表2_3671626293034567[[#This Row],[累计净值]]</f>
        <v>1.0056</v>
      </c>
      <c r="G99" s="20">
        <f>表2_3671626293034567[[#This Row],[累计净值]]/$B$22-1</f>
        <v>-8.9418777943361949E-4</v>
      </c>
    </row>
    <row r="100" spans="1:7" x14ac:dyDescent="0.2">
      <c r="A100" s="55">
        <v>43822</v>
      </c>
      <c r="B100" s="16">
        <v>1.0165999999999999</v>
      </c>
      <c r="C100" s="73">
        <f t="shared" ref="C100:C105" si="20">IFERROR(B100-B99,0)</f>
        <v>1.0999999999999899E-2</v>
      </c>
      <c r="D100" s="18" t="str">
        <f t="shared" ref="D100:D105" si="21">IF(C100&lt;0,C100,"/")</f>
        <v>/</v>
      </c>
      <c r="E100" s="18">
        <f ca="1">IF(表2_3671626293034567[[#This Row],[累计净值]]/MAX(INDIRECT("B21:B" &amp; ROW()))-1&lt;E99,表2_3671626293034567[[#This Row],[累计净值]]/MAX(INDIRECT("B21:B" &amp; ROW()))-1,E99)</f>
        <v>-2.5203567274137306E-2</v>
      </c>
      <c r="F100" s="62">
        <f>表2_3671626293034567[[#This Row],[累计净值]]</f>
        <v>1.0165999999999999</v>
      </c>
      <c r="G100" s="20">
        <f>表2_3671626293034567[[#This Row],[累计净值]]/$B$22-1</f>
        <v>1.0034773969200161E-2</v>
      </c>
    </row>
    <row r="101" spans="1:7" x14ac:dyDescent="0.2">
      <c r="A101" s="55">
        <v>43823</v>
      </c>
      <c r="B101" s="16">
        <v>1.0204</v>
      </c>
      <c r="C101" s="73">
        <f t="shared" si="20"/>
        <v>3.8000000000000256E-3</v>
      </c>
      <c r="D101" s="18" t="str">
        <f t="shared" si="21"/>
        <v>/</v>
      </c>
      <c r="E101" s="18">
        <f ca="1">IF(表2_3671626293034567[[#This Row],[累计净值]]/MAX(INDIRECT("B21:B" &amp; ROW()))-1&lt;E100,表2_3671626293034567[[#This Row],[累计净值]]/MAX(INDIRECT("B21:B" &amp; ROW()))-1,E100)</f>
        <v>-2.5203567274137306E-2</v>
      </c>
      <c r="F101" s="62">
        <f>表2_3671626293034567[[#This Row],[累计净值]]</f>
        <v>1.0204</v>
      </c>
      <c r="G101" s="20">
        <f>表2_3671626293034567[[#This Row],[累计净值]]/$B$22-1</f>
        <v>1.3810233482364653E-2</v>
      </c>
    </row>
    <row r="102" spans="1:7" x14ac:dyDescent="0.2">
      <c r="A102" s="55">
        <v>43824</v>
      </c>
      <c r="B102" s="16">
        <v>1.0243</v>
      </c>
      <c r="C102" s="73">
        <f t="shared" si="20"/>
        <v>3.9000000000000146E-3</v>
      </c>
      <c r="D102" s="18" t="str">
        <f t="shared" si="21"/>
        <v>/</v>
      </c>
      <c r="E102" s="18">
        <f ca="1">IF(表2_3671626293034567[[#This Row],[累计净值]]/MAX(INDIRECT("B21:B" &amp; ROW()))-1&lt;E101,表2_3671626293034567[[#This Row],[累计净值]]/MAX(INDIRECT("B21:B" &amp; ROW()))-1,E101)</f>
        <v>-2.5203567274137306E-2</v>
      </c>
      <c r="F102" s="62">
        <f>表2_3671626293034567[[#This Row],[累计净值]]</f>
        <v>1.0243</v>
      </c>
      <c r="G102" s="20">
        <f>表2_3671626293034567[[#This Row],[累计净值]]/$B$22-1</f>
        <v>1.768504719324393E-2</v>
      </c>
    </row>
    <row r="103" spans="1:7" x14ac:dyDescent="0.2">
      <c r="A103" s="55">
        <v>43825</v>
      </c>
      <c r="B103" s="16">
        <v>1.0244</v>
      </c>
      <c r="C103" s="73">
        <f t="shared" si="20"/>
        <v>9.9999999999988987E-5</v>
      </c>
      <c r="D103" s="18" t="str">
        <f t="shared" si="21"/>
        <v>/</v>
      </c>
      <c r="E103" s="18">
        <f ca="1">IF(表2_3671626293034567[[#This Row],[累计净值]]/MAX(INDIRECT("B21:B" &amp; ROW()))-1&lt;E102,表2_3671626293034567[[#This Row],[累计净值]]/MAX(INDIRECT("B21:B" &amp; ROW()))-1,E102)</f>
        <v>-2.5203567274137306E-2</v>
      </c>
      <c r="F103" s="62">
        <f>表2_3671626293034567[[#This Row],[累计净值]]</f>
        <v>1.0244</v>
      </c>
      <c r="G103" s="20">
        <f>表2_3671626293034567[[#This Row],[累计净值]]/$B$22-1</f>
        <v>1.7784401390958715E-2</v>
      </c>
    </row>
    <row r="104" spans="1:7" x14ac:dyDescent="0.2">
      <c r="A104" s="55">
        <v>43826</v>
      </c>
      <c r="B104" s="16">
        <v>1.0206</v>
      </c>
      <c r="C104" s="73">
        <f t="shared" si="20"/>
        <v>-3.8000000000000256E-3</v>
      </c>
      <c r="D104" s="18">
        <f t="shared" si="21"/>
        <v>-3.8000000000000256E-3</v>
      </c>
      <c r="E104" s="18">
        <f ca="1">IF(表2_3671626293034567[[#This Row],[累计净值]]/MAX(INDIRECT("B21:B" &amp; ROW()))-1&lt;E103,表2_3671626293034567[[#This Row],[累计净值]]/MAX(INDIRECT("B21:B" &amp; ROW()))-1,E103)</f>
        <v>-2.5203567274137306E-2</v>
      </c>
      <c r="F104" s="62">
        <f>表2_3671626293034567[[#This Row],[累计净值]]</f>
        <v>1.0206</v>
      </c>
      <c r="G104" s="20">
        <f>表2_3671626293034567[[#This Row],[累计净值]]/$B$22-1</f>
        <v>1.4008941877794445E-2</v>
      </c>
    </row>
    <row r="105" spans="1:7" x14ac:dyDescent="0.2">
      <c r="A105" s="55">
        <v>43829</v>
      </c>
      <c r="B105" s="16">
        <v>1.0166999999999999</v>
      </c>
      <c r="C105" s="73">
        <f t="shared" si="20"/>
        <v>-3.9000000000000146E-3</v>
      </c>
      <c r="D105" s="18">
        <f t="shared" si="21"/>
        <v>-3.9000000000000146E-3</v>
      </c>
      <c r="E105" s="18">
        <f ca="1">IF(表2_3671626293034567[[#This Row],[累计净值]]/MAX(INDIRECT("B21:B" &amp; ROW()))-1&lt;E104,表2_3671626293034567[[#This Row],[累计净值]]/MAX(INDIRECT("B21:B" &amp; ROW()))-1,E104)</f>
        <v>-2.5203567274137306E-2</v>
      </c>
      <c r="F105" s="62">
        <f>表2_3671626293034567[[#This Row],[累计净值]]</f>
        <v>1.0166999999999999</v>
      </c>
      <c r="G105" s="20">
        <f>表2_3671626293034567[[#This Row],[累计净值]]/$B$22-1</f>
        <v>1.0134128166914946E-2</v>
      </c>
    </row>
    <row r="106" spans="1:7" x14ac:dyDescent="0.2">
      <c r="A106" s="55">
        <v>43830</v>
      </c>
      <c r="B106" s="16">
        <v>1.0186999999999999</v>
      </c>
      <c r="C106" s="73">
        <f t="shared" ref="C106:C111" si="22">IFERROR(B106-B105,0)</f>
        <v>2.0000000000000018E-3</v>
      </c>
      <c r="D106" s="18" t="str">
        <f t="shared" ref="D106:D111" si="23">IF(C106&lt;0,C106,"/")</f>
        <v>/</v>
      </c>
      <c r="E106" s="18">
        <f ca="1">IF(表2_3671626293034567[[#This Row],[累计净值]]/MAX(INDIRECT("B21:B" &amp; ROW()))-1&lt;E105,表2_3671626293034567[[#This Row],[累计净值]]/MAX(INDIRECT("B21:B" &amp; ROW()))-1,E105)</f>
        <v>-2.5203567274137306E-2</v>
      </c>
      <c r="F106" s="62">
        <f>表2_3671626293034567[[#This Row],[累计净值]]</f>
        <v>1.0186999999999999</v>
      </c>
      <c r="G106" s="20">
        <f>表2_3671626293034567[[#This Row],[累计净值]]/$B$22-1</f>
        <v>1.2121212121212199E-2</v>
      </c>
    </row>
    <row r="107" spans="1:7" x14ac:dyDescent="0.2">
      <c r="A107" s="55">
        <v>43832</v>
      </c>
      <c r="B107" s="16">
        <v>1.0189999999999999</v>
      </c>
      <c r="C107" s="73">
        <f t="shared" si="22"/>
        <v>2.9999999999996696E-4</v>
      </c>
      <c r="D107" s="18" t="str">
        <f t="shared" si="23"/>
        <v>/</v>
      </c>
      <c r="E107" s="18">
        <f ca="1">IF(表2_3671626293034567[[#This Row],[累计净值]]/MAX(INDIRECT("B21:B" &amp; ROW()))-1&lt;E106,表2_3671626293034567[[#This Row],[累计净值]]/MAX(INDIRECT("B21:B" &amp; ROW()))-1,E106)</f>
        <v>-2.5203567274137306E-2</v>
      </c>
      <c r="F107" s="62">
        <f>表2_3671626293034567[[#This Row],[累计净值]]</f>
        <v>1.0189999999999999</v>
      </c>
      <c r="G107" s="20">
        <f>表2_3671626293034567[[#This Row],[累计净值]]/$B$22-1</f>
        <v>1.2419274714356554E-2</v>
      </c>
    </row>
    <row r="108" spans="1:7" x14ac:dyDescent="0.2">
      <c r="A108" s="55">
        <v>43833</v>
      </c>
      <c r="B108" s="16">
        <v>1.0201</v>
      </c>
      <c r="C108" s="73">
        <f t="shared" si="22"/>
        <v>1.1000000000001009E-3</v>
      </c>
      <c r="D108" s="18" t="str">
        <f t="shared" si="23"/>
        <v>/</v>
      </c>
      <c r="E108" s="18">
        <f ca="1">IF(表2_3671626293034567[[#This Row],[累计净值]]/MAX(INDIRECT("B21:B" &amp; ROW()))-1&lt;E107,表2_3671626293034567[[#This Row],[累计净值]]/MAX(INDIRECT("B21:B" &amp; ROW()))-1,E107)</f>
        <v>-2.5203567274137306E-2</v>
      </c>
      <c r="F108" s="62">
        <f>表2_3671626293034567[[#This Row],[累计净值]]</f>
        <v>1.0201</v>
      </c>
      <c r="G108" s="20">
        <f>表2_3671626293034567[[#This Row],[累计净值]]/$B$22-1</f>
        <v>1.3512170889220076E-2</v>
      </c>
    </row>
    <row r="109" spans="1:7" x14ac:dyDescent="0.2">
      <c r="A109" s="55">
        <v>43836</v>
      </c>
      <c r="B109" s="16">
        <v>1.0230999999999999</v>
      </c>
      <c r="C109" s="73">
        <f t="shared" si="22"/>
        <v>2.9999999999998916E-3</v>
      </c>
      <c r="D109" s="18" t="str">
        <f t="shared" si="23"/>
        <v>/</v>
      </c>
      <c r="E109" s="18">
        <f ca="1">IF(表2_3671626293034567[[#This Row],[累计净值]]/MAX(INDIRECT("B21:B" &amp; ROW()))-1&lt;E108,表2_3671626293034567[[#This Row],[累计净值]]/MAX(INDIRECT("B21:B" &amp; ROW()))-1,E108)</f>
        <v>-2.5203567274137306E-2</v>
      </c>
      <c r="F109" s="62">
        <f>表2_3671626293034567[[#This Row],[累计净值]]</f>
        <v>1.0230999999999999</v>
      </c>
      <c r="G109" s="20">
        <f>表2_3671626293034567[[#This Row],[累计净值]]/$B$22-1</f>
        <v>1.6492796820665623E-2</v>
      </c>
    </row>
    <row r="110" spans="1:7" x14ac:dyDescent="0.2">
      <c r="A110" s="55">
        <v>43837</v>
      </c>
      <c r="B110" s="16">
        <v>1.0214000000000001</v>
      </c>
      <c r="C110" s="73">
        <f t="shared" si="22"/>
        <v>-1.6999999999998128E-3</v>
      </c>
      <c r="D110" s="18">
        <f t="shared" si="23"/>
        <v>-1.6999999999998128E-3</v>
      </c>
      <c r="E110" s="18">
        <f ca="1">IF(表2_3671626293034567[[#This Row],[累计净值]]/MAX(INDIRECT("B21:B" &amp; ROW()))-1&lt;E109,表2_3671626293034567[[#This Row],[累计净值]]/MAX(INDIRECT("B21:B" &amp; ROW()))-1,E109)</f>
        <v>-2.5203567274137306E-2</v>
      </c>
      <c r="F110" s="62">
        <f>表2_3671626293034567[[#This Row],[累计净值]]</f>
        <v>1.0214000000000001</v>
      </c>
      <c r="G110" s="20">
        <f>表2_3671626293034567[[#This Row],[累计净值]]/$B$22-1</f>
        <v>1.4803775459513391E-2</v>
      </c>
    </row>
    <row r="111" spans="1:7" x14ac:dyDescent="0.2">
      <c r="A111" s="55">
        <v>43838</v>
      </c>
      <c r="B111" s="16">
        <v>1.0198</v>
      </c>
      <c r="C111" s="73">
        <f t="shared" si="22"/>
        <v>-1.6000000000000458E-3</v>
      </c>
      <c r="D111" s="18">
        <f t="shared" si="23"/>
        <v>-1.6000000000000458E-3</v>
      </c>
      <c r="E111" s="18">
        <f ca="1">IF(表2_3671626293034567[[#This Row],[累计净值]]/MAX(INDIRECT("B21:B" &amp; ROW()))-1&lt;E110,表2_3671626293034567[[#This Row],[累计净值]]/MAX(INDIRECT("B21:B" &amp; ROW()))-1,E110)</f>
        <v>-2.5203567274137306E-2</v>
      </c>
      <c r="F111" s="62">
        <f>表2_3671626293034567[[#This Row],[累计净值]]</f>
        <v>1.0198</v>
      </c>
      <c r="G111" s="20">
        <f>表2_3671626293034567[[#This Row],[累计净值]]/$B$22-1</f>
        <v>1.32141082960755E-2</v>
      </c>
    </row>
    <row r="112" spans="1:7" x14ac:dyDescent="0.2">
      <c r="A112" s="55">
        <v>43839</v>
      </c>
      <c r="B112" s="16">
        <v>1.028</v>
      </c>
      <c r="C112" s="73">
        <f t="shared" ref="C112:C117" si="24">IFERROR(B112-B111,0)</f>
        <v>8.1999999999999851E-3</v>
      </c>
      <c r="D112" s="18" t="str">
        <f t="shared" ref="D112:D117" si="25">IF(C112&lt;0,C112,"/")</f>
        <v>/</v>
      </c>
      <c r="E112" s="18">
        <f ca="1">IF(表2_3671626293034567[[#This Row],[累计净值]]/MAX(INDIRECT("B21:B" &amp; ROW()))-1&lt;E111,表2_3671626293034567[[#This Row],[累计净值]]/MAX(INDIRECT("B21:B" &amp; ROW()))-1,E111)</f>
        <v>-2.5203567274137306E-2</v>
      </c>
      <c r="F112" s="62">
        <f>表2_3671626293034567[[#This Row],[累计净值]]</f>
        <v>1.028</v>
      </c>
      <c r="G112" s="20">
        <f>表2_3671626293034567[[#This Row],[累计净值]]/$B$22-1</f>
        <v>2.1361152508693637E-2</v>
      </c>
    </row>
    <row r="113" spans="1:7" x14ac:dyDescent="0.2">
      <c r="A113" s="55">
        <v>43840</v>
      </c>
      <c r="B113" s="16">
        <v>1.0291999999999999</v>
      </c>
      <c r="C113" s="73">
        <f t="shared" si="24"/>
        <v>1.1999999999998678E-3</v>
      </c>
      <c r="D113" s="18" t="str">
        <f t="shared" si="25"/>
        <v>/</v>
      </c>
      <c r="E113" s="18">
        <f ca="1">IF(表2_3671626293034567[[#This Row],[累计净值]]/MAX(INDIRECT("B21:B" &amp; ROW()))-1&lt;E112,表2_3671626293034567[[#This Row],[累计净值]]/MAX(INDIRECT("B21:B" &amp; ROW()))-1,E112)</f>
        <v>-2.5203567274137306E-2</v>
      </c>
      <c r="F113" s="62">
        <f>表2_3671626293034567[[#This Row],[累计净值]]</f>
        <v>1.0291999999999999</v>
      </c>
      <c r="G113" s="20">
        <f>表2_3671626293034567[[#This Row],[累计净值]]/$B$22-1</f>
        <v>2.2553402881271722E-2</v>
      </c>
    </row>
    <row r="114" spans="1:7" x14ac:dyDescent="0.2">
      <c r="A114" s="55">
        <v>43843</v>
      </c>
      <c r="B114" s="76">
        <v>1.0337000000000001</v>
      </c>
      <c r="C114" s="73">
        <f t="shared" si="24"/>
        <v>4.5000000000001705E-3</v>
      </c>
      <c r="D114" s="18" t="str">
        <f t="shared" si="25"/>
        <v>/</v>
      </c>
      <c r="E114" s="18">
        <f ca="1">IF(表2_3671626293034567[[#This Row],[累计净值]]/MAX(INDIRECT("B21:B" &amp; ROW()))-1&lt;E113,表2_3671626293034567[[#This Row],[累计净值]]/MAX(INDIRECT("B21:B" &amp; ROW()))-1,E113)</f>
        <v>-2.5203567274137306E-2</v>
      </c>
      <c r="F114" s="62">
        <f>表2_3671626293034567[[#This Row],[累计净值]]</f>
        <v>1.0337000000000001</v>
      </c>
      <c r="G114" s="20">
        <f>表2_3671626293034567[[#This Row],[累计净值]]/$B$22-1</f>
        <v>2.7024341778440153E-2</v>
      </c>
    </row>
    <row r="115" spans="1:7" x14ac:dyDescent="0.2">
      <c r="A115" s="55">
        <v>43844</v>
      </c>
      <c r="B115" s="16">
        <v>1.0284</v>
      </c>
      <c r="C115" s="73">
        <f t="shared" si="24"/>
        <v>-5.3000000000000824E-3</v>
      </c>
      <c r="D115" s="18">
        <f t="shared" si="25"/>
        <v>-5.3000000000000824E-3</v>
      </c>
      <c r="E115" s="18">
        <f ca="1">IF(表2_3671626293034567[[#This Row],[累计净值]]/MAX(INDIRECT("B21:B" &amp; ROW()))-1&lt;E114,表2_3671626293034567[[#This Row],[累计净值]]/MAX(INDIRECT("B21:B" &amp; ROW()))-1,E114)</f>
        <v>-2.5203567274137306E-2</v>
      </c>
      <c r="F115" s="62">
        <f>表2_3671626293034567[[#This Row],[累计净值]]</f>
        <v>1.0284</v>
      </c>
      <c r="G115" s="20">
        <f>表2_3671626293034567[[#This Row],[累计净值]]/$B$22-1</f>
        <v>2.1758569299552999E-2</v>
      </c>
    </row>
    <row r="116" spans="1:7" x14ac:dyDescent="0.2">
      <c r="A116" s="55">
        <v>43845</v>
      </c>
      <c r="B116" s="16">
        <v>1.0289999999999999</v>
      </c>
      <c r="C116" s="73">
        <f t="shared" si="24"/>
        <v>5.9999999999993392E-4</v>
      </c>
      <c r="D116" s="18" t="str">
        <f t="shared" si="25"/>
        <v>/</v>
      </c>
      <c r="E116" s="18">
        <f ca="1">IF(表2_3671626293034567[[#This Row],[累计净值]]/MAX(INDIRECT("B21:B" &amp; ROW()))-1&lt;E115,表2_3671626293034567[[#This Row],[累计净值]]/MAX(INDIRECT("B21:B" &amp; ROW()))-1,E115)</f>
        <v>-2.5203567274137306E-2</v>
      </c>
      <c r="F116" s="62">
        <f>表2_3671626293034567[[#This Row],[累计净值]]</f>
        <v>1.0289999999999999</v>
      </c>
      <c r="G116" s="20">
        <f>表2_3671626293034567[[#This Row],[累计净值]]/$B$22-1</f>
        <v>2.2354694485841931E-2</v>
      </c>
    </row>
    <row r="117" spans="1:7" x14ac:dyDescent="0.2">
      <c r="A117" s="55">
        <v>43846</v>
      </c>
      <c r="B117" s="16">
        <v>1.0293000000000001</v>
      </c>
      <c r="C117" s="73">
        <f t="shared" si="24"/>
        <v>3.00000000000189E-4</v>
      </c>
      <c r="D117" s="18" t="str">
        <f t="shared" si="25"/>
        <v>/</v>
      </c>
      <c r="E117" s="18">
        <f ca="1">IF(表2_3671626293034567[[#This Row],[累计净值]]/MAX(INDIRECT("B21:B" &amp; ROW()))-1&lt;E116,表2_3671626293034567[[#This Row],[累计净值]]/MAX(INDIRECT("B21:B" &amp; ROW()))-1,E116)</f>
        <v>-2.5203567274137306E-2</v>
      </c>
      <c r="F117" s="62">
        <f>表2_3671626293034567[[#This Row],[累计净值]]</f>
        <v>1.0293000000000001</v>
      </c>
      <c r="G117" s="20">
        <f>表2_3671626293034567[[#This Row],[累计净值]]/$B$22-1</f>
        <v>2.2652757078986729E-2</v>
      </c>
    </row>
    <row r="118" spans="1:7" x14ac:dyDescent="0.2">
      <c r="A118" s="55">
        <v>43847</v>
      </c>
      <c r="B118" s="16">
        <v>1.0311999999999999</v>
      </c>
      <c r="C118" s="73">
        <f>IFERROR(B118-B117,0)</f>
        <v>1.8999999999997907E-3</v>
      </c>
      <c r="D118" s="18" t="str">
        <f>IF(C118&lt;0,C118,"/")</f>
        <v>/</v>
      </c>
      <c r="E118" s="18">
        <f ca="1">IF(表2_3671626293034567[[#This Row],[累计净值]]/MAX(INDIRECT("B21:B" &amp; ROW()))-1&lt;E117,表2_3671626293034567[[#This Row],[累计净值]]/MAX(INDIRECT("B21:B" &amp; ROW()))-1,E117)</f>
        <v>-2.5203567274137306E-2</v>
      </c>
      <c r="F118" s="62">
        <f>表2_3671626293034567[[#This Row],[累计净值]]</f>
        <v>1.0311999999999999</v>
      </c>
      <c r="G118" s="20">
        <f>表2_3671626293034567[[#This Row],[累计净值]]/$B$22-1</f>
        <v>2.4540486835568753E-2</v>
      </c>
    </row>
    <row r="119" spans="1:7" x14ac:dyDescent="0.2">
      <c r="A119" s="55">
        <v>43850</v>
      </c>
      <c r="B119" s="16">
        <v>1.0325</v>
      </c>
      <c r="C119" s="73">
        <f>IFERROR(B119-B118,0)</f>
        <v>1.3000000000000789E-3</v>
      </c>
      <c r="D119" s="18" t="str">
        <f>IF(C119&lt;0,C119,"/")</f>
        <v>/</v>
      </c>
      <c r="E119" s="18">
        <f ca="1">IF(表2_3671626293034567[[#This Row],[累计净值]]/MAX(INDIRECT("B21:B" &amp; ROW()))-1&lt;E118,表2_3671626293034567[[#This Row],[累计净值]]/MAX(INDIRECT("B21:B" &amp; ROW()))-1,E118)</f>
        <v>-2.5203567274137306E-2</v>
      </c>
      <c r="F119" s="62">
        <f>表2_3671626293034567[[#This Row],[累计净值]]</f>
        <v>1.0325</v>
      </c>
      <c r="G119" s="20">
        <f>表2_3671626293034567[[#This Row],[累计净值]]/$B$22-1</f>
        <v>2.5832091405861846E-2</v>
      </c>
    </row>
    <row r="120" spans="1:7" x14ac:dyDescent="0.2">
      <c r="A120" s="55">
        <v>43851</v>
      </c>
      <c r="B120" s="16">
        <v>1.0322</v>
      </c>
      <c r="C120" s="73">
        <f>IFERROR(B120-B119,0)</f>
        <v>-2.9999999999996696E-4</v>
      </c>
      <c r="D120" s="18">
        <f>IF(C120&lt;0,C120,"/")</f>
        <v>-2.9999999999996696E-4</v>
      </c>
      <c r="E120" s="18">
        <f ca="1">IF(表2_3671626293034567[[#This Row],[累计净值]]/MAX(INDIRECT("B21:B" &amp; ROW()))-1&lt;E119,表2_3671626293034567[[#This Row],[累计净值]]/MAX(INDIRECT("B21:B" &amp; ROW()))-1,E119)</f>
        <v>-2.5203567274137306E-2</v>
      </c>
      <c r="F120" s="62">
        <f>表2_3671626293034567[[#This Row],[累计净值]]</f>
        <v>1.0322</v>
      </c>
      <c r="G120" s="20">
        <f>表2_3671626293034567[[#This Row],[累计净值]]/$B$22-1</f>
        <v>2.5534028812717491E-2</v>
      </c>
    </row>
    <row r="121" spans="1:7" x14ac:dyDescent="0.2">
      <c r="A121" s="55">
        <v>43852</v>
      </c>
      <c r="B121" s="16">
        <v>1.0317000000000001</v>
      </c>
      <c r="C121" s="73">
        <f>IFERROR(B121-B120,0)</f>
        <v>-4.9999999999994493E-4</v>
      </c>
      <c r="D121" s="18">
        <f>IF(C121&lt;0,C121,"/")</f>
        <v>-4.9999999999994493E-4</v>
      </c>
      <c r="E121" s="18">
        <f ca="1">IF(表2_3671626293034567[[#This Row],[累计净值]]/MAX(INDIRECT("B21:B" &amp; ROW()))-1&lt;E120,表2_3671626293034567[[#This Row],[累计净值]]/MAX(INDIRECT("B21:B" &amp; ROW()))-1,E120)</f>
        <v>-2.5203567274137306E-2</v>
      </c>
      <c r="F121" s="62">
        <f>表2_3671626293034567[[#This Row],[累计净值]]</f>
        <v>1.0317000000000001</v>
      </c>
      <c r="G121" s="20">
        <f>表2_3671626293034567[[#This Row],[累计净值]]/$B$22-1</f>
        <v>2.5037257824143122E-2</v>
      </c>
    </row>
    <row r="122" spans="1:7" x14ac:dyDescent="0.2">
      <c r="A122" s="55">
        <v>43853</v>
      </c>
      <c r="B122" s="16">
        <v>1.0406</v>
      </c>
      <c r="C122" s="73">
        <f>IFERROR(B122-B121,0)</f>
        <v>8.899999999999908E-3</v>
      </c>
      <c r="D122" s="18" t="str">
        <f>IF(C122&lt;0,C122,"/")</f>
        <v>/</v>
      </c>
      <c r="E122" s="18">
        <f ca="1">IF(表2_3671626293034567[[#This Row],[累计净值]]/MAX(INDIRECT("B21:B" &amp; ROW()))-1&lt;E121,表2_3671626293034567[[#This Row],[累计净值]]/MAX(INDIRECT("B21:B" &amp; ROW()))-1,E121)</f>
        <v>-2.5203567274137306E-2</v>
      </c>
      <c r="F122" s="62">
        <f>表2_3671626293034567[[#This Row],[累计净值]]</f>
        <v>1.0406</v>
      </c>
      <c r="G122" s="20">
        <f>表2_3671626293034567[[#This Row],[累计净值]]/$B$22-1</f>
        <v>3.3879781420764976E-2</v>
      </c>
    </row>
    <row r="123" spans="1:7" x14ac:dyDescent="0.2">
      <c r="A123" s="55">
        <v>43864</v>
      </c>
      <c r="B123" s="16">
        <v>1.046</v>
      </c>
      <c r="C123" s="73">
        <f t="shared" ref="C123:C128" si="26">IFERROR(B123-B122,0)</f>
        <v>5.4000000000000714E-3</v>
      </c>
      <c r="D123" s="18" t="str">
        <f t="shared" ref="D123:D128" si="27">IF(C123&lt;0,C123,"/")</f>
        <v>/</v>
      </c>
      <c r="E123" s="18">
        <f ca="1">IF(表2_3671626293034567[[#This Row],[累计净值]]/MAX(INDIRECT("B21:B" &amp; ROW()))-1&lt;E122,表2_3671626293034567[[#This Row],[累计净值]]/MAX(INDIRECT("B21:B" &amp; ROW()))-1,E122)</f>
        <v>-2.5203567274137306E-2</v>
      </c>
      <c r="F123" s="62">
        <f>表2_3671626293034567[[#This Row],[累计净值]]</f>
        <v>1.046</v>
      </c>
      <c r="G123" s="20">
        <f>表2_3671626293034567[[#This Row],[累计净值]]/$B$22-1</f>
        <v>3.9244908097367137E-2</v>
      </c>
    </row>
    <row r="124" spans="1:7" x14ac:dyDescent="0.2">
      <c r="A124" s="55">
        <v>43865</v>
      </c>
      <c r="B124" s="16">
        <v>1.0387999999999999</v>
      </c>
      <c r="C124" s="73">
        <f t="shared" si="26"/>
        <v>-7.2000000000000952E-3</v>
      </c>
      <c r="D124" s="18">
        <f t="shared" si="27"/>
        <v>-7.2000000000000952E-3</v>
      </c>
      <c r="E124" s="18">
        <f ca="1">IF(表2_3671626293034567[[#This Row],[累计净值]]/MAX(INDIRECT("B21:B" &amp; ROW()))-1&lt;E123,表2_3671626293034567[[#This Row],[累计净值]]/MAX(INDIRECT("B21:B" &amp; ROW()))-1,E123)</f>
        <v>-2.5203567274137306E-2</v>
      </c>
      <c r="F124" s="62">
        <f>表2_3671626293034567[[#This Row],[累计净值]]</f>
        <v>1.0387999999999999</v>
      </c>
      <c r="G124" s="20">
        <f>表2_3671626293034567[[#This Row],[累计净值]]/$B$22-1</f>
        <v>3.2091405861897737E-2</v>
      </c>
    </row>
    <row r="125" spans="1:7" x14ac:dyDescent="0.2">
      <c r="A125" s="55">
        <v>43866</v>
      </c>
      <c r="B125" s="16">
        <v>1.0468999999999999</v>
      </c>
      <c r="C125" s="73">
        <f t="shared" si="26"/>
        <v>8.0999999999999961E-3</v>
      </c>
      <c r="D125" s="18" t="str">
        <f t="shared" si="27"/>
        <v>/</v>
      </c>
      <c r="E125" s="18">
        <f ca="1">IF(表2_3671626293034567[[#This Row],[累计净值]]/MAX(INDIRECT("B21:B" &amp; ROW()))-1&lt;E124,表2_3671626293034567[[#This Row],[累计净值]]/MAX(INDIRECT("B21:B" &amp; ROW()))-1,E124)</f>
        <v>-2.5203567274137306E-2</v>
      </c>
      <c r="F125" s="62">
        <f>表2_3671626293034567[[#This Row],[累计净值]]</f>
        <v>1.0468999999999999</v>
      </c>
      <c r="G125" s="20">
        <f>表2_3671626293034567[[#This Row],[累计净值]]/$B$22-1</f>
        <v>4.0139095876800868E-2</v>
      </c>
    </row>
    <row r="126" spans="1:7" x14ac:dyDescent="0.2">
      <c r="A126" s="55">
        <v>43867</v>
      </c>
      <c r="B126" s="16">
        <v>1.0492999999999999</v>
      </c>
      <c r="C126" s="73">
        <f t="shared" si="26"/>
        <v>2.3999999999999577E-3</v>
      </c>
      <c r="D126" s="18" t="str">
        <f t="shared" si="27"/>
        <v>/</v>
      </c>
      <c r="E126" s="18">
        <f ca="1">IF(表2_3671626293034567[[#This Row],[累计净值]]/MAX(INDIRECT("B21:B" &amp; ROW()))-1&lt;E125,表2_3671626293034567[[#This Row],[累计净值]]/MAX(INDIRECT("B21:B" &amp; ROW()))-1,E125)</f>
        <v>-2.5203567274137306E-2</v>
      </c>
      <c r="F126" s="62">
        <f>表2_3671626293034567[[#This Row],[累计净值]]</f>
        <v>1.0492999999999999</v>
      </c>
      <c r="G126" s="20">
        <f>表2_3671626293034567[[#This Row],[累计净值]]/$B$22-1</f>
        <v>4.252359662195726E-2</v>
      </c>
    </row>
    <row r="127" spans="1:7" x14ac:dyDescent="0.2">
      <c r="A127" s="55">
        <v>43868</v>
      </c>
      <c r="B127" s="16">
        <v>1.0533999999999999</v>
      </c>
      <c r="C127" s="73">
        <f t="shared" si="26"/>
        <v>4.0999999999999925E-3</v>
      </c>
      <c r="D127" s="18" t="str">
        <f t="shared" si="27"/>
        <v>/</v>
      </c>
      <c r="E127" s="18">
        <f ca="1">IF(表2_3671626293034567[[#This Row],[累计净值]]/MAX(INDIRECT("B21:B" &amp; ROW()))-1&lt;E126,表2_3671626293034567[[#This Row],[累计净值]]/MAX(INDIRECT("B21:B" &amp; ROW()))-1,E126)</f>
        <v>-2.5203567274137306E-2</v>
      </c>
      <c r="F127" s="62">
        <f>表2_3671626293034567[[#This Row],[累计净值]]</f>
        <v>1.0533999999999999</v>
      </c>
      <c r="G127" s="20">
        <f>表2_3671626293034567[[#This Row],[累计净值]]/$B$22-1</f>
        <v>4.6597118728266107E-2</v>
      </c>
    </row>
    <row r="128" spans="1:7" x14ac:dyDescent="0.2">
      <c r="A128" s="55">
        <v>43871</v>
      </c>
      <c r="B128" s="76">
        <v>1.0617000000000001</v>
      </c>
      <c r="C128" s="73">
        <f t="shared" si="26"/>
        <v>8.3000000000001961E-3</v>
      </c>
      <c r="D128" s="18" t="str">
        <f t="shared" si="27"/>
        <v>/</v>
      </c>
      <c r="E128" s="18">
        <f ca="1">IF(表2_3671626293034567[[#This Row],[累计净值]]/MAX(INDIRECT("B21:B" &amp; ROW()))-1&lt;E127,表2_3671626293034567[[#This Row],[累计净值]]/MAX(INDIRECT("B21:B" &amp; ROW()))-1,E127)</f>
        <v>-2.5203567274137306E-2</v>
      </c>
      <c r="F128" s="62">
        <f>表2_3671626293034567[[#This Row],[累计净值]]</f>
        <v>1.0617000000000001</v>
      </c>
      <c r="G128" s="20">
        <f>表2_3671626293034567[[#This Row],[累计净值]]/$B$22-1</f>
        <v>5.4843517138599251E-2</v>
      </c>
    </row>
    <row r="129" spans="1:8" x14ac:dyDescent="0.2">
      <c r="A129" s="55">
        <v>43872</v>
      </c>
      <c r="B129" s="16">
        <v>1.0598000000000001</v>
      </c>
      <c r="C129" s="73">
        <f t="shared" ref="C129:C134" si="28">IFERROR(B129-B128,0)</f>
        <v>-1.9000000000000128E-3</v>
      </c>
      <c r="D129" s="18">
        <f t="shared" ref="D129:D134" si="29">IF(C129&lt;0,C129,"/")</f>
        <v>-1.9000000000000128E-3</v>
      </c>
      <c r="E129" s="18">
        <f ca="1">IF(表2_3671626293034567[[#This Row],[累计净值]]/MAX(INDIRECT("B21:B" &amp; ROW()))-1&lt;E128,表2_3671626293034567[[#This Row],[累计净值]]/MAX(INDIRECT("B21:B" &amp; ROW()))-1,E128)</f>
        <v>-2.5203567274137306E-2</v>
      </c>
      <c r="F129" s="62">
        <f>表2_3671626293034567[[#This Row],[累计净值]]</f>
        <v>1.0598000000000001</v>
      </c>
      <c r="G129" s="20">
        <f>表2_3671626293034567[[#This Row],[累计净值]]/$B$22-1</f>
        <v>5.2955787382017006E-2</v>
      </c>
    </row>
    <row r="130" spans="1:8" x14ac:dyDescent="0.2">
      <c r="A130" s="55">
        <v>43873</v>
      </c>
      <c r="B130" s="76">
        <v>1.0630999999999999</v>
      </c>
      <c r="C130" s="73">
        <f t="shared" si="28"/>
        <v>3.2999999999998586E-3</v>
      </c>
      <c r="D130" s="18" t="str">
        <f t="shared" si="29"/>
        <v>/</v>
      </c>
      <c r="E130" s="18">
        <f ca="1">IF(表2_3671626293034567[[#This Row],[累计净值]]/MAX(INDIRECT("B21:B" &amp; ROW()))-1&lt;E129,表2_3671626293034567[[#This Row],[累计净值]]/MAX(INDIRECT("B21:B" &amp; ROW()))-1,E129)</f>
        <v>-2.5203567274137306E-2</v>
      </c>
      <c r="F130" s="62">
        <f>表2_3671626293034567[[#This Row],[累计净值]]</f>
        <v>1.0630999999999999</v>
      </c>
      <c r="G130" s="20">
        <f>表2_3671626293034567[[#This Row],[累计净值]]/$B$22-1</f>
        <v>5.6234475906607129E-2</v>
      </c>
    </row>
    <row r="131" spans="1:8" x14ac:dyDescent="0.2">
      <c r="A131" s="55">
        <v>43874</v>
      </c>
      <c r="B131" s="16">
        <v>1.0593999999999999</v>
      </c>
      <c r="C131" s="73">
        <f t="shared" si="28"/>
        <v>-3.7000000000000366E-3</v>
      </c>
      <c r="D131" s="18">
        <f t="shared" si="29"/>
        <v>-3.7000000000000366E-3</v>
      </c>
      <c r="E131" s="18">
        <f ca="1">IF(表2_3671626293034567[[#This Row],[累计净值]]/MAX(INDIRECT("B21:B" &amp; ROW()))-1&lt;E130,表2_3671626293034567[[#This Row],[累计净值]]/MAX(INDIRECT("B21:B" &amp; ROW()))-1,E130)</f>
        <v>-2.5203567274137306E-2</v>
      </c>
      <c r="F131" s="62">
        <f>表2_3671626293034567[[#This Row],[累计净值]]</f>
        <v>1.0593999999999999</v>
      </c>
      <c r="G131" s="20">
        <f>表2_3671626293034567[[#This Row],[累计净值]]/$B$22-1</f>
        <v>5.2558370591157422E-2</v>
      </c>
    </row>
    <row r="132" spans="1:8" x14ac:dyDescent="0.2">
      <c r="A132" s="55">
        <v>43875</v>
      </c>
      <c r="B132" s="16">
        <v>1.0653999999999999</v>
      </c>
      <c r="C132" s="73">
        <f t="shared" si="28"/>
        <v>6.0000000000000053E-3</v>
      </c>
      <c r="D132" s="18" t="str">
        <f t="shared" si="29"/>
        <v>/</v>
      </c>
      <c r="E132" s="18">
        <f ca="1">IF(表2_3671626293034567[[#This Row],[累计净值]]/MAX(INDIRECT("B21:B" &amp; ROW()))-1&lt;E131,表2_3671626293034567[[#This Row],[累计净值]]/MAX(INDIRECT("B21:B" &amp; ROW()))-1,E131)</f>
        <v>-2.5203567274137306E-2</v>
      </c>
      <c r="F132" s="62">
        <f>表2_3671626293034567[[#This Row],[累计净值]]</f>
        <v>1.0653999999999999</v>
      </c>
      <c r="G132" s="20">
        <f>表2_3671626293034567[[#This Row],[累计净值]]/$B$22-1</f>
        <v>5.8519622454048736E-2</v>
      </c>
    </row>
    <row r="133" spans="1:8" x14ac:dyDescent="0.2">
      <c r="A133" s="55">
        <v>43878</v>
      </c>
      <c r="B133" s="16">
        <v>1.0619000000000001</v>
      </c>
      <c r="C133" s="73">
        <f t="shared" si="28"/>
        <v>-3.4999999999998366E-3</v>
      </c>
      <c r="D133" s="18">
        <f t="shared" si="29"/>
        <v>-3.4999999999998366E-3</v>
      </c>
      <c r="E133" s="18">
        <f ca="1">IF(表2_3671626293034567[[#This Row],[累计净值]]/MAX(INDIRECT("B21:B" &amp; ROW()))-1&lt;E132,表2_3671626293034567[[#This Row],[累计净值]]/MAX(INDIRECT("B21:B" &amp; ROW()))-1,E132)</f>
        <v>-2.5203567274137306E-2</v>
      </c>
      <c r="F133" s="62">
        <f>表2_3671626293034567[[#This Row],[累计净值]]</f>
        <v>1.0619000000000001</v>
      </c>
      <c r="G133" s="20">
        <f>表2_3671626293034567[[#This Row],[累计净值]]/$B$22-1</f>
        <v>5.5042225534028821E-2</v>
      </c>
    </row>
    <row r="134" spans="1:8" x14ac:dyDescent="0.2">
      <c r="A134" s="55">
        <v>43879</v>
      </c>
      <c r="B134" s="16">
        <v>1.0686</v>
      </c>
      <c r="C134" s="73">
        <f t="shared" si="28"/>
        <v>6.6999999999999282E-3</v>
      </c>
      <c r="D134" s="18" t="str">
        <f t="shared" si="29"/>
        <v>/</v>
      </c>
      <c r="E134" s="18">
        <f ca="1">IF(表2_3671626293034567[[#This Row],[累计净值]]/MAX(INDIRECT("B21:B" &amp; ROW()))-1&lt;E133,表2_3671626293034567[[#This Row],[累计净值]]/MAX(INDIRECT("B21:B" &amp; ROW()))-1,E133)</f>
        <v>-2.5203567274137306E-2</v>
      </c>
      <c r="F134" s="62">
        <f>表2_3671626293034567[[#This Row],[累计净值]]</f>
        <v>1.0686</v>
      </c>
      <c r="G134" s="20">
        <f>表2_3671626293034567[[#This Row],[累计净值]]/$B$22-1</f>
        <v>6.1698956780924075E-2</v>
      </c>
    </row>
    <row r="135" spans="1:8" x14ac:dyDescent="0.2">
      <c r="A135" s="55">
        <v>43880</v>
      </c>
      <c r="B135" s="16">
        <v>1.0672999999999999</v>
      </c>
      <c r="C135" s="73">
        <f t="shared" ref="C135:C140" si="30">IFERROR(B135-B134,0)</f>
        <v>-1.3000000000000789E-3</v>
      </c>
      <c r="D135" s="18">
        <f t="shared" ref="D135:D140" si="31">IF(C135&lt;0,C135,"/")</f>
        <v>-1.3000000000000789E-3</v>
      </c>
      <c r="E135" s="18">
        <f ca="1">IF(表2_3671626293034567[[#This Row],[累计净值]]/MAX(INDIRECT("B21:B" &amp; ROW()))-1&lt;E134,表2_3671626293034567[[#This Row],[累计净值]]/MAX(INDIRECT("B21:B" &amp; ROW()))-1,E134)</f>
        <v>-2.5203567274137306E-2</v>
      </c>
      <c r="F135" s="62">
        <f>表2_3671626293034567[[#This Row],[累计净值]]</f>
        <v>1.0672999999999999</v>
      </c>
      <c r="G135" s="20">
        <f>表2_3671626293034567[[#This Row],[累计净值]]/$B$22-1</f>
        <v>6.040735221063076E-2</v>
      </c>
    </row>
    <row r="136" spans="1:8" x14ac:dyDescent="0.2">
      <c r="A136" s="55">
        <v>43881</v>
      </c>
      <c r="B136" s="16">
        <v>1.0722</v>
      </c>
      <c r="C136" s="73">
        <f t="shared" si="30"/>
        <v>4.9000000000001265E-3</v>
      </c>
      <c r="D136" s="18" t="str">
        <f t="shared" si="31"/>
        <v>/</v>
      </c>
      <c r="E136" s="18">
        <f ca="1">IF(表2_3671626293034567[[#This Row],[累计净值]]/MAX(INDIRECT("B21:B" &amp; ROW()))-1&lt;E135,表2_3671626293034567[[#This Row],[累计净值]]/MAX(INDIRECT("B21:B" &amp; ROW()))-1,E135)</f>
        <v>-2.5203567274137306E-2</v>
      </c>
      <c r="F136" s="62">
        <f>表2_3671626293034567[[#This Row],[累计净值]]</f>
        <v>1.0722</v>
      </c>
      <c r="G136" s="20">
        <f>表2_3671626293034567[[#This Row],[累计净值]]/$B$22-1</f>
        <v>6.5275707898658775E-2</v>
      </c>
    </row>
    <row r="137" spans="1:8" x14ac:dyDescent="0.2">
      <c r="A137" s="55">
        <v>43882</v>
      </c>
      <c r="B137" s="16">
        <v>1.0738000000000001</v>
      </c>
      <c r="C137" s="73">
        <f t="shared" si="30"/>
        <v>1.6000000000000458E-3</v>
      </c>
      <c r="D137" s="18" t="str">
        <f t="shared" si="31"/>
        <v>/</v>
      </c>
      <c r="E137" s="18">
        <f ca="1">IF(表2_3671626293034567[[#This Row],[累计净值]]/MAX(INDIRECT("B21:B" &amp; ROW()))-1&lt;E136,表2_3671626293034567[[#This Row],[累计净值]]/MAX(INDIRECT("B21:B" &amp; ROW()))-1,E136)</f>
        <v>-2.5203567274137306E-2</v>
      </c>
      <c r="F137" s="62">
        <f>表2_3671626293034567[[#This Row],[累计净值]]</f>
        <v>1.0738000000000001</v>
      </c>
      <c r="G137" s="20">
        <f>表2_3671626293034567[[#This Row],[累计净值]]/$B$22-1</f>
        <v>6.6865375062096444E-2</v>
      </c>
    </row>
    <row r="138" spans="1:8" x14ac:dyDescent="0.2">
      <c r="A138" s="55">
        <v>43885</v>
      </c>
      <c r="B138" s="16">
        <v>1.0751999999999999</v>
      </c>
      <c r="C138" s="73">
        <f t="shared" si="30"/>
        <v>1.3999999999998458E-3</v>
      </c>
      <c r="D138" s="18" t="str">
        <f t="shared" si="31"/>
        <v>/</v>
      </c>
      <c r="E138" s="18">
        <f ca="1">IF(表2_3671626293034567[[#This Row],[累计净值]]/MAX(INDIRECT("B21:B" &amp; ROW()))-1&lt;E137,表2_3671626293034567[[#This Row],[累计净值]]/MAX(INDIRECT("B21:B" &amp; ROW()))-1,E137)</f>
        <v>-2.5203567274137306E-2</v>
      </c>
      <c r="F138" s="62">
        <f>表2_3671626293034567[[#This Row],[累计净值]]</f>
        <v>1.0751999999999999</v>
      </c>
      <c r="G138" s="20">
        <f>表2_3671626293034567[[#This Row],[累计净值]]/$B$22-1</f>
        <v>6.8256333830104321E-2</v>
      </c>
    </row>
    <row r="139" spans="1:8" x14ac:dyDescent="0.2">
      <c r="A139" s="55">
        <v>43886</v>
      </c>
      <c r="B139" s="16">
        <v>1.0765</v>
      </c>
      <c r="C139" s="73">
        <f t="shared" si="30"/>
        <v>1.3000000000000789E-3</v>
      </c>
      <c r="D139" s="18" t="str">
        <f t="shared" si="31"/>
        <v>/</v>
      </c>
      <c r="E139" s="18">
        <f ca="1">IF(表2_3671626293034567[[#This Row],[累计净值]]/MAX(INDIRECT("B21:B" &amp; ROW()))-1&lt;E138,表2_3671626293034567[[#This Row],[累计净值]]/MAX(INDIRECT("B21:B" &amp; ROW()))-1,E138)</f>
        <v>-2.5203567274137306E-2</v>
      </c>
      <c r="F139" s="62">
        <f>表2_3671626293034567[[#This Row],[累计净值]]</f>
        <v>1.0765</v>
      </c>
      <c r="G139" s="20">
        <f>表2_3671626293034567[[#This Row],[累计净值]]/$B$22-1</f>
        <v>6.9547938400397413E-2</v>
      </c>
    </row>
    <row r="140" spans="1:8" x14ac:dyDescent="0.2">
      <c r="A140" s="55">
        <v>43887</v>
      </c>
      <c r="B140" s="16">
        <v>1.0757000000000001</v>
      </c>
      <c r="C140" s="73">
        <f t="shared" si="30"/>
        <v>-7.9999999999991189E-4</v>
      </c>
      <c r="D140" s="18">
        <f t="shared" si="31"/>
        <v>-7.9999999999991189E-4</v>
      </c>
      <c r="E140" s="18">
        <f ca="1">IF(表2_3671626293034567[[#This Row],[累计净值]]/MAX(INDIRECT("B21:B" &amp; ROW()))-1&lt;E139,表2_3671626293034567[[#This Row],[累计净值]]/MAX(INDIRECT("B21:B" &amp; ROW()))-1,E139)</f>
        <v>-2.5203567274137306E-2</v>
      </c>
      <c r="F140" s="62">
        <f>表2_3671626293034567[[#This Row],[累计净值]]</f>
        <v>1.0757000000000001</v>
      </c>
      <c r="G140" s="20">
        <f>表2_3671626293034567[[#This Row],[累计净值]]/$B$22-1</f>
        <v>6.875310481867869E-2</v>
      </c>
    </row>
    <row r="141" spans="1:8" x14ac:dyDescent="0.2">
      <c r="A141" s="55">
        <v>43888</v>
      </c>
      <c r="B141" s="16">
        <v>1.083</v>
      </c>
      <c r="C141" s="73">
        <f t="shared" ref="C141:C146" si="32">IFERROR(B141-B140,0)</f>
        <v>7.2999999999998622E-3</v>
      </c>
      <c r="D141" s="18" t="str">
        <f t="shared" ref="D141:D146" si="33">IF(C141&lt;0,C141,"/")</f>
        <v>/</v>
      </c>
      <c r="E141" s="18">
        <f ca="1">IF(表2_3671626293034567[[#This Row],[累计净值]]/MAX(INDIRECT("B21:B" &amp; ROW()))-1&lt;E140,表2_3671626293034567[[#This Row],[累计净值]]/MAX(INDIRECT("B21:B" &amp; ROW()))-1,E140)</f>
        <v>-2.5203567274137306E-2</v>
      </c>
      <c r="F141" s="62">
        <f>表2_3671626293034567[[#This Row],[累计净值]]</f>
        <v>1.083</v>
      </c>
      <c r="G141" s="20">
        <f>表2_3671626293034567[[#This Row],[累计净值]]/$B$22-1</f>
        <v>7.6005961251862875E-2</v>
      </c>
    </row>
    <row r="142" spans="1:8" x14ac:dyDescent="0.2">
      <c r="A142" s="55">
        <v>43889</v>
      </c>
      <c r="B142" s="16">
        <v>1.0869</v>
      </c>
      <c r="C142" s="73">
        <f t="shared" si="32"/>
        <v>3.9000000000000146E-3</v>
      </c>
      <c r="D142" s="18" t="str">
        <f t="shared" si="33"/>
        <v>/</v>
      </c>
      <c r="E142" s="18">
        <f ca="1">IF(表2_3671626293034567[[#This Row],[累计净值]]/MAX(INDIRECT("B21:B" &amp; ROW()))-1&lt;E141,表2_3671626293034567[[#This Row],[累计净值]]/MAX(INDIRECT("B21:B" &amp; ROW()))-1,E141)</f>
        <v>-2.5203567274137306E-2</v>
      </c>
      <c r="F142" s="62">
        <f>表2_3671626293034567[[#This Row],[累计净值]]</f>
        <v>1.0869</v>
      </c>
      <c r="G142" s="20">
        <f>表2_3671626293034567[[#This Row],[累计净值]]/$B$22-1</f>
        <v>7.9880774962742152E-2</v>
      </c>
    </row>
    <row r="143" spans="1:8" x14ac:dyDescent="0.2">
      <c r="A143" s="55">
        <v>43892</v>
      </c>
      <c r="B143" s="16">
        <v>1.0907</v>
      </c>
      <c r="C143" s="73">
        <f t="shared" si="32"/>
        <v>3.8000000000000256E-3</v>
      </c>
      <c r="D143" s="18" t="str">
        <f t="shared" si="33"/>
        <v>/</v>
      </c>
      <c r="E143" s="18">
        <f ca="1">IF(表2_3671626293034567[[#This Row],[累计净值]]/MAX(INDIRECT("B21:B" &amp; ROW()))-1&lt;E142,表2_3671626293034567[[#This Row],[累计净值]]/MAX(INDIRECT("B21:B" &amp; ROW()))-1,E142)</f>
        <v>-2.5203567274137306E-2</v>
      </c>
      <c r="F143" s="62">
        <f>表2_3671626293034567[[#This Row],[累计净值]]</f>
        <v>1.0907</v>
      </c>
      <c r="G143" s="20">
        <f>表2_3671626293034567[[#This Row],[累计净值]]/$B$22-1</f>
        <v>8.3656234475906643E-2</v>
      </c>
    </row>
    <row r="144" spans="1:8" x14ac:dyDescent="0.2">
      <c r="A144" s="55">
        <v>43893</v>
      </c>
      <c r="B144" s="16">
        <v>1.0993999999999999</v>
      </c>
      <c r="C144" s="73">
        <f t="shared" si="32"/>
        <v>8.69999999999993E-3</v>
      </c>
      <c r="D144" s="18" t="str">
        <f t="shared" si="33"/>
        <v>/</v>
      </c>
      <c r="E144" s="18">
        <f ca="1">IF(表2_3671626293034567[[#This Row],[累计净值]]/MAX(INDIRECT("B21:B" &amp; ROW()))-1&lt;E143,表2_3671626293034567[[#This Row],[累计净值]]/MAX(INDIRECT("B21:B" &amp; ROW()))-1,E143)</f>
        <v>-2.5203567274137306E-2</v>
      </c>
      <c r="F144" s="62">
        <v>1.0387</v>
      </c>
      <c r="G144" s="20">
        <f>表2_3671626293034567[[#This Row],[累计净值]]/$B$22-1</f>
        <v>9.2300049677098928E-2</v>
      </c>
      <c r="H144" s="60">
        <f>表2_3671626293034567[[#This Row],[累计净值]]-表2_3671626293034567[[#This Row],[单位净值]]</f>
        <v>6.0699999999999976E-2</v>
      </c>
    </row>
    <row r="145" spans="1:7" x14ac:dyDescent="0.2">
      <c r="A145" s="55">
        <v>43894</v>
      </c>
      <c r="B145" s="76">
        <v>1.1068</v>
      </c>
      <c r="C145" s="73">
        <f t="shared" si="32"/>
        <v>7.4000000000000732E-3</v>
      </c>
      <c r="D145" s="18" t="str">
        <f t="shared" si="33"/>
        <v>/</v>
      </c>
      <c r="E145" s="18">
        <f ca="1">IF(表2_3671626293034567[[#This Row],[累计净值]]/MAX(INDIRECT("B21:B" &amp; ROW()))-1&lt;E144,表2_3671626293034567[[#This Row],[累计净值]]/MAX(INDIRECT("B21:B" &amp; ROW()))-1,E144)</f>
        <v>-2.5203567274137306E-2</v>
      </c>
      <c r="F145" s="62">
        <f>表2_3671626293034567[[#This Row],[累计净值]]-0.0607</f>
        <v>1.0461</v>
      </c>
      <c r="G145" s="20">
        <f>表2_3671626293034567[[#This Row],[累计净值]]/$B$22-1</f>
        <v>9.965226030799812E-2</v>
      </c>
    </row>
    <row r="146" spans="1:7" x14ac:dyDescent="0.2">
      <c r="A146" s="55">
        <v>43895</v>
      </c>
      <c r="B146" s="16">
        <v>1.1057999999999999</v>
      </c>
      <c r="C146" s="73">
        <f t="shared" si="32"/>
        <v>-1.0000000000001119E-3</v>
      </c>
      <c r="D146" s="18">
        <f t="shared" si="33"/>
        <v>-1.0000000000001119E-3</v>
      </c>
      <c r="E146" s="18">
        <f ca="1">IF(表2_3671626293034567[[#This Row],[累计净值]]/MAX(INDIRECT("B21:B" &amp; ROW()))-1&lt;E145,表2_3671626293034567[[#This Row],[累计净值]]/MAX(INDIRECT("B21:B" &amp; ROW()))-1,E145)</f>
        <v>-2.5203567274137306E-2</v>
      </c>
      <c r="F146" s="62">
        <f>表2_3671626293034567[[#This Row],[累计净值]]-0.0607</f>
        <v>1.0450999999999999</v>
      </c>
      <c r="G146" s="20">
        <f>表2_3671626293034567[[#This Row],[累计净值]]/$B$22-1</f>
        <v>9.8658718330849382E-2</v>
      </c>
    </row>
    <row r="147" spans="1:7" x14ac:dyDescent="0.2">
      <c r="A147" s="55">
        <v>43896</v>
      </c>
      <c r="B147" s="16">
        <v>1.1071</v>
      </c>
      <c r="C147" s="73">
        <f t="shared" ref="C147:C152" si="34">IFERROR(B147-B146,0)</f>
        <v>1.3000000000000789E-3</v>
      </c>
      <c r="D147" s="18" t="str">
        <f t="shared" ref="D147:D152" si="35">IF(C147&lt;0,C147,"/")</f>
        <v>/</v>
      </c>
      <c r="E147" s="18">
        <f ca="1">IF(表2_3671626293034567[[#This Row],[累计净值]]/MAX(INDIRECT("B21:B" &amp; ROW()))-1&lt;E146,表2_3671626293034567[[#This Row],[累计净值]]/MAX(INDIRECT("B21:B" &amp; ROW()))-1,E146)</f>
        <v>-2.5203567274137306E-2</v>
      </c>
      <c r="F147" s="62">
        <f>表2_3671626293034567[[#This Row],[累计净值]]-0.0607</f>
        <v>1.0464</v>
      </c>
      <c r="G147" s="20">
        <f>表2_3671626293034567[[#This Row],[累计净值]]/$B$22-1</f>
        <v>9.9950322901142696E-2</v>
      </c>
    </row>
    <row r="148" spans="1:7" x14ac:dyDescent="0.2">
      <c r="A148" s="55">
        <v>43899</v>
      </c>
      <c r="B148" s="16">
        <v>1.109</v>
      </c>
      <c r="C148" s="73">
        <f t="shared" si="34"/>
        <v>1.9000000000000128E-3</v>
      </c>
      <c r="D148" s="18" t="str">
        <f t="shared" si="35"/>
        <v>/</v>
      </c>
      <c r="E148" s="18">
        <f ca="1">IF(表2_3671626293034567[[#This Row],[累计净值]]/MAX(INDIRECT("B21:B" &amp; ROW()))-1&lt;E147,表2_3671626293034567[[#This Row],[累计净值]]/MAX(INDIRECT("B21:B" &amp; ROW()))-1,E147)</f>
        <v>-2.5203567274137306E-2</v>
      </c>
      <c r="F148" s="62">
        <f>表2_3671626293034567[[#This Row],[累计净值]]-0.0607</f>
        <v>1.0483</v>
      </c>
      <c r="G148" s="20">
        <f>表2_3671626293034567[[#This Row],[累计净值]]/$B$22-1</f>
        <v>0.10183805265772472</v>
      </c>
    </row>
    <row r="149" spans="1:7" x14ac:dyDescent="0.2">
      <c r="A149" s="55">
        <v>43900</v>
      </c>
      <c r="B149" s="16">
        <v>1.1073999999999999</v>
      </c>
      <c r="C149" s="73">
        <f t="shared" si="34"/>
        <v>-1.6000000000000458E-3</v>
      </c>
      <c r="D149" s="18">
        <f t="shared" si="35"/>
        <v>-1.6000000000000458E-3</v>
      </c>
      <c r="E149" s="18">
        <f ca="1">IF(表2_3671626293034567[[#This Row],[累计净值]]/MAX(INDIRECT("B21:B" &amp; ROW()))-1&lt;E148,表2_3671626293034567[[#This Row],[累计净值]]/MAX(INDIRECT("B21:B" &amp; ROW()))-1,E148)</f>
        <v>-2.5203567274137306E-2</v>
      </c>
      <c r="F149" s="62">
        <f>表2_3671626293034567[[#This Row],[累计净值]]-0.0607</f>
        <v>1.0467</v>
      </c>
      <c r="G149" s="20">
        <f>表2_3671626293034567[[#This Row],[累计净值]]/$B$22-1</f>
        <v>0.10024838549428705</v>
      </c>
    </row>
    <row r="150" spans="1:7" x14ac:dyDescent="0.2">
      <c r="A150" s="55">
        <v>43901</v>
      </c>
      <c r="B150" s="16">
        <v>1.1100000000000001</v>
      </c>
      <c r="C150" s="73">
        <f t="shared" si="34"/>
        <v>2.6000000000001577E-3</v>
      </c>
      <c r="D150" s="18" t="str">
        <f t="shared" si="35"/>
        <v>/</v>
      </c>
      <c r="E150" s="18">
        <f ca="1">IF(表2_3671626293034567[[#This Row],[累计净值]]/MAX(INDIRECT("B21:B" &amp; ROW()))-1&lt;E149,表2_3671626293034567[[#This Row],[累计净值]]/MAX(INDIRECT("B21:B" &amp; ROW()))-1,E149)</f>
        <v>-2.5203567274137306E-2</v>
      </c>
      <c r="F150" s="62">
        <f>表2_3671626293034567[[#This Row],[累计净值]]-0.0607</f>
        <v>1.0493000000000001</v>
      </c>
      <c r="G150" s="20">
        <f>表2_3671626293034567[[#This Row],[累计净值]]/$B$22-1</f>
        <v>0.10283159463487346</v>
      </c>
    </row>
    <row r="151" spans="1:7" x14ac:dyDescent="0.2">
      <c r="A151" s="55">
        <v>43902</v>
      </c>
      <c r="B151" s="76">
        <v>1.1104000000000001</v>
      </c>
      <c r="C151" s="73">
        <f t="shared" si="34"/>
        <v>3.9999999999995595E-4</v>
      </c>
      <c r="D151" s="18" t="str">
        <f t="shared" si="35"/>
        <v>/</v>
      </c>
      <c r="E151" s="18">
        <f ca="1">IF(表2_3671626293034567[[#This Row],[累计净值]]/MAX(INDIRECT("B21:B" &amp; ROW()))-1&lt;E150,表2_3671626293034567[[#This Row],[累计净值]]/MAX(INDIRECT("B21:B" &amp; ROW()))-1,E150)</f>
        <v>-2.5203567274137306E-2</v>
      </c>
      <c r="F151" s="62">
        <f>表2_3671626293034567[[#This Row],[累计净值]]-0.0607</f>
        <v>1.0497000000000001</v>
      </c>
      <c r="G151" s="20">
        <f>表2_3671626293034567[[#This Row],[累计净值]]/$B$22-1</f>
        <v>0.10322901142573282</v>
      </c>
    </row>
    <row r="152" spans="1:7" x14ac:dyDescent="0.2">
      <c r="A152" s="55">
        <v>43903</v>
      </c>
      <c r="B152" s="16">
        <v>1.1061000000000001</v>
      </c>
      <c r="C152" s="73">
        <f t="shared" si="34"/>
        <v>-4.2999999999999705E-3</v>
      </c>
      <c r="D152" s="18">
        <f t="shared" si="35"/>
        <v>-4.2999999999999705E-3</v>
      </c>
      <c r="E152" s="18">
        <f ca="1">IF(表2_3671626293034567[[#This Row],[累计净值]]/MAX(INDIRECT("B21:B" &amp; ROW()))-1&lt;E151,表2_3671626293034567[[#This Row],[累计净值]]/MAX(INDIRECT("B21:B" &amp; ROW()))-1,E151)</f>
        <v>-2.5203567274137306E-2</v>
      </c>
      <c r="F152" s="62">
        <f>表2_3671626293034567[[#This Row],[累计净值]]-0.0607</f>
        <v>1.0454000000000001</v>
      </c>
      <c r="G152" s="20">
        <f>表2_3671626293034567[[#This Row],[累计净值]]/$B$22-1</f>
        <v>9.8956780923994181E-2</v>
      </c>
    </row>
    <row r="153" spans="1:7" x14ac:dyDescent="0.2">
      <c r="A153" s="55">
        <v>43906</v>
      </c>
      <c r="B153" s="16">
        <v>1.1012</v>
      </c>
      <c r="C153" s="73">
        <f t="shared" ref="C153:C158" si="36">IFERROR(B153-B152,0)</f>
        <v>-4.9000000000001265E-3</v>
      </c>
      <c r="D153" s="18">
        <f t="shared" ref="D153:D158" si="37">IF(C153&lt;0,C153,"/")</f>
        <v>-4.9000000000001265E-3</v>
      </c>
      <c r="E153" s="18">
        <f ca="1">IF(表2_3671626293034567[[#This Row],[累计净值]]/MAX(INDIRECT("B21:B" &amp; ROW()))-1&lt;E152,表2_3671626293034567[[#This Row],[累计净值]]/MAX(INDIRECT("B21:B" &amp; ROW()))-1,E152)</f>
        <v>-2.5203567274137306E-2</v>
      </c>
      <c r="F153" s="62">
        <f>表2_3671626293034567[[#This Row],[累计净值]]-0.0607</f>
        <v>1.0405</v>
      </c>
      <c r="G153" s="20">
        <f>表2_3671626293034567[[#This Row],[累计净值]]/$B$22-1</f>
        <v>9.4088425235966167E-2</v>
      </c>
    </row>
    <row r="154" spans="1:7" x14ac:dyDescent="0.2">
      <c r="A154" s="55">
        <v>43907</v>
      </c>
      <c r="B154" s="16">
        <v>1.1113999999999999</v>
      </c>
      <c r="C154" s="73">
        <f t="shared" si="36"/>
        <v>1.0199999999999987E-2</v>
      </c>
      <c r="D154" s="18" t="str">
        <f t="shared" si="37"/>
        <v>/</v>
      </c>
      <c r="E154" s="18">
        <f ca="1">IF(表2_3671626293034567[[#This Row],[累计净值]]/MAX(INDIRECT("B21:B" &amp; ROW()))-1&lt;E153,表2_3671626293034567[[#This Row],[累计净值]]/MAX(INDIRECT("B21:B" &amp; ROW()))-1,E153)</f>
        <v>-2.5203567274137306E-2</v>
      </c>
      <c r="F154" s="62">
        <f>表2_3671626293034567[[#This Row],[累计净值]]-0.0607</f>
        <v>1.0507</v>
      </c>
      <c r="G154" s="20">
        <f>表2_3671626293034567[[#This Row],[累计净值]]/$B$22-1</f>
        <v>0.10422255340288133</v>
      </c>
    </row>
    <row r="155" spans="1:7" x14ac:dyDescent="0.2">
      <c r="A155" s="55">
        <v>43908</v>
      </c>
      <c r="B155" s="16">
        <v>1.1123000000000001</v>
      </c>
      <c r="C155" s="73">
        <f t="shared" si="36"/>
        <v>9.0000000000012292E-4</v>
      </c>
      <c r="D155" s="18" t="str">
        <f t="shared" si="37"/>
        <v>/</v>
      </c>
      <c r="E155" s="18">
        <f ca="1">IF(表2_3671626293034567[[#This Row],[累计净值]]/MAX(INDIRECT("B21:B" &amp; ROW()))-1&lt;E154,表2_3671626293034567[[#This Row],[累计净值]]/MAX(INDIRECT("B21:B" &amp; ROW()))-1,E154)</f>
        <v>-2.5203567274137306E-2</v>
      </c>
      <c r="F155" s="62">
        <f>表2_3671626293034567[[#This Row],[累计净值]]-0.0607</f>
        <v>1.0516000000000001</v>
      </c>
      <c r="G155" s="20">
        <f>表2_3671626293034567[[#This Row],[累计净值]]/$B$22-1</f>
        <v>0.10511674118231507</v>
      </c>
    </row>
    <row r="156" spans="1:7" x14ac:dyDescent="0.2">
      <c r="A156" s="55">
        <v>43909</v>
      </c>
      <c r="B156" s="16">
        <v>1.1153999999999999</v>
      </c>
      <c r="C156" s="73">
        <f t="shared" si="36"/>
        <v>3.0999999999998806E-3</v>
      </c>
      <c r="D156" s="18" t="str">
        <f t="shared" si="37"/>
        <v>/</v>
      </c>
      <c r="E156" s="18">
        <f ca="1">IF(表2_3671626293034567[[#This Row],[累计净值]]/MAX(INDIRECT("B21:B" &amp; ROW()))-1&lt;E155,表2_3671626293034567[[#This Row],[累计净值]]/MAX(INDIRECT("B21:B" &amp; ROW()))-1,E155)</f>
        <v>-2.5203567274137306E-2</v>
      </c>
      <c r="F156" s="62">
        <f>表2_3671626293034567[[#This Row],[累计净值]]-0.0607</f>
        <v>1.0547</v>
      </c>
      <c r="G156" s="20">
        <f>表2_3671626293034567[[#This Row],[累计净值]]/$B$22-1</f>
        <v>0.1081967213114754</v>
      </c>
    </row>
    <row r="157" spans="1:7" x14ac:dyDescent="0.2">
      <c r="A157" s="55">
        <v>43910</v>
      </c>
      <c r="B157" s="16">
        <v>1.1162000000000001</v>
      </c>
      <c r="C157" s="73">
        <f t="shared" si="36"/>
        <v>8.0000000000013394E-4</v>
      </c>
      <c r="D157" s="18" t="str">
        <f t="shared" si="37"/>
        <v>/</v>
      </c>
      <c r="E157" s="18">
        <f ca="1">IF(表2_3671626293034567[[#This Row],[累计净值]]/MAX(INDIRECT("B21:B" &amp; ROW()))-1&lt;E156,表2_3671626293034567[[#This Row],[累计净值]]/MAX(INDIRECT("B21:B" &amp; ROW()))-1,E156)</f>
        <v>-2.5203567274137306E-2</v>
      </c>
      <c r="F157" s="62">
        <f>表2_3671626293034567[[#This Row],[累计净值]]-0.0607</f>
        <v>1.0555000000000001</v>
      </c>
      <c r="G157" s="20">
        <f>表2_3671626293034567[[#This Row],[累计净值]]/$B$22-1</f>
        <v>0.10899155489319434</v>
      </c>
    </row>
    <row r="158" spans="1:7" x14ac:dyDescent="0.2">
      <c r="A158" s="55">
        <v>43913</v>
      </c>
      <c r="B158" s="16">
        <v>1.1087</v>
      </c>
      <c r="C158" s="73">
        <f t="shared" si="36"/>
        <v>-7.5000000000000622E-3</v>
      </c>
      <c r="D158" s="18">
        <f t="shared" si="37"/>
        <v>-7.5000000000000622E-3</v>
      </c>
      <c r="E158" s="18">
        <f ca="1">IF(表2_3671626293034567[[#This Row],[累计净值]]/MAX(INDIRECT("B21:B" &amp; ROW()))-1&lt;E157,表2_3671626293034567[[#This Row],[累计净值]]/MAX(INDIRECT("B21:B" &amp; ROW()))-1,E157)</f>
        <v>-2.5203567274137306E-2</v>
      </c>
      <c r="F158" s="62">
        <f>表2_3671626293034567[[#This Row],[累计净值]]-0.0607</f>
        <v>1.048</v>
      </c>
      <c r="G158" s="20">
        <f>表2_3671626293034567[[#This Row],[累计净值]]/$B$22-1</f>
        <v>0.10153999006458037</v>
      </c>
    </row>
    <row r="159" spans="1:7" x14ac:dyDescent="0.2">
      <c r="A159" s="55">
        <v>43914</v>
      </c>
      <c r="B159" s="16">
        <v>1.1169</v>
      </c>
      <c r="C159" s="73">
        <f t="shared" ref="C159:C165" si="38">IFERROR(B159-B158,0)</f>
        <v>8.1999999999999851E-3</v>
      </c>
      <c r="D159" s="18" t="str">
        <f t="shared" ref="D159:D165" si="39">IF(C159&lt;0,C159,"/")</f>
        <v>/</v>
      </c>
      <c r="E159" s="18">
        <f ca="1">IF(表2_3671626293034567[[#This Row],[累计净值]]/MAX(INDIRECT("B21:B" &amp; ROW()))-1&lt;E158,表2_3671626293034567[[#This Row],[累计净值]]/MAX(INDIRECT("B21:B" &amp; ROW()))-1,E158)</f>
        <v>-2.5203567274137306E-2</v>
      </c>
      <c r="F159" s="62">
        <f>表2_3671626293034567[[#This Row],[累计净值]]-0.0607</f>
        <v>1.0562</v>
      </c>
      <c r="G159" s="20">
        <f>表2_3671626293034567[[#This Row],[累计净值]]/$B$22-1</f>
        <v>0.10968703427719828</v>
      </c>
    </row>
    <row r="160" spans="1:7" x14ac:dyDescent="0.2">
      <c r="A160" s="55">
        <v>43915</v>
      </c>
      <c r="B160" s="16">
        <v>1.1198999999999999</v>
      </c>
      <c r="C160" s="73">
        <f t="shared" si="38"/>
        <v>2.9999999999998916E-3</v>
      </c>
      <c r="D160" s="18" t="str">
        <f t="shared" si="39"/>
        <v>/</v>
      </c>
      <c r="E160" s="18">
        <f ca="1">IF(表2_3671626293034567[[#This Row],[累计净值]]/MAX(INDIRECT("B21:B" &amp; ROW()))-1&lt;E159,表2_3671626293034567[[#This Row],[累计净值]]/MAX(INDIRECT("B21:B" &amp; ROW()))-1,E159)</f>
        <v>-2.5203567274137306E-2</v>
      </c>
      <c r="F160" s="62">
        <f>表2_3671626293034567[[#This Row],[累计净值]]-0.0607</f>
        <v>1.0591999999999999</v>
      </c>
      <c r="G160" s="20">
        <f>表2_3671626293034567[[#This Row],[累计净值]]/$B$22-1</f>
        <v>0.11266766020864383</v>
      </c>
    </row>
    <row r="161" spans="1:7" x14ac:dyDescent="0.2">
      <c r="A161" s="55">
        <v>43916</v>
      </c>
      <c r="B161" s="16">
        <v>1.1224000000000001</v>
      </c>
      <c r="C161" s="73">
        <f t="shared" si="38"/>
        <v>2.5000000000001688E-3</v>
      </c>
      <c r="D161" s="18" t="str">
        <f t="shared" si="39"/>
        <v>/</v>
      </c>
      <c r="E161" s="18">
        <f ca="1">IF(表2_3671626293034567[[#This Row],[累计净值]]/MAX(INDIRECT("B21:B" &amp; ROW()))-1&lt;E160,表2_3671626293034567[[#This Row],[累计净值]]/MAX(INDIRECT("B21:B" &amp; ROW()))-1,E160)</f>
        <v>-2.5203567274137306E-2</v>
      </c>
      <c r="F161" s="62">
        <f>表2_3671626293034567[[#This Row],[累计净值]]-0.0607</f>
        <v>1.0617000000000001</v>
      </c>
      <c r="G161" s="20">
        <f>表2_3671626293034567[[#This Row],[累计净值]]/$B$22-1</f>
        <v>0.11515151515151523</v>
      </c>
    </row>
    <row r="162" spans="1:7" x14ac:dyDescent="0.2">
      <c r="A162" s="55">
        <v>43917</v>
      </c>
      <c r="B162" s="16">
        <v>1.1204000000000001</v>
      </c>
      <c r="C162" s="73">
        <f t="shared" si="38"/>
        <v>-2.0000000000000018E-3</v>
      </c>
      <c r="D162" s="18">
        <f t="shared" si="39"/>
        <v>-2.0000000000000018E-3</v>
      </c>
      <c r="E162" s="18">
        <f ca="1">IF(表2_3671626293034567[[#This Row],[累计净值]]/MAX(INDIRECT("B21:B" &amp; ROW()))-1&lt;E161,表2_3671626293034567[[#This Row],[累计净值]]/MAX(INDIRECT("B21:B" &amp; ROW()))-1,E161)</f>
        <v>-2.5203567274137306E-2</v>
      </c>
      <c r="F162" s="62">
        <f>表2_3671626293034567[[#This Row],[累计净值]]-0.0607</f>
        <v>1.0597000000000001</v>
      </c>
      <c r="G162" s="20">
        <f>表2_3671626293034567[[#This Row],[累计净值]]/$B$22-1</f>
        <v>0.1131644311972182</v>
      </c>
    </row>
    <row r="163" spans="1:7" x14ac:dyDescent="0.2">
      <c r="A163" s="55">
        <v>43920</v>
      </c>
      <c r="B163" s="16">
        <v>1.1237999999999999</v>
      </c>
      <c r="C163" s="73">
        <f t="shared" si="38"/>
        <v>3.3999999999998476E-3</v>
      </c>
      <c r="D163" s="18" t="str">
        <f t="shared" si="39"/>
        <v>/</v>
      </c>
      <c r="E163" s="18">
        <f ca="1">IF(表2_3671626293034567[[#This Row],[累计净值]]/MAX(INDIRECT("B21:B" &amp; ROW()))-1&lt;E162,表2_3671626293034567[[#This Row],[累计净值]]/MAX(INDIRECT("B21:B" &amp; ROW()))-1,E162)</f>
        <v>-2.5203567274137306E-2</v>
      </c>
      <c r="F163" s="62">
        <f>表2_3671626293034567[[#This Row],[累计净值]]-0.0607</f>
        <v>1.0630999999999999</v>
      </c>
      <c r="G163" s="20">
        <f>表2_3671626293034567[[#This Row],[累计净值]]/$B$22-1</f>
        <v>0.1165424739195231</v>
      </c>
    </row>
    <row r="164" spans="1:7" x14ac:dyDescent="0.2">
      <c r="A164" s="55">
        <v>43921</v>
      </c>
      <c r="B164" s="16">
        <v>1.1254</v>
      </c>
      <c r="C164" s="73">
        <f t="shared" si="38"/>
        <v>1.6000000000000458E-3</v>
      </c>
      <c r="D164" s="18" t="str">
        <f t="shared" si="39"/>
        <v>/</v>
      </c>
      <c r="E164" s="18">
        <f ca="1">IF(表2_3671626293034567[[#This Row],[累计净值]]/MAX(INDIRECT("B21:B" &amp; ROW()))-1&lt;E163,表2_3671626293034567[[#This Row],[累计净值]]/MAX(INDIRECT("B21:B" &amp; ROW()))-1,E163)</f>
        <v>-2.5203567274137306E-2</v>
      </c>
      <c r="F164" s="62">
        <f>表2_3671626293034567[[#This Row],[累计净值]]-0.0607</f>
        <v>1.0647</v>
      </c>
      <c r="G164" s="20">
        <f>表2_3671626293034567[[#This Row],[累计净值]]/$B$22-1</f>
        <v>0.11813214108296077</v>
      </c>
    </row>
    <row r="165" spans="1:7" x14ac:dyDescent="0.2">
      <c r="A165" s="55">
        <v>43922</v>
      </c>
      <c r="B165" s="16">
        <v>1.1259999999999999</v>
      </c>
      <c r="C165" s="73">
        <f t="shared" si="38"/>
        <v>5.9999999999993392E-4</v>
      </c>
      <c r="D165" s="18" t="str">
        <f t="shared" si="39"/>
        <v>/</v>
      </c>
      <c r="E165" s="18">
        <f ca="1">IF(表2_3671626293034567[[#This Row],[累计净值]]/MAX(INDIRECT("B21:B" &amp; ROW()))-1&lt;E164,表2_3671626293034567[[#This Row],[累计净值]]/MAX(INDIRECT("B21:B" &amp; ROW()))-1,E164)</f>
        <v>-2.5203567274137306E-2</v>
      </c>
      <c r="F165" s="62">
        <f>表2_3671626293034567[[#This Row],[累计净值]]-0.0607</f>
        <v>1.0652999999999999</v>
      </c>
      <c r="G165" s="20">
        <f>表2_3671626293034567[[#This Row],[累计净值]]/$B$22-1</f>
        <v>0.11872826626924993</v>
      </c>
    </row>
    <row r="166" spans="1:7" x14ac:dyDescent="0.2">
      <c r="A166" s="55">
        <v>43923</v>
      </c>
      <c r="B166" s="16">
        <v>1.1258999999999999</v>
      </c>
      <c r="C166" s="73">
        <f t="shared" ref="C166:C171" si="40">IFERROR(B166-B165,0)</f>
        <v>-9.9999999999988987E-5</v>
      </c>
      <c r="D166" s="18">
        <f t="shared" ref="D166:D171" si="41">IF(C166&lt;0,C166,"/")</f>
        <v>-9.9999999999988987E-5</v>
      </c>
      <c r="E166" s="18">
        <f ca="1">IF(表2_3671626293034567[[#This Row],[累计净值]]/MAX(INDIRECT("B21:B" &amp; ROW()))-1&lt;E165,表2_3671626293034567[[#This Row],[累计净值]]/MAX(INDIRECT("B21:B" &amp; ROW()))-1,E165)</f>
        <v>-2.5203567274137306E-2</v>
      </c>
      <c r="F166" s="62">
        <f>表2_3671626293034567[[#This Row],[累计净值]]-0.0607</f>
        <v>1.0651999999999999</v>
      </c>
      <c r="G166" s="20">
        <f>表2_3671626293034567[[#This Row],[累计净值]]/$B$22-1</f>
        <v>0.11862891207153492</v>
      </c>
    </row>
    <row r="167" spans="1:7" x14ac:dyDescent="0.2">
      <c r="A167" s="55">
        <v>43924</v>
      </c>
      <c r="B167" s="16">
        <v>1.1254999999999999</v>
      </c>
      <c r="C167" s="73">
        <f t="shared" si="40"/>
        <v>-3.9999999999995595E-4</v>
      </c>
      <c r="D167" s="18">
        <f t="shared" si="41"/>
        <v>-3.9999999999995595E-4</v>
      </c>
      <c r="E167" s="18">
        <f ca="1">IF(表2_3671626293034567[[#This Row],[累计净值]]/MAX(INDIRECT("B21:B" &amp; ROW()))-1&lt;E166,表2_3671626293034567[[#This Row],[累计净值]]/MAX(INDIRECT("B21:B" &amp; ROW()))-1,E166)</f>
        <v>-2.5203567274137306E-2</v>
      </c>
      <c r="F167" s="62">
        <f>表2_3671626293034567[[#This Row],[累计净值]]-0.0607</f>
        <v>1.0648</v>
      </c>
      <c r="G167" s="20">
        <f>表2_3671626293034567[[#This Row],[累计净值]]/$B$22-1</f>
        <v>0.11823149528067556</v>
      </c>
    </row>
    <row r="168" spans="1:7" x14ac:dyDescent="0.2">
      <c r="A168" s="55">
        <v>43928</v>
      </c>
      <c r="B168" s="16">
        <v>1.1248</v>
      </c>
      <c r="C168" s="73">
        <f t="shared" si="40"/>
        <v>-6.9999999999992291E-4</v>
      </c>
      <c r="D168" s="18">
        <f t="shared" si="41"/>
        <v>-6.9999999999992291E-4</v>
      </c>
      <c r="E168" s="18">
        <f ca="1">IF(表2_3671626293034567[[#This Row],[累计净值]]/MAX(INDIRECT("B21:B" &amp; ROW()))-1&lt;E167,表2_3671626293034567[[#This Row],[累计净值]]/MAX(INDIRECT("B21:B" &amp; ROW()))-1,E167)</f>
        <v>-2.5203567274137306E-2</v>
      </c>
      <c r="F168" s="62">
        <f>表2_3671626293034567[[#This Row],[累计净值]]-0.0607</f>
        <v>1.0641</v>
      </c>
      <c r="G168" s="20">
        <f>表2_3671626293034567[[#This Row],[累计净值]]/$B$22-1</f>
        <v>0.11753601589667162</v>
      </c>
    </row>
    <row r="169" spans="1:7" x14ac:dyDescent="0.2">
      <c r="A169" s="55">
        <v>43929</v>
      </c>
      <c r="B169" s="76">
        <v>1.1274</v>
      </c>
      <c r="C169" s="73">
        <f t="shared" si="40"/>
        <v>2.5999999999999357E-3</v>
      </c>
      <c r="D169" s="18" t="str">
        <f t="shared" si="41"/>
        <v>/</v>
      </c>
      <c r="E169" s="18">
        <f ca="1">IF(表2_3671626293034567[[#This Row],[累计净值]]/MAX(INDIRECT("B21:B" &amp; ROW()))-1&lt;E168,表2_3671626293034567[[#This Row],[累计净值]]/MAX(INDIRECT("B21:B" &amp; ROW()))-1,E168)</f>
        <v>-2.5203567274137306E-2</v>
      </c>
      <c r="F169" s="62">
        <f>表2_3671626293034567[[#This Row],[累计净值]]-0.0607</f>
        <v>1.0667</v>
      </c>
      <c r="G169" s="20">
        <f>表2_3671626293034567[[#This Row],[累计净值]]/$B$22-1</f>
        <v>0.1201192250372578</v>
      </c>
    </row>
    <row r="170" spans="1:7" x14ac:dyDescent="0.2">
      <c r="A170" s="55">
        <v>43930</v>
      </c>
      <c r="B170" s="16">
        <v>1.1271</v>
      </c>
      <c r="C170" s="73">
        <f t="shared" si="40"/>
        <v>-2.9999999999996696E-4</v>
      </c>
      <c r="D170" s="18">
        <f t="shared" si="41"/>
        <v>-2.9999999999996696E-4</v>
      </c>
      <c r="E170" s="18">
        <f ca="1">IF(表2_3671626293034567[[#This Row],[累计净值]]/MAX(INDIRECT("B21:B" &amp; ROW()))-1&lt;E169,表2_3671626293034567[[#This Row],[累计净值]]/MAX(INDIRECT("B21:B" &amp; ROW()))-1,E169)</f>
        <v>-2.5203567274137306E-2</v>
      </c>
      <c r="F170" s="62">
        <f>表2_3671626293034567[[#This Row],[累计净值]]-0.0607</f>
        <v>1.0664</v>
      </c>
      <c r="G170" s="20">
        <f>表2_3671626293034567[[#This Row],[累计净值]]/$B$22-1</f>
        <v>0.11982116244411323</v>
      </c>
    </row>
    <row r="171" spans="1:7" x14ac:dyDescent="0.2">
      <c r="A171" s="55">
        <v>43931</v>
      </c>
      <c r="B171" s="16">
        <v>1.1248</v>
      </c>
      <c r="C171" s="73">
        <f t="shared" si="40"/>
        <v>-2.2999999999999687E-3</v>
      </c>
      <c r="D171" s="18">
        <f t="shared" si="41"/>
        <v>-2.2999999999999687E-3</v>
      </c>
      <c r="E171" s="18">
        <f ca="1">IF(表2_3671626293034567[[#This Row],[累计净值]]/MAX(INDIRECT("B21:B" &amp; ROW()))-1&lt;E170,表2_3671626293034567[[#This Row],[累计净值]]/MAX(INDIRECT("B21:B" &amp; ROW()))-1,E170)</f>
        <v>-2.5203567274137306E-2</v>
      </c>
      <c r="F171" s="62">
        <f>表2_3671626293034567[[#This Row],[累计净值]]-0.0607</f>
        <v>1.0641</v>
      </c>
      <c r="G171" s="20">
        <f>表2_3671626293034567[[#This Row],[累计净值]]/$B$22-1</f>
        <v>0.11753601589667162</v>
      </c>
    </row>
    <row r="172" spans="1:7" x14ac:dyDescent="0.2">
      <c r="A172" s="55">
        <v>43934</v>
      </c>
      <c r="B172" s="16">
        <v>1.1254</v>
      </c>
      <c r="C172" s="73">
        <f t="shared" ref="C172:C177" si="42">IFERROR(B172-B171,0)</f>
        <v>5.9999999999993392E-4</v>
      </c>
      <c r="D172" s="18" t="str">
        <f t="shared" ref="D172:D177" si="43">IF(C172&lt;0,C172,"/")</f>
        <v>/</v>
      </c>
      <c r="E172" s="18">
        <f ca="1">IF(表2_3671626293034567[[#This Row],[累计净值]]/MAX(INDIRECT("B21:B" &amp; ROW()))-1&lt;E171,表2_3671626293034567[[#This Row],[累计净值]]/MAX(INDIRECT("B21:B" &amp; ROW()))-1,E171)</f>
        <v>-2.5203567274137306E-2</v>
      </c>
      <c r="F172" s="62">
        <f>表2_3671626293034567[[#This Row],[累计净值]]-0.0607</f>
        <v>1.0647</v>
      </c>
      <c r="G172" s="20">
        <f>表2_3671626293034567[[#This Row],[累计净值]]/$B$22-1</f>
        <v>0.11813214108296077</v>
      </c>
    </row>
    <row r="173" spans="1:7" x14ac:dyDescent="0.2">
      <c r="A173" s="55">
        <v>43935</v>
      </c>
      <c r="B173" s="76">
        <v>1.129</v>
      </c>
      <c r="C173" s="73">
        <f t="shared" si="42"/>
        <v>3.6000000000000476E-3</v>
      </c>
      <c r="D173" s="18" t="str">
        <f t="shared" si="43"/>
        <v>/</v>
      </c>
      <c r="E173" s="18">
        <f ca="1">IF(表2_3671626293034567[[#This Row],[累计净值]]/MAX(INDIRECT("B21:B" &amp; ROW()))-1&lt;E172,表2_3671626293034567[[#This Row],[累计净值]]/MAX(INDIRECT("B21:B" &amp; ROW()))-1,E172)</f>
        <v>-2.5203567274137306E-2</v>
      </c>
      <c r="F173" s="62">
        <f>表2_3671626293034567[[#This Row],[累计净值]]-0.0607</f>
        <v>1.0683</v>
      </c>
      <c r="G173" s="20">
        <f>表2_3671626293034567[[#This Row],[累计净值]]/$B$22-1</f>
        <v>0.12170889220069547</v>
      </c>
    </row>
    <row r="174" spans="1:7" x14ac:dyDescent="0.2">
      <c r="A174" s="55">
        <v>43936</v>
      </c>
      <c r="B174" s="16">
        <v>1.1229</v>
      </c>
      <c r="C174" s="73">
        <f t="shared" si="42"/>
        <v>-6.0999999999999943E-3</v>
      </c>
      <c r="D174" s="18">
        <f t="shared" si="43"/>
        <v>-6.0999999999999943E-3</v>
      </c>
      <c r="E174" s="18">
        <f ca="1">IF(表2_3671626293034567[[#This Row],[累计净值]]/MAX(INDIRECT("B21:B" &amp; ROW()))-1&lt;E173,表2_3671626293034567[[#This Row],[累计净值]]/MAX(INDIRECT("B21:B" &amp; ROW()))-1,E173)</f>
        <v>-2.5203567274137306E-2</v>
      </c>
      <c r="F174" s="62">
        <f>表2_3671626293034567[[#This Row],[累计净值]]-0.0607</f>
        <v>1.0622</v>
      </c>
      <c r="G174" s="20">
        <f>表2_3671626293034567[[#This Row],[累计净值]]/$B$22-1</f>
        <v>0.11564828614008937</v>
      </c>
    </row>
    <row r="175" spans="1:7" x14ac:dyDescent="0.2">
      <c r="A175" s="55">
        <v>43937</v>
      </c>
      <c r="B175" s="96">
        <v>1.1200000000000001</v>
      </c>
      <c r="C175" s="94">
        <f t="shared" si="42"/>
        <v>-2.8999999999999027E-3</v>
      </c>
      <c r="D175" s="95">
        <f t="shared" si="43"/>
        <v>-2.8999999999999027E-3</v>
      </c>
      <c r="E175" s="95">
        <f ca="1">IF(表2_3671626293034567[[#This Row],[累计净值]]/MAX(INDIRECT("B21:B" &amp; ROW()))-1&lt;E174,表2_3671626293034567[[#This Row],[累计净值]]/MAX(INDIRECT("B21:B" &amp; ROW()))-1,E174)</f>
        <v>-2.5203567274137306E-2</v>
      </c>
      <c r="F175" s="62">
        <f>表2_3671626293034567[[#This Row],[累计净值]]-0.0607</f>
        <v>1.0593000000000001</v>
      </c>
      <c r="G175" s="20">
        <f>表2_3671626293034567[[#This Row],[累计净值]]/$B$22-1</f>
        <v>0.11276701440635883</v>
      </c>
    </row>
    <row r="176" spans="1:7" x14ac:dyDescent="0.2">
      <c r="A176" s="55">
        <v>43938</v>
      </c>
      <c r="B176" s="96">
        <v>1.1227</v>
      </c>
      <c r="C176" s="94">
        <f t="shared" si="42"/>
        <v>2.6999999999999247E-3</v>
      </c>
      <c r="D176" s="95" t="str">
        <f t="shared" si="43"/>
        <v>/</v>
      </c>
      <c r="E176" s="95">
        <f ca="1">IF(表2_3671626293034567[[#This Row],[累计净值]]/MAX(INDIRECT("B21:B" &amp; ROW()))-1&lt;E175,表2_3671626293034567[[#This Row],[累计净值]]/MAX(INDIRECT("B21:B" &amp; ROW()))-1,E175)</f>
        <v>-2.5203567274137306E-2</v>
      </c>
      <c r="F176" s="62">
        <f>表2_3671626293034567[[#This Row],[累计净值]]-0.0607</f>
        <v>1.0620000000000001</v>
      </c>
      <c r="G176" s="20">
        <f>表2_3671626293034567[[#This Row],[累计净值]]/$B$22-1</f>
        <v>0.1154495777446598</v>
      </c>
    </row>
    <row r="177" spans="1:7" x14ac:dyDescent="0.2">
      <c r="A177" s="55">
        <v>43941</v>
      </c>
      <c r="B177" s="96">
        <v>1.1284000000000001</v>
      </c>
      <c r="C177" s="94">
        <f t="shared" si="42"/>
        <v>5.7000000000000384E-3</v>
      </c>
      <c r="D177" s="95" t="str">
        <f t="shared" si="43"/>
        <v>/</v>
      </c>
      <c r="E177" s="95">
        <f ca="1">IF(表2_3671626293034567[[#This Row],[累计净值]]/MAX(INDIRECT("B21:B" &amp; ROW()))-1&lt;E176,表2_3671626293034567[[#This Row],[累计净值]]/MAX(INDIRECT("B21:B" &amp; ROW()))-1,E176)</f>
        <v>-2.5203567274137306E-2</v>
      </c>
      <c r="F177" s="62">
        <f>表2_3671626293034567[[#This Row],[累计净值]]-0.0607</f>
        <v>1.0677000000000001</v>
      </c>
      <c r="G177" s="20">
        <f>表2_3671626293034567[[#This Row],[累计净值]]/$B$22-1</f>
        <v>0.12111276701440654</v>
      </c>
    </row>
    <row r="178" spans="1:7" x14ac:dyDescent="0.2">
      <c r="A178" s="55">
        <v>43942</v>
      </c>
      <c r="B178" s="76">
        <v>1.1323000000000001</v>
      </c>
      <c r="C178" s="94">
        <f t="shared" ref="C178:C183" si="44">IFERROR(B178-B177,0)</f>
        <v>3.9000000000000146E-3</v>
      </c>
      <c r="D178" s="95" t="str">
        <f t="shared" ref="D178:D183" si="45">IF(C178&lt;0,C178,"/")</f>
        <v>/</v>
      </c>
      <c r="E178" s="95">
        <f ca="1">IF(表2_3671626293034567[[#This Row],[累计净值]]/MAX(INDIRECT("B21:B" &amp; ROW()))-1&lt;E177,表2_3671626293034567[[#This Row],[累计净值]]/MAX(INDIRECT("B21:B" &amp; ROW()))-1,E177)</f>
        <v>-2.5203567274137306E-2</v>
      </c>
      <c r="F178" s="62">
        <f>表2_3671626293034567[[#This Row],[累计净值]]-0.0607</f>
        <v>1.0716000000000001</v>
      </c>
      <c r="G178" s="20">
        <f>表2_3671626293034567[[#This Row],[累计净值]]/$B$22-1</f>
        <v>0.12498758072528582</v>
      </c>
    </row>
    <row r="179" spans="1:7" x14ac:dyDescent="0.2">
      <c r="A179" s="55">
        <v>43943</v>
      </c>
      <c r="B179" s="96">
        <v>1.1309</v>
      </c>
      <c r="C179" s="94">
        <f t="shared" si="44"/>
        <v>-1.4000000000000679E-3</v>
      </c>
      <c r="D179" s="95">
        <f t="shared" si="45"/>
        <v>-1.4000000000000679E-3</v>
      </c>
      <c r="E179" s="95">
        <f ca="1">IF(表2_3671626293034567[[#This Row],[累计净值]]/MAX(INDIRECT("B21:B" &amp; ROW()))-1&lt;E178,表2_3671626293034567[[#This Row],[累计净值]]/MAX(INDIRECT("B21:B" &amp; ROW()))-1,E178)</f>
        <v>-2.5203567274137306E-2</v>
      </c>
      <c r="F179" s="62">
        <f>表2_3671626293034567[[#This Row],[累计净值]]-0.0607</f>
        <v>1.0702</v>
      </c>
      <c r="G179" s="20">
        <f>表2_3671626293034567[[#This Row],[累计净值]]/$B$22-1</f>
        <v>0.12359662195727772</v>
      </c>
    </row>
    <row r="180" spans="1:7" x14ac:dyDescent="0.2">
      <c r="A180" s="55">
        <v>43944</v>
      </c>
      <c r="B180" s="96">
        <v>1.1294</v>
      </c>
      <c r="C180" s="94">
        <f t="shared" si="44"/>
        <v>-1.5000000000000568E-3</v>
      </c>
      <c r="D180" s="95">
        <f t="shared" si="45"/>
        <v>-1.5000000000000568E-3</v>
      </c>
      <c r="E180" s="95">
        <f ca="1">IF(表2_3671626293034567[[#This Row],[累计净值]]/MAX(INDIRECT("B21:B" &amp; ROW()))-1&lt;E179,表2_3671626293034567[[#This Row],[累计净值]]/MAX(INDIRECT("B21:B" &amp; ROW()))-1,E179)</f>
        <v>-2.5203567274137306E-2</v>
      </c>
      <c r="F180" s="62">
        <f>表2_3671626293034567[[#This Row],[累计净值]]-0.0607</f>
        <v>1.0687</v>
      </c>
      <c r="G180" s="20">
        <f>表2_3671626293034567[[#This Row],[累计净值]]/$B$22-1</f>
        <v>0.12210630899155483</v>
      </c>
    </row>
    <row r="181" spans="1:7" x14ac:dyDescent="0.2">
      <c r="A181" s="55">
        <v>43945</v>
      </c>
      <c r="B181" s="96">
        <v>1.1274999999999999</v>
      </c>
      <c r="C181" s="94">
        <f t="shared" si="44"/>
        <v>-1.9000000000000128E-3</v>
      </c>
      <c r="D181" s="95">
        <f t="shared" si="45"/>
        <v>-1.9000000000000128E-3</v>
      </c>
      <c r="E181" s="95">
        <f ca="1">IF(表2_3671626293034567[[#This Row],[累计净值]]/MAX(INDIRECT("B21:B" &amp; ROW()))-1&lt;E180,表2_3671626293034567[[#This Row],[累计净值]]/MAX(INDIRECT("B21:B" &amp; ROW()))-1,E180)</f>
        <v>-2.5203567274137306E-2</v>
      </c>
      <c r="F181" s="62">
        <f>表2_3671626293034567[[#This Row],[累计净值]]-0.0607</f>
        <v>1.0668</v>
      </c>
      <c r="G181" s="20">
        <f>表2_3671626293034567[[#This Row],[累计净值]]/$B$22-1</f>
        <v>0.12021857923497259</v>
      </c>
    </row>
    <row r="182" spans="1:7" x14ac:dyDescent="0.2">
      <c r="A182" s="55">
        <v>43948</v>
      </c>
      <c r="B182" s="96">
        <v>1.1263000000000001</v>
      </c>
      <c r="C182" s="94">
        <f t="shared" si="44"/>
        <v>-1.1999999999998678E-3</v>
      </c>
      <c r="D182" s="95">
        <f t="shared" si="45"/>
        <v>-1.1999999999998678E-3</v>
      </c>
      <c r="E182" s="95">
        <f ca="1">IF(表2_3671626293034567[[#This Row],[累计净值]]/MAX(INDIRECT("B21:B" &amp; ROW()))-1&lt;E181,表2_3671626293034567[[#This Row],[累计净值]]/MAX(INDIRECT("B21:B" &amp; ROW()))-1,E181)</f>
        <v>-2.5203567274137306E-2</v>
      </c>
      <c r="F182" s="62">
        <f>表2_3671626293034567[[#This Row],[累计净值]]-0.0607</f>
        <v>1.0656000000000001</v>
      </c>
      <c r="G182" s="20">
        <f>表2_3671626293034567[[#This Row],[累计净值]]/$B$22-1</f>
        <v>0.1190263288623945</v>
      </c>
    </row>
    <row r="183" spans="1:7" x14ac:dyDescent="0.2">
      <c r="A183" s="55">
        <v>43949</v>
      </c>
      <c r="B183" s="96">
        <v>1.1303000000000001</v>
      </c>
      <c r="C183" s="94">
        <f t="shared" si="44"/>
        <v>4.0000000000000036E-3</v>
      </c>
      <c r="D183" s="95" t="str">
        <f t="shared" si="45"/>
        <v>/</v>
      </c>
      <c r="E183" s="95">
        <f ca="1">IF(表2_3671626293034567[[#This Row],[累计净值]]/MAX(INDIRECT("B21:B" &amp; ROW()))-1&lt;E182,表2_3671626293034567[[#This Row],[累计净值]]/MAX(INDIRECT("B21:B" &amp; ROW()))-1,E182)</f>
        <v>-2.5203567274137306E-2</v>
      </c>
      <c r="F183" s="62">
        <f>表2_3671626293034567[[#This Row],[累计净值]]-0.0607</f>
        <v>1.0696000000000001</v>
      </c>
      <c r="G183" s="20">
        <f>表2_3671626293034567[[#This Row],[累计净值]]/$B$22-1</f>
        <v>0.12300049677098879</v>
      </c>
    </row>
    <row r="184" spans="1:7" x14ac:dyDescent="0.2">
      <c r="A184" s="55">
        <v>43950</v>
      </c>
      <c r="B184" s="96">
        <v>1.1292</v>
      </c>
      <c r="C184" s="94">
        <f t="shared" ref="C184:C189" si="46">IFERROR(B184-B183,0)</f>
        <v>-1.1000000000001009E-3</v>
      </c>
      <c r="D184" s="95">
        <f t="shared" ref="D184:D189" si="47">IF(C184&lt;0,C184,"/")</f>
        <v>-1.1000000000001009E-3</v>
      </c>
      <c r="E184" s="95">
        <f ca="1">IF(表2_3671626293034567[[#This Row],[累计净值]]/MAX(INDIRECT("B21:B" &amp; ROW()))-1&lt;E183,表2_3671626293034567[[#This Row],[累计净值]]/MAX(INDIRECT("B21:B" &amp; ROW()))-1,E183)</f>
        <v>-2.5203567274137306E-2</v>
      </c>
      <c r="F184" s="62">
        <f>表2_3671626293034567[[#This Row],[累计净值]]-0.0607</f>
        <v>1.0685</v>
      </c>
      <c r="G184" s="20">
        <f>表2_3671626293034567[[#This Row],[累计净值]]/$B$22-1</f>
        <v>0.12190760059612527</v>
      </c>
    </row>
    <row r="185" spans="1:7" x14ac:dyDescent="0.2">
      <c r="A185" s="55">
        <v>43951</v>
      </c>
      <c r="B185" s="96">
        <v>1.1269</v>
      </c>
      <c r="C185" s="94">
        <f t="shared" si="46"/>
        <v>-2.2999999999999687E-3</v>
      </c>
      <c r="D185" s="95">
        <f t="shared" si="47"/>
        <v>-2.2999999999999687E-3</v>
      </c>
      <c r="E185" s="95">
        <f ca="1">IF(表2_3671626293034567[[#This Row],[累计净值]]/MAX(INDIRECT("B21:B" &amp; ROW()))-1&lt;E184,表2_3671626293034567[[#This Row],[累计净值]]/MAX(INDIRECT("B21:B" &amp; ROW()))-1,E184)</f>
        <v>-2.5203567274137306E-2</v>
      </c>
      <c r="F185" s="62">
        <f>表2_3671626293034567[[#This Row],[累计净值]]-0.0607</f>
        <v>1.0662</v>
      </c>
      <c r="G185" s="20">
        <f>表2_3671626293034567[[#This Row],[累计净值]]/$B$22-1</f>
        <v>0.11962245404868366</v>
      </c>
    </row>
    <row r="186" spans="1:7" x14ac:dyDescent="0.2">
      <c r="A186" s="55">
        <v>43957</v>
      </c>
      <c r="B186" s="96">
        <v>1.1312</v>
      </c>
      <c r="C186" s="94">
        <f t="shared" si="46"/>
        <v>4.2999999999999705E-3</v>
      </c>
      <c r="D186" s="95" t="str">
        <f t="shared" si="47"/>
        <v>/</v>
      </c>
      <c r="E186" s="95">
        <f ca="1">IF(表2_3671626293034567[[#This Row],[累计净值]]/MAX(INDIRECT("B21:B" &amp; ROW()))-1&lt;E185,表2_3671626293034567[[#This Row],[累计净值]]/MAX(INDIRECT("B21:B" &amp; ROW()))-1,E185)</f>
        <v>-2.5203567274137306E-2</v>
      </c>
      <c r="F186" s="62">
        <f>表2_3671626293034567[[#This Row],[累计净值]]-0.0607</f>
        <v>1.0705</v>
      </c>
      <c r="G186" s="20">
        <f>表2_3671626293034567[[#This Row],[累计净值]]/$B$22-1</f>
        <v>0.1238946845504223</v>
      </c>
    </row>
    <row r="187" spans="1:7" x14ac:dyDescent="0.2">
      <c r="A187" s="55">
        <v>43958</v>
      </c>
      <c r="B187" s="104">
        <v>1.1321000000000001</v>
      </c>
      <c r="C187" s="101">
        <f t="shared" si="46"/>
        <v>9.0000000000012292E-4</v>
      </c>
      <c r="D187" s="102" t="str">
        <f t="shared" si="47"/>
        <v>/</v>
      </c>
      <c r="E187" s="102">
        <f ca="1">IF(表2_3671626293034567[[#This Row],[累计净值]]/MAX(INDIRECT("B21:B" &amp; ROW()))-1&lt;E186,表2_3671626293034567[[#This Row],[累计净值]]/MAX(INDIRECT("B21:B" &amp; ROW()))-1,E186)</f>
        <v>-2.5203567274137306E-2</v>
      </c>
      <c r="F187" s="62">
        <f>表2_3671626293034567[[#This Row],[累计净值]]-0.0607</f>
        <v>1.0714000000000001</v>
      </c>
      <c r="G187" s="20">
        <f>表2_3671626293034567[[#This Row],[累计净值]]/$B$22-1</f>
        <v>0.12478887232985603</v>
      </c>
    </row>
    <row r="188" spans="1:7" x14ac:dyDescent="0.2">
      <c r="A188" s="55">
        <v>43959</v>
      </c>
      <c r="B188" s="104">
        <v>1.1294</v>
      </c>
      <c r="C188" s="101">
        <f t="shared" si="46"/>
        <v>-2.7000000000001467E-3</v>
      </c>
      <c r="D188" s="102">
        <f t="shared" si="47"/>
        <v>-2.7000000000001467E-3</v>
      </c>
      <c r="E188" s="102">
        <f ca="1">IF(表2_3671626293034567[[#This Row],[累计净值]]/MAX(INDIRECT("B21:B" &amp; ROW()))-1&lt;E187,表2_3671626293034567[[#This Row],[累计净值]]/MAX(INDIRECT("B21:B" &amp; ROW()))-1,E187)</f>
        <v>-2.5203567274137306E-2</v>
      </c>
      <c r="F188" s="62">
        <f>表2_3671626293034567[[#This Row],[累计净值]]-0.0607</f>
        <v>1.0687</v>
      </c>
      <c r="G188" s="20">
        <f>表2_3671626293034567[[#This Row],[累计净值]]/$B$22-1</f>
        <v>0.12210630899155483</v>
      </c>
    </row>
    <row r="189" spans="1:7" x14ac:dyDescent="0.2">
      <c r="A189" s="55">
        <v>43962</v>
      </c>
      <c r="B189" s="104">
        <v>1.1334</v>
      </c>
      <c r="C189" s="101">
        <f t="shared" si="46"/>
        <v>4.0000000000000036E-3</v>
      </c>
      <c r="D189" s="102" t="str">
        <f t="shared" si="47"/>
        <v>/</v>
      </c>
      <c r="E189" s="102">
        <f ca="1">IF(表2_3671626293034567[[#This Row],[累计净值]]/MAX(INDIRECT("B21:B" &amp; ROW()))-1&lt;E188,表2_3671626293034567[[#This Row],[累计净值]]/MAX(INDIRECT("B21:B" &amp; ROW()))-1,E188)</f>
        <v>-2.5203567274137306E-2</v>
      </c>
      <c r="F189" s="62">
        <f>表2_3671626293034567[[#This Row],[累计净值]]-0.0607</f>
        <v>1.0727</v>
      </c>
      <c r="G189" s="20">
        <f>表2_3671626293034567[[#This Row],[累计净值]]/$B$22-1</f>
        <v>0.12608047690014912</v>
      </c>
    </row>
    <row r="190" spans="1:7" x14ac:dyDescent="0.2">
      <c r="A190" s="55">
        <v>43963</v>
      </c>
      <c r="B190" s="104">
        <v>1.1332</v>
      </c>
      <c r="C190" s="101">
        <f t="shared" ref="C190:C195" si="48">IFERROR(B190-B189,0)</f>
        <v>-1.9999999999997797E-4</v>
      </c>
      <c r="D190" s="102">
        <f t="shared" ref="D190:D195" si="49">IF(C190&lt;0,C190,"/")</f>
        <v>-1.9999999999997797E-4</v>
      </c>
      <c r="E190" s="102">
        <f ca="1">IF(表2_3671626293034567[[#This Row],[累计净值]]/MAX(INDIRECT("B21:B" &amp; ROW()))-1&lt;E189,表2_3671626293034567[[#This Row],[累计净值]]/MAX(INDIRECT("B21:B" &amp; ROW()))-1,E189)</f>
        <v>-2.5203567274137306E-2</v>
      </c>
      <c r="F190" s="62">
        <f>表2_3671626293034567[[#This Row],[累计净值]]-0.0607</f>
        <v>1.0725</v>
      </c>
      <c r="G190" s="20">
        <f>表2_3671626293034567[[#This Row],[累计净值]]/$B$22-1</f>
        <v>0.12588176850471933</v>
      </c>
    </row>
    <row r="191" spans="1:7" x14ac:dyDescent="0.2">
      <c r="A191" s="55">
        <v>43964</v>
      </c>
      <c r="B191" s="104">
        <v>1.1325000000000001</v>
      </c>
      <c r="C191" s="101">
        <f t="shared" si="48"/>
        <v>-6.9999999999992291E-4</v>
      </c>
      <c r="D191" s="102">
        <f t="shared" si="49"/>
        <v>-6.9999999999992291E-4</v>
      </c>
      <c r="E191" s="102">
        <f ca="1">IF(表2_3671626293034567[[#This Row],[累计净值]]/MAX(INDIRECT("B21:B" &amp; ROW()))-1&lt;E190,表2_3671626293034567[[#This Row],[累计净值]]/MAX(INDIRECT("B21:B" &amp; ROW()))-1,E190)</f>
        <v>-2.5203567274137306E-2</v>
      </c>
      <c r="F191" s="62">
        <f>表2_3671626293034567[[#This Row],[累计净值]]-0.0607</f>
        <v>1.0718000000000001</v>
      </c>
      <c r="G191" s="20">
        <f>表2_3671626293034567[[#This Row],[累计净值]]/$B$22-1</f>
        <v>0.12518628912071539</v>
      </c>
    </row>
    <row r="192" spans="1:7" x14ac:dyDescent="0.2">
      <c r="A192" s="55">
        <v>43965</v>
      </c>
      <c r="B192" s="104">
        <v>1.1296999999999999</v>
      </c>
      <c r="C192" s="101">
        <f t="shared" si="48"/>
        <v>-2.8000000000001357E-3</v>
      </c>
      <c r="D192" s="102">
        <f t="shared" si="49"/>
        <v>-2.8000000000001357E-3</v>
      </c>
      <c r="E192" s="102">
        <f ca="1">IF(表2_3671626293034567[[#This Row],[累计净值]]/MAX(INDIRECT("B21:B" &amp; ROW()))-1&lt;E191,表2_3671626293034567[[#This Row],[累计净值]]/MAX(INDIRECT("B21:B" &amp; ROW()))-1,E191)</f>
        <v>-2.5203567274137306E-2</v>
      </c>
      <c r="F192" s="62">
        <f>表2_3671626293034567[[#This Row],[累计净值]]-0.0607</f>
        <v>1.069</v>
      </c>
      <c r="G192" s="20">
        <f>表2_3671626293034567[[#This Row],[累计净值]]/$B$22-1</f>
        <v>0.12240437158469941</v>
      </c>
    </row>
    <row r="193" spans="1:7" x14ac:dyDescent="0.2">
      <c r="A193" s="55">
        <v>43966</v>
      </c>
      <c r="B193" s="104">
        <v>1.1292</v>
      </c>
      <c r="C193" s="101">
        <f t="shared" si="48"/>
        <v>-4.9999999999994493E-4</v>
      </c>
      <c r="D193" s="102">
        <f t="shared" si="49"/>
        <v>-4.9999999999994493E-4</v>
      </c>
      <c r="E193" s="102">
        <f ca="1">IF(表2_3671626293034567[[#This Row],[累计净值]]/MAX(INDIRECT("B21:B" &amp; ROW()))-1&lt;E192,表2_3671626293034567[[#This Row],[累计净值]]/MAX(INDIRECT("B21:B" &amp; ROW()))-1,E192)</f>
        <v>-2.5203567274137306E-2</v>
      </c>
      <c r="F193" s="62">
        <f>表2_3671626293034567[[#This Row],[累计净值]]-0.0607</f>
        <v>1.0685</v>
      </c>
      <c r="G193" s="20">
        <f>表2_3671626293034567[[#This Row],[累计净值]]/$B$22-1</f>
        <v>0.12190760059612527</v>
      </c>
    </row>
    <row r="194" spans="1:7" x14ac:dyDescent="0.2">
      <c r="A194" s="55">
        <v>43969</v>
      </c>
      <c r="B194" s="104">
        <v>1.1317999999999999</v>
      </c>
      <c r="C194" s="101">
        <f t="shared" si="48"/>
        <v>2.5999999999999357E-3</v>
      </c>
      <c r="D194" s="102" t="str">
        <f t="shared" si="49"/>
        <v>/</v>
      </c>
      <c r="E194" s="102">
        <f ca="1">IF(表2_3671626293034567[[#This Row],[累计净值]]/MAX(INDIRECT("B21:B" &amp; ROW()))-1&lt;E193,表2_3671626293034567[[#This Row],[累计净值]]/MAX(INDIRECT("B21:B" &amp; ROW()))-1,E193)</f>
        <v>-2.5203567274137306E-2</v>
      </c>
      <c r="F194" s="62">
        <f>表2_3671626293034567[[#This Row],[累计净值]]-0.0607</f>
        <v>1.0710999999999999</v>
      </c>
      <c r="G194" s="20">
        <f>表2_3671626293034567[[#This Row],[累计净值]]/$B$22-1</f>
        <v>0.12449080973671145</v>
      </c>
    </row>
    <row r="195" spans="1:7" x14ac:dyDescent="0.2">
      <c r="A195" s="55">
        <v>43970</v>
      </c>
      <c r="B195" s="104">
        <v>1.1357999999999999</v>
      </c>
      <c r="C195" s="101">
        <f t="shared" si="48"/>
        <v>4.0000000000000036E-3</v>
      </c>
      <c r="D195" s="102" t="str">
        <f t="shared" si="49"/>
        <v>/</v>
      </c>
      <c r="E195" s="102">
        <f ca="1">IF(表2_3671626293034567[[#This Row],[累计净值]]/MAX(INDIRECT("B21:B" &amp; ROW()))-1&lt;E194,表2_3671626293034567[[#This Row],[累计净值]]/MAX(INDIRECT("B21:B" &amp; ROW()))-1,E194)</f>
        <v>-2.5203567274137306E-2</v>
      </c>
      <c r="F195" s="62">
        <f>表2_3671626293034567[[#This Row],[累计净值]]-0.0607</f>
        <v>1.0750999999999999</v>
      </c>
      <c r="G195" s="20">
        <f>表2_3671626293034567[[#This Row],[累计净值]]/$B$22-1</f>
        <v>0.12846497764530551</v>
      </c>
    </row>
    <row r="196" spans="1:7" x14ac:dyDescent="0.2">
      <c r="A196" s="55">
        <v>43971</v>
      </c>
      <c r="B196" s="104">
        <v>1.1361000000000001</v>
      </c>
      <c r="C196" s="101">
        <f t="shared" ref="C196:C201" si="50">IFERROR(B196-B195,0)</f>
        <v>3.00000000000189E-4</v>
      </c>
      <c r="D196" s="102" t="str">
        <f t="shared" ref="D196:D201" si="51">IF(C196&lt;0,C196,"/")</f>
        <v>/</v>
      </c>
      <c r="E196" s="102">
        <f ca="1">IF(表2_3671626293034567[[#This Row],[累计净值]]/MAX(INDIRECT("B21:B" &amp; ROW()))-1&lt;E195,表2_3671626293034567[[#This Row],[累计净值]]/MAX(INDIRECT("B21:B" &amp; ROW()))-1,E195)</f>
        <v>-2.5203567274137306E-2</v>
      </c>
      <c r="F196" s="62">
        <f>表2_3671626293034567[[#This Row],[累计净值]]-0.0607</f>
        <v>1.0754000000000001</v>
      </c>
      <c r="G196" s="20">
        <f>表2_3671626293034567[[#This Row],[累计净值]]/$B$22-1</f>
        <v>0.12876304023845031</v>
      </c>
    </row>
    <row r="197" spans="1:7" x14ac:dyDescent="0.2">
      <c r="A197" s="55">
        <v>43972</v>
      </c>
      <c r="B197" s="104">
        <v>1.1365000000000001</v>
      </c>
      <c r="C197" s="101">
        <f t="shared" si="50"/>
        <v>3.9999999999995595E-4</v>
      </c>
      <c r="D197" s="102" t="str">
        <f t="shared" si="51"/>
        <v>/</v>
      </c>
      <c r="E197" s="102">
        <f ca="1">IF(表2_3671626293034567[[#This Row],[累计净值]]/MAX(INDIRECT("B21:B" &amp; ROW()))-1&lt;E196,表2_3671626293034567[[#This Row],[累计净值]]/MAX(INDIRECT("B21:B" &amp; ROW()))-1,E196)</f>
        <v>-2.5203567274137306E-2</v>
      </c>
      <c r="F197" s="62">
        <f>表2_3671626293034567[[#This Row],[累计净值]]-0.0607</f>
        <v>1.0758000000000001</v>
      </c>
      <c r="G197" s="20">
        <f>表2_3671626293034567[[#This Row],[累计净值]]/$B$22-1</f>
        <v>0.12916045702930967</v>
      </c>
    </row>
    <row r="198" spans="1:7" x14ac:dyDescent="0.2">
      <c r="A198" s="55">
        <v>43973</v>
      </c>
      <c r="B198" s="112">
        <v>1.1345000000000001</v>
      </c>
      <c r="C198" s="108">
        <f t="shared" si="50"/>
        <v>-2.0000000000000018E-3</v>
      </c>
      <c r="D198" s="109">
        <f t="shared" si="51"/>
        <v>-2.0000000000000018E-3</v>
      </c>
      <c r="E198" s="109">
        <f ca="1">IF(表2_3671626293034567[[#This Row],[累计净值]]/MAX(INDIRECT("B21:B" &amp; ROW()))-1&lt;E197,表2_3671626293034567[[#This Row],[累计净值]]/MAX(INDIRECT("B21:B" &amp; ROW()))-1,E197)</f>
        <v>-2.5203567274137306E-2</v>
      </c>
      <c r="F198" s="62">
        <f>表2_3671626293034567[[#This Row],[累计净值]]-0.0607</f>
        <v>1.0738000000000001</v>
      </c>
      <c r="G198" s="20">
        <f>表2_3671626293034567[[#This Row],[累计净值]]/$B$22-1</f>
        <v>0.12717337307501264</v>
      </c>
    </row>
    <row r="199" spans="1:7" x14ac:dyDescent="0.2">
      <c r="A199" s="55">
        <v>43976</v>
      </c>
      <c r="B199" s="112">
        <v>1.1369</v>
      </c>
      <c r="C199" s="108">
        <f t="shared" si="50"/>
        <v>2.3999999999999577E-3</v>
      </c>
      <c r="D199" s="109" t="str">
        <f t="shared" si="51"/>
        <v>/</v>
      </c>
      <c r="E199" s="109">
        <f ca="1">IF(表2_3671626293034567[[#This Row],[累计净值]]/MAX(INDIRECT("B21:B" &amp; ROW()))-1&lt;E198,表2_3671626293034567[[#This Row],[累计净值]]/MAX(INDIRECT("B21:B" &amp; ROW()))-1,E198)</f>
        <v>-2.5203567274137306E-2</v>
      </c>
      <c r="F199" s="62">
        <f>表2_3671626293034567[[#This Row],[累计净值]]-0.0607</f>
        <v>1.0762</v>
      </c>
      <c r="G199" s="20">
        <f>表2_3671626293034567[[#This Row],[累计净值]]/$B$22-1</f>
        <v>0.12955787382016903</v>
      </c>
    </row>
    <row r="200" spans="1:7" x14ac:dyDescent="0.2">
      <c r="A200" s="55">
        <v>43977</v>
      </c>
      <c r="B200" s="112">
        <v>1.1413</v>
      </c>
      <c r="C200" s="108">
        <f t="shared" si="50"/>
        <v>4.3999999999999595E-3</v>
      </c>
      <c r="D200" s="109" t="str">
        <f t="shared" si="51"/>
        <v>/</v>
      </c>
      <c r="E200" s="109">
        <f ca="1">IF(表2_3671626293034567[[#This Row],[累计净值]]/MAX(INDIRECT("B21:B" &amp; ROW()))-1&lt;E199,表2_3671626293034567[[#This Row],[累计净值]]/MAX(INDIRECT("B21:B" &amp; ROW()))-1,E199)</f>
        <v>-2.5203567274137306E-2</v>
      </c>
      <c r="F200" s="62">
        <f>表2_3671626293034567[[#This Row],[累计净值]]-0.0607</f>
        <v>1.0806</v>
      </c>
      <c r="G200" s="20">
        <f>表2_3671626293034567[[#This Row],[累计净值]]/$B$22-1</f>
        <v>0.13392945851962246</v>
      </c>
    </row>
    <row r="201" spans="1:7" x14ac:dyDescent="0.2">
      <c r="A201" s="55">
        <v>43978</v>
      </c>
      <c r="B201" s="112">
        <v>1.1436999999999999</v>
      </c>
      <c r="C201" s="108">
        <f t="shared" si="50"/>
        <v>2.3999999999999577E-3</v>
      </c>
      <c r="D201" s="109" t="str">
        <f t="shared" si="51"/>
        <v>/</v>
      </c>
      <c r="E201" s="109">
        <f ca="1">IF(表2_3671626293034567[[#This Row],[累计净值]]/MAX(INDIRECT("B21:B" &amp; ROW()))-1&lt;E200,表2_3671626293034567[[#This Row],[累计净值]]/MAX(INDIRECT("B21:B" &amp; ROW()))-1,E200)</f>
        <v>-2.5203567274137306E-2</v>
      </c>
      <c r="F201" s="62">
        <f>表2_3671626293034567[[#This Row],[累计净值]]-0.0607</f>
        <v>1.083</v>
      </c>
      <c r="G201" s="20">
        <f>表2_3671626293034567[[#This Row],[累计净值]]/$B$22-1</f>
        <v>0.13631395926477885</v>
      </c>
    </row>
    <row r="202" spans="1:7" x14ac:dyDescent="0.2">
      <c r="A202" s="55">
        <v>43979</v>
      </c>
      <c r="B202" s="112">
        <v>1.1463000000000001</v>
      </c>
      <c r="C202" s="108">
        <f t="shared" ref="C202:C207" si="52">IFERROR(B202-B201,0)</f>
        <v>2.6000000000001577E-3</v>
      </c>
      <c r="D202" s="109" t="str">
        <f t="shared" ref="D202:D207" si="53">IF(C202&lt;0,C202,"/")</f>
        <v>/</v>
      </c>
      <c r="E202" s="109">
        <f ca="1">IF(表2_3671626293034567[[#This Row],[累计净值]]/MAX(INDIRECT("B21:B" &amp; ROW()))-1&lt;E201,表2_3671626293034567[[#This Row],[累计净值]]/MAX(INDIRECT("B21:B" &amp; ROW()))-1,E201)</f>
        <v>-2.5203567274137306E-2</v>
      </c>
      <c r="F202" s="62">
        <f>表2_3671626293034567[[#This Row],[累计净值]]-0.0607</f>
        <v>1.0856000000000001</v>
      </c>
      <c r="G202" s="20">
        <f>表2_3671626293034567[[#This Row],[累计净值]]/$B$22-1</f>
        <v>0.13889716840536526</v>
      </c>
    </row>
    <row r="203" spans="1:7" x14ac:dyDescent="0.2">
      <c r="A203" s="55">
        <v>43980</v>
      </c>
      <c r="B203" s="112">
        <v>1.1489</v>
      </c>
      <c r="C203" s="108">
        <f t="shared" si="52"/>
        <v>2.5999999999999357E-3</v>
      </c>
      <c r="D203" s="109" t="str">
        <f t="shared" si="53"/>
        <v>/</v>
      </c>
      <c r="E203" s="109">
        <f ca="1">IF(表2_3671626293034567[[#This Row],[累计净值]]/MAX(INDIRECT("B21:B" &amp; ROW()))-1&lt;E202,表2_3671626293034567[[#This Row],[累计净值]]/MAX(INDIRECT("B21:B" &amp; ROW()))-1,E202)</f>
        <v>-2.5203567274137306E-2</v>
      </c>
      <c r="F203" s="62">
        <f>表2_3671626293034567[[#This Row],[累计净值]]-0.0607</f>
        <v>1.0882000000000001</v>
      </c>
      <c r="G203" s="20">
        <f>表2_3671626293034567[[#This Row],[累计净值]]/$B$22-1</f>
        <v>0.14148037754595144</v>
      </c>
    </row>
    <row r="204" spans="1:7" x14ac:dyDescent="0.2">
      <c r="A204" s="55">
        <v>43983</v>
      </c>
      <c r="B204" s="112">
        <v>1.1488</v>
      </c>
      <c r="C204" s="108">
        <f t="shared" si="52"/>
        <v>-9.9999999999988987E-5</v>
      </c>
      <c r="D204" s="109">
        <f t="shared" si="53"/>
        <v>-9.9999999999988987E-5</v>
      </c>
      <c r="E204" s="109">
        <f ca="1">IF(表2_3671626293034567[[#This Row],[累计净值]]/MAX(INDIRECT("B21:B" &amp; ROW()))-1&lt;E203,表2_3671626293034567[[#This Row],[累计净值]]/MAX(INDIRECT("B21:B" &amp; ROW()))-1,E203)</f>
        <v>-2.5203567274137306E-2</v>
      </c>
      <c r="F204" s="62">
        <f>表2_3671626293034567[[#This Row],[累计净值]]-0.0607</f>
        <v>1.0881000000000001</v>
      </c>
      <c r="G204" s="20">
        <f>表2_3671626293034567[[#This Row],[累计净值]]/$B$22-1</f>
        <v>0.14138102334823666</v>
      </c>
    </row>
    <row r="205" spans="1:7" x14ac:dyDescent="0.2">
      <c r="A205" s="55">
        <v>43984</v>
      </c>
      <c r="B205" s="112">
        <v>1.1501999999999999</v>
      </c>
      <c r="C205" s="108">
        <f t="shared" si="52"/>
        <v>1.3999999999998458E-3</v>
      </c>
      <c r="D205" s="109" t="str">
        <f t="shared" si="53"/>
        <v>/</v>
      </c>
      <c r="E205" s="109">
        <f ca="1">IF(表2_3671626293034567[[#This Row],[累计净值]]/MAX(INDIRECT("B21:B" &amp; ROW()))-1&lt;E204,表2_3671626293034567[[#This Row],[累计净值]]/MAX(INDIRECT("B21:B" &amp; ROW()))-1,E204)</f>
        <v>-2.5203567274137306E-2</v>
      </c>
      <c r="F205" s="62">
        <f>表2_3671626293034567[[#This Row],[累计净值]]-0.0607</f>
        <v>1.0894999999999999</v>
      </c>
      <c r="G205" s="20">
        <f>表2_3671626293034567[[#This Row],[累计净值]]/$B$22-1</f>
        <v>0.14277198211624431</v>
      </c>
    </row>
    <row r="206" spans="1:7" x14ac:dyDescent="0.2">
      <c r="A206" s="55">
        <v>43985</v>
      </c>
      <c r="B206" s="112">
        <v>1.1491</v>
      </c>
      <c r="C206" s="108">
        <f t="shared" si="52"/>
        <v>-1.0999999999998789E-3</v>
      </c>
      <c r="D206" s="109">
        <f t="shared" si="53"/>
        <v>-1.0999999999998789E-3</v>
      </c>
      <c r="E206" s="109">
        <f ca="1">IF(表2_3671626293034567[[#This Row],[累计净值]]/MAX(INDIRECT("B21:B" &amp; ROW()))-1&lt;E205,表2_3671626293034567[[#This Row],[累计净值]]/MAX(INDIRECT("B21:B" &amp; ROW()))-1,E205)</f>
        <v>-2.5203567274137306E-2</v>
      </c>
      <c r="F206" s="62">
        <f>表2_3671626293034567[[#This Row],[累计净值]]-0.0607</f>
        <v>1.0884</v>
      </c>
      <c r="G206" s="20">
        <f>表2_3671626293034567[[#This Row],[累计净值]]/$B$22-1</f>
        <v>0.14167908594138101</v>
      </c>
    </row>
    <row r="207" spans="1:7" x14ac:dyDescent="0.2">
      <c r="A207" s="55">
        <v>43986</v>
      </c>
      <c r="B207" s="112">
        <v>1.1515</v>
      </c>
      <c r="C207" s="108">
        <f t="shared" si="52"/>
        <v>2.3999999999999577E-3</v>
      </c>
      <c r="D207" s="109" t="str">
        <f t="shared" si="53"/>
        <v>/</v>
      </c>
      <c r="E207" s="109">
        <f ca="1">IF(表2_3671626293034567[[#This Row],[累计净值]]/MAX(INDIRECT("B21:B" &amp; ROW()))-1&lt;E206,表2_3671626293034567[[#This Row],[累计净值]]/MAX(INDIRECT("B21:B" &amp; ROW()))-1,E206)</f>
        <v>-2.5203567274137306E-2</v>
      </c>
      <c r="F207" s="62">
        <f>表2_3671626293034567[[#This Row],[累计净值]]-0.0607</f>
        <v>1.0908</v>
      </c>
      <c r="G207" s="20">
        <f>表2_3671626293034567[[#This Row],[累计净值]]/$B$22-1</f>
        <v>0.14406358668653763</v>
      </c>
    </row>
    <row r="208" spans="1:7" x14ac:dyDescent="0.2">
      <c r="A208" s="55">
        <v>43987</v>
      </c>
      <c r="B208" s="112">
        <v>1.153</v>
      </c>
      <c r="C208" s="108">
        <f t="shared" ref="C208:C213" si="54">IFERROR(B208-B207,0)</f>
        <v>1.5000000000000568E-3</v>
      </c>
      <c r="D208" s="109" t="str">
        <f t="shared" ref="D208:D213" si="55">IF(C208&lt;0,C208,"/")</f>
        <v>/</v>
      </c>
      <c r="E208" s="109">
        <f ca="1">IF(表2_3671626293034567[[#This Row],[累计净值]]/MAX(INDIRECT("B21:B" &amp; ROW()))-1&lt;E207,表2_3671626293034567[[#This Row],[累计净值]]/MAX(INDIRECT("B21:B" &amp; ROW()))-1,E207)</f>
        <v>-2.5203567274137306E-2</v>
      </c>
      <c r="F208" s="62">
        <f>表2_3671626293034567[[#This Row],[累计净值]]-0.0607</f>
        <v>1.0923</v>
      </c>
      <c r="G208" s="20">
        <f>表2_3671626293034567[[#This Row],[累计净值]]/$B$22-1</f>
        <v>0.14555389965226029</v>
      </c>
    </row>
    <row r="209" spans="1:7" x14ac:dyDescent="0.2">
      <c r="A209" s="55">
        <v>43990</v>
      </c>
      <c r="B209" s="112">
        <v>1.1549</v>
      </c>
      <c r="C209" s="108">
        <f t="shared" si="54"/>
        <v>1.9000000000000128E-3</v>
      </c>
      <c r="D209" s="109" t="str">
        <f t="shared" si="55"/>
        <v>/</v>
      </c>
      <c r="E209" s="109">
        <f ca="1">IF(表2_3671626293034567[[#This Row],[累计净值]]/MAX(INDIRECT("B21:B" &amp; ROW()))-1&lt;E208,表2_3671626293034567[[#This Row],[累计净值]]/MAX(INDIRECT("B21:B" &amp; ROW()))-1,E208)</f>
        <v>-2.5203567274137306E-2</v>
      </c>
      <c r="F209" s="62">
        <f>表2_3671626293034567[[#This Row],[累计净值]]-0.0607</f>
        <v>1.0942000000000001</v>
      </c>
      <c r="G209" s="20">
        <f>表2_3671626293034567[[#This Row],[累计净值]]/$B$22-1</f>
        <v>0.14744162940884253</v>
      </c>
    </row>
    <row r="210" spans="1:7" x14ac:dyDescent="0.2">
      <c r="A210" s="55">
        <v>43991</v>
      </c>
      <c r="B210" s="112">
        <v>1.1596</v>
      </c>
      <c r="C210" s="108">
        <f t="shared" si="54"/>
        <v>4.6999999999999265E-3</v>
      </c>
      <c r="D210" s="109" t="str">
        <f t="shared" si="55"/>
        <v>/</v>
      </c>
      <c r="E210" s="109">
        <f ca="1">IF(表2_3671626293034567[[#This Row],[累计净值]]/MAX(INDIRECT("B21:B" &amp; ROW()))-1&lt;E209,表2_3671626293034567[[#This Row],[累计净值]]/MAX(INDIRECT("B21:B" &amp; ROW()))-1,E209)</f>
        <v>-2.5203567274137306E-2</v>
      </c>
      <c r="F210" s="62">
        <f>表2_3671626293034567[[#This Row],[累计净值]]-0.0607</f>
        <v>1.0989</v>
      </c>
      <c r="G210" s="20">
        <f>表2_3671626293034567[[#This Row],[累计净值]]/$B$22-1</f>
        <v>0.15211127670144076</v>
      </c>
    </row>
    <row r="211" spans="1:7" x14ac:dyDescent="0.2">
      <c r="A211" s="55">
        <v>43992</v>
      </c>
      <c r="B211" s="112">
        <v>1.1638999999999999</v>
      </c>
      <c r="C211" s="108">
        <f t="shared" si="54"/>
        <v>4.2999999999999705E-3</v>
      </c>
      <c r="D211" s="109" t="str">
        <f t="shared" si="55"/>
        <v>/</v>
      </c>
      <c r="E211" s="109">
        <f ca="1">IF(表2_3671626293034567[[#This Row],[累计净值]]/MAX(INDIRECT("B21:B" &amp; ROW()))-1&lt;E210,表2_3671626293034567[[#This Row],[累计净值]]/MAX(INDIRECT("B21:B" &amp; ROW()))-1,E210)</f>
        <v>-2.5203567274137306E-2</v>
      </c>
      <c r="F211" s="62">
        <f>表2_3671626293034567[[#This Row],[累计净值]]-0.0607</f>
        <v>1.1032</v>
      </c>
      <c r="G211" s="20">
        <f>表2_3671626293034567[[#This Row],[累计净值]]/$B$22-1</f>
        <v>0.15638350720317939</v>
      </c>
    </row>
    <row r="212" spans="1:7" x14ac:dyDescent="0.2">
      <c r="A212" s="55">
        <v>43993</v>
      </c>
      <c r="B212" s="112">
        <v>1.1625000000000001</v>
      </c>
      <c r="C212" s="108">
        <f t="shared" si="54"/>
        <v>-1.3999999999998458E-3</v>
      </c>
      <c r="D212" s="109">
        <f t="shared" si="55"/>
        <v>-1.3999999999998458E-3</v>
      </c>
      <c r="E212" s="109">
        <f ca="1">IF(表2_3671626293034567[[#This Row],[累计净值]]/MAX(INDIRECT("B21:B" &amp; ROW()))-1&lt;E211,表2_3671626293034567[[#This Row],[累计净值]]/MAX(INDIRECT("B21:B" &amp; ROW()))-1,E211)</f>
        <v>-2.5203567274137306E-2</v>
      </c>
      <c r="F212" s="62">
        <f>表2_3671626293034567[[#This Row],[累计净值]]-0.0607</f>
        <v>1.1018000000000001</v>
      </c>
      <c r="G212" s="20">
        <f>表2_3671626293034567[[#This Row],[累计净值]]/$B$22-1</f>
        <v>0.15499254843517152</v>
      </c>
    </row>
    <row r="213" spans="1:7" x14ac:dyDescent="0.2">
      <c r="A213" s="55">
        <v>43994</v>
      </c>
      <c r="B213" s="112">
        <v>1.1571</v>
      </c>
      <c r="C213" s="108">
        <f t="shared" si="54"/>
        <v>-5.4000000000000714E-3</v>
      </c>
      <c r="D213" s="109">
        <f t="shared" si="55"/>
        <v>-5.4000000000000714E-3</v>
      </c>
      <c r="E213" s="109">
        <f ca="1">IF(表2_3671626293034567[[#This Row],[累计净值]]/MAX(INDIRECT("B21:B" &amp; ROW()))-1&lt;E212,表2_3671626293034567[[#This Row],[累计净值]]/MAX(INDIRECT("B21:B" &amp; ROW()))-1,E212)</f>
        <v>-2.5203567274137306E-2</v>
      </c>
      <c r="F213" s="62">
        <f>表2_3671626293034567[[#This Row],[累计净值]]-0.0607</f>
        <v>1.0964</v>
      </c>
      <c r="G213" s="20">
        <f>表2_3671626293034567[[#This Row],[累计净值]]/$B$22-1</f>
        <v>0.14962742175856936</v>
      </c>
    </row>
    <row r="214" spans="1:7" x14ac:dyDescent="0.2">
      <c r="A214" s="55">
        <v>43997</v>
      </c>
      <c r="B214" s="112">
        <v>1.1589</v>
      </c>
      <c r="C214" s="108">
        <f t="shared" ref="C214:C220" si="56">IFERROR(B214-B213,0)</f>
        <v>1.8000000000000238E-3</v>
      </c>
      <c r="D214" s="109" t="str">
        <f t="shared" ref="D214:D220" si="57">IF(C214&lt;0,C214,"/")</f>
        <v>/</v>
      </c>
      <c r="E214" s="109">
        <f ca="1">IF(表2_3671626293034567[[#This Row],[累计净值]]/MAX(INDIRECT("B21:B" &amp; ROW()))-1&lt;E213,表2_3671626293034567[[#This Row],[累计净值]]/MAX(INDIRECT("B21:B" &amp; ROW()))-1,E213)</f>
        <v>-2.5203567274137306E-2</v>
      </c>
      <c r="F214" s="62">
        <f>表2_3671626293034567[[#This Row],[累计净值]]-0.0607</f>
        <v>1.0982000000000001</v>
      </c>
      <c r="G214" s="20">
        <f>表2_3671626293034567[[#This Row],[累计净值]]/$B$22-1</f>
        <v>0.15141579731743682</v>
      </c>
    </row>
    <row r="215" spans="1:7" x14ac:dyDescent="0.2">
      <c r="A215" s="55">
        <v>43998</v>
      </c>
      <c r="B215" s="112">
        <v>1.1642999999999999</v>
      </c>
      <c r="C215" s="108">
        <f t="shared" si="56"/>
        <v>5.3999999999998494E-3</v>
      </c>
      <c r="D215" s="109" t="str">
        <f t="shared" si="57"/>
        <v>/</v>
      </c>
      <c r="E215" s="109">
        <f ca="1">IF(表2_3671626293034567[[#This Row],[累计净值]]/MAX(INDIRECT("B21:B" &amp; ROW()))-1&lt;E214,表2_3671626293034567[[#This Row],[累计净值]]/MAX(INDIRECT("B21:B" &amp; ROW()))-1,E214)</f>
        <v>-2.5203567274137306E-2</v>
      </c>
      <c r="F215" s="62">
        <f>表2_3671626293034567[[#This Row],[累计净值]]-0.0607</f>
        <v>1.1035999999999999</v>
      </c>
      <c r="G215" s="20">
        <f>表2_3671626293034567[[#This Row],[累计净值]]/$B$22-1</f>
        <v>0.15678092399403876</v>
      </c>
    </row>
    <row r="216" spans="1:7" x14ac:dyDescent="0.2">
      <c r="A216" s="55">
        <v>43999</v>
      </c>
      <c r="B216" s="76">
        <v>1.1678999999999999</v>
      </c>
      <c r="C216" s="108">
        <f t="shared" si="56"/>
        <v>3.6000000000000476E-3</v>
      </c>
      <c r="D216" s="109" t="str">
        <f t="shared" si="57"/>
        <v>/</v>
      </c>
      <c r="E216" s="109">
        <f ca="1">IF(表2_3671626293034567[[#This Row],[累计净值]]/MAX(INDIRECT("B21:B" &amp; ROW()))-1&lt;E215,表2_3671626293034567[[#This Row],[累计净值]]/MAX(INDIRECT("B21:B" &amp; ROW()))-1,E215)</f>
        <v>-2.5203567274137306E-2</v>
      </c>
      <c r="F216" s="62">
        <f>表2_3671626293034567[[#This Row],[累计净值]]-0.0607</f>
        <v>1.1072</v>
      </c>
      <c r="G216" s="20">
        <f>表2_3671626293034567[[#This Row],[累计净值]]/$B$22-1</f>
        <v>0.16035767511177346</v>
      </c>
    </row>
    <row r="217" spans="1:7" x14ac:dyDescent="0.2">
      <c r="A217" s="55">
        <v>44000</v>
      </c>
      <c r="B217" s="112">
        <v>1.1653</v>
      </c>
      <c r="C217" s="108">
        <f t="shared" si="56"/>
        <v>-2.5999999999999357E-3</v>
      </c>
      <c r="D217" s="109">
        <f t="shared" si="57"/>
        <v>-2.5999999999999357E-3</v>
      </c>
      <c r="E217" s="109">
        <f ca="1">IF(表2_3671626293034567[[#This Row],[累计净值]]/MAX(INDIRECT("B21:B" &amp; ROW()))-1&lt;E216,表2_3671626293034567[[#This Row],[累计净值]]/MAX(INDIRECT("B21:B" &amp; ROW()))-1,E216)</f>
        <v>-2.5203567274137306E-2</v>
      </c>
      <c r="F217" s="62">
        <f>表2_3671626293034567[[#This Row],[累计净值]]-0.0607</f>
        <v>1.1046</v>
      </c>
      <c r="G217" s="20">
        <f>表2_3671626293034567[[#This Row],[累计净值]]/$B$22-1</f>
        <v>0.15777446597118727</v>
      </c>
    </row>
    <row r="218" spans="1:7" x14ac:dyDescent="0.2">
      <c r="A218" s="55">
        <v>44001</v>
      </c>
      <c r="B218" s="112">
        <v>1.1589</v>
      </c>
      <c r="C218" s="108">
        <f t="shared" si="56"/>
        <v>-6.3999999999999613E-3</v>
      </c>
      <c r="D218" s="109">
        <f t="shared" si="57"/>
        <v>-6.3999999999999613E-3</v>
      </c>
      <c r="E218" s="109">
        <f ca="1">IF(表2_3671626293034567[[#This Row],[累计净值]]/MAX(INDIRECT("B21:B" &amp; ROW()))-1&lt;E217,表2_3671626293034567[[#This Row],[累计净值]]/MAX(INDIRECT("B21:B" &amp; ROW()))-1,E217)</f>
        <v>-2.5203567274137306E-2</v>
      </c>
      <c r="F218" s="62">
        <f>表2_3671626293034567[[#This Row],[累计净值]]-0.0607</f>
        <v>1.0982000000000001</v>
      </c>
      <c r="G218" s="20">
        <f>表2_3671626293034567[[#This Row],[累计净值]]/$B$22-1</f>
        <v>0.15141579731743682</v>
      </c>
    </row>
    <row r="219" spans="1:7" x14ac:dyDescent="0.2">
      <c r="A219" s="55">
        <v>44004</v>
      </c>
      <c r="B219" s="112">
        <v>1.1605000000000001</v>
      </c>
      <c r="C219" s="108">
        <f t="shared" si="56"/>
        <v>1.6000000000000458E-3</v>
      </c>
      <c r="D219" s="109" t="str">
        <f t="shared" si="57"/>
        <v>/</v>
      </c>
      <c r="E219" s="109">
        <f ca="1">IF(表2_3671626293034567[[#This Row],[累计净值]]/MAX(INDIRECT("B21:B" &amp; ROW()))-1&lt;E218,表2_3671626293034567[[#This Row],[累计净值]]/MAX(INDIRECT("B21:B" &amp; ROW()))-1,E218)</f>
        <v>-2.5203567274137306E-2</v>
      </c>
      <c r="F219" s="62">
        <f>表2_3671626293034567[[#This Row],[累计净值]]-0.0607</f>
        <v>1.0998000000000001</v>
      </c>
      <c r="G219" s="20">
        <f>表2_3671626293034567[[#This Row],[累计净值]]/$B$22-1</f>
        <v>0.15300546448087449</v>
      </c>
    </row>
    <row r="220" spans="1:7" x14ac:dyDescent="0.2">
      <c r="A220" s="55">
        <v>44005</v>
      </c>
      <c r="B220" s="112">
        <v>1.1605000000000001</v>
      </c>
      <c r="C220" s="108">
        <f t="shared" si="56"/>
        <v>0</v>
      </c>
      <c r="D220" s="109" t="str">
        <f t="shared" si="57"/>
        <v>/</v>
      </c>
      <c r="E220" s="109">
        <f ca="1">IF(表2_3671626293034567[[#This Row],[累计净值]]/MAX(INDIRECT("B21:B" &amp; ROW()))-1&lt;E219,表2_3671626293034567[[#This Row],[累计净值]]/MAX(INDIRECT("B21:B" &amp; ROW()))-1,E219)</f>
        <v>-2.5203567274137306E-2</v>
      </c>
      <c r="F220" s="62">
        <f>表2_3671626293034567[[#This Row],[累计净值]]-0.0607</f>
        <v>1.0998000000000001</v>
      </c>
      <c r="G220" s="20">
        <f>表2_3671626293034567[[#This Row],[累计净值]]/$B$22-1</f>
        <v>0.15300546448087449</v>
      </c>
    </row>
    <row r="221" spans="1:7" x14ac:dyDescent="0.2">
      <c r="A221" s="55">
        <v>44006</v>
      </c>
      <c r="B221" s="112">
        <v>1.1617999999999999</v>
      </c>
      <c r="C221" s="108">
        <f t="shared" ref="C221:C227" si="58">IFERROR(B221-B220,0)</f>
        <v>1.2999999999998568E-3</v>
      </c>
      <c r="D221" s="109" t="str">
        <f t="shared" ref="D221:D227" si="59">IF(C221&lt;0,C221,"/")</f>
        <v>/</v>
      </c>
      <c r="E221" s="109">
        <f ca="1">IF(表2_3671626293034567[[#This Row],[累计净值]]/MAX(INDIRECT("B21:B" &amp; ROW()))-1&lt;E220,表2_3671626293034567[[#This Row],[累计净值]]/MAX(INDIRECT("B21:B" &amp; ROW()))-1,E220)</f>
        <v>-2.5203567274137306E-2</v>
      </c>
      <c r="F221" s="62">
        <f>表2_3671626293034567[[#This Row],[累计净值]]-0.0607</f>
        <v>1.1011</v>
      </c>
      <c r="G221" s="20">
        <f>表2_3671626293034567[[#This Row],[累计净值]]/$B$22-1</f>
        <v>0.15429706905116736</v>
      </c>
    </row>
    <row r="222" spans="1:7" x14ac:dyDescent="0.2">
      <c r="A222" s="55">
        <v>44011</v>
      </c>
      <c r="B222" s="112">
        <v>1.1640999999999999</v>
      </c>
      <c r="C222" s="108">
        <f t="shared" si="58"/>
        <v>2.2999999999999687E-3</v>
      </c>
      <c r="D222" s="109" t="str">
        <f t="shared" si="59"/>
        <v>/</v>
      </c>
      <c r="E222" s="109">
        <f ca="1">IF(表2_3671626293034567[[#This Row],[累计净值]]/MAX(INDIRECT("B21:B" &amp; ROW()))-1&lt;E221,表2_3671626293034567[[#This Row],[累计净值]]/MAX(INDIRECT("B21:B" &amp; ROW()))-1,E221)</f>
        <v>-2.5203567274137306E-2</v>
      </c>
      <c r="F222" s="62">
        <f>表2_3671626293034567[[#This Row],[累计净值]]-0.0607</f>
        <v>1.1033999999999999</v>
      </c>
      <c r="G222" s="20">
        <f>表2_3671626293034567[[#This Row],[累计净值]]/$B$22-1</f>
        <v>0.15658221559860896</v>
      </c>
    </row>
    <row r="223" spans="1:7" x14ac:dyDescent="0.2">
      <c r="A223" s="55">
        <v>44012</v>
      </c>
      <c r="B223" s="112">
        <v>1.1652</v>
      </c>
      <c r="C223" s="108">
        <f t="shared" si="58"/>
        <v>1.1000000000001009E-3</v>
      </c>
      <c r="D223" s="109" t="str">
        <f t="shared" si="59"/>
        <v>/</v>
      </c>
      <c r="E223" s="109">
        <f ca="1">IF(表2_3671626293034567[[#This Row],[累计净值]]/MAX(INDIRECT("B21:B" &amp; ROW()))-1&lt;E222,表2_3671626293034567[[#This Row],[累计净值]]/MAX(INDIRECT("B21:B" &amp; ROW()))-1,E222)</f>
        <v>-2.5203567274137306E-2</v>
      </c>
      <c r="F223" s="62">
        <f>表2_3671626293034567[[#This Row],[累计净值]]-0.0607</f>
        <v>1.1045</v>
      </c>
      <c r="G223" s="20">
        <f>表2_3671626293034567[[#This Row],[累计净值]]/$B$22-1</f>
        <v>0.15767511177347249</v>
      </c>
    </row>
    <row r="224" spans="1:7" x14ac:dyDescent="0.2">
      <c r="A224" s="55">
        <v>44013</v>
      </c>
      <c r="B224" s="76">
        <v>1.1700999999999999</v>
      </c>
      <c r="C224" s="108">
        <f t="shared" si="58"/>
        <v>4.8999999999999044E-3</v>
      </c>
      <c r="D224" s="109" t="str">
        <f t="shared" si="59"/>
        <v>/</v>
      </c>
      <c r="E224" s="109">
        <f ca="1">IF(表2_3671626293034567[[#This Row],[累计净值]]/MAX(INDIRECT("B21:B" &amp; ROW()))-1&lt;E223,表2_3671626293034567[[#This Row],[累计净值]]/MAX(INDIRECT("B21:B" &amp; ROW()))-1,E223)</f>
        <v>-2.5203567274137306E-2</v>
      </c>
      <c r="F224" s="62">
        <f>表2_3671626293034567[[#This Row],[累计净值]]-0.0607</f>
        <v>1.1093999999999999</v>
      </c>
      <c r="G224" s="20">
        <f>表2_3671626293034567[[#This Row],[累计净值]]/$B$22-1</f>
        <v>0.16254346746150028</v>
      </c>
    </row>
    <row r="225" spans="1:7" x14ac:dyDescent="0.2">
      <c r="A225" s="55">
        <v>44014</v>
      </c>
      <c r="B225" s="112">
        <v>1.1611</v>
      </c>
      <c r="C225" s="108">
        <f t="shared" si="58"/>
        <v>-8.999999999999897E-3</v>
      </c>
      <c r="D225" s="109">
        <f t="shared" si="59"/>
        <v>-8.999999999999897E-3</v>
      </c>
      <c r="E225" s="109">
        <f ca="1">IF(表2_3671626293034567[[#This Row],[累计净值]]/MAX(INDIRECT("B21:B" &amp; ROW()))-1&lt;E224,表2_3671626293034567[[#This Row],[累计净值]]/MAX(INDIRECT("B21:B" &amp; ROW()))-1,E224)</f>
        <v>-2.5203567274137306E-2</v>
      </c>
      <c r="F225" s="62">
        <f>表2_3671626293034567[[#This Row],[累计净值]]-0.0607</f>
        <v>1.1004</v>
      </c>
      <c r="G225" s="20">
        <f>表2_3671626293034567[[#This Row],[累计净值]]/$B$22-1</f>
        <v>0.15360158966716342</v>
      </c>
    </row>
    <row r="226" spans="1:7" x14ac:dyDescent="0.2">
      <c r="A226" s="55">
        <v>44015</v>
      </c>
      <c r="B226" s="112">
        <v>1.1595</v>
      </c>
      <c r="C226" s="108">
        <f t="shared" si="58"/>
        <v>-1.6000000000000458E-3</v>
      </c>
      <c r="D226" s="109">
        <f t="shared" si="59"/>
        <v>-1.6000000000000458E-3</v>
      </c>
      <c r="E226" s="109">
        <f ca="1">IF(表2_3671626293034567[[#This Row],[累计净值]]/MAX(INDIRECT("B21:B" &amp; ROW()))-1&lt;E225,表2_3671626293034567[[#This Row],[累计净值]]/MAX(INDIRECT("B21:B" &amp; ROW()))-1,E225)</f>
        <v>-2.5203567274137306E-2</v>
      </c>
      <c r="F226" s="62">
        <f>表2_3671626293034567[[#This Row],[累计净值]]-0.0607</f>
        <v>1.0988</v>
      </c>
      <c r="G226" s="20">
        <f>表2_3671626293034567[[#This Row],[累计净值]]/$B$22-1</f>
        <v>0.15201192250372575</v>
      </c>
    </row>
    <row r="227" spans="1:7" x14ac:dyDescent="0.2">
      <c r="A227" s="55">
        <v>44018</v>
      </c>
      <c r="B227" s="112">
        <v>1.1453</v>
      </c>
      <c r="C227" s="108">
        <f t="shared" si="58"/>
        <v>-1.419999999999999E-2</v>
      </c>
      <c r="D227" s="109">
        <f t="shared" si="59"/>
        <v>-1.419999999999999E-2</v>
      </c>
      <c r="E227" s="109">
        <f ca="1">IF(表2_3671626293034567[[#This Row],[累计净值]]/MAX(INDIRECT("B21:B" &amp; ROW()))-1&lt;E226,表2_3671626293034567[[#This Row],[累计净值]]/MAX(INDIRECT("B21:B" &amp; ROW()))-1,E226)</f>
        <v>-2.5203567274137306E-2</v>
      </c>
      <c r="F227" s="62">
        <f>表2_3671626293034567[[#This Row],[累计净值]]-0.0607</f>
        <v>1.0846</v>
      </c>
      <c r="G227" s="20">
        <f>表2_3671626293034567[[#This Row],[累计净值]]/$B$22-1</f>
        <v>0.13790362642821674</v>
      </c>
    </row>
    <row r="228" spans="1:7" x14ac:dyDescent="0.2">
      <c r="A228" s="55">
        <v>44019</v>
      </c>
      <c r="B228" s="112">
        <v>1.1459999999999999</v>
      </c>
      <c r="C228" s="108">
        <f t="shared" ref="C228:C234" si="60">IFERROR(B228-B227,0)</f>
        <v>6.9999999999992291E-4</v>
      </c>
      <c r="D228" s="109" t="str">
        <f t="shared" ref="D228:D234" si="61">IF(C228&lt;0,C228,"/")</f>
        <v>/</v>
      </c>
      <c r="E228" s="109">
        <f ca="1">IF(表2_3671626293034567[[#This Row],[累计净值]]/MAX(INDIRECT("B21:B" &amp; ROW()))-1&lt;E227,表2_3671626293034567[[#This Row],[累计净值]]/MAX(INDIRECT("B21:B" &amp; ROW()))-1,E227)</f>
        <v>-2.5203567274137306E-2</v>
      </c>
      <c r="F228" s="62">
        <f>表2_3671626293034567[[#This Row],[累计净值]]-0.0607</f>
        <v>1.0852999999999999</v>
      </c>
      <c r="G228" s="20">
        <f>表2_3671626293034567[[#This Row],[累计净值]]/$B$22-1</f>
        <v>0.13859910581222046</v>
      </c>
    </row>
    <row r="229" spans="1:7" x14ac:dyDescent="0.2">
      <c r="A229" s="55">
        <v>44020</v>
      </c>
      <c r="B229" s="112">
        <v>1.1561999999999999</v>
      </c>
      <c r="C229" s="108">
        <f t="shared" si="60"/>
        <v>1.0199999999999987E-2</v>
      </c>
      <c r="D229" s="109" t="str">
        <f t="shared" si="61"/>
        <v>/</v>
      </c>
      <c r="E229" s="109">
        <f ca="1">IF(表2_3671626293034567[[#This Row],[累计净值]]/MAX(INDIRECT("B21:B" &amp; ROW()))-1&lt;E228,表2_3671626293034567[[#This Row],[累计净值]]/MAX(INDIRECT("B21:B" &amp; ROW()))-1,E228)</f>
        <v>-2.5203567274137306E-2</v>
      </c>
      <c r="F229" s="62">
        <f>表2_3671626293034567[[#This Row],[累计净值]]-0.0607</f>
        <v>1.0954999999999999</v>
      </c>
      <c r="G229" s="20">
        <f>表2_3671626293034567[[#This Row],[累计净值]]/$B$22-1</f>
        <v>0.14873323397913563</v>
      </c>
    </row>
    <row r="230" spans="1:7" x14ac:dyDescent="0.2">
      <c r="A230" s="55">
        <v>44021</v>
      </c>
      <c r="B230" s="112">
        <v>1.1626000000000001</v>
      </c>
      <c r="C230" s="108">
        <f t="shared" si="60"/>
        <v>6.4000000000001833E-3</v>
      </c>
      <c r="D230" s="109" t="str">
        <f t="shared" si="61"/>
        <v>/</v>
      </c>
      <c r="E230" s="109">
        <f ca="1">IF(表2_3671626293034567[[#This Row],[累计净值]]/MAX(INDIRECT("B21:B" &amp; ROW()))-1&lt;E229,表2_3671626293034567[[#This Row],[累计净值]]/MAX(INDIRECT("B21:B" &amp; ROW()))-1,E229)</f>
        <v>-2.5203567274137306E-2</v>
      </c>
      <c r="F230" s="62">
        <f>表2_3671626293034567[[#This Row],[累计净值]]-0.0607</f>
        <v>1.1019000000000001</v>
      </c>
      <c r="G230" s="20">
        <f>表2_3671626293034567[[#This Row],[累计净值]]/$B$22-1</f>
        <v>0.1550919026328863</v>
      </c>
    </row>
    <row r="231" spans="1:7" x14ac:dyDescent="0.2">
      <c r="A231" s="55">
        <v>44022</v>
      </c>
      <c r="B231" s="112">
        <v>1.1607000000000001</v>
      </c>
      <c r="C231" s="108">
        <f t="shared" si="60"/>
        <v>-1.9000000000000128E-3</v>
      </c>
      <c r="D231" s="109">
        <f t="shared" si="61"/>
        <v>-1.9000000000000128E-3</v>
      </c>
      <c r="E231" s="109">
        <f ca="1">IF(表2_3671626293034567[[#This Row],[累计净值]]/MAX(INDIRECT("B21:B" &amp; ROW()))-1&lt;E230,表2_3671626293034567[[#This Row],[累计净值]]/MAX(INDIRECT("B21:B" &amp; ROW()))-1,E230)</f>
        <v>-2.5203567274137306E-2</v>
      </c>
      <c r="F231" s="62">
        <f>表2_3671626293034567[[#This Row],[累计净值]]-0.0607</f>
        <v>1.1000000000000001</v>
      </c>
      <c r="G231" s="20">
        <f>表2_3671626293034567[[#This Row],[累计净值]]/$B$22-1</f>
        <v>0.15320417287630406</v>
      </c>
    </row>
    <row r="232" spans="1:7" x14ac:dyDescent="0.2">
      <c r="A232" s="55">
        <v>44025</v>
      </c>
      <c r="B232" s="112">
        <v>1.1687000000000001</v>
      </c>
      <c r="C232" s="108">
        <f t="shared" si="60"/>
        <v>8.0000000000000071E-3</v>
      </c>
      <c r="D232" s="109" t="str">
        <f t="shared" si="61"/>
        <v>/</v>
      </c>
      <c r="E232" s="109">
        <f ca="1">IF(表2_3671626293034567[[#This Row],[累计净值]]/MAX(INDIRECT("B21:B" &amp; ROW()))-1&lt;E231,表2_3671626293034567[[#This Row],[累计净值]]/MAX(INDIRECT("B21:B" &amp; ROW()))-1,E231)</f>
        <v>-2.5203567274137306E-2</v>
      </c>
      <c r="F232" s="62">
        <f>表2_3671626293034567[[#This Row],[累计净值]]-0.0607</f>
        <v>1.1080000000000001</v>
      </c>
      <c r="G232" s="20">
        <f>表2_3671626293034567[[#This Row],[累计净值]]/$B$22-1</f>
        <v>0.1611525086934924</v>
      </c>
    </row>
    <row r="233" spans="1:7" x14ac:dyDescent="0.2">
      <c r="A233" s="55">
        <v>44026</v>
      </c>
      <c r="B233" s="76">
        <v>1.1812</v>
      </c>
      <c r="C233" s="108">
        <f t="shared" si="60"/>
        <v>1.2499999999999956E-2</v>
      </c>
      <c r="D233" s="109" t="str">
        <f t="shared" si="61"/>
        <v>/</v>
      </c>
      <c r="E233" s="109">
        <f ca="1">IF(表2_3671626293034567[[#This Row],[累计净值]]/MAX(INDIRECT("B21:B" &amp; ROW()))-1&lt;E232,表2_3671626293034567[[#This Row],[累计净值]]/MAX(INDIRECT("B21:B" &amp; ROW()))-1,E232)</f>
        <v>-2.5203567274137306E-2</v>
      </c>
      <c r="F233" s="62">
        <f>表2_3671626293034567[[#This Row],[累计净值]]-0.0607</f>
        <v>1.1205000000000001</v>
      </c>
      <c r="G233" s="20">
        <f>表2_3671626293034567[[#This Row],[累计净值]]/$B$22-1</f>
        <v>0.17357178340784896</v>
      </c>
    </row>
    <row r="234" spans="1:7" x14ac:dyDescent="0.2">
      <c r="A234" s="55">
        <v>44027</v>
      </c>
      <c r="B234" s="112">
        <v>1.1765000000000001</v>
      </c>
      <c r="C234" s="108">
        <f t="shared" si="60"/>
        <v>-4.6999999999999265E-3</v>
      </c>
      <c r="D234" s="109">
        <f t="shared" si="61"/>
        <v>-4.6999999999999265E-3</v>
      </c>
      <c r="E234" s="109">
        <f ca="1">IF(表2_3671626293034567[[#This Row],[累计净值]]/MAX(INDIRECT("B21:B" &amp; ROW()))-1&lt;E233,表2_3671626293034567[[#This Row],[累计净值]]/MAX(INDIRECT("B21:B" &amp; ROW()))-1,E233)</f>
        <v>-2.5203567274137306E-2</v>
      </c>
      <c r="F234" s="62">
        <f>表2_3671626293034567[[#This Row],[累计净值]]-0.0607</f>
        <v>1.1158000000000001</v>
      </c>
      <c r="G234" s="20">
        <f>表2_3671626293034567[[#This Row],[累计净值]]/$B$22-1</f>
        <v>0.16890213611525096</v>
      </c>
    </row>
    <row r="235" spans="1:7" x14ac:dyDescent="0.2">
      <c r="A235" s="55">
        <v>44028</v>
      </c>
      <c r="B235" s="112">
        <v>1.1775</v>
      </c>
      <c r="C235" s="108">
        <f t="shared" ref="C235:C241" si="62">IFERROR(B235-B234,0)</f>
        <v>9.9999999999988987E-4</v>
      </c>
      <c r="D235" s="109" t="str">
        <f t="shared" ref="D235:D241" si="63">IF(C235&lt;0,C235,"/")</f>
        <v>/</v>
      </c>
      <c r="E235" s="109">
        <f ca="1">IF(表2_3671626293034567[[#This Row],[累计净值]]/MAX(INDIRECT("B21:B" &amp; ROW()))-1&lt;E234,表2_3671626293034567[[#This Row],[累计净值]]/MAX(INDIRECT("B21:B" &amp; ROW()))-1,E234)</f>
        <v>-2.5203567274137306E-2</v>
      </c>
      <c r="F235" s="62">
        <f>表2_3671626293034567[[#This Row],[累计净值]]-0.0607</f>
        <v>1.1168</v>
      </c>
      <c r="G235" s="20">
        <f>表2_3671626293034567[[#This Row],[累计净值]]/$B$22-1</f>
        <v>0.16989567809239947</v>
      </c>
    </row>
    <row r="236" spans="1:7" x14ac:dyDescent="0.2">
      <c r="A236" s="55">
        <v>44029</v>
      </c>
      <c r="B236" s="112">
        <v>1.1847000000000001</v>
      </c>
      <c r="C236" s="108">
        <f t="shared" si="62"/>
        <v>7.2000000000000952E-3</v>
      </c>
      <c r="D236" s="109" t="str">
        <f t="shared" si="63"/>
        <v>/</v>
      </c>
      <c r="E236" s="109">
        <f ca="1">IF(表2_3671626293034567[[#This Row],[累计净值]]/MAX(INDIRECT("B21:B" &amp; ROW()))-1&lt;E235,表2_3671626293034567[[#This Row],[累计净值]]/MAX(INDIRECT("B21:B" &amp; ROW()))-1,E235)</f>
        <v>-2.5203567274137306E-2</v>
      </c>
      <c r="F236" s="62">
        <f>表2_3671626293034567[[#This Row],[累计净值]]-0.0607</f>
        <v>1.1240000000000001</v>
      </c>
      <c r="G236" s="20">
        <f>表2_3671626293034567[[#This Row],[累计净值]]/$B$22-1</f>
        <v>0.17704918032786909</v>
      </c>
    </row>
    <row r="237" spans="1:7" x14ac:dyDescent="0.2">
      <c r="A237" s="55">
        <v>44032</v>
      </c>
      <c r="B237" s="112">
        <v>1.1970000000000001</v>
      </c>
      <c r="C237" s="108">
        <f t="shared" si="62"/>
        <v>1.2299999999999978E-2</v>
      </c>
      <c r="D237" s="109" t="str">
        <f t="shared" si="63"/>
        <v>/</v>
      </c>
      <c r="E237" s="109">
        <f ca="1">IF(表2_3671626293034567[[#This Row],[累计净值]]/MAX(INDIRECT("B21:B" &amp; ROW()))-1&lt;E236,表2_3671626293034567[[#This Row],[累计净值]]/MAX(INDIRECT("B21:B" &amp; ROW()))-1,E236)</f>
        <v>-2.5203567274137306E-2</v>
      </c>
      <c r="F237" s="62">
        <f>表2_3671626293034567[[#This Row],[累计净值]]-0.0607</f>
        <v>1.1363000000000001</v>
      </c>
      <c r="G237" s="20">
        <f>表2_3671626293034567[[#This Row],[累计净值]]/$B$22-1</f>
        <v>0.18926974664679586</v>
      </c>
    </row>
    <row r="238" spans="1:7" x14ac:dyDescent="0.2">
      <c r="A238" s="55">
        <v>44033</v>
      </c>
      <c r="B238" s="76">
        <v>1.2004999999999999</v>
      </c>
      <c r="C238" s="108">
        <f t="shared" si="62"/>
        <v>3.4999999999998366E-3</v>
      </c>
      <c r="D238" s="109" t="str">
        <f t="shared" si="63"/>
        <v>/</v>
      </c>
      <c r="E238" s="109">
        <f ca="1">IF(表2_3671626293034567[[#This Row],[累计净值]]/MAX(INDIRECT("B21:B" &amp; ROW()))-1&lt;E237,表2_3671626293034567[[#This Row],[累计净值]]/MAX(INDIRECT("B21:B" &amp; ROW()))-1,E237)</f>
        <v>-2.5203567274137306E-2</v>
      </c>
      <c r="F238" s="62">
        <f>表2_3671626293034567[[#This Row],[累计净值]]-0.0607</f>
        <v>1.1397999999999999</v>
      </c>
      <c r="G238" s="20">
        <f>表2_3671626293034567[[#This Row],[累计净值]]/$B$22-1</f>
        <v>0.19274714356681555</v>
      </c>
    </row>
    <row r="239" spans="1:7" x14ac:dyDescent="0.2">
      <c r="A239" s="55">
        <v>44034</v>
      </c>
      <c r="B239" s="112">
        <v>1.1972</v>
      </c>
      <c r="C239" s="108">
        <f t="shared" si="62"/>
        <v>-3.2999999999998586E-3</v>
      </c>
      <c r="D239" s="109">
        <f t="shared" si="63"/>
        <v>-3.2999999999998586E-3</v>
      </c>
      <c r="E239" s="109">
        <f ca="1">IF(表2_3671626293034567[[#This Row],[累计净值]]/MAX(INDIRECT("B21:B" &amp; ROW()))-1&lt;E238,表2_3671626293034567[[#This Row],[累计净值]]/MAX(INDIRECT("B21:B" &amp; ROW()))-1,E238)</f>
        <v>-2.5203567274137306E-2</v>
      </c>
      <c r="F239" s="62">
        <f>表2_3671626293034567[[#This Row],[累计净值]]-0.0607</f>
        <v>1.1365000000000001</v>
      </c>
      <c r="G239" s="20">
        <f>表2_3671626293034567[[#This Row],[累计净值]]/$B$22-1</f>
        <v>0.18946845504222565</v>
      </c>
    </row>
    <row r="240" spans="1:7" x14ac:dyDescent="0.2">
      <c r="A240" s="55">
        <v>44035</v>
      </c>
      <c r="B240" s="112">
        <v>1.1992</v>
      </c>
      <c r="C240" s="108">
        <f t="shared" si="62"/>
        <v>2.0000000000000018E-3</v>
      </c>
      <c r="D240" s="109" t="str">
        <f t="shared" si="63"/>
        <v>/</v>
      </c>
      <c r="E240" s="109">
        <f ca="1">IF(表2_3671626293034567[[#This Row],[累计净值]]/MAX(INDIRECT("B21:B" &amp; ROW()))-1&lt;E239,表2_3671626293034567[[#This Row],[累计净值]]/MAX(INDIRECT("B21:B" &amp; ROW()))-1,E239)</f>
        <v>-2.5203567274137306E-2</v>
      </c>
      <c r="F240" s="62">
        <f>表2_3671626293034567[[#This Row],[累计净值]]-0.0607</f>
        <v>1.1385000000000001</v>
      </c>
      <c r="G240" s="20">
        <f>表2_3671626293034567[[#This Row],[累计净值]]/$B$22-1</f>
        <v>0.19145553899652268</v>
      </c>
    </row>
    <row r="241" spans="1:9" x14ac:dyDescent="0.2">
      <c r="A241" s="55">
        <v>44036</v>
      </c>
      <c r="B241" s="112">
        <v>1.1975</v>
      </c>
      <c r="C241" s="108">
        <f t="shared" si="62"/>
        <v>-1.7000000000000348E-3</v>
      </c>
      <c r="D241" s="109">
        <f t="shared" si="63"/>
        <v>-1.7000000000000348E-3</v>
      </c>
      <c r="E241" s="109">
        <f ca="1">IF(表2_3671626293034567[[#This Row],[累计净值]]/MAX(INDIRECT("B21:B" &amp; ROW()))-1&lt;E240,表2_3671626293034567[[#This Row],[累计净值]]/MAX(INDIRECT("B21:B" &amp; ROW()))-1,E240)</f>
        <v>-2.5203567274137306E-2</v>
      </c>
      <c r="F241" s="62">
        <f>表2_3671626293034567[[#This Row],[累计净值]]-0.0607</f>
        <v>1.1368</v>
      </c>
      <c r="G241" s="20">
        <f>表2_3671626293034567[[#This Row],[累计净值]]/$B$22-1</f>
        <v>0.18976651763537022</v>
      </c>
    </row>
    <row r="242" spans="1:9" x14ac:dyDescent="0.2">
      <c r="A242" s="55">
        <v>44039</v>
      </c>
      <c r="B242" s="112">
        <v>1.2041999999999999</v>
      </c>
      <c r="C242" s="108">
        <f t="shared" ref="C242:C247" si="64">IFERROR(B242-B241,0)</f>
        <v>6.6999999999999282E-3</v>
      </c>
      <c r="D242" s="109" t="str">
        <f t="shared" ref="D242:D247" si="65">IF(C242&lt;0,C242,"/")</f>
        <v>/</v>
      </c>
      <c r="E242" s="109">
        <f ca="1">IF(表2_3671626293034567[[#This Row],[累计净值]]/MAX(INDIRECT("B21:B" &amp; ROW()))-1&lt;E241,表2_3671626293034567[[#This Row],[累计净值]]/MAX(INDIRECT("B21:B" &amp; ROW()))-1,E241)</f>
        <v>-2.5203567274137306E-2</v>
      </c>
      <c r="F242" s="62">
        <v>1.04</v>
      </c>
      <c r="G242" s="20">
        <f>表2_3671626293034567[[#This Row],[累计净值]]/$B$22-1</f>
        <v>0.19642324888226526</v>
      </c>
      <c r="I242" s="60">
        <f>表2_3671626293034567[[#This Row],[累计净值]]-表2_3671626293034567[[#This Row],[单位净值]]</f>
        <v>0.1641999999999999</v>
      </c>
    </row>
    <row r="243" spans="1:9" x14ac:dyDescent="0.2">
      <c r="A243" s="55">
        <v>44040</v>
      </c>
      <c r="B243" s="76">
        <v>1.2110000000000001</v>
      </c>
      <c r="C243" s="108">
        <f t="shared" si="64"/>
        <v>6.8000000000001393E-3</v>
      </c>
      <c r="D243" s="109" t="str">
        <f t="shared" si="65"/>
        <v>/</v>
      </c>
      <c r="E243" s="109">
        <f ca="1">IF(表2_3671626293034567[[#This Row],[累计净值]]/MAX(INDIRECT("B21:B" &amp; ROW()))-1&lt;E242,表2_3671626293034567[[#This Row],[累计净值]]/MAX(INDIRECT("B21:B" &amp; ROW()))-1,E242)</f>
        <v>-2.5203567274137306E-2</v>
      </c>
      <c r="F243" s="110">
        <f>表2_3671626293034567[[#This Row],[累计净值]]-$I$242</f>
        <v>1.0468000000000002</v>
      </c>
      <c r="G243" s="20">
        <f>表2_3671626293034567[[#This Row],[累计净值]]/$B$22-1</f>
        <v>0.20317933432687552</v>
      </c>
    </row>
    <row r="244" spans="1:9" x14ac:dyDescent="0.2">
      <c r="A244" s="55">
        <v>44041</v>
      </c>
      <c r="B244" s="112">
        <v>1.2057</v>
      </c>
      <c r="C244" s="108">
        <f t="shared" si="64"/>
        <v>-5.3000000000000824E-3</v>
      </c>
      <c r="D244" s="109">
        <f t="shared" si="65"/>
        <v>-5.3000000000000824E-3</v>
      </c>
      <c r="E244" s="109">
        <f ca="1">IF(表2_3671626293034567[[#This Row],[累计净值]]/MAX(INDIRECT("B21:B" &amp; ROW()))-1&lt;E243,表2_3671626293034567[[#This Row],[累计净值]]/MAX(INDIRECT("B21:B" &amp; ROW()))-1,E243)</f>
        <v>-2.5203567274137306E-2</v>
      </c>
      <c r="F244" s="110">
        <f>表2_3671626293034567[[#This Row],[累计净值]]-$I$242</f>
        <v>1.0415000000000001</v>
      </c>
      <c r="G244" s="20">
        <f>表2_3671626293034567[[#This Row],[累计净值]]/$B$22-1</f>
        <v>0.19791356184798814</v>
      </c>
    </row>
    <row r="245" spans="1:9" x14ac:dyDescent="0.2">
      <c r="A245" s="55">
        <v>44042</v>
      </c>
      <c r="B245" s="112">
        <v>1.2056</v>
      </c>
      <c r="C245" s="108">
        <f t="shared" si="64"/>
        <v>-9.9999999999988987E-5</v>
      </c>
      <c r="D245" s="109">
        <f t="shared" si="65"/>
        <v>-9.9999999999988987E-5</v>
      </c>
      <c r="E245" s="109">
        <f ca="1">IF(表2_3671626293034567[[#This Row],[累计净值]]/MAX(INDIRECT("B21:B" &amp; ROW()))-1&lt;E244,表2_3671626293034567[[#This Row],[累计净值]]/MAX(INDIRECT("B21:B" &amp; ROW()))-1,E244)</f>
        <v>-2.5203567274137306E-2</v>
      </c>
      <c r="F245" s="110">
        <f>表2_3671626293034567[[#This Row],[累计净值]]-$I$242</f>
        <v>1.0414000000000001</v>
      </c>
      <c r="G245" s="20">
        <f>表2_3671626293034567[[#This Row],[累计净值]]/$B$22-1</f>
        <v>0.19781420765027335</v>
      </c>
    </row>
    <row r="246" spans="1:9" x14ac:dyDescent="0.2">
      <c r="A246" s="55">
        <v>44043</v>
      </c>
      <c r="B246" s="112">
        <v>1.2091000000000001</v>
      </c>
      <c r="C246" s="108">
        <f t="shared" si="64"/>
        <v>3.5000000000000586E-3</v>
      </c>
      <c r="D246" s="109" t="str">
        <f t="shared" si="65"/>
        <v>/</v>
      </c>
      <c r="E246" s="109">
        <f ca="1">IF(表2_3671626293034567[[#This Row],[累计净值]]/MAX(INDIRECT("B21:B" &amp; ROW()))-1&lt;E245,表2_3671626293034567[[#This Row],[累计净值]]/MAX(INDIRECT("B21:B" &amp; ROW()))-1,E245)</f>
        <v>-2.5203567274137306E-2</v>
      </c>
      <c r="F246" s="110">
        <f>表2_3671626293034567[[#This Row],[累计净值]]-$I$242</f>
        <v>1.0449000000000002</v>
      </c>
      <c r="G246" s="20">
        <f>表2_3671626293034567[[#This Row],[累计净值]]/$B$22-1</f>
        <v>0.20129160457029327</v>
      </c>
    </row>
    <row r="247" spans="1:9" x14ac:dyDescent="0.2">
      <c r="A247" s="55">
        <v>44046</v>
      </c>
      <c r="B247" s="112">
        <v>1.2109000000000001</v>
      </c>
      <c r="C247" s="108">
        <f t="shared" si="64"/>
        <v>1.8000000000000238E-3</v>
      </c>
      <c r="D247" s="109" t="str">
        <f t="shared" si="65"/>
        <v>/</v>
      </c>
      <c r="E247" s="109">
        <f ca="1">IF(表2_3671626293034567[[#This Row],[累计净值]]/MAX(INDIRECT("B21:B" &amp; ROW()))-1&lt;E246,表2_3671626293034567[[#This Row],[累计净值]]/MAX(INDIRECT("B21:B" &amp; ROW()))-1,E246)</f>
        <v>-2.5203567274137306E-2</v>
      </c>
      <c r="F247" s="110">
        <f>表2_3671626293034567[[#This Row],[累计净值]]-$I$242</f>
        <v>1.0467000000000002</v>
      </c>
      <c r="G247" s="20">
        <f>表2_3671626293034567[[#This Row],[累计净值]]/$B$22-1</f>
        <v>0.20307998012916051</v>
      </c>
    </row>
    <row r="248" spans="1:9" x14ac:dyDescent="0.2">
      <c r="A248" s="55">
        <v>44047</v>
      </c>
      <c r="B248" s="112">
        <v>1.2093</v>
      </c>
      <c r="C248" s="108">
        <f t="shared" ref="C248:C253" si="66">IFERROR(B248-B247,0)</f>
        <v>-1.6000000000000458E-3</v>
      </c>
      <c r="D248" s="109">
        <f t="shared" ref="D248:D253" si="67">IF(C248&lt;0,C248,"/")</f>
        <v>-1.6000000000000458E-3</v>
      </c>
      <c r="E248" s="109">
        <f ca="1">IF(表2_3671626293034567[[#This Row],[累计净值]]/MAX(INDIRECT("B21:B" &amp; ROW()))-1&lt;E247,表2_3671626293034567[[#This Row],[累计净值]]/MAX(INDIRECT("B21:B" &amp; ROW()))-1,E247)</f>
        <v>-2.5203567274137306E-2</v>
      </c>
      <c r="F248" s="110">
        <f>表2_3671626293034567[[#This Row],[累计净值]]-$I$242</f>
        <v>1.0451000000000001</v>
      </c>
      <c r="G248" s="20">
        <f>表2_3671626293034567[[#This Row],[累计净值]]/$B$22-1</f>
        <v>0.20149031296572284</v>
      </c>
    </row>
    <row r="249" spans="1:9" x14ac:dyDescent="0.2">
      <c r="A249" s="55">
        <v>44048</v>
      </c>
      <c r="B249" s="112">
        <v>1.2151000000000001</v>
      </c>
      <c r="C249" s="108">
        <f t="shared" si="66"/>
        <v>5.8000000000000274E-3</v>
      </c>
      <c r="D249" s="109" t="str">
        <f t="shared" si="67"/>
        <v>/</v>
      </c>
      <c r="E249" s="109">
        <f ca="1">IF(表2_3671626293034567[[#This Row],[累计净值]]/MAX(INDIRECT("B21:B" &amp; ROW()))-1&lt;E248,表2_3671626293034567[[#This Row],[累计净值]]/MAX(INDIRECT("B21:B" &amp; ROW()))-1,E248)</f>
        <v>-2.5203567274137306E-2</v>
      </c>
      <c r="F249" s="110">
        <f>表2_3671626293034567[[#This Row],[累计净值]]-$I$242</f>
        <v>1.0509000000000002</v>
      </c>
      <c r="G249" s="20">
        <f>表2_3671626293034567[[#This Row],[累计净值]]/$B$22-1</f>
        <v>0.20725285643318436</v>
      </c>
    </row>
    <row r="250" spans="1:9" x14ac:dyDescent="0.2">
      <c r="A250" s="55">
        <v>44049</v>
      </c>
      <c r="B250" s="112">
        <v>1.2172000000000001</v>
      </c>
      <c r="C250" s="108">
        <f t="shared" si="66"/>
        <v>2.0999999999999908E-3</v>
      </c>
      <c r="D250" s="109" t="str">
        <f t="shared" si="67"/>
        <v>/</v>
      </c>
      <c r="E250" s="109">
        <f ca="1">IF(表2_3671626293034567[[#This Row],[累计净值]]/MAX(INDIRECT("B21:B" &amp; ROW()))-1&lt;E249,表2_3671626293034567[[#This Row],[累计净值]]/MAX(INDIRECT("B21:B" &amp; ROW()))-1,E249)</f>
        <v>-2.5203567274137306E-2</v>
      </c>
      <c r="F250" s="110">
        <f>表2_3671626293034567[[#This Row],[累计净值]]-$I$242</f>
        <v>1.0530000000000002</v>
      </c>
      <c r="G250" s="20">
        <f>表2_3671626293034567[[#This Row],[累计净值]]/$B$22-1</f>
        <v>0.2093392945851964</v>
      </c>
    </row>
    <row r="251" spans="1:9" x14ac:dyDescent="0.2">
      <c r="A251" s="55">
        <v>44050</v>
      </c>
      <c r="B251" s="112">
        <v>1.2170000000000001</v>
      </c>
      <c r="C251" s="108">
        <f t="shared" si="66"/>
        <v>-1.9999999999997797E-4</v>
      </c>
      <c r="D251" s="109">
        <f t="shared" si="67"/>
        <v>-1.9999999999997797E-4</v>
      </c>
      <c r="E251" s="109">
        <f ca="1">IF(表2_3671626293034567[[#This Row],[累计净值]]/MAX(INDIRECT("B21:B" &amp; ROW()))-1&lt;E250,表2_3671626293034567[[#This Row],[累计净值]]/MAX(INDIRECT("B21:B" &amp; ROW()))-1,E250)</f>
        <v>-2.5203567274137306E-2</v>
      </c>
      <c r="F251" s="110">
        <f>表2_3671626293034567[[#This Row],[累计净值]]-$I$242</f>
        <v>1.0528000000000002</v>
      </c>
      <c r="G251" s="20">
        <f>表2_3671626293034567[[#This Row],[累计净值]]/$B$22-1</f>
        <v>0.20914058618976661</v>
      </c>
    </row>
    <row r="252" spans="1:9" x14ac:dyDescent="0.2">
      <c r="A252" s="55">
        <v>44053</v>
      </c>
      <c r="B252" s="112">
        <v>1.2133</v>
      </c>
      <c r="C252" s="108">
        <f t="shared" si="66"/>
        <v>-3.7000000000000366E-3</v>
      </c>
      <c r="D252" s="109">
        <f t="shared" si="67"/>
        <v>-3.7000000000000366E-3</v>
      </c>
      <c r="E252" s="109">
        <f ca="1">IF(表2_3671626293034567[[#This Row],[累计净值]]/MAX(INDIRECT("B21:B" &amp; ROW()))-1&lt;E251,表2_3671626293034567[[#This Row],[累计净值]]/MAX(INDIRECT("B21:B" &amp; ROW()))-1,E251)</f>
        <v>-2.5203567274137306E-2</v>
      </c>
      <c r="F252" s="110">
        <f>表2_3671626293034567[[#This Row],[累计净值]]-$I$242</f>
        <v>1.0491000000000001</v>
      </c>
      <c r="G252" s="20">
        <f>表2_3671626293034567[[#This Row],[累计净值]]/$B$22-1</f>
        <v>0.20546448087431712</v>
      </c>
    </row>
    <row r="253" spans="1:9" x14ac:dyDescent="0.2">
      <c r="A253" s="55">
        <v>44054</v>
      </c>
      <c r="B253" s="112">
        <v>1.2154</v>
      </c>
      <c r="C253" s="108">
        <f t="shared" si="66"/>
        <v>2.0999999999999908E-3</v>
      </c>
      <c r="D253" s="109" t="str">
        <f t="shared" si="67"/>
        <v>/</v>
      </c>
      <c r="E253" s="109">
        <f ca="1">IF(表2_3671626293034567[[#This Row],[累计净值]]/MAX(INDIRECT("B21:B" &amp; ROW()))-1&lt;E252,表2_3671626293034567[[#This Row],[累计净值]]/MAX(INDIRECT("B21:B" &amp; ROW()))-1,E252)</f>
        <v>-2.5203567274137306E-2</v>
      </c>
      <c r="F253" s="110">
        <f>表2_3671626293034567[[#This Row],[累计净值]]-$I$242</f>
        <v>1.0512000000000001</v>
      </c>
      <c r="G253" s="20">
        <f>表2_3671626293034567[[#This Row],[累计净值]]/$B$22-1</f>
        <v>0.20755091902632894</v>
      </c>
    </row>
    <row r="254" spans="1:9" x14ac:dyDescent="0.2">
      <c r="A254" s="55">
        <v>44055</v>
      </c>
      <c r="B254" s="112">
        <v>1.2165999999999999</v>
      </c>
      <c r="C254" s="108">
        <f t="shared" ref="C254:C260" si="68">IFERROR(B254-B253,0)</f>
        <v>1.1999999999998678E-3</v>
      </c>
      <c r="D254" s="109" t="str">
        <f t="shared" ref="D254:D260" si="69">IF(C254&lt;0,C254,"/")</f>
        <v>/</v>
      </c>
      <c r="E254" s="109">
        <f ca="1">IF(表2_3671626293034567[[#This Row],[累计净值]]/MAX(INDIRECT("B21:B" &amp; ROW()))-1&lt;E253,表2_3671626293034567[[#This Row],[累计净值]]/MAX(INDIRECT("B21:B" &amp; ROW()))-1,E253)</f>
        <v>-2.5203567274137306E-2</v>
      </c>
      <c r="F254" s="110">
        <f>表2_3671626293034567[[#This Row],[累计净值]]-$I$242</f>
        <v>1.0524</v>
      </c>
      <c r="G254" s="20">
        <f>表2_3671626293034567[[#This Row],[累计净值]]/$B$22-1</f>
        <v>0.20874316939890702</v>
      </c>
    </row>
    <row r="255" spans="1:9" x14ac:dyDescent="0.2">
      <c r="A255" s="55">
        <v>44056</v>
      </c>
      <c r="B255" s="112">
        <v>1.2155</v>
      </c>
      <c r="C255" s="108">
        <f t="shared" si="68"/>
        <v>-1.0999999999998789E-3</v>
      </c>
      <c r="D255" s="109">
        <f t="shared" si="69"/>
        <v>-1.0999999999998789E-3</v>
      </c>
      <c r="E255" s="109">
        <f ca="1">IF(表2_3671626293034567[[#This Row],[累计净值]]/MAX(INDIRECT("B21:B" &amp; ROW()))-1&lt;E254,表2_3671626293034567[[#This Row],[累计净值]]/MAX(INDIRECT("B21:B" &amp; ROW()))-1,E254)</f>
        <v>-2.5203567274137306E-2</v>
      </c>
      <c r="F255" s="110">
        <f>表2_3671626293034567[[#This Row],[累计净值]]-$I$242</f>
        <v>1.0513000000000001</v>
      </c>
      <c r="G255" s="20">
        <f>表2_3671626293034567[[#This Row],[累计净值]]/$B$22-1</f>
        <v>0.20765027322404372</v>
      </c>
    </row>
    <row r="256" spans="1:9" x14ac:dyDescent="0.2">
      <c r="A256" s="55">
        <v>44057</v>
      </c>
      <c r="B256" s="112">
        <v>1.2154</v>
      </c>
      <c r="C256" s="108">
        <f t="shared" si="68"/>
        <v>-9.9999999999988987E-5</v>
      </c>
      <c r="D256" s="109">
        <f t="shared" si="69"/>
        <v>-9.9999999999988987E-5</v>
      </c>
      <c r="E256" s="109">
        <f ca="1">IF(表2_3671626293034567[[#This Row],[累计净值]]/MAX(INDIRECT("B21:B" &amp; ROW()))-1&lt;E255,表2_3671626293034567[[#This Row],[累计净值]]/MAX(INDIRECT("B21:B" &amp; ROW()))-1,E255)</f>
        <v>-2.5203567274137306E-2</v>
      </c>
      <c r="F256" s="110">
        <f>表2_3671626293034567[[#This Row],[累计净值]]-$I$242</f>
        <v>1.0512000000000001</v>
      </c>
      <c r="G256" s="20">
        <f>表2_3671626293034567[[#This Row],[累计净值]]/$B$22-1</f>
        <v>0.20755091902632894</v>
      </c>
    </row>
    <row r="257" spans="1:7" x14ac:dyDescent="0.2">
      <c r="A257" s="55">
        <v>44060</v>
      </c>
      <c r="B257" s="112">
        <v>1.2164999999999999</v>
      </c>
      <c r="C257" s="108">
        <f t="shared" si="68"/>
        <v>1.0999999999998789E-3</v>
      </c>
      <c r="D257" s="109" t="str">
        <f t="shared" si="69"/>
        <v>/</v>
      </c>
      <c r="E257" s="109">
        <f ca="1">IF(表2_3671626293034567[[#This Row],[累计净值]]/MAX(INDIRECT("B21:B" &amp; ROW()))-1&lt;E256,表2_3671626293034567[[#This Row],[累计净值]]/MAX(INDIRECT("B21:B" &amp; ROW()))-1,E256)</f>
        <v>-2.5203567274137306E-2</v>
      </c>
      <c r="F257" s="110">
        <f>表2_3671626293034567[[#This Row],[累计净值]]-$I$242</f>
        <v>1.0523</v>
      </c>
      <c r="G257" s="20">
        <f>表2_3671626293034567[[#This Row],[累计净值]]/$B$22-1</f>
        <v>0.20864381520119224</v>
      </c>
    </row>
    <row r="258" spans="1:7" x14ac:dyDescent="0.2">
      <c r="A258" s="55">
        <v>44061</v>
      </c>
      <c r="B258" s="112">
        <v>1.2198</v>
      </c>
      <c r="C258" s="108">
        <f t="shared" si="68"/>
        <v>3.3000000000000806E-3</v>
      </c>
      <c r="D258" s="109" t="str">
        <f t="shared" si="69"/>
        <v>/</v>
      </c>
      <c r="E258" s="109">
        <f ca="1">IF(表2_3671626293034567[[#This Row],[累计净值]]/MAX(INDIRECT("B21:B" &amp; ROW()))-1&lt;E257,表2_3671626293034567[[#This Row],[累计净值]]/MAX(INDIRECT("B21:B" &amp; ROW()))-1,E257)</f>
        <v>-2.5203567274137306E-2</v>
      </c>
      <c r="F258" s="110">
        <f>表2_3671626293034567[[#This Row],[累计净值]]-$I$242</f>
        <v>1.0556000000000001</v>
      </c>
      <c r="G258" s="20">
        <f>表2_3671626293034567[[#This Row],[累计净值]]/$B$22-1</f>
        <v>0.21192250372578236</v>
      </c>
    </row>
    <row r="259" spans="1:7" x14ac:dyDescent="0.2">
      <c r="A259" s="55">
        <v>44062</v>
      </c>
      <c r="B259" s="112">
        <v>1.2183999999999999</v>
      </c>
      <c r="C259" s="108">
        <f t="shared" si="68"/>
        <v>-1.4000000000000679E-3</v>
      </c>
      <c r="D259" s="109">
        <f t="shared" si="69"/>
        <v>-1.4000000000000679E-3</v>
      </c>
      <c r="E259" s="109">
        <f ca="1">IF(表2_3671626293034567[[#This Row],[累计净值]]/MAX(INDIRECT("B21:B" &amp; ROW()))-1&lt;E258,表2_3671626293034567[[#This Row],[累计净值]]/MAX(INDIRECT("B21:B" &amp; ROW()))-1,E258)</f>
        <v>-2.5203567274137306E-2</v>
      </c>
      <c r="F259" s="110">
        <f>表2_3671626293034567[[#This Row],[累计净值]]-$I$242</f>
        <v>1.0542</v>
      </c>
      <c r="G259" s="20">
        <f>表2_3671626293034567[[#This Row],[累计净值]]/$B$22-1</f>
        <v>0.21053154495777449</v>
      </c>
    </row>
    <row r="260" spans="1:7" x14ac:dyDescent="0.2">
      <c r="A260" s="55">
        <v>44063</v>
      </c>
      <c r="B260" s="112">
        <v>1.2185999999999999</v>
      </c>
      <c r="C260" s="108">
        <f t="shared" si="68"/>
        <v>1.9999999999997797E-4</v>
      </c>
      <c r="D260" s="109" t="str">
        <f t="shared" si="69"/>
        <v>/</v>
      </c>
      <c r="E260" s="109">
        <f ca="1">IF(表2_3671626293034567[[#This Row],[累计净值]]/MAX(INDIRECT("B21:B" &amp; ROW()))-1&lt;E259,表2_3671626293034567[[#This Row],[累计净值]]/MAX(INDIRECT("B21:B" &amp; ROW()))-1,E259)</f>
        <v>-2.5203567274137306E-2</v>
      </c>
      <c r="F260" s="110">
        <f>表2_3671626293034567[[#This Row],[累计净值]]-$I$242</f>
        <v>1.0544</v>
      </c>
      <c r="G260" s="20">
        <f>表2_3671626293034567[[#This Row],[累计净值]]/$B$22-1</f>
        <v>0.21073025335320406</v>
      </c>
    </row>
    <row r="261" spans="1:7" x14ac:dyDescent="0.2">
      <c r="A261" s="55">
        <v>44064</v>
      </c>
      <c r="B261" s="112">
        <v>1.2239</v>
      </c>
      <c r="C261" s="108">
        <f t="shared" ref="C261:C266" si="70">IFERROR(B261-B260,0)</f>
        <v>5.3000000000000824E-3</v>
      </c>
      <c r="D261" s="109" t="str">
        <f t="shared" ref="D261:D266" si="71">IF(C261&lt;0,C261,"/")</f>
        <v>/</v>
      </c>
      <c r="E261" s="109">
        <f ca="1">IF(表2_3671626293034567[[#This Row],[累计净值]]/MAX(INDIRECT("B21:B" &amp; ROW()))-1&lt;E260,表2_3671626293034567[[#This Row],[累计净值]]/MAX(INDIRECT("B21:B" &amp; ROW()))-1,E260)</f>
        <v>-2.5203567274137306E-2</v>
      </c>
      <c r="F261" s="110">
        <f>表2_3671626293034567[[#This Row],[累计净值]]-$I$242</f>
        <v>1.0597000000000001</v>
      </c>
      <c r="G261" s="20">
        <f>表2_3671626293034567[[#This Row],[累计净值]]/$B$22-1</f>
        <v>0.21599602583209143</v>
      </c>
    </row>
    <row r="262" spans="1:7" x14ac:dyDescent="0.2">
      <c r="A262" s="55">
        <v>44067</v>
      </c>
      <c r="B262" s="112">
        <v>1.2270000000000001</v>
      </c>
      <c r="C262" s="108">
        <f t="shared" si="70"/>
        <v>3.1000000000001027E-3</v>
      </c>
      <c r="D262" s="109" t="str">
        <f t="shared" si="71"/>
        <v>/</v>
      </c>
      <c r="E262" s="109">
        <f ca="1">IF(表2_3671626293034567[[#This Row],[累计净值]]/MAX(INDIRECT("B21:B" &amp; ROW()))-1&lt;E261,表2_3671626293034567[[#This Row],[累计净值]]/MAX(INDIRECT("B21:B" &amp; ROW()))-1,E261)</f>
        <v>-2.5203567274137306E-2</v>
      </c>
      <c r="F262" s="110">
        <f>表2_3671626293034567[[#This Row],[累计净值]]-$I$242</f>
        <v>1.0628000000000002</v>
      </c>
      <c r="G262" s="20">
        <f>表2_3671626293034567[[#This Row],[累计净值]]/$B$22-1</f>
        <v>0.21907600596125198</v>
      </c>
    </row>
    <row r="263" spans="1:7" x14ac:dyDescent="0.2">
      <c r="A263" s="55">
        <v>44068</v>
      </c>
      <c r="B263" s="112">
        <v>1.2292000000000001</v>
      </c>
      <c r="C263" s="108">
        <f t="shared" si="70"/>
        <v>2.1999999999999797E-3</v>
      </c>
      <c r="D263" s="109" t="str">
        <f t="shared" si="71"/>
        <v>/</v>
      </c>
      <c r="E263" s="109">
        <f ca="1">IF(表2_3671626293034567[[#This Row],[累计净值]]/MAX(INDIRECT("B21:B" &amp; ROW()))-1&lt;E262,表2_3671626293034567[[#This Row],[累计净值]]/MAX(INDIRECT("B21:B" &amp; ROW()))-1,E262)</f>
        <v>-2.5203567274137306E-2</v>
      </c>
      <c r="F263" s="110">
        <f>表2_3671626293034567[[#This Row],[累计净值]]-$I$242</f>
        <v>1.0650000000000002</v>
      </c>
      <c r="G263" s="20">
        <f>表2_3671626293034567[[#This Row],[累计净值]]/$B$22-1</f>
        <v>0.22126179831097881</v>
      </c>
    </row>
    <row r="264" spans="1:7" x14ac:dyDescent="0.2">
      <c r="A264" s="55">
        <v>44069</v>
      </c>
      <c r="B264" s="112">
        <v>1.2235</v>
      </c>
      <c r="C264" s="108">
        <f t="shared" si="70"/>
        <v>-5.7000000000000384E-3</v>
      </c>
      <c r="D264" s="109">
        <f t="shared" si="71"/>
        <v>-5.7000000000000384E-3</v>
      </c>
      <c r="E264" s="109">
        <f ca="1">IF(表2_3671626293034567[[#This Row],[累计净值]]/MAX(INDIRECT("B21:B" &amp; ROW()))-1&lt;E263,表2_3671626293034567[[#This Row],[累计净值]]/MAX(INDIRECT("B21:B" &amp; ROW()))-1,E263)</f>
        <v>-2.5203567274137306E-2</v>
      </c>
      <c r="F264" s="110">
        <f>表2_3671626293034567[[#This Row],[累计净值]]-$I$242</f>
        <v>1.0593000000000001</v>
      </c>
      <c r="G264" s="20">
        <f>表2_3671626293034567[[#This Row],[累计净值]]/$B$22-1</f>
        <v>0.21559860904123207</v>
      </c>
    </row>
    <row r="265" spans="1:7" x14ac:dyDescent="0.2">
      <c r="A265" s="55">
        <v>44070</v>
      </c>
      <c r="B265" s="112">
        <v>1.2263999999999999</v>
      </c>
      <c r="C265" s="108">
        <f t="shared" si="70"/>
        <v>2.8999999999999027E-3</v>
      </c>
      <c r="D265" s="109" t="str">
        <f t="shared" si="71"/>
        <v>/</v>
      </c>
      <c r="E265" s="109">
        <f ca="1">IF(表2_3671626293034567[[#This Row],[累计净值]]/MAX(INDIRECT("B21:B" &amp; ROW()))-1&lt;E264,表2_3671626293034567[[#This Row],[累计净值]]/MAX(INDIRECT("B21:B" &amp; ROW()))-1,E264)</f>
        <v>-2.5203567274137306E-2</v>
      </c>
      <c r="F265" s="110">
        <f>表2_3671626293034567[[#This Row],[累计净值]]-$I$242</f>
        <v>1.0622</v>
      </c>
      <c r="G265" s="20">
        <f>表2_3671626293034567[[#This Row],[累计净值]]/$B$22-1</f>
        <v>0.21847988077496283</v>
      </c>
    </row>
    <row r="266" spans="1:7" x14ac:dyDescent="0.2">
      <c r="A266" s="55">
        <v>44071</v>
      </c>
      <c r="B266" s="112">
        <v>1.2255</v>
      </c>
      <c r="C266" s="108">
        <f t="shared" si="70"/>
        <v>-8.9999999999990088E-4</v>
      </c>
      <c r="D266" s="109">
        <f t="shared" si="71"/>
        <v>-8.9999999999990088E-4</v>
      </c>
      <c r="E266" s="109">
        <f ca="1">IF(表2_3671626293034567[[#This Row],[累计净值]]/MAX(INDIRECT("B21:B" &amp; ROW()))-1&lt;E265,表2_3671626293034567[[#This Row],[累计净值]]/MAX(INDIRECT("B21:B" &amp; ROW()))-1,E265)</f>
        <v>-2.5203567274137306E-2</v>
      </c>
      <c r="F266" s="110">
        <f>表2_3671626293034567[[#This Row],[累计净值]]-$I$242</f>
        <v>1.0613000000000001</v>
      </c>
      <c r="G266" s="20">
        <f>表2_3671626293034567[[#This Row],[累计净值]]/$B$22-1</f>
        <v>0.2175856929955291</v>
      </c>
    </row>
    <row r="267" spans="1:7" x14ac:dyDescent="0.2">
      <c r="A267" s="55">
        <v>44074</v>
      </c>
      <c r="B267" s="112">
        <v>1.2258</v>
      </c>
      <c r="C267" s="108">
        <f t="shared" ref="C267:C273" si="72">IFERROR(B267-B266,0)</f>
        <v>2.9999999999996696E-4</v>
      </c>
      <c r="D267" s="109" t="str">
        <f t="shared" ref="D267:D273" si="73">IF(C267&lt;0,C267,"/")</f>
        <v>/</v>
      </c>
      <c r="E267" s="109">
        <f ca="1">IF(表2_3671626293034567[[#This Row],[累计净值]]/MAX(INDIRECT("B21:B" &amp; ROW()))-1&lt;E266,表2_3671626293034567[[#This Row],[累计净值]]/MAX(INDIRECT("B21:B" &amp; ROW()))-1,E266)</f>
        <v>-2.5203567274137306E-2</v>
      </c>
      <c r="F267" s="110">
        <f>表2_3671626293034567[[#This Row],[累计净值]]-$I$242</f>
        <v>1.0616000000000001</v>
      </c>
      <c r="G267" s="20">
        <f>表2_3671626293034567[[#This Row],[累计净值]]/$B$22-1</f>
        <v>0.21788375558867368</v>
      </c>
    </row>
    <row r="268" spans="1:7" x14ac:dyDescent="0.2">
      <c r="A268" s="55">
        <v>44075</v>
      </c>
      <c r="B268" s="112">
        <v>1.2305999999999999</v>
      </c>
      <c r="C268" s="108">
        <f t="shared" si="72"/>
        <v>4.7999999999999154E-3</v>
      </c>
      <c r="D268" s="109" t="str">
        <f t="shared" si="73"/>
        <v>/</v>
      </c>
      <c r="E268" s="109">
        <f ca="1">IF(表2_3671626293034567[[#This Row],[累计净值]]/MAX(INDIRECT("B21:B" &amp; ROW()))-1&lt;E267,表2_3671626293034567[[#This Row],[累计净值]]/MAX(INDIRECT("B21:B" &amp; ROW()))-1,E267)</f>
        <v>-2.5203567274137306E-2</v>
      </c>
      <c r="F268" s="110">
        <f>表2_3671626293034567[[#This Row],[累计净值]]-$I$242</f>
        <v>1.0664</v>
      </c>
      <c r="G268" s="20">
        <f>表2_3671626293034567[[#This Row],[累计净值]]/$B$22-1</f>
        <v>0.22265275707898646</v>
      </c>
    </row>
    <row r="269" spans="1:7" x14ac:dyDescent="0.2">
      <c r="A269" s="55">
        <v>44076</v>
      </c>
      <c r="B269" s="76">
        <v>1.2322</v>
      </c>
      <c r="C269" s="108">
        <f t="shared" si="72"/>
        <v>1.6000000000000458E-3</v>
      </c>
      <c r="D269" s="109" t="str">
        <f t="shared" si="73"/>
        <v>/</v>
      </c>
      <c r="E269" s="109">
        <f ca="1">IF(表2_3671626293034567[[#This Row],[累计净值]]/MAX(INDIRECT("B21:B" &amp; ROW()))-1&lt;E268,表2_3671626293034567[[#This Row],[累计净值]]/MAX(INDIRECT("B21:B" &amp; ROW()))-1,E268)</f>
        <v>-2.5203567274137306E-2</v>
      </c>
      <c r="F269" s="110">
        <f>表2_3671626293034567[[#This Row],[累计净值]]-$I$242</f>
        <v>1.0680000000000001</v>
      </c>
      <c r="G269" s="20">
        <f>表2_3671626293034567[[#This Row],[累计净值]]/$B$22-1</f>
        <v>0.22424242424242435</v>
      </c>
    </row>
    <row r="270" spans="1:7" x14ac:dyDescent="0.2">
      <c r="A270" s="55">
        <v>44077</v>
      </c>
      <c r="B270" s="112">
        <v>1.2319</v>
      </c>
      <c r="C270" s="108">
        <f t="shared" si="72"/>
        <v>-2.9999999999996696E-4</v>
      </c>
      <c r="D270" s="109">
        <f t="shared" si="73"/>
        <v>-2.9999999999996696E-4</v>
      </c>
      <c r="E270" s="109">
        <f ca="1">IF(表2_3671626293034567[[#This Row],[累计净值]]/MAX(INDIRECT("B21:B" &amp; ROW()))-1&lt;E269,表2_3671626293034567[[#This Row],[累计净值]]/MAX(INDIRECT("B21:B" &amp; ROW()))-1,E269)</f>
        <v>-2.5203567274137306E-2</v>
      </c>
      <c r="F270" s="110">
        <f>表2_3671626293034567[[#This Row],[累计净值]]-$I$242</f>
        <v>1.0677000000000001</v>
      </c>
      <c r="G270" s="20">
        <f>表2_3671626293034567[[#This Row],[累计净值]]/$B$22-1</f>
        <v>0.22394436164927978</v>
      </c>
    </row>
    <row r="271" spans="1:7" x14ac:dyDescent="0.2">
      <c r="A271" s="55">
        <v>44078</v>
      </c>
      <c r="B271" s="112">
        <v>1.2309000000000001</v>
      </c>
      <c r="C271" s="108">
        <f t="shared" si="72"/>
        <v>-9.9999999999988987E-4</v>
      </c>
      <c r="D271" s="109">
        <f t="shared" si="73"/>
        <v>-9.9999999999988987E-4</v>
      </c>
      <c r="E271" s="109">
        <f ca="1">IF(表2_3671626293034567[[#This Row],[累计净值]]/MAX(INDIRECT("B21:B" &amp; ROW()))-1&lt;E270,表2_3671626293034567[[#This Row],[累计净值]]/MAX(INDIRECT("B21:B" &amp; ROW()))-1,E270)</f>
        <v>-2.5203567274137306E-2</v>
      </c>
      <c r="F271" s="110">
        <f>表2_3671626293034567[[#This Row],[累计净值]]-$I$242</f>
        <v>1.0667000000000002</v>
      </c>
      <c r="G271" s="20">
        <f>表2_3671626293034567[[#This Row],[累计净值]]/$B$22-1</f>
        <v>0.22295081967213126</v>
      </c>
    </row>
    <row r="272" spans="1:7" x14ac:dyDescent="0.2">
      <c r="A272" s="55">
        <v>44081</v>
      </c>
      <c r="B272" s="112">
        <v>1.2277</v>
      </c>
      <c r="C272" s="108">
        <f t="shared" si="72"/>
        <v>-3.2000000000000917E-3</v>
      </c>
      <c r="D272" s="109">
        <f t="shared" si="73"/>
        <v>-3.2000000000000917E-3</v>
      </c>
      <c r="E272" s="109">
        <f ca="1">IF(表2_3671626293034567[[#This Row],[累计净值]]/MAX(INDIRECT("B21:B" &amp; ROW()))-1&lt;E271,表2_3671626293034567[[#This Row],[累计净值]]/MAX(INDIRECT("B21:B" &amp; ROW()))-1,E271)</f>
        <v>-2.5203567274137306E-2</v>
      </c>
      <c r="F272" s="110">
        <f>表2_3671626293034567[[#This Row],[累计净值]]-$I$242</f>
        <v>1.0635000000000001</v>
      </c>
      <c r="G272" s="20">
        <f>表2_3671626293034567[[#This Row],[累计净值]]/$B$22-1</f>
        <v>0.21977148534525592</v>
      </c>
    </row>
    <row r="273" spans="1:7" x14ac:dyDescent="0.2">
      <c r="A273" s="55">
        <v>44082</v>
      </c>
      <c r="B273" s="112">
        <v>1.2273000000000001</v>
      </c>
      <c r="C273" s="108">
        <f t="shared" si="72"/>
        <v>-3.9999999999995595E-4</v>
      </c>
      <c r="D273" s="109">
        <f t="shared" si="73"/>
        <v>-3.9999999999995595E-4</v>
      </c>
      <c r="E273" s="109">
        <f ca="1">IF(表2_3671626293034567[[#This Row],[累计净值]]/MAX(INDIRECT("B21:B" &amp; ROW()))-1&lt;E272,表2_3671626293034567[[#This Row],[累计净值]]/MAX(INDIRECT("B21:B" &amp; ROW()))-1,E272)</f>
        <v>-2.5203567274137306E-2</v>
      </c>
      <c r="F273" s="110">
        <f>表2_3671626293034567[[#This Row],[累计净值]]-$I$242</f>
        <v>1.0631000000000002</v>
      </c>
      <c r="G273" s="20">
        <f>表2_3671626293034567[[#This Row],[累计净值]]/$B$22-1</f>
        <v>0.21937406855439656</v>
      </c>
    </row>
    <row r="274" spans="1:7" x14ac:dyDescent="0.2">
      <c r="A274" s="55">
        <v>44083</v>
      </c>
      <c r="B274" s="112">
        <v>1.2186999999999999</v>
      </c>
      <c r="C274" s="108">
        <f t="shared" ref="C274:C279" si="74">IFERROR(B274-B273,0)</f>
        <v>-8.6000000000001631E-3</v>
      </c>
      <c r="D274" s="109">
        <f t="shared" ref="D274:D279" si="75">IF(C274&lt;0,C274,"/")</f>
        <v>-8.6000000000001631E-3</v>
      </c>
      <c r="E274" s="109">
        <f ca="1">IF(表2_3671626293034567[[#This Row],[累计净值]]/MAX(INDIRECT("B21:B" &amp; ROW()))-1&lt;E273,表2_3671626293034567[[#This Row],[累计净值]]/MAX(INDIRECT("B21:B" &amp; ROW()))-1,E273)</f>
        <v>-2.5203567274137306E-2</v>
      </c>
      <c r="F274" s="110">
        <f>表2_3671626293034567[[#This Row],[累计净值]]-$I$242</f>
        <v>1.0545</v>
      </c>
      <c r="G274" s="20">
        <f>表2_3671626293034567[[#This Row],[累计净值]]/$B$22-1</f>
        <v>0.21082960755091906</v>
      </c>
    </row>
    <row r="275" spans="1:7" x14ac:dyDescent="0.2">
      <c r="A275" s="55">
        <v>44084</v>
      </c>
      <c r="B275" s="112">
        <v>1.2136</v>
      </c>
      <c r="C275" s="108">
        <f t="shared" si="74"/>
        <v>-5.0999999999998824E-3</v>
      </c>
      <c r="D275" s="109">
        <f t="shared" si="75"/>
        <v>-5.0999999999998824E-3</v>
      </c>
      <c r="E275" s="109">
        <f ca="1">IF(表2_3671626293034567[[#This Row],[累计净值]]/MAX(INDIRECT("B21:B" &amp; ROW()))-1&lt;E274,表2_3671626293034567[[#This Row],[累计净值]]/MAX(INDIRECT("B21:B" &amp; ROW()))-1,E274)</f>
        <v>-2.5203567274137306E-2</v>
      </c>
      <c r="F275" s="110">
        <f>表2_3671626293034567[[#This Row],[累计净值]]-$I$242</f>
        <v>1.0494000000000001</v>
      </c>
      <c r="G275" s="20">
        <f>表2_3671626293034567[[#This Row],[累计净值]]/$B$22-1</f>
        <v>0.20576254346746148</v>
      </c>
    </row>
    <row r="276" spans="1:7" x14ac:dyDescent="0.2">
      <c r="A276" s="55">
        <v>44085</v>
      </c>
      <c r="B276" s="112">
        <v>1.2209000000000001</v>
      </c>
      <c r="C276" s="108">
        <f t="shared" si="74"/>
        <v>7.3000000000000842E-3</v>
      </c>
      <c r="D276" s="109" t="str">
        <f t="shared" si="75"/>
        <v>/</v>
      </c>
      <c r="E276" s="109">
        <f ca="1">IF(表2_3671626293034567[[#This Row],[累计净值]]/MAX(INDIRECT("B21:B" &amp; ROW()))-1&lt;E275,表2_3671626293034567[[#This Row],[累计净值]]/MAX(INDIRECT("B21:B" &amp; ROW()))-1,E275)</f>
        <v>-2.5203567274137306E-2</v>
      </c>
      <c r="F276" s="110">
        <f>表2_3671626293034567[[#This Row],[累计净值]]-$I$242</f>
        <v>1.0567000000000002</v>
      </c>
      <c r="G276" s="20">
        <f>表2_3671626293034567[[#This Row],[累计净值]]/$B$22-1</f>
        <v>0.21301539990064589</v>
      </c>
    </row>
    <row r="277" spans="1:7" x14ac:dyDescent="0.2">
      <c r="A277" s="55">
        <v>44088</v>
      </c>
      <c r="B277" s="112">
        <v>1.2271000000000001</v>
      </c>
      <c r="C277" s="108">
        <f t="shared" si="74"/>
        <v>6.1999999999999833E-3</v>
      </c>
      <c r="D277" s="109" t="str">
        <f t="shared" si="75"/>
        <v>/</v>
      </c>
      <c r="E277" s="109">
        <f ca="1">IF(表2_3671626293034567[[#This Row],[累计净值]]/MAX(INDIRECT("B21:B" &amp; ROW()))-1&lt;E276,表2_3671626293034567[[#This Row],[累计净值]]/MAX(INDIRECT("B21:B" &amp; ROW()))-1,E276)</f>
        <v>-2.5203567274137306E-2</v>
      </c>
      <c r="F277" s="110">
        <f>表2_3671626293034567[[#This Row],[累计净值]]-$I$242</f>
        <v>1.0629000000000002</v>
      </c>
      <c r="G277" s="20">
        <f>表2_3671626293034567[[#This Row],[累计净值]]/$B$22-1</f>
        <v>0.21917536015896677</v>
      </c>
    </row>
    <row r="278" spans="1:7" x14ac:dyDescent="0.2">
      <c r="A278" s="55">
        <v>44089</v>
      </c>
      <c r="B278" s="112">
        <v>1.2291000000000001</v>
      </c>
      <c r="C278" s="108">
        <f t="shared" si="74"/>
        <v>2.0000000000000018E-3</v>
      </c>
      <c r="D278" s="109" t="str">
        <f t="shared" si="75"/>
        <v>/</v>
      </c>
      <c r="E278" s="109">
        <f ca="1">IF(表2_3671626293034567[[#This Row],[累计净值]]/MAX(INDIRECT("B21:B" &amp; ROW()))-1&lt;E277,表2_3671626293034567[[#This Row],[累计净值]]/MAX(INDIRECT("B21:B" &amp; ROW()))-1,E277)</f>
        <v>-2.5203567274137306E-2</v>
      </c>
      <c r="F278" s="110">
        <f>表2_3671626293034567[[#This Row],[累计净值]]-$I$242</f>
        <v>1.0649000000000002</v>
      </c>
      <c r="G278" s="20">
        <f>表2_3671626293034567[[#This Row],[累计净值]]/$B$22-1</f>
        <v>0.22116244411326402</v>
      </c>
    </row>
    <row r="279" spans="1:7" x14ac:dyDescent="0.2">
      <c r="A279" s="55">
        <v>44090</v>
      </c>
      <c r="B279" s="112">
        <v>1.2263999999999999</v>
      </c>
      <c r="C279" s="108">
        <f t="shared" si="74"/>
        <v>-2.7000000000001467E-3</v>
      </c>
      <c r="D279" s="109">
        <f t="shared" si="75"/>
        <v>-2.7000000000001467E-3</v>
      </c>
      <c r="E279" s="109">
        <f ca="1">IF(表2_3671626293034567[[#This Row],[累计净值]]/MAX(INDIRECT("B21:B" &amp; ROW()))-1&lt;E278,表2_3671626293034567[[#This Row],[累计净值]]/MAX(INDIRECT("B21:B" &amp; ROW()))-1,E278)</f>
        <v>-2.5203567274137306E-2</v>
      </c>
      <c r="F279" s="110">
        <f>表2_3671626293034567[[#This Row],[累计净值]]-$I$242</f>
        <v>1.0622</v>
      </c>
      <c r="G279" s="20">
        <f>表2_3671626293034567[[#This Row],[累计净值]]/$B$22-1</f>
        <v>0.21847988077496283</v>
      </c>
    </row>
    <row r="280" spans="1:7" x14ac:dyDescent="0.2">
      <c r="A280" s="55">
        <v>44091</v>
      </c>
      <c r="B280" s="112">
        <v>1.2194</v>
      </c>
      <c r="C280" s="108">
        <f t="shared" ref="C280:C285" si="76">IFERROR(B280-B279,0)</f>
        <v>-6.9999999999998952E-3</v>
      </c>
      <c r="D280" s="109">
        <f t="shared" ref="D280:D285" si="77">IF(C280&lt;0,C280,"/")</f>
        <v>-6.9999999999998952E-3</v>
      </c>
      <c r="E280" s="109">
        <f ca="1">IF(表2_3671626293034567[[#This Row],[累计净值]]/MAX(INDIRECT("B21:B" &amp; ROW()))-1&lt;E279,表2_3671626293034567[[#This Row],[累计净值]]/MAX(INDIRECT("B21:B" &amp; ROW()))-1,E279)</f>
        <v>-2.5203567274137306E-2</v>
      </c>
      <c r="F280" s="110">
        <f>表2_3671626293034567[[#This Row],[累计净值]]-$I$242</f>
        <v>1.0552000000000001</v>
      </c>
      <c r="G280" s="20">
        <f>表2_3671626293034567[[#This Row],[累计净值]]/$B$22-1</f>
        <v>0.211525086934923</v>
      </c>
    </row>
    <row r="281" spans="1:7" x14ac:dyDescent="0.2">
      <c r="A281" s="55">
        <v>44092</v>
      </c>
      <c r="B281" s="112">
        <v>1.2223999999999999</v>
      </c>
      <c r="C281" s="108">
        <f t="shared" si="76"/>
        <v>2.9999999999998916E-3</v>
      </c>
      <c r="D281" s="109" t="str">
        <f t="shared" si="77"/>
        <v>/</v>
      </c>
      <c r="E281" s="109">
        <f ca="1">IF(表2_3671626293034567[[#This Row],[累计净值]]/MAX(INDIRECT("B21:B" &amp; ROW()))-1&lt;E280,表2_3671626293034567[[#This Row],[累计净值]]/MAX(INDIRECT("B21:B" &amp; ROW()))-1,E280)</f>
        <v>-2.5203567274137306E-2</v>
      </c>
      <c r="F281" s="110">
        <f>表2_3671626293034567[[#This Row],[累计净值]]-$I$242</f>
        <v>1.0582</v>
      </c>
      <c r="G281" s="20">
        <f>表2_3671626293034567[[#This Row],[累计净值]]/$B$22-1</f>
        <v>0.21450571286636855</v>
      </c>
    </row>
    <row r="282" spans="1:7" x14ac:dyDescent="0.2">
      <c r="A282" s="55">
        <v>44095</v>
      </c>
      <c r="B282" s="112">
        <v>1.2233000000000001</v>
      </c>
      <c r="C282" s="108">
        <f t="shared" si="76"/>
        <v>9.0000000000012292E-4</v>
      </c>
      <c r="D282" s="109" t="str">
        <f t="shared" si="77"/>
        <v>/</v>
      </c>
      <c r="E282" s="109">
        <f ca="1">IF(表2_3671626293034567[[#This Row],[累计净值]]/MAX(INDIRECT("B21:B" &amp; ROW()))-1&lt;E281,表2_3671626293034567[[#This Row],[累计净值]]/MAX(INDIRECT("B21:B" &amp; ROW()))-1,E281)</f>
        <v>-2.5203567274137306E-2</v>
      </c>
      <c r="F282" s="110">
        <f>表2_3671626293034567[[#This Row],[累计净值]]-$I$242</f>
        <v>1.0591000000000002</v>
      </c>
      <c r="G282" s="20">
        <f>表2_3671626293034567[[#This Row],[累计净值]]/$B$22-1</f>
        <v>0.2153999006458025</v>
      </c>
    </row>
    <row r="283" spans="1:7" x14ac:dyDescent="0.2">
      <c r="A283" s="55">
        <v>44096</v>
      </c>
      <c r="B283" s="112">
        <v>1.2212000000000001</v>
      </c>
      <c r="C283" s="108">
        <f t="shared" si="76"/>
        <v>-2.0999999999999908E-3</v>
      </c>
      <c r="D283" s="109">
        <f t="shared" si="77"/>
        <v>-2.0999999999999908E-3</v>
      </c>
      <c r="E283" s="109">
        <f ca="1">IF(表2_3671626293034567[[#This Row],[累计净值]]/MAX(INDIRECT("B21:B" &amp; ROW()))-1&lt;E282,表2_3671626293034567[[#This Row],[累计净值]]/MAX(INDIRECT("B21:B" &amp; ROW()))-1,E282)</f>
        <v>-2.5203567274137306E-2</v>
      </c>
      <c r="F283" s="110">
        <f>表2_3671626293034567[[#This Row],[累计净值]]-$I$242</f>
        <v>1.0570000000000002</v>
      </c>
      <c r="G283" s="20">
        <f>表2_3671626293034567[[#This Row],[累计净值]]/$B$22-1</f>
        <v>0.21331346249379046</v>
      </c>
    </row>
    <row r="284" spans="1:7" x14ac:dyDescent="0.2">
      <c r="A284" s="55">
        <v>44097</v>
      </c>
      <c r="B284" s="112">
        <v>1.2233000000000001</v>
      </c>
      <c r="C284" s="108">
        <f t="shared" si="76"/>
        <v>2.0999999999999908E-3</v>
      </c>
      <c r="D284" s="109" t="str">
        <f t="shared" si="77"/>
        <v>/</v>
      </c>
      <c r="E284" s="109">
        <f ca="1">IF(表2_3671626293034567[[#This Row],[累计净值]]/MAX(INDIRECT("B21:B" &amp; ROW()))-1&lt;E283,表2_3671626293034567[[#This Row],[累计净值]]/MAX(INDIRECT("B21:B" &amp; ROW()))-1,E283)</f>
        <v>-2.5203567274137306E-2</v>
      </c>
      <c r="F284" s="110">
        <f>表2_3671626293034567[[#This Row],[累计净值]]-$I$242</f>
        <v>1.0591000000000002</v>
      </c>
      <c r="G284" s="20">
        <f>表2_3671626293034567[[#This Row],[累计净值]]/$B$22-1</f>
        <v>0.2153999006458025</v>
      </c>
    </row>
    <row r="285" spans="1:7" x14ac:dyDescent="0.2">
      <c r="A285" s="55">
        <v>44098</v>
      </c>
      <c r="B285" s="112">
        <v>1.2186999999999999</v>
      </c>
      <c r="C285" s="108">
        <f t="shared" si="76"/>
        <v>-4.6000000000001595E-3</v>
      </c>
      <c r="D285" s="109">
        <f t="shared" si="77"/>
        <v>-4.6000000000001595E-3</v>
      </c>
      <c r="E285" s="109">
        <f ca="1">IF(表2_3671626293034567[[#This Row],[累计净值]]/MAX(INDIRECT("B21:B" &amp; ROW()))-1&lt;E284,表2_3671626293034567[[#This Row],[累计净值]]/MAX(INDIRECT("B21:B" &amp; ROW()))-1,E284)</f>
        <v>-2.5203567274137306E-2</v>
      </c>
      <c r="F285" s="110">
        <f>表2_3671626293034567[[#This Row],[累计净值]]-$I$242</f>
        <v>1.0545</v>
      </c>
      <c r="G285" s="20">
        <f>表2_3671626293034567[[#This Row],[累计净值]]/$B$22-1</f>
        <v>0.21082960755091906</v>
      </c>
    </row>
    <row r="286" spans="1:7" x14ac:dyDescent="0.2">
      <c r="A286" s="55">
        <v>44099</v>
      </c>
      <c r="B286" s="112">
        <v>1.2161</v>
      </c>
      <c r="C286" s="108">
        <f t="shared" ref="C286:C291" si="78">IFERROR(B286-B285,0)</f>
        <v>-2.5999999999999357E-3</v>
      </c>
      <c r="D286" s="109">
        <f t="shared" ref="D286:D291" si="79">IF(C286&lt;0,C286,"/")</f>
        <v>-2.5999999999999357E-3</v>
      </c>
      <c r="E286" s="109">
        <f ca="1">IF(表2_3671626293034567[[#This Row],[累计净值]]/MAX(INDIRECT("B21:B" &amp; ROW()))-1&lt;E285,表2_3671626293034567[[#This Row],[累计净值]]/MAX(INDIRECT("B21:B" &amp; ROW()))-1,E285)</f>
        <v>-2.5203567274137306E-2</v>
      </c>
      <c r="F286" s="110">
        <f>表2_3671626293034567[[#This Row],[累计净值]]-$I$242</f>
        <v>1.0519000000000001</v>
      </c>
      <c r="G286" s="20">
        <f>表2_3671626293034567[[#This Row],[累计净值]]/$B$22-1</f>
        <v>0.20824639841033288</v>
      </c>
    </row>
    <row r="287" spans="1:7" x14ac:dyDescent="0.2">
      <c r="A287" s="55">
        <v>44102</v>
      </c>
      <c r="B287" s="112">
        <v>1.2123999999999999</v>
      </c>
      <c r="C287" s="108">
        <f t="shared" si="78"/>
        <v>-3.7000000000000366E-3</v>
      </c>
      <c r="D287" s="109">
        <f t="shared" si="79"/>
        <v>-3.7000000000000366E-3</v>
      </c>
      <c r="E287" s="109">
        <f ca="1">IF(表2_3671626293034567[[#This Row],[累计净值]]/MAX(INDIRECT("B21:B" &amp; ROW()))-1&lt;E286,表2_3671626293034567[[#This Row],[累计净值]]/MAX(INDIRECT("B21:B" &amp; ROW()))-1,E286)</f>
        <v>-2.5203567274137306E-2</v>
      </c>
      <c r="F287" s="110">
        <f>表2_3671626293034567[[#This Row],[累计净值]]-$I$242</f>
        <v>1.0482</v>
      </c>
      <c r="G287" s="20">
        <f>表2_3671626293034567[[#This Row],[累计净值]]/$B$22-1</f>
        <v>0.20457029309488317</v>
      </c>
    </row>
    <row r="288" spans="1:7" x14ac:dyDescent="0.2">
      <c r="A288" s="55">
        <v>44103</v>
      </c>
      <c r="B288" s="112">
        <v>1.2102999999999999</v>
      </c>
      <c r="C288" s="108">
        <f t="shared" si="78"/>
        <v>-2.0999999999999908E-3</v>
      </c>
      <c r="D288" s="109">
        <f t="shared" si="79"/>
        <v>-2.0999999999999908E-3</v>
      </c>
      <c r="E288" s="109">
        <f ca="1">IF(表2_3671626293034567[[#This Row],[累计净值]]/MAX(INDIRECT("B21:B" &amp; ROW()))-1&lt;E287,表2_3671626293034567[[#This Row],[累计净值]]/MAX(INDIRECT("B21:B" &amp; ROW()))-1,E287)</f>
        <v>-2.5203567274137306E-2</v>
      </c>
      <c r="F288" s="110">
        <f>表2_3671626293034567[[#This Row],[累计净值]]-$I$242</f>
        <v>1.0461</v>
      </c>
      <c r="G288" s="20">
        <f>表2_3671626293034567[[#This Row],[累计净值]]/$B$22-1</f>
        <v>0.20248385494287136</v>
      </c>
    </row>
    <row r="289" spans="1:7" x14ac:dyDescent="0.2">
      <c r="A289" s="55">
        <v>44104</v>
      </c>
      <c r="B289" s="112">
        <v>1.2210000000000001</v>
      </c>
      <c r="C289" s="108">
        <f t="shared" si="78"/>
        <v>1.0700000000000154E-2</v>
      </c>
      <c r="D289" s="109" t="str">
        <f t="shared" si="79"/>
        <v>/</v>
      </c>
      <c r="E289" s="109">
        <f ca="1">IF(表2_3671626293034567[[#This Row],[累计净值]]/MAX(INDIRECT("B21:B" &amp; ROW()))-1&lt;E288,表2_3671626293034567[[#This Row],[累计净值]]/MAX(INDIRECT("B21:B" &amp; ROW()))-1,E288)</f>
        <v>-2.5203567274137306E-2</v>
      </c>
      <c r="F289" s="110">
        <f>表2_3671626293034567[[#This Row],[累计净值]]-$I$242</f>
        <v>1.0568000000000002</v>
      </c>
      <c r="G289" s="20">
        <f>表2_3671626293034567[[#This Row],[累计净值]]/$B$22-1</f>
        <v>0.21311475409836089</v>
      </c>
    </row>
    <row r="290" spans="1:7" x14ac:dyDescent="0.2">
      <c r="A290" s="55">
        <v>44113</v>
      </c>
      <c r="B290" s="112">
        <v>1.2232000000000001</v>
      </c>
      <c r="C290" s="108">
        <f t="shared" si="78"/>
        <v>2.1999999999999797E-3</v>
      </c>
      <c r="D290" s="109" t="str">
        <f t="shared" si="79"/>
        <v>/</v>
      </c>
      <c r="E290" s="109">
        <f ca="1">IF(表2_3671626293034567[[#This Row],[累计净值]]/MAX(INDIRECT("B21:B" &amp; ROW()))-1&lt;E289,表2_3671626293034567[[#This Row],[累计净值]]/MAX(INDIRECT("B21:B" &amp; ROW()))-1,E289)</f>
        <v>-2.5203567274137306E-2</v>
      </c>
      <c r="F290" s="110">
        <f>表2_3671626293034567[[#This Row],[累计净值]]-$I$242</f>
        <v>1.0590000000000002</v>
      </c>
      <c r="G290" s="20">
        <f>表2_3671626293034567[[#This Row],[累计净值]]/$B$22-1</f>
        <v>0.21530054644808749</v>
      </c>
    </row>
    <row r="291" spans="1:7" x14ac:dyDescent="0.2">
      <c r="A291" s="55">
        <v>44116</v>
      </c>
      <c r="B291" s="112">
        <v>1.2262</v>
      </c>
      <c r="C291" s="108">
        <f t="shared" si="78"/>
        <v>2.9999999999998916E-3</v>
      </c>
      <c r="D291" s="109" t="str">
        <f t="shared" si="79"/>
        <v>/</v>
      </c>
      <c r="E291" s="109">
        <f ca="1">IF(表2_3671626293034567[[#This Row],[累计净值]]/MAX(INDIRECT("B21:B" &amp; ROW()))-1&lt;E290,表2_3671626293034567[[#This Row],[累计净值]]/MAX(INDIRECT("B21:B" &amp; ROW()))-1,E290)</f>
        <v>-2.5203567274137306E-2</v>
      </c>
      <c r="F291" s="110">
        <f>表2_3671626293034567[[#This Row],[累计净值]]-$I$242</f>
        <v>1.0620000000000001</v>
      </c>
      <c r="G291" s="20">
        <f>表2_3671626293034567[[#This Row],[累计净值]]/$B$22-1</f>
        <v>0.21828117237953304</v>
      </c>
    </row>
    <row r="292" spans="1:7" x14ac:dyDescent="0.2">
      <c r="A292" s="55">
        <v>44117</v>
      </c>
      <c r="B292" s="112">
        <v>1.23</v>
      </c>
      <c r="C292" s="108">
        <f t="shared" ref="C292:C298" si="80">IFERROR(B292-B291,0)</f>
        <v>3.8000000000000256E-3</v>
      </c>
      <c r="D292" s="109" t="str">
        <f t="shared" ref="D292:D298" si="81">IF(C292&lt;0,C292,"/")</f>
        <v>/</v>
      </c>
      <c r="E292" s="109">
        <f ca="1">IF(表2_3671626293034567[[#This Row],[累计净值]]/MAX(INDIRECT("B21:B" &amp; ROW()))-1&lt;E291,表2_3671626293034567[[#This Row],[累计净值]]/MAX(INDIRECT("B21:B" &amp; ROW()))-1,E291)</f>
        <v>-2.5203567274137306E-2</v>
      </c>
      <c r="F292" s="110">
        <f>表2_3671626293034567[[#This Row],[累计净值]]-$I$242</f>
        <v>1.0658000000000001</v>
      </c>
      <c r="G292" s="20">
        <f>表2_3671626293034567[[#This Row],[累计净值]]/$B$22-1</f>
        <v>0.22205663189269753</v>
      </c>
    </row>
    <row r="293" spans="1:7" x14ac:dyDescent="0.2">
      <c r="A293" s="55">
        <v>44118</v>
      </c>
      <c r="B293" s="112">
        <v>1.228</v>
      </c>
      <c r="C293" s="108">
        <f t="shared" si="80"/>
        <v>-2.0000000000000018E-3</v>
      </c>
      <c r="D293" s="109">
        <f t="shared" si="81"/>
        <v>-2.0000000000000018E-3</v>
      </c>
      <c r="E293" s="109">
        <f ca="1">IF(表2_3671626293034567[[#This Row],[累计净值]]/MAX(INDIRECT("B21:B" &amp; ROW()))-1&lt;E292,表2_3671626293034567[[#This Row],[累计净值]]/MAX(INDIRECT("B21:B" &amp; ROW()))-1,E292)</f>
        <v>-2.5203567274137306E-2</v>
      </c>
      <c r="F293" s="110">
        <f>表2_3671626293034567[[#This Row],[累计净值]]-$I$242</f>
        <v>1.0638000000000001</v>
      </c>
      <c r="G293" s="20">
        <f>表2_3671626293034567[[#This Row],[累计净值]]/$B$22-1</f>
        <v>0.2200695479384005</v>
      </c>
    </row>
    <row r="294" spans="1:7" x14ac:dyDescent="0.2">
      <c r="A294" s="55">
        <v>44119</v>
      </c>
      <c r="B294" s="112">
        <v>1.2255</v>
      </c>
      <c r="C294" s="108">
        <f t="shared" si="80"/>
        <v>-2.4999999999999467E-3</v>
      </c>
      <c r="D294" s="109">
        <f t="shared" si="81"/>
        <v>-2.4999999999999467E-3</v>
      </c>
      <c r="E294" s="109">
        <f ca="1">IF(表2_3671626293034567[[#This Row],[累计净值]]/MAX(INDIRECT("B21:B" &amp; ROW()))-1&lt;E293,表2_3671626293034567[[#This Row],[累计净值]]/MAX(INDIRECT("B21:B" &amp; ROW()))-1,E293)</f>
        <v>-2.5203567274137306E-2</v>
      </c>
      <c r="F294" s="110">
        <f>表2_3671626293034567[[#This Row],[累计净值]]-$I$242</f>
        <v>1.0613000000000001</v>
      </c>
      <c r="G294" s="20">
        <f>表2_3671626293034567[[#This Row],[累计净值]]/$B$22-1</f>
        <v>0.2175856929955291</v>
      </c>
    </row>
    <row r="295" spans="1:7" x14ac:dyDescent="0.2">
      <c r="A295" s="55">
        <v>44120</v>
      </c>
      <c r="B295" s="112">
        <v>1.2273000000000001</v>
      </c>
      <c r="C295" s="108">
        <f t="shared" si="80"/>
        <v>1.8000000000000238E-3</v>
      </c>
      <c r="D295" s="109" t="str">
        <f t="shared" si="81"/>
        <v>/</v>
      </c>
      <c r="E295" s="109">
        <f ca="1">IF(表2_3671626293034567[[#This Row],[累计净值]]/MAX(INDIRECT("B21:B" &amp; ROW()))-1&lt;E294,表2_3671626293034567[[#This Row],[累计净值]]/MAX(INDIRECT("B21:B" &amp; ROW()))-1,E294)</f>
        <v>-2.5203567274137306E-2</v>
      </c>
      <c r="F295" s="110">
        <f>表2_3671626293034567[[#This Row],[累计净值]]-$I$242</f>
        <v>1.0631000000000002</v>
      </c>
      <c r="G295" s="20">
        <f>表2_3671626293034567[[#This Row],[累计净值]]/$B$22-1</f>
        <v>0.21937406855439656</v>
      </c>
    </row>
    <row r="296" spans="1:7" x14ac:dyDescent="0.2">
      <c r="A296" s="55">
        <v>44123</v>
      </c>
      <c r="B296" s="112">
        <v>1.2316</v>
      </c>
      <c r="C296" s="108">
        <f t="shared" si="80"/>
        <v>4.2999999999999705E-3</v>
      </c>
      <c r="D296" s="109" t="str">
        <f t="shared" si="81"/>
        <v>/</v>
      </c>
      <c r="E296" s="109">
        <f ca="1">IF(表2_3671626293034567[[#This Row],[累计净值]]/MAX(INDIRECT("B21:B" &amp; ROW()))-1&lt;E295,表2_3671626293034567[[#This Row],[累计净值]]/MAX(INDIRECT("B21:B" &amp; ROW()))-1,E295)</f>
        <v>-2.5203567274137306E-2</v>
      </c>
      <c r="F296" s="110">
        <f>表2_3671626293034567[[#This Row],[累计净值]]-$I$242</f>
        <v>1.0674000000000001</v>
      </c>
      <c r="G296" s="20">
        <f>表2_3671626293034567[[#This Row],[累计净值]]/$B$22-1</f>
        <v>0.2236462990561352</v>
      </c>
    </row>
    <row r="297" spans="1:7" x14ac:dyDescent="0.2">
      <c r="A297" s="55">
        <v>44124</v>
      </c>
      <c r="B297" s="112">
        <v>1.2327999999999999</v>
      </c>
      <c r="C297" s="108">
        <f t="shared" si="80"/>
        <v>1.1999999999998678E-3</v>
      </c>
      <c r="D297" s="109" t="str">
        <f t="shared" si="81"/>
        <v>/</v>
      </c>
      <c r="E297" s="109">
        <f ca="1">IF(表2_3671626293034567[[#This Row],[累计净值]]/MAX(INDIRECT("B21:B" &amp; ROW()))-1&lt;E296,表2_3671626293034567[[#This Row],[累计净值]]/MAX(INDIRECT("B21:B" &amp; ROW()))-1,E296)</f>
        <v>-2.5203567274137306E-2</v>
      </c>
      <c r="F297" s="110">
        <f>表2_3671626293034567[[#This Row],[累计净值]]-$I$242</f>
        <v>1.0686</v>
      </c>
      <c r="G297" s="20">
        <f>表2_3671626293034567[[#This Row],[累计净值]]/$B$22-1</f>
        <v>0.22483854942871329</v>
      </c>
    </row>
    <row r="298" spans="1:7" x14ac:dyDescent="0.2">
      <c r="A298" s="55">
        <v>44125</v>
      </c>
      <c r="B298" s="112">
        <v>1.2307999999999999</v>
      </c>
      <c r="C298" s="108">
        <f t="shared" si="80"/>
        <v>-2.0000000000000018E-3</v>
      </c>
      <c r="D298" s="109">
        <f t="shared" si="81"/>
        <v>-2.0000000000000018E-3</v>
      </c>
      <c r="E298" s="109">
        <f ca="1">IF(表2_3671626293034567[[#This Row],[累计净值]]/MAX(INDIRECT("B21:B" &amp; ROW()))-1&lt;E297,表2_3671626293034567[[#This Row],[累计净值]]/MAX(INDIRECT("B21:B" &amp; ROW()))-1,E297)</f>
        <v>-2.5203567274137306E-2</v>
      </c>
      <c r="F298" s="110">
        <f>表2_3671626293034567[[#This Row],[累计净值]]-$I$242</f>
        <v>1.0666</v>
      </c>
      <c r="G298" s="20">
        <f>表2_3671626293034567[[#This Row],[累计净值]]/$B$22-1</f>
        <v>0.22285146547441625</v>
      </c>
    </row>
    <row r="299" spans="1:7" x14ac:dyDescent="0.2">
      <c r="A299" s="55">
        <v>44126</v>
      </c>
      <c r="B299" s="112">
        <v>1.2281</v>
      </c>
      <c r="C299" s="108">
        <f t="shared" ref="C299:C304" si="82">IFERROR(B299-B298,0)</f>
        <v>-2.6999999999999247E-3</v>
      </c>
      <c r="D299" s="109">
        <f t="shared" ref="D299:D304" si="83">IF(C299&lt;0,C299,"/")</f>
        <v>-2.6999999999999247E-3</v>
      </c>
      <c r="E299" s="109">
        <f ca="1">IF(表2_3671626293034567[[#This Row],[累计净值]]/MAX(INDIRECT("B21:B" &amp; ROW()))-1&lt;E298,表2_3671626293034567[[#This Row],[累计净值]]/MAX(INDIRECT("B21:B" &amp; ROW()))-1,E298)</f>
        <v>-2.5203567274137306E-2</v>
      </c>
      <c r="F299" s="110">
        <f>表2_3671626293034567[[#This Row],[累计净值]]-$I$242</f>
        <v>1.0639000000000001</v>
      </c>
      <c r="G299" s="20">
        <f>表2_3671626293034567[[#This Row],[累计净值]]/$B$22-1</f>
        <v>0.22016890213611529</v>
      </c>
    </row>
    <row r="300" spans="1:7" x14ac:dyDescent="0.2">
      <c r="A300" s="55">
        <v>44127</v>
      </c>
      <c r="B300" s="112">
        <v>1.2225999999999999</v>
      </c>
      <c r="C300" s="108">
        <f t="shared" si="82"/>
        <v>-5.5000000000000604E-3</v>
      </c>
      <c r="D300" s="109">
        <f t="shared" si="83"/>
        <v>-5.5000000000000604E-3</v>
      </c>
      <c r="E300" s="109">
        <f ca="1">IF(表2_3671626293034567[[#This Row],[累计净值]]/MAX(INDIRECT("B21:B" &amp; ROW()))-1&lt;E299,表2_3671626293034567[[#This Row],[累计净值]]/MAX(INDIRECT("B21:B" &amp; ROW()))-1,E299)</f>
        <v>-2.5203567274137306E-2</v>
      </c>
      <c r="F300" s="110">
        <f>表2_3671626293034567[[#This Row],[累计净值]]-$I$242</f>
        <v>1.0584</v>
      </c>
      <c r="G300" s="20">
        <f>表2_3671626293034567[[#This Row],[累计净值]]/$B$22-1</f>
        <v>0.21470442126179834</v>
      </c>
    </row>
    <row r="301" spans="1:7" x14ac:dyDescent="0.2">
      <c r="A301" s="55">
        <v>44130</v>
      </c>
      <c r="B301" s="112">
        <v>1.2264999999999999</v>
      </c>
      <c r="C301" s="108">
        <f t="shared" si="82"/>
        <v>3.9000000000000146E-3</v>
      </c>
      <c r="D301" s="109" t="str">
        <f t="shared" si="83"/>
        <v>/</v>
      </c>
      <c r="E301" s="109">
        <f ca="1">IF(表2_3671626293034567[[#This Row],[累计净值]]/MAX(INDIRECT("B21:B" &amp; ROW()))-1&lt;E300,表2_3671626293034567[[#This Row],[累计净值]]/MAX(INDIRECT("B21:B" &amp; ROW()))-1,E300)</f>
        <v>-2.5203567274137306E-2</v>
      </c>
      <c r="F301" s="110">
        <f>表2_3671626293034567[[#This Row],[累计净值]]-$I$242</f>
        <v>1.0623</v>
      </c>
      <c r="G301" s="20">
        <f>表2_3671626293034567[[#This Row],[累计净值]]/$B$22-1</f>
        <v>0.21857923497267762</v>
      </c>
    </row>
    <row r="302" spans="1:7" x14ac:dyDescent="0.2">
      <c r="A302" s="55">
        <v>44131</v>
      </c>
      <c r="B302" s="112">
        <v>1.2284999999999999</v>
      </c>
      <c r="C302" s="108">
        <f t="shared" si="82"/>
        <v>2.0000000000000018E-3</v>
      </c>
      <c r="D302" s="109" t="str">
        <f t="shared" si="83"/>
        <v>/</v>
      </c>
      <c r="E302" s="109">
        <f ca="1">IF(表2_3671626293034567[[#This Row],[累计净值]]/MAX(INDIRECT("B21:B" &amp; ROW()))-1&lt;E301,表2_3671626293034567[[#This Row],[累计净值]]/MAX(INDIRECT("B21:B" &amp; ROW()))-1,E301)</f>
        <v>-2.5203567274137306E-2</v>
      </c>
      <c r="F302" s="110">
        <f>表2_3671626293034567[[#This Row],[累计净值]]-$I$242</f>
        <v>1.0643</v>
      </c>
      <c r="G302" s="20">
        <f>表2_3671626293034567[[#This Row],[累计净值]]/$B$22-1</f>
        <v>0.22056631892697465</v>
      </c>
    </row>
    <row r="303" spans="1:7" x14ac:dyDescent="0.2">
      <c r="A303" s="55">
        <v>44132</v>
      </c>
      <c r="B303" s="112">
        <v>1.2315</v>
      </c>
      <c r="C303" s="108">
        <f t="shared" si="82"/>
        <v>3.0000000000001137E-3</v>
      </c>
      <c r="D303" s="109" t="str">
        <f t="shared" si="83"/>
        <v>/</v>
      </c>
      <c r="E303" s="109">
        <f ca="1">IF(表2_3671626293034567[[#This Row],[累计净值]]/MAX(INDIRECT("B21:B" &amp; ROW()))-1&lt;E302,表2_3671626293034567[[#This Row],[累计净值]]/MAX(INDIRECT("B21:B" &amp; ROW()))-1,E302)</f>
        <v>-2.5203567274137306E-2</v>
      </c>
      <c r="F303" s="110">
        <f>表2_3671626293034567[[#This Row],[累计净值]]-$I$242</f>
        <v>1.0673000000000001</v>
      </c>
      <c r="G303" s="20">
        <f>表2_3671626293034567[[#This Row],[累计净值]]/$B$22-1</f>
        <v>0.22354694485842042</v>
      </c>
    </row>
    <row r="304" spans="1:7" x14ac:dyDescent="0.2">
      <c r="A304" s="55">
        <v>44133</v>
      </c>
      <c r="B304" s="112">
        <v>1.2309000000000001</v>
      </c>
      <c r="C304" s="108">
        <f t="shared" si="82"/>
        <v>-5.9999999999993392E-4</v>
      </c>
      <c r="D304" s="109">
        <f t="shared" si="83"/>
        <v>-5.9999999999993392E-4</v>
      </c>
      <c r="E304" s="109">
        <f ca="1">IF(表2_3671626293034567[[#This Row],[累计净值]]/MAX(INDIRECT("B21:B" &amp; ROW()))-1&lt;E303,表2_3671626293034567[[#This Row],[累计净值]]/MAX(INDIRECT("B21:B" &amp; ROW()))-1,E303)</f>
        <v>-2.5203567274137306E-2</v>
      </c>
      <c r="F304" s="110">
        <f>表2_3671626293034567[[#This Row],[累计净值]]-$I$242</f>
        <v>1.0667000000000002</v>
      </c>
      <c r="G304" s="20">
        <f>表2_3671626293034567[[#This Row],[累计净值]]/$B$22-1</f>
        <v>0.22295081967213126</v>
      </c>
    </row>
    <row r="305" spans="1:7" x14ac:dyDescent="0.2">
      <c r="A305" s="55">
        <v>44134</v>
      </c>
      <c r="B305" s="112">
        <v>1.2278</v>
      </c>
      <c r="C305" s="108">
        <f t="shared" ref="C305:C310" si="84">IFERROR(B305-B304,0)</f>
        <v>-3.1000000000001027E-3</v>
      </c>
      <c r="D305" s="109">
        <f t="shared" ref="D305:D310" si="85">IF(C305&lt;0,C305,"/")</f>
        <v>-3.1000000000001027E-3</v>
      </c>
      <c r="E305" s="109">
        <f ca="1">IF(表2_3671626293034567[[#This Row],[累计净值]]/MAX(INDIRECT("B21:B" &amp; ROW()))-1&lt;E304,表2_3671626293034567[[#This Row],[累计净值]]/MAX(INDIRECT("B21:B" &amp; ROW()))-1,E304)</f>
        <v>-2.5203567274137306E-2</v>
      </c>
      <c r="F305" s="110">
        <f>表2_3671626293034567[[#This Row],[累计净值]]-$I$242</f>
        <v>1.0636000000000001</v>
      </c>
      <c r="G305" s="20">
        <f>表2_3671626293034567[[#This Row],[累计净值]]/$B$22-1</f>
        <v>0.21987083954297071</v>
      </c>
    </row>
    <row r="306" spans="1:7" x14ac:dyDescent="0.2">
      <c r="A306" s="55">
        <v>44137</v>
      </c>
      <c r="B306" s="112">
        <v>1.2282999999999999</v>
      </c>
      <c r="C306" s="108">
        <f t="shared" si="84"/>
        <v>4.9999999999994493E-4</v>
      </c>
      <c r="D306" s="109" t="str">
        <f t="shared" si="85"/>
        <v>/</v>
      </c>
      <c r="E306" s="109">
        <f ca="1">IF(表2_3671626293034567[[#This Row],[累计净值]]/MAX(INDIRECT("B21:B" &amp; ROW()))-1&lt;E305,表2_3671626293034567[[#This Row],[累计净值]]/MAX(INDIRECT("B21:B" &amp; ROW()))-1,E305)</f>
        <v>-2.5203567274137306E-2</v>
      </c>
      <c r="F306" s="110">
        <f>表2_3671626293034567[[#This Row],[累计净值]]-$I$242</f>
        <v>1.0641</v>
      </c>
      <c r="G306" s="20">
        <f>表2_3671626293034567[[#This Row],[累计净值]]/$B$22-1</f>
        <v>0.22036761053154486</v>
      </c>
    </row>
    <row r="307" spans="1:7" x14ac:dyDescent="0.2">
      <c r="A307" s="55">
        <v>44138</v>
      </c>
      <c r="B307" s="112">
        <v>1.2327999999999999</v>
      </c>
      <c r="C307" s="108">
        <f t="shared" si="84"/>
        <v>4.4999999999999485E-3</v>
      </c>
      <c r="D307" s="109" t="str">
        <f t="shared" si="85"/>
        <v>/</v>
      </c>
      <c r="E307" s="109">
        <f ca="1">IF(表2_3671626293034567[[#This Row],[累计净值]]/MAX(INDIRECT("B21:B" &amp; ROW()))-1&lt;E306,表2_3671626293034567[[#This Row],[累计净值]]/MAX(INDIRECT("B21:B" &amp; ROW()))-1,E306)</f>
        <v>-2.5203567274137306E-2</v>
      </c>
      <c r="F307" s="110">
        <f>表2_3671626293034567[[#This Row],[累计净值]]-$I$242</f>
        <v>1.0686</v>
      </c>
      <c r="G307" s="20">
        <f>表2_3671626293034567[[#This Row],[累计净值]]/$B$22-1</f>
        <v>0.22483854942871329</v>
      </c>
    </row>
    <row r="308" spans="1:7" x14ac:dyDescent="0.2">
      <c r="A308" s="55">
        <v>44139</v>
      </c>
      <c r="B308" s="112">
        <v>1.2321</v>
      </c>
      <c r="C308" s="108">
        <f t="shared" si="84"/>
        <v>-6.9999999999992291E-4</v>
      </c>
      <c r="D308" s="109">
        <f t="shared" si="85"/>
        <v>-6.9999999999992291E-4</v>
      </c>
      <c r="E308" s="109">
        <f ca="1">IF(表2_3671626293034567[[#This Row],[累计净值]]/MAX(INDIRECT("B21:B" &amp; ROW()))-1&lt;E307,表2_3671626293034567[[#This Row],[累计净值]]/MAX(INDIRECT("B21:B" &amp; ROW()))-1,E307)</f>
        <v>-2.5203567274137306E-2</v>
      </c>
      <c r="F308" s="110">
        <f>表2_3671626293034567[[#This Row],[累计净值]]-$I$242</f>
        <v>1.0679000000000001</v>
      </c>
      <c r="G308" s="20">
        <f>表2_3671626293034567[[#This Row],[累计净值]]/$B$22-1</f>
        <v>0.22414307004470935</v>
      </c>
    </row>
    <row r="309" spans="1:7" x14ac:dyDescent="0.2">
      <c r="A309" s="55">
        <v>44140</v>
      </c>
      <c r="B309" s="112">
        <v>1.2324999999999999</v>
      </c>
      <c r="C309" s="108">
        <f t="shared" si="84"/>
        <v>3.9999999999995595E-4</v>
      </c>
      <c r="D309" s="109" t="str">
        <f t="shared" si="85"/>
        <v>/</v>
      </c>
      <c r="E309" s="109">
        <f ca="1">IF(表2_3671626293034567[[#This Row],[累计净值]]/MAX(INDIRECT("B21:B" &amp; ROW()))-1&lt;E308,表2_3671626293034567[[#This Row],[累计净值]]/MAX(INDIRECT("B21:B" &amp; ROW()))-1,E308)</f>
        <v>-2.5203567274137306E-2</v>
      </c>
      <c r="F309" s="110">
        <f>表2_3671626293034567[[#This Row],[累计净值]]-$I$242</f>
        <v>1.0683</v>
      </c>
      <c r="G309" s="20">
        <f>表2_3671626293034567[[#This Row],[累计净值]]/$B$22-1</f>
        <v>0.22454048683556871</v>
      </c>
    </row>
    <row r="310" spans="1:7" x14ac:dyDescent="0.2">
      <c r="A310" s="55">
        <v>44141</v>
      </c>
      <c r="B310" s="112">
        <v>1.2323999999999999</v>
      </c>
      <c r="C310" s="108">
        <f t="shared" si="84"/>
        <v>-9.9999999999988987E-5</v>
      </c>
      <c r="D310" s="109">
        <f t="shared" si="85"/>
        <v>-9.9999999999988987E-5</v>
      </c>
      <c r="E310" s="109">
        <f ca="1">IF(表2_3671626293034567[[#This Row],[累计净值]]/MAX(INDIRECT("B21:B" &amp; ROW()))-1&lt;E309,表2_3671626293034567[[#This Row],[累计净值]]/MAX(INDIRECT("B21:B" &amp; ROW()))-1,E309)</f>
        <v>-2.5203567274137306E-2</v>
      </c>
      <c r="F310" s="110">
        <f>表2_3671626293034567[[#This Row],[累计净值]]-$I$242</f>
        <v>1.0682</v>
      </c>
      <c r="G310" s="20">
        <f>表2_3671626293034567[[#This Row],[累计净值]]/$B$22-1</f>
        <v>0.22444113263785392</v>
      </c>
    </row>
    <row r="311" spans="1:7" x14ac:dyDescent="0.2">
      <c r="A311" s="55">
        <v>44144</v>
      </c>
      <c r="B311" s="112">
        <v>1.2357</v>
      </c>
      <c r="C311" s="108">
        <f t="shared" ref="C311:C316" si="86">IFERROR(B311-B310,0)</f>
        <v>3.3000000000000806E-3</v>
      </c>
      <c r="D311" s="109" t="str">
        <f t="shared" ref="D311:D316" si="87">IF(C311&lt;0,C311,"/")</f>
        <v>/</v>
      </c>
      <c r="E311" s="109">
        <f ca="1">IF(表2_3671626293034567[[#This Row],[累计净值]]/MAX(INDIRECT("B21:B" &amp; ROW()))-1&lt;E310,表2_3671626293034567[[#This Row],[累计净值]]/MAX(INDIRECT("B21:B" &amp; ROW()))-1,E310)</f>
        <v>-2.5203567274137306E-2</v>
      </c>
      <c r="F311" s="110">
        <f>表2_3671626293034567[[#This Row],[累计净值]]-$I$242</f>
        <v>1.0715000000000001</v>
      </c>
      <c r="G311" s="20">
        <f>表2_3671626293034567[[#This Row],[累计净值]]/$B$22-1</f>
        <v>0.22771982116244427</v>
      </c>
    </row>
    <row r="312" spans="1:7" x14ac:dyDescent="0.2">
      <c r="A312" s="55">
        <v>44145</v>
      </c>
      <c r="B312" s="76">
        <v>1.2377</v>
      </c>
      <c r="C312" s="108">
        <f t="shared" si="86"/>
        <v>2.0000000000000018E-3</v>
      </c>
      <c r="D312" s="109" t="str">
        <f t="shared" si="87"/>
        <v>/</v>
      </c>
      <c r="E312" s="109">
        <f ca="1">IF(表2_3671626293034567[[#This Row],[累计净值]]/MAX(INDIRECT("B21:B" &amp; ROW()))-1&lt;E311,表2_3671626293034567[[#This Row],[累计净值]]/MAX(INDIRECT("B21:B" &amp; ROW()))-1,E311)</f>
        <v>-2.5203567274137306E-2</v>
      </c>
      <c r="F312" s="110">
        <f>表2_3671626293034567[[#This Row],[累计净值]]-$I$242</f>
        <v>1.0735000000000001</v>
      </c>
      <c r="G312" s="20">
        <f>表2_3671626293034567[[#This Row],[累计净值]]/$B$22-1</f>
        <v>0.2297069051167413</v>
      </c>
    </row>
    <row r="313" spans="1:7" x14ac:dyDescent="0.2">
      <c r="A313" s="55">
        <v>44146</v>
      </c>
      <c r="B313" s="112">
        <v>1.2322</v>
      </c>
      <c r="C313" s="108">
        <f t="shared" si="86"/>
        <v>-5.5000000000000604E-3</v>
      </c>
      <c r="D313" s="109">
        <f t="shared" si="87"/>
        <v>-5.5000000000000604E-3</v>
      </c>
      <c r="E313" s="109">
        <f ca="1">IF(表2_3671626293034567[[#This Row],[累计净值]]/MAX(INDIRECT("B21:B" &amp; ROW()))-1&lt;E312,表2_3671626293034567[[#This Row],[累计净值]]/MAX(INDIRECT("B21:B" &amp; ROW()))-1,E312)</f>
        <v>-2.5203567274137306E-2</v>
      </c>
      <c r="F313" s="110">
        <f>表2_3671626293034567[[#This Row],[累计净值]]-$I$242</f>
        <v>1.0680000000000001</v>
      </c>
      <c r="G313" s="20">
        <f>表2_3671626293034567[[#This Row],[累计净值]]/$B$22-1</f>
        <v>0.22424242424242435</v>
      </c>
    </row>
    <row r="314" spans="1:7" x14ac:dyDescent="0.2">
      <c r="A314" s="55">
        <v>44147</v>
      </c>
      <c r="B314" s="112">
        <v>1.2353000000000001</v>
      </c>
      <c r="C314" s="108">
        <f t="shared" si="86"/>
        <v>3.1000000000001027E-3</v>
      </c>
      <c r="D314" s="109" t="str">
        <f t="shared" si="87"/>
        <v>/</v>
      </c>
      <c r="E314" s="109">
        <f ca="1">IF(表2_3671626293034567[[#This Row],[累计净值]]/MAX(INDIRECT("B21:B" &amp; ROW()))-1&lt;E313,表2_3671626293034567[[#This Row],[累计净值]]/MAX(INDIRECT("B21:B" &amp; ROW()))-1,E313)</f>
        <v>-2.5203567274137306E-2</v>
      </c>
      <c r="F314" s="110">
        <f>表2_3671626293034567[[#This Row],[累计净值]]-$I$242</f>
        <v>1.0711000000000002</v>
      </c>
      <c r="G314" s="20">
        <f>表2_3671626293034567[[#This Row],[累计净值]]/$B$22-1</f>
        <v>0.22732240437158491</v>
      </c>
    </row>
    <row r="315" spans="1:7" x14ac:dyDescent="0.2">
      <c r="A315" s="55">
        <v>44148</v>
      </c>
      <c r="B315" s="112">
        <v>1.2382</v>
      </c>
      <c r="C315" s="108">
        <f t="shared" si="86"/>
        <v>2.8999999999999027E-3</v>
      </c>
      <c r="D315" s="109" t="str">
        <f t="shared" si="87"/>
        <v>/</v>
      </c>
      <c r="E315" s="109">
        <f ca="1">IF(表2_3671626293034567[[#This Row],[累计净值]]/MAX(INDIRECT("B21:B" &amp; ROW()))-1&lt;E314,表2_3671626293034567[[#This Row],[累计净值]]/MAX(INDIRECT("B21:B" &amp; ROW()))-1,E314)</f>
        <v>-2.5203567274137306E-2</v>
      </c>
      <c r="F315" s="110">
        <f>表2_3671626293034567[[#This Row],[累计净值]]-$I$242</f>
        <v>1.0740000000000001</v>
      </c>
      <c r="G315" s="20">
        <f>表2_3671626293034567[[#This Row],[累计净值]]/$B$22-1</f>
        <v>0.23020367610531545</v>
      </c>
    </row>
    <row r="316" spans="1:7" x14ac:dyDescent="0.2">
      <c r="A316" s="55">
        <v>44151</v>
      </c>
      <c r="B316" s="76">
        <v>1.2383</v>
      </c>
      <c r="C316" s="108">
        <f t="shared" si="86"/>
        <v>9.9999999999988987E-5</v>
      </c>
      <c r="D316" s="109" t="str">
        <f t="shared" si="87"/>
        <v>/</v>
      </c>
      <c r="E316" s="109">
        <f ca="1">IF(表2_3671626293034567[[#This Row],[累计净值]]/MAX(INDIRECT("B21:B" &amp; ROW()))-1&lt;E315,表2_3671626293034567[[#This Row],[累计净值]]/MAX(INDIRECT("B21:B" &amp; ROW()))-1,E315)</f>
        <v>-2.5203567274137306E-2</v>
      </c>
      <c r="F316" s="110">
        <f>表2_3671626293034567[[#This Row],[累计净值]]-$I$242</f>
        <v>1.0741000000000001</v>
      </c>
      <c r="G316" s="20">
        <f>表2_3671626293034567[[#This Row],[累计净值]]/$B$22-1</f>
        <v>0.23030303030303023</v>
      </c>
    </row>
    <row r="317" spans="1:7" x14ac:dyDescent="0.2">
      <c r="A317" s="55">
        <v>44152</v>
      </c>
      <c r="B317" s="112">
        <v>1.236</v>
      </c>
      <c r="C317" s="108">
        <f t="shared" ref="C317:C322" si="88">IFERROR(B317-B316,0)</f>
        <v>-2.2999999999999687E-3</v>
      </c>
      <c r="D317" s="109">
        <f t="shared" ref="D317:D322" si="89">IF(C317&lt;0,C317,"/")</f>
        <v>-2.2999999999999687E-3</v>
      </c>
      <c r="E317" s="109">
        <f ca="1">IF(表2_3671626293034567[[#This Row],[累计净值]]/MAX(INDIRECT("B21:B" &amp; ROW()))-1&lt;E316,表2_3671626293034567[[#This Row],[累计净值]]/MAX(INDIRECT("B21:B" &amp; ROW()))-1,E316)</f>
        <v>-2.5203567274137306E-2</v>
      </c>
      <c r="F317" s="110">
        <f>表2_3671626293034567[[#This Row],[累计净值]]-$I$242</f>
        <v>1.0718000000000001</v>
      </c>
      <c r="G317" s="20">
        <f>表2_3671626293034567[[#This Row],[累计净值]]/$B$22-1</f>
        <v>0.22801788375558862</v>
      </c>
    </row>
    <row r="318" spans="1:7" x14ac:dyDescent="0.2">
      <c r="A318" s="55">
        <v>44153</v>
      </c>
      <c r="B318" s="112">
        <v>1.2336</v>
      </c>
      <c r="C318" s="108">
        <f t="shared" si="88"/>
        <v>-2.3999999999999577E-3</v>
      </c>
      <c r="D318" s="109">
        <f t="shared" si="89"/>
        <v>-2.3999999999999577E-3</v>
      </c>
      <c r="E318" s="109">
        <f ca="1">IF(表2_3671626293034567[[#This Row],[累计净值]]/MAX(INDIRECT("B21:B" &amp; ROW()))-1&lt;E317,表2_3671626293034567[[#This Row],[累计净值]]/MAX(INDIRECT("B21:B" &amp; ROW()))-1,E317)</f>
        <v>-2.5203567274137306E-2</v>
      </c>
      <c r="F318" s="110">
        <f>表2_3671626293034567[[#This Row],[累计净值]]-$I$242</f>
        <v>1.0694000000000001</v>
      </c>
      <c r="G318" s="20">
        <f>表2_3671626293034567[[#This Row],[累计净值]]/$B$22-1</f>
        <v>0.22563338301043223</v>
      </c>
    </row>
    <row r="319" spans="1:7" x14ac:dyDescent="0.2">
      <c r="A319" s="55">
        <v>44154</v>
      </c>
      <c r="B319" s="112">
        <v>1.234</v>
      </c>
      <c r="C319" s="108">
        <f t="shared" si="88"/>
        <v>3.9999999999995595E-4</v>
      </c>
      <c r="D319" s="109" t="str">
        <f t="shared" si="89"/>
        <v>/</v>
      </c>
      <c r="E319" s="109">
        <f ca="1">IF(表2_3671626293034567[[#This Row],[累计净值]]/MAX(INDIRECT("B21:B" &amp; ROW()))-1&lt;E318,表2_3671626293034567[[#This Row],[累计净值]]/MAX(INDIRECT("B21:B" &amp; ROW()))-1,E318)</f>
        <v>-2.5203567274137306E-2</v>
      </c>
      <c r="F319" s="110">
        <f>表2_3671626293034567[[#This Row],[累计净值]]-$I$242</f>
        <v>1.0698000000000001</v>
      </c>
      <c r="G319" s="20">
        <f>表2_3671626293034567[[#This Row],[累计净值]]/$B$22-1</f>
        <v>0.22603079980129159</v>
      </c>
    </row>
    <row r="320" spans="1:7" x14ac:dyDescent="0.2">
      <c r="A320" s="55">
        <v>44155</v>
      </c>
      <c r="B320" s="112">
        <v>1.2315</v>
      </c>
      <c r="C320" s="108">
        <f t="shared" si="88"/>
        <v>-2.4999999999999467E-3</v>
      </c>
      <c r="D320" s="109">
        <f t="shared" si="89"/>
        <v>-2.4999999999999467E-3</v>
      </c>
      <c r="E320" s="109">
        <f ca="1">IF(表2_3671626293034567[[#This Row],[累计净值]]/MAX(INDIRECT("B21:B" &amp; ROW()))-1&lt;E319,表2_3671626293034567[[#This Row],[累计净值]]/MAX(INDIRECT("B21:B" &amp; ROW()))-1,E319)</f>
        <v>-2.5203567274137306E-2</v>
      </c>
      <c r="F320" s="110">
        <f>表2_3671626293034567[[#This Row],[累计净值]]-$I$242</f>
        <v>1.0673000000000001</v>
      </c>
      <c r="G320" s="20">
        <f>表2_3671626293034567[[#This Row],[累计净值]]/$B$22-1</f>
        <v>0.22354694485842042</v>
      </c>
    </row>
    <row r="321" spans="1:7" x14ac:dyDescent="0.2">
      <c r="A321" s="55">
        <v>44158</v>
      </c>
      <c r="B321" s="112">
        <v>1.2244999999999999</v>
      </c>
      <c r="C321" s="108">
        <f t="shared" si="88"/>
        <v>-7.0000000000001172E-3</v>
      </c>
      <c r="D321" s="109">
        <f t="shared" si="89"/>
        <v>-7.0000000000001172E-3</v>
      </c>
      <c r="E321" s="109">
        <f ca="1">IF(表2_3671626293034567[[#This Row],[累计净值]]/MAX(INDIRECT("B21:B" &amp; ROW()))-1&lt;E320,表2_3671626293034567[[#This Row],[累计净值]]/MAX(INDIRECT("B21:B" &amp; ROW()))-1,E320)</f>
        <v>-2.5203567274137306E-2</v>
      </c>
      <c r="F321" s="110">
        <f>表2_3671626293034567[[#This Row],[累计净值]]-$I$242</f>
        <v>1.0603</v>
      </c>
      <c r="G321" s="20">
        <f>表2_3671626293034567[[#This Row],[累计净值]]/$B$22-1</f>
        <v>0.21659215101838059</v>
      </c>
    </row>
    <row r="322" spans="1:7" x14ac:dyDescent="0.2">
      <c r="A322" s="55">
        <v>44159</v>
      </c>
      <c r="B322" s="112">
        <v>1.2264999999999999</v>
      </c>
      <c r="C322" s="108">
        <f t="shared" si="88"/>
        <v>2.0000000000000018E-3</v>
      </c>
      <c r="D322" s="109" t="str">
        <f t="shared" si="89"/>
        <v>/</v>
      </c>
      <c r="E322" s="109">
        <f ca="1">IF(表2_3671626293034567[[#This Row],[累计净值]]/MAX(INDIRECT("B21:B" &amp; ROW()))-1&lt;E321,表2_3671626293034567[[#This Row],[累计净值]]/MAX(INDIRECT("B21:B" &amp; ROW()))-1,E321)</f>
        <v>-2.5203567274137306E-2</v>
      </c>
      <c r="F322" s="110">
        <f>表2_3671626293034567[[#This Row],[累计净值]]-$I$242</f>
        <v>1.0623</v>
      </c>
      <c r="G322" s="20">
        <f>表2_3671626293034567[[#This Row],[累计净值]]/$B$22-1</f>
        <v>0.21857923497267762</v>
      </c>
    </row>
    <row r="323" spans="1:7" x14ac:dyDescent="0.2">
      <c r="A323" s="55">
        <v>44160</v>
      </c>
      <c r="B323" s="112">
        <v>1.2232000000000001</v>
      </c>
      <c r="C323" s="108">
        <f t="shared" ref="C323:C328" si="90">IFERROR(B323-B322,0)</f>
        <v>-3.2999999999998586E-3</v>
      </c>
      <c r="D323" s="109">
        <f t="shared" ref="D323:D328" si="91">IF(C323&lt;0,C323,"/")</f>
        <v>-3.2999999999998586E-3</v>
      </c>
      <c r="E323" s="109">
        <f ca="1">IF(表2_3671626293034567[[#This Row],[累计净值]]/MAX(INDIRECT("B21:B" &amp; ROW()))-1&lt;E322,表2_3671626293034567[[#This Row],[累计净值]]/MAX(INDIRECT("B21:B" &amp; ROW()))-1,E322)</f>
        <v>-2.5203567274137306E-2</v>
      </c>
      <c r="F323" s="110">
        <f>表2_3671626293034567[[#This Row],[累计净值]]-$I$242</f>
        <v>1.0590000000000002</v>
      </c>
      <c r="G323" s="20">
        <f>表2_3671626293034567[[#This Row],[累计净值]]/$B$22-1</f>
        <v>0.21530054644808749</v>
      </c>
    </row>
    <row r="324" spans="1:7" x14ac:dyDescent="0.2">
      <c r="A324" s="55">
        <v>44161</v>
      </c>
      <c r="B324" s="112">
        <v>1.2216</v>
      </c>
      <c r="C324" s="108">
        <f t="shared" si="90"/>
        <v>-1.6000000000000458E-3</v>
      </c>
      <c r="D324" s="109">
        <f t="shared" si="91"/>
        <v>-1.6000000000000458E-3</v>
      </c>
      <c r="E324" s="109">
        <f ca="1">IF(表2_3671626293034567[[#This Row],[累计净值]]/MAX(INDIRECT("B21:B" &amp; ROW()))-1&lt;E323,表2_3671626293034567[[#This Row],[累计净值]]/MAX(INDIRECT("B21:B" &amp; ROW()))-1,E323)</f>
        <v>-2.5203567274137306E-2</v>
      </c>
      <c r="F324" s="110">
        <f>表2_3671626293034567[[#This Row],[累计净值]]-$I$242</f>
        <v>1.0574000000000001</v>
      </c>
      <c r="G324" s="20">
        <f>表2_3671626293034567[[#This Row],[累计净值]]/$B$22-1</f>
        <v>0.21371087928464982</v>
      </c>
    </row>
    <row r="325" spans="1:7" x14ac:dyDescent="0.2">
      <c r="A325" s="55">
        <v>44162</v>
      </c>
      <c r="B325" s="112">
        <v>1.2233000000000001</v>
      </c>
      <c r="C325" s="108">
        <f t="shared" si="90"/>
        <v>1.7000000000000348E-3</v>
      </c>
      <c r="D325" s="109" t="str">
        <f t="shared" si="91"/>
        <v>/</v>
      </c>
      <c r="E325" s="109">
        <f ca="1">IF(表2_3671626293034567[[#This Row],[累计净值]]/MAX(INDIRECT("B21:B" &amp; ROW()))-1&lt;E324,表2_3671626293034567[[#This Row],[累计净值]]/MAX(INDIRECT("B21:B" &amp; ROW()))-1,E324)</f>
        <v>-2.5203567274137306E-2</v>
      </c>
      <c r="F325" s="110">
        <f>表2_3671626293034567[[#This Row],[累计净值]]-$I$242</f>
        <v>1.0591000000000002</v>
      </c>
      <c r="G325" s="20">
        <f>表2_3671626293034567[[#This Row],[累计净值]]/$B$22-1</f>
        <v>0.2153999006458025</v>
      </c>
    </row>
    <row r="326" spans="1:7" x14ac:dyDescent="0.2">
      <c r="A326" s="55">
        <v>44165</v>
      </c>
      <c r="B326" s="112">
        <v>1.2228000000000001</v>
      </c>
      <c r="C326" s="108">
        <f t="shared" si="90"/>
        <v>-4.9999999999994493E-4</v>
      </c>
      <c r="D326" s="109">
        <f t="shared" si="91"/>
        <v>-4.9999999999994493E-4</v>
      </c>
      <c r="E326" s="109">
        <f ca="1">IF(表2_3671626293034567[[#This Row],[累计净值]]/MAX(INDIRECT("B21:B" &amp; ROW()))-1&lt;E325,表2_3671626293034567[[#This Row],[累计净值]]/MAX(INDIRECT("B21:B" &amp; ROW()))-1,E325)</f>
        <v>-2.5203567274137306E-2</v>
      </c>
      <c r="F326" s="110">
        <f>表2_3671626293034567[[#This Row],[累计净值]]-$I$242</f>
        <v>1.0586000000000002</v>
      </c>
      <c r="G326" s="20">
        <f>表2_3671626293034567[[#This Row],[累计净值]]/$B$22-1</f>
        <v>0.21490312965722813</v>
      </c>
    </row>
    <row r="327" spans="1:7" x14ac:dyDescent="0.2">
      <c r="A327" s="55">
        <v>44166</v>
      </c>
      <c r="B327" s="112">
        <v>1.2234</v>
      </c>
      <c r="C327" s="108">
        <f t="shared" si="90"/>
        <v>5.9999999999993392E-4</v>
      </c>
      <c r="D327" s="109" t="str">
        <f t="shared" si="91"/>
        <v>/</v>
      </c>
      <c r="E327" s="109">
        <f ca="1">IF(表2_3671626293034567[[#This Row],[累计净值]]/MAX(INDIRECT("B21:B" &amp; ROW()))-1&lt;E326,表2_3671626293034567[[#This Row],[累计净值]]/MAX(INDIRECT("B21:B" &amp; ROW()))-1,E326)</f>
        <v>-2.5203567274137306E-2</v>
      </c>
      <c r="F327" s="110">
        <f>表2_3671626293034567[[#This Row],[累计净值]]-$I$242</f>
        <v>1.0592000000000001</v>
      </c>
      <c r="G327" s="20">
        <f>表2_3671626293034567[[#This Row],[累计净值]]/$B$22-1</f>
        <v>0.21549925484351728</v>
      </c>
    </row>
    <row r="328" spans="1:7" x14ac:dyDescent="0.2">
      <c r="A328" s="55">
        <v>44167</v>
      </c>
      <c r="B328" s="112">
        <v>1.2254</v>
      </c>
      <c r="C328" s="108">
        <f t="shared" si="90"/>
        <v>2.0000000000000018E-3</v>
      </c>
      <c r="D328" s="109" t="str">
        <f t="shared" si="91"/>
        <v>/</v>
      </c>
      <c r="E328" s="109">
        <f ca="1">IF(表2_3671626293034567[[#This Row],[累计净值]]/MAX(INDIRECT("B21:B" &amp; ROW()))-1&lt;E327,表2_3671626293034567[[#This Row],[累计净值]]/MAX(INDIRECT("B21:B" &amp; ROW()))-1,E327)</f>
        <v>-2.5203567274137306E-2</v>
      </c>
      <c r="F328" s="110">
        <f>表2_3671626293034567[[#This Row],[累计净值]]-$I$242</f>
        <v>1.0612000000000001</v>
      </c>
      <c r="G328" s="20">
        <f>表2_3671626293034567[[#This Row],[累计净值]]/$B$22-1</f>
        <v>0.21748633879781432</v>
      </c>
    </row>
    <row r="329" spans="1:7" x14ac:dyDescent="0.2">
      <c r="A329" s="55">
        <v>44168</v>
      </c>
      <c r="B329" s="112">
        <v>1.2265999999999999</v>
      </c>
      <c r="C329" s="108">
        <f t="shared" ref="C329:C334" si="92">IFERROR(B329-B328,0)</f>
        <v>1.1999999999998678E-3</v>
      </c>
      <c r="D329" s="109" t="str">
        <f t="shared" ref="D329:D334" si="93">IF(C329&lt;0,C329,"/")</f>
        <v>/</v>
      </c>
      <c r="E329" s="109">
        <f ca="1">IF(表2_3671626293034567[[#This Row],[累计净值]]/MAX(INDIRECT("B21:B" &amp; ROW()))-1&lt;E328,表2_3671626293034567[[#This Row],[累计净值]]/MAX(INDIRECT("B21:B" &amp; ROW()))-1,E328)</f>
        <v>-2.5203567274137306E-2</v>
      </c>
      <c r="F329" s="110">
        <f>表2_3671626293034567[[#This Row],[累计净值]]-$I$242</f>
        <v>1.0624</v>
      </c>
      <c r="G329" s="20">
        <f>表2_3671626293034567[[#This Row],[累计净值]]/$B$22-1</f>
        <v>0.2186785891703924</v>
      </c>
    </row>
    <row r="330" spans="1:7" x14ac:dyDescent="0.2">
      <c r="A330" s="55">
        <v>44169</v>
      </c>
      <c r="B330" s="112">
        <v>1.2291000000000001</v>
      </c>
      <c r="C330" s="108">
        <f t="shared" si="92"/>
        <v>2.5000000000001688E-3</v>
      </c>
      <c r="D330" s="109" t="str">
        <f t="shared" si="93"/>
        <v>/</v>
      </c>
      <c r="E330" s="109">
        <f ca="1">IF(表2_3671626293034567[[#This Row],[累计净值]]/MAX(INDIRECT("B21:B" &amp; ROW()))-1&lt;E329,表2_3671626293034567[[#This Row],[累计净值]]/MAX(INDIRECT("B21:B" &amp; ROW()))-1,E329)</f>
        <v>-2.5203567274137306E-2</v>
      </c>
      <c r="F330" s="110">
        <f>表2_3671626293034567[[#This Row],[累计净值]]-$I$242</f>
        <v>1.0649000000000002</v>
      </c>
      <c r="G330" s="20">
        <f>表2_3671626293034567[[#This Row],[累计净值]]/$B$22-1</f>
        <v>0.22116244411326402</v>
      </c>
    </row>
    <row r="331" spans="1:7" x14ac:dyDescent="0.2">
      <c r="A331" s="55">
        <v>44172</v>
      </c>
      <c r="B331" s="112">
        <v>1.2302</v>
      </c>
      <c r="C331" s="108">
        <f t="shared" si="92"/>
        <v>1.0999999999998789E-3</v>
      </c>
      <c r="D331" s="109" t="str">
        <f t="shared" si="93"/>
        <v>/</v>
      </c>
      <c r="E331" s="109">
        <f ca="1">IF(表2_3671626293034567[[#This Row],[累计净值]]/MAX(INDIRECT("B21:B" &amp; ROW()))-1&lt;E330,表2_3671626293034567[[#This Row],[累计净值]]/MAX(INDIRECT("B21:B" &amp; ROW()))-1,E330)</f>
        <v>-2.5203567274137306E-2</v>
      </c>
      <c r="F331" s="110">
        <f>表2_3671626293034567[[#This Row],[累计净值]]-$I$242</f>
        <v>1.0660000000000001</v>
      </c>
      <c r="G331" s="20">
        <f>表2_3671626293034567[[#This Row],[累计净值]]/$B$22-1</f>
        <v>0.2222553402881271</v>
      </c>
    </row>
    <row r="332" spans="1:7" x14ac:dyDescent="0.2">
      <c r="A332" s="55">
        <v>44173</v>
      </c>
      <c r="B332" s="112">
        <v>1.2275</v>
      </c>
      <c r="C332" s="108">
        <f t="shared" si="92"/>
        <v>-2.6999999999999247E-3</v>
      </c>
      <c r="D332" s="109">
        <f t="shared" si="93"/>
        <v>-2.6999999999999247E-3</v>
      </c>
      <c r="E332" s="109">
        <f ca="1">IF(表2_3671626293034567[[#This Row],[累计净值]]/MAX(INDIRECT("B21:B" &amp; ROW()))-1&lt;E331,表2_3671626293034567[[#This Row],[累计净值]]/MAX(INDIRECT("B21:B" &amp; ROW()))-1,E331)</f>
        <v>-2.5203567274137306E-2</v>
      </c>
      <c r="F332" s="110">
        <f>表2_3671626293034567[[#This Row],[累计净值]]-$I$242</f>
        <v>1.0633000000000001</v>
      </c>
      <c r="G332" s="20">
        <f>表2_3671626293034567[[#This Row],[累计净值]]/$B$22-1</f>
        <v>0.21957277694982613</v>
      </c>
    </row>
    <row r="333" spans="1:7" x14ac:dyDescent="0.2">
      <c r="A333" s="55">
        <v>44174</v>
      </c>
      <c r="B333" s="112">
        <v>1.2226999999999999</v>
      </c>
      <c r="C333" s="108">
        <f t="shared" si="92"/>
        <v>-4.8000000000001375E-3</v>
      </c>
      <c r="D333" s="109">
        <f t="shared" si="93"/>
        <v>-4.8000000000001375E-3</v>
      </c>
      <c r="E333" s="109">
        <f ca="1">IF(表2_3671626293034567[[#This Row],[累计净值]]/MAX(INDIRECT("B21:B" &amp; ROW()))-1&lt;E332,表2_3671626293034567[[#This Row],[累计净值]]/MAX(INDIRECT("B21:B" &amp; ROW()))-1,E332)</f>
        <v>-2.5203567274137306E-2</v>
      </c>
      <c r="F333" s="110">
        <f>表2_3671626293034567[[#This Row],[累计净值]]-$I$242</f>
        <v>1.0585</v>
      </c>
      <c r="G333" s="20">
        <f>表2_3671626293034567[[#This Row],[累计净值]]/$B$22-1</f>
        <v>0.21480377545951312</v>
      </c>
    </row>
    <row r="334" spans="1:7" x14ac:dyDescent="0.2">
      <c r="A334" s="55">
        <v>44175</v>
      </c>
      <c r="B334" s="112">
        <v>1.2245999999999999</v>
      </c>
      <c r="C334" s="108">
        <f t="shared" si="92"/>
        <v>1.9000000000000128E-3</v>
      </c>
      <c r="D334" s="109" t="str">
        <f t="shared" si="93"/>
        <v>/</v>
      </c>
      <c r="E334" s="109">
        <f ca="1">IF(表2_3671626293034567[[#This Row],[累计净值]]/MAX(INDIRECT("B21:B" &amp; ROW()))-1&lt;E333,表2_3671626293034567[[#This Row],[累计净值]]/MAX(INDIRECT("B21:B" &amp; ROW()))-1,E333)</f>
        <v>-2.5203567274137306E-2</v>
      </c>
      <c r="F334" s="110">
        <f>表2_3671626293034567[[#This Row],[累计净值]]-$I$242</f>
        <v>1.0604</v>
      </c>
      <c r="G334" s="20">
        <f>表2_3671626293034567[[#This Row],[累计净值]]/$B$22-1</f>
        <v>0.21669150521609537</v>
      </c>
    </row>
    <row r="335" spans="1:7" x14ac:dyDescent="0.2">
      <c r="A335" s="55">
        <v>44176</v>
      </c>
      <c r="B335" s="112">
        <v>1.2278</v>
      </c>
      <c r="C335" s="108">
        <f t="shared" ref="C335:C340" si="94">IFERROR(B335-B334,0)</f>
        <v>3.2000000000000917E-3</v>
      </c>
      <c r="D335" s="109" t="str">
        <f t="shared" ref="D335:D340" si="95">IF(C335&lt;0,C335,"/")</f>
        <v>/</v>
      </c>
      <c r="E335" s="109">
        <f ca="1">IF(表2_3671626293034567[[#This Row],[累计净值]]/MAX(INDIRECT("B21:B" &amp; ROW()))-1&lt;E334,表2_3671626293034567[[#This Row],[累计净值]]/MAX(INDIRECT("B21:B" &amp; ROW()))-1,E334)</f>
        <v>-2.5203567274137306E-2</v>
      </c>
      <c r="F335" s="110">
        <f>表2_3671626293034567[[#This Row],[累计净值]]-$I$242</f>
        <v>1.0636000000000001</v>
      </c>
      <c r="G335" s="20">
        <f>表2_3671626293034567[[#This Row],[累计净值]]/$B$22-1</f>
        <v>0.21987083954297071</v>
      </c>
    </row>
    <row r="336" spans="1:7" x14ac:dyDescent="0.2">
      <c r="A336" s="55">
        <v>44179</v>
      </c>
      <c r="B336" s="112">
        <v>1.2298</v>
      </c>
      <c r="C336" s="108">
        <f t="shared" si="94"/>
        <v>2.0000000000000018E-3</v>
      </c>
      <c r="D336" s="109" t="str">
        <f t="shared" si="95"/>
        <v>/</v>
      </c>
      <c r="E336" s="109">
        <f ca="1">IF(表2_3671626293034567[[#This Row],[累计净值]]/MAX(INDIRECT("B21:B" &amp; ROW()))-1&lt;E335,表2_3671626293034567[[#This Row],[累计净值]]/MAX(INDIRECT("B21:B" &amp; ROW()))-1,E335)</f>
        <v>-2.5203567274137306E-2</v>
      </c>
      <c r="F336" s="110">
        <f>表2_3671626293034567[[#This Row],[累计净值]]-$I$242</f>
        <v>1.0656000000000001</v>
      </c>
      <c r="G336" s="20">
        <f>表2_3671626293034567[[#This Row],[累计净值]]/$B$22-1</f>
        <v>0.22185792349726774</v>
      </c>
    </row>
    <row r="337" spans="1:7" x14ac:dyDescent="0.2">
      <c r="A337" s="55">
        <v>44180</v>
      </c>
      <c r="B337" s="112">
        <v>1.2309000000000001</v>
      </c>
      <c r="C337" s="108">
        <f t="shared" si="94"/>
        <v>1.1000000000001009E-3</v>
      </c>
      <c r="D337" s="109" t="str">
        <f t="shared" si="95"/>
        <v>/</v>
      </c>
      <c r="E337" s="109">
        <f ca="1">IF(表2_3671626293034567[[#This Row],[累计净值]]/MAX(INDIRECT("B21:B" &amp; ROW()))-1&lt;E336,表2_3671626293034567[[#This Row],[累计净值]]/MAX(INDIRECT("B21:B" &amp; ROW()))-1,E336)</f>
        <v>-2.5203567274137306E-2</v>
      </c>
      <c r="F337" s="110">
        <f>表2_3671626293034567[[#This Row],[累计净值]]-$I$242</f>
        <v>1.0667000000000002</v>
      </c>
      <c r="G337" s="20">
        <f>表2_3671626293034567[[#This Row],[累计净值]]/$B$22-1</f>
        <v>0.22295081967213126</v>
      </c>
    </row>
    <row r="338" spans="1:7" x14ac:dyDescent="0.2">
      <c r="A338" s="55">
        <v>44181</v>
      </c>
      <c r="B338" s="112">
        <v>1.2293000000000001</v>
      </c>
      <c r="C338" s="108">
        <f t="shared" si="94"/>
        <v>-1.6000000000000458E-3</v>
      </c>
      <c r="D338" s="109">
        <f t="shared" si="95"/>
        <v>-1.6000000000000458E-3</v>
      </c>
      <c r="E338" s="109">
        <f ca="1">IF(表2_3671626293034567[[#This Row],[累计净值]]/MAX(INDIRECT("B21:B" &amp; ROW()))-1&lt;E337,表2_3671626293034567[[#This Row],[累计净值]]/MAX(INDIRECT("B21:B" &amp; ROW()))-1,E337)</f>
        <v>-2.5203567274137306E-2</v>
      </c>
      <c r="F338" s="110">
        <f>表2_3671626293034567[[#This Row],[累计净值]]-$I$242</f>
        <v>1.0651000000000002</v>
      </c>
      <c r="G338" s="20">
        <f>表2_3671626293034567[[#This Row],[累计净值]]/$B$22-1</f>
        <v>0.22136115250869359</v>
      </c>
    </row>
    <row r="339" spans="1:7" x14ac:dyDescent="0.2">
      <c r="A339" s="55">
        <v>44182</v>
      </c>
      <c r="B339" s="112">
        <v>1.2274</v>
      </c>
      <c r="C339" s="108">
        <f t="shared" si="94"/>
        <v>-1.9000000000000128E-3</v>
      </c>
      <c r="D339" s="109">
        <f t="shared" si="95"/>
        <v>-1.9000000000000128E-3</v>
      </c>
      <c r="E339" s="109">
        <f ca="1">IF(表2_3671626293034567[[#This Row],[累计净值]]/MAX(INDIRECT("B21:B" &amp; ROW()))-1&lt;E338,表2_3671626293034567[[#This Row],[累计净值]]/MAX(INDIRECT("B21:B" &amp; ROW()))-1,E338)</f>
        <v>-2.5203567274137306E-2</v>
      </c>
      <c r="F339" s="110">
        <f>表2_3671626293034567[[#This Row],[累计净值]]-$I$242</f>
        <v>1.0632000000000001</v>
      </c>
      <c r="G339" s="20">
        <f>表2_3671626293034567[[#This Row],[累计净值]]/$B$22-1</f>
        <v>0.21947342275211135</v>
      </c>
    </row>
    <row r="340" spans="1:7" x14ac:dyDescent="0.2">
      <c r="A340" s="55">
        <v>44183</v>
      </c>
      <c r="B340" s="112">
        <v>1.2271000000000001</v>
      </c>
      <c r="C340" s="108">
        <f t="shared" si="94"/>
        <v>-2.9999999999996696E-4</v>
      </c>
      <c r="D340" s="109">
        <f t="shared" si="95"/>
        <v>-2.9999999999996696E-4</v>
      </c>
      <c r="E340" s="109">
        <f ca="1">IF(表2_3671626293034567[[#This Row],[累计净值]]/MAX(INDIRECT("B21:B" &amp; ROW()))-1&lt;E339,表2_3671626293034567[[#This Row],[累计净值]]/MAX(INDIRECT("B21:B" &amp; ROW()))-1,E339)</f>
        <v>-2.5203567274137306E-2</v>
      </c>
      <c r="F340" s="110">
        <f>表2_3671626293034567[[#This Row],[累计净值]]-$I$242</f>
        <v>1.0629000000000002</v>
      </c>
      <c r="G340" s="20">
        <f>表2_3671626293034567[[#This Row],[累计净值]]/$B$22-1</f>
        <v>0.21917536015896677</v>
      </c>
    </row>
    <row r="341" spans="1:7" x14ac:dyDescent="0.2">
      <c r="A341" s="55">
        <v>44186</v>
      </c>
      <c r="B341" s="112">
        <v>1.2266999999999999</v>
      </c>
      <c r="C341" s="108">
        <f t="shared" ref="C341:C346" si="96">IFERROR(B341-B340,0)</f>
        <v>-4.0000000000017799E-4</v>
      </c>
      <c r="D341" s="109">
        <f t="shared" ref="D341:D346" si="97">IF(C341&lt;0,C341,"/")</f>
        <v>-4.0000000000017799E-4</v>
      </c>
      <c r="E341" s="109">
        <f ca="1">IF(表2_3671626293034567[[#This Row],[累计净值]]/MAX(INDIRECT("B21:B" &amp; ROW()))-1&lt;E340,表2_3671626293034567[[#This Row],[累计净值]]/MAX(INDIRECT("B21:B" &amp; ROW()))-1,E340)</f>
        <v>-2.5203567274137306E-2</v>
      </c>
      <c r="F341" s="110">
        <f>表2_3671626293034567[[#This Row],[累计净值]]-$I$242</f>
        <v>1.0625</v>
      </c>
      <c r="G341" s="20">
        <f>0.8*(表2_3671626293034567[[#This Row],[累计净值]]/$B$22-1)</f>
        <v>0.17502235469448577</v>
      </c>
    </row>
    <row r="342" spans="1:7" x14ac:dyDescent="0.2">
      <c r="A342" s="55">
        <v>44187</v>
      </c>
      <c r="B342" s="112">
        <v>1.2236</v>
      </c>
      <c r="C342" s="108">
        <f t="shared" si="96"/>
        <v>-3.0999999999998806E-3</v>
      </c>
      <c r="D342" s="109">
        <f t="shared" si="97"/>
        <v>-3.0999999999998806E-3</v>
      </c>
      <c r="E342" s="109">
        <f ca="1">IF(表2_3671626293034567[[#This Row],[累计净值]]/MAX(INDIRECT("B21:B" &amp; ROW()))-1&lt;E341,表2_3671626293034567[[#This Row],[累计净值]]/MAX(INDIRECT("B21:B" &amp; ROW()))-1,E341)</f>
        <v>-2.5203567274137306E-2</v>
      </c>
      <c r="F342" s="110">
        <f>表2_3671626293034567[[#This Row],[累计净值]]-$I$242</f>
        <v>1.0594000000000001</v>
      </c>
      <c r="G342" s="20">
        <f>0.8*(表2_3671626293034567[[#This Row],[累计净值]]/$B$22-1)</f>
        <v>0.1725583705911575</v>
      </c>
    </row>
    <row r="343" spans="1:7" x14ac:dyDescent="0.2">
      <c r="A343" s="55">
        <v>44188</v>
      </c>
      <c r="B343" s="112">
        <v>1.2269000000000001</v>
      </c>
      <c r="C343" s="108">
        <f t="shared" si="96"/>
        <v>3.3000000000000806E-3</v>
      </c>
      <c r="D343" s="109" t="str">
        <f t="shared" si="97"/>
        <v>/</v>
      </c>
      <c r="E343" s="109">
        <f ca="1">IF(表2_3671626293034567[[#This Row],[累计净值]]/MAX(INDIRECT("B21:B" &amp; ROW()))-1&lt;E342,表2_3671626293034567[[#This Row],[累计净值]]/MAX(INDIRECT("B21:B" &amp; ROW()))-1,E342)</f>
        <v>-2.5203567274137306E-2</v>
      </c>
      <c r="F343" s="110">
        <f>表2_3671626293034567[[#This Row],[累计净值]]-$I$242</f>
        <v>1.0627000000000002</v>
      </c>
      <c r="G343" s="20">
        <f>0.8*(表2_3671626293034567[[#This Row],[累计净值]]/$B$22-1)</f>
        <v>0.17518132141082976</v>
      </c>
    </row>
    <row r="344" spans="1:7" x14ac:dyDescent="0.2">
      <c r="A344" s="55">
        <v>44189</v>
      </c>
      <c r="B344" s="112">
        <v>1.2239</v>
      </c>
      <c r="C344" s="108">
        <f t="shared" si="96"/>
        <v>-3.0000000000001137E-3</v>
      </c>
      <c r="D344" s="109">
        <f t="shared" si="97"/>
        <v>-3.0000000000001137E-3</v>
      </c>
      <c r="E344" s="109">
        <f ca="1">IF(表2_3671626293034567[[#This Row],[累计净值]]/MAX(INDIRECT("B21:B" &amp; ROW()))-1&lt;E343,表2_3671626293034567[[#This Row],[累计净值]]/MAX(INDIRECT("B21:B" &amp; ROW()))-1,E343)</f>
        <v>-2.5203567274137306E-2</v>
      </c>
      <c r="F344" s="110">
        <f>表2_3671626293034567[[#This Row],[累计净值]]-$I$242</f>
        <v>1.0597000000000001</v>
      </c>
      <c r="G344" s="20">
        <f>0.8*(表2_3671626293034567[[#This Row],[累计净值]]/$B$22-1)</f>
        <v>0.17279682066567315</v>
      </c>
    </row>
    <row r="345" spans="1:7" x14ac:dyDescent="0.2">
      <c r="A345" s="55">
        <v>44190</v>
      </c>
      <c r="B345" s="112">
        <v>1.2258</v>
      </c>
      <c r="C345" s="108">
        <f t="shared" si="96"/>
        <v>1.9000000000000128E-3</v>
      </c>
      <c r="D345" s="109" t="str">
        <f t="shared" si="97"/>
        <v>/</v>
      </c>
      <c r="E345" s="109">
        <f ca="1">IF(表2_3671626293034567[[#This Row],[累计净值]]/MAX(INDIRECT("B21:B" &amp; ROW()))-1&lt;E344,表2_3671626293034567[[#This Row],[累计净值]]/MAX(INDIRECT("B21:B" &amp; ROW()))-1,E344)</f>
        <v>-2.5203567274137306E-2</v>
      </c>
      <c r="F345" s="110">
        <f>表2_3671626293034567[[#This Row],[累计净值]]-$I$242</f>
        <v>1.0616000000000001</v>
      </c>
      <c r="G345" s="20">
        <f>0.8*(表2_3671626293034567[[#This Row],[累计净值]]/$B$22-1)</f>
        <v>0.17430700447093894</v>
      </c>
    </row>
    <row r="346" spans="1:7" x14ac:dyDescent="0.2">
      <c r="A346" s="55">
        <v>44193</v>
      </c>
      <c r="B346" s="112">
        <v>1.2287999999999999</v>
      </c>
      <c r="C346" s="108">
        <f t="shared" si="96"/>
        <v>2.9999999999998916E-3</v>
      </c>
      <c r="D346" s="109" t="str">
        <f t="shared" si="97"/>
        <v>/</v>
      </c>
      <c r="E346" s="109">
        <f ca="1">IF(表2_3671626293034567[[#This Row],[累计净值]]/MAX(INDIRECT("B21:B" &amp; ROW()))-1&lt;E345,表2_3671626293034567[[#This Row],[累计净值]]/MAX(INDIRECT("B21:B" &amp; ROW()))-1,E345)</f>
        <v>-2.5203567274137306E-2</v>
      </c>
      <c r="F346" s="110">
        <f>表2_3671626293034567[[#This Row],[累计净值]]-$I$242</f>
        <v>1.0646</v>
      </c>
      <c r="G346" s="20">
        <f>0.8*(表2_3671626293034567[[#This Row],[累计净值]]/$B$22-1)</f>
        <v>0.17669150521609539</v>
      </c>
    </row>
    <row r="347" spans="1:7" x14ac:dyDescent="0.2">
      <c r="A347" s="55">
        <v>44194</v>
      </c>
      <c r="B347" s="112">
        <v>1.2233000000000001</v>
      </c>
      <c r="C347" s="108">
        <f t="shared" ref="C347:C352" si="98">IFERROR(B347-B346,0)</f>
        <v>-5.4999999999998384E-3</v>
      </c>
      <c r="D347" s="109">
        <f t="shared" ref="D347:D352" si="99">IF(C347&lt;0,C347,"/")</f>
        <v>-5.4999999999998384E-3</v>
      </c>
      <c r="E347" s="109">
        <f ca="1">IF(表2_3671626293034567[[#This Row],[累计净值]]/MAX(INDIRECT("B21:B" &amp; ROW()))-1&lt;E346,表2_3671626293034567[[#This Row],[累计净值]]/MAX(INDIRECT("B21:B" &amp; ROW()))-1,E346)</f>
        <v>-2.5203567274137306E-2</v>
      </c>
      <c r="F347" s="110">
        <f>表2_3671626293034567[[#This Row],[累计净值]]-$I$242</f>
        <v>1.0591000000000002</v>
      </c>
      <c r="G347" s="20">
        <f>0.8*(表2_3671626293034567[[#This Row],[累计净值]]/$B$22-1)</f>
        <v>0.17231992051664202</v>
      </c>
    </row>
    <row r="348" spans="1:7" x14ac:dyDescent="0.2">
      <c r="A348" s="55">
        <v>44195</v>
      </c>
      <c r="B348" s="112">
        <v>1.2271000000000001</v>
      </c>
      <c r="C348" s="108">
        <f t="shared" si="98"/>
        <v>3.8000000000000256E-3</v>
      </c>
      <c r="D348" s="109" t="str">
        <f t="shared" si="99"/>
        <v>/</v>
      </c>
      <c r="E348" s="109">
        <f ca="1">IF(表2_3671626293034567[[#This Row],[累计净值]]/MAX(INDIRECT("B21:B" &amp; ROW()))-1&lt;E347,表2_3671626293034567[[#This Row],[累计净值]]/MAX(INDIRECT("B21:B" &amp; ROW()))-1,E347)</f>
        <v>-2.5203567274137306E-2</v>
      </c>
      <c r="F348" s="110">
        <f>表2_3671626293034567[[#This Row],[累计净值]]-$I$242</f>
        <v>1.0629000000000002</v>
      </c>
      <c r="G348" s="20">
        <f>0.8*(表2_3671626293034567[[#This Row],[累计净值]]/$B$22-1)</f>
        <v>0.17534028812717342</v>
      </c>
    </row>
    <row r="349" spans="1:7" x14ac:dyDescent="0.2">
      <c r="A349" s="55">
        <v>44196</v>
      </c>
      <c r="B349" s="112">
        <v>1.2311000000000001</v>
      </c>
      <c r="C349" s="108">
        <f t="shared" si="98"/>
        <v>4.0000000000000036E-3</v>
      </c>
      <c r="D349" s="109" t="str">
        <f t="shared" si="99"/>
        <v>/</v>
      </c>
      <c r="E349" s="109">
        <f ca="1">IF(表2_3671626293034567[[#This Row],[累计净值]]/MAX(INDIRECT("B21:B" &amp; ROW()))-1&lt;E348,表2_3671626293034567[[#This Row],[累计净值]]/MAX(INDIRECT("B21:B" &amp; ROW()))-1,E348)</f>
        <v>-2.5203567274137306E-2</v>
      </c>
      <c r="F349" s="110">
        <f>表2_3671626293034567[[#This Row],[累计净值]]-$I$242</f>
        <v>1.0669000000000002</v>
      </c>
      <c r="G349" s="20">
        <f>0.8*(表2_3671626293034567[[#This Row],[累计净值]]/$B$22-1)</f>
        <v>0.17851962245404884</v>
      </c>
    </row>
    <row r="350" spans="1:7" x14ac:dyDescent="0.2">
      <c r="A350" s="55">
        <v>44200</v>
      </c>
      <c r="B350" s="112">
        <v>1.2362</v>
      </c>
      <c r="C350" s="108">
        <f t="shared" si="98"/>
        <v>5.0999999999998824E-3</v>
      </c>
      <c r="D350" s="109" t="str">
        <f t="shared" si="99"/>
        <v>/</v>
      </c>
      <c r="E350" s="109">
        <f ca="1">IF(表2_3671626293034567[[#This Row],[累计净值]]/MAX(INDIRECT("B21:B" &amp; ROW()))-1&lt;E349,表2_3671626293034567[[#This Row],[累计净值]]/MAX(INDIRECT("B21:B" &amp; ROW()))-1,E349)</f>
        <v>-2.5203567274137306E-2</v>
      </c>
      <c r="F350" s="110">
        <f>表2_3671626293034567[[#This Row],[累计净值]]-$I$242</f>
        <v>1.0720000000000001</v>
      </c>
      <c r="G350" s="20">
        <f>0.8*(表2_3671626293034567[[#This Row],[累计净值]]/$B$22-1)</f>
        <v>0.18257327372081475</v>
      </c>
    </row>
    <row r="351" spans="1:7" x14ac:dyDescent="0.2">
      <c r="A351" s="55">
        <v>44201</v>
      </c>
      <c r="B351" s="117">
        <v>1.2415</v>
      </c>
      <c r="C351" s="108">
        <f t="shared" si="98"/>
        <v>5.3000000000000824E-3</v>
      </c>
      <c r="D351" s="109" t="str">
        <f t="shared" si="99"/>
        <v>/</v>
      </c>
      <c r="E351" s="109">
        <f ca="1">IF(表2_3671626293034567[[#This Row],[累计净值]]/MAX(INDIRECT("B21:B" &amp; ROW()))-1&lt;E350,表2_3671626293034567[[#This Row],[累计净值]]/MAX(INDIRECT("B21:B" &amp; ROW()))-1,E350)</f>
        <v>-2.5203567274137306E-2</v>
      </c>
      <c r="F351" s="110">
        <f>表2_3671626293034567[[#This Row],[累计净值]]-$I$242</f>
        <v>1.0773000000000001</v>
      </c>
      <c r="G351" s="20">
        <f>0.8*(表2_3671626293034567[[#This Row],[累计净值]]/$B$22-1)</f>
        <v>0.18678589170392465</v>
      </c>
    </row>
    <row r="352" spans="1:7" x14ac:dyDescent="0.2">
      <c r="A352" s="55">
        <v>44202</v>
      </c>
      <c r="B352" s="112">
        <v>1.2401</v>
      </c>
      <c r="C352" s="108">
        <f t="shared" si="98"/>
        <v>-1.4000000000000679E-3</v>
      </c>
      <c r="D352" s="109">
        <f t="shared" si="99"/>
        <v>-1.4000000000000679E-3</v>
      </c>
      <c r="E352" s="109">
        <f ca="1">IF(表2_3671626293034567[[#This Row],[累计净值]]/MAX(INDIRECT("B21:B" &amp; ROW()))-1&lt;E351,表2_3671626293034567[[#This Row],[累计净值]]/MAX(INDIRECT("B21:B" &amp; ROW()))-1,E351)</f>
        <v>-2.5203567274137306E-2</v>
      </c>
      <c r="F352" s="110">
        <f>表2_3671626293034567[[#This Row],[累计净值]]-$I$242</f>
        <v>1.0759000000000001</v>
      </c>
      <c r="G352" s="20">
        <f>0.8*(表2_3671626293034567[[#This Row],[累计净值]]/$B$22-1)</f>
        <v>0.18567312468951816</v>
      </c>
    </row>
    <row r="353" spans="1:7" x14ac:dyDescent="0.2">
      <c r="A353" s="55">
        <v>44203</v>
      </c>
      <c r="B353" s="112">
        <v>1.2391000000000001</v>
      </c>
      <c r="C353" s="108">
        <f t="shared" ref="C353:C358" si="100">IFERROR(B353-B352,0)</f>
        <v>-9.9999999999988987E-4</v>
      </c>
      <c r="D353" s="109">
        <f t="shared" ref="D353:D358" si="101">IF(C353&lt;0,C353,"/")</f>
        <v>-9.9999999999988987E-4</v>
      </c>
      <c r="E353" s="109">
        <f ca="1">IF(表2_3671626293034567[[#This Row],[累计净值]]/MAX(INDIRECT("B21:B" &amp; ROW()))-1&lt;E352,表2_3671626293034567[[#This Row],[累计净值]]/MAX(INDIRECT("B21:B" &amp; ROW()))-1,E352)</f>
        <v>-2.5203567274137306E-2</v>
      </c>
      <c r="F353" s="110">
        <f>表2_3671626293034567[[#This Row],[累计净值]]-$I$242</f>
        <v>1.0749000000000002</v>
      </c>
      <c r="G353" s="20">
        <f>0.8*(表2_3671626293034567[[#This Row],[累计净值]]/$B$22-1)</f>
        <v>0.18487829110779935</v>
      </c>
    </row>
    <row r="354" spans="1:7" x14ac:dyDescent="0.2">
      <c r="A354" s="55">
        <v>44204</v>
      </c>
      <c r="B354" s="112">
        <v>1.2332000000000001</v>
      </c>
      <c r="C354" s="108">
        <f t="shared" si="100"/>
        <v>-5.9000000000000163E-3</v>
      </c>
      <c r="D354" s="109">
        <f t="shared" si="101"/>
        <v>-5.9000000000000163E-3</v>
      </c>
      <c r="E354" s="109">
        <f ca="1">IF(表2_3671626293034567[[#This Row],[累计净值]]/MAX(INDIRECT("B21:B" &amp; ROW()))-1&lt;E353,表2_3671626293034567[[#This Row],[累计净值]]/MAX(INDIRECT("B21:B" &amp; ROW()))-1,E353)</f>
        <v>-2.5203567274137306E-2</v>
      </c>
      <c r="F354" s="110">
        <f>表2_3671626293034567[[#This Row],[累计净值]]-$I$242</f>
        <v>1.0690000000000002</v>
      </c>
      <c r="G354" s="20">
        <f>0.8*(表2_3671626293034567[[#This Row],[累计净值]]/$B$22-1)</f>
        <v>0.1801887729756583</v>
      </c>
    </row>
    <row r="355" spans="1:7" x14ac:dyDescent="0.2">
      <c r="A355" s="55">
        <v>44207</v>
      </c>
      <c r="B355" s="112">
        <v>1.2330000000000001</v>
      </c>
      <c r="C355" s="108">
        <f t="shared" si="100"/>
        <v>-1.9999999999997797E-4</v>
      </c>
      <c r="D355" s="109">
        <f t="shared" si="101"/>
        <v>-1.9999999999997797E-4</v>
      </c>
      <c r="E355" s="109">
        <f ca="1">IF(表2_3671626293034567[[#This Row],[累计净值]]/MAX(INDIRECT("B21:B" &amp; ROW()))-1&lt;E354,表2_3671626293034567[[#This Row],[累计净值]]/MAX(INDIRECT("B21:B" &amp; ROW()))-1,E354)</f>
        <v>-2.5203567274137306E-2</v>
      </c>
      <c r="F355" s="110">
        <f>表2_3671626293034567[[#This Row],[累计净值]]-$I$242</f>
        <v>1.0688000000000002</v>
      </c>
      <c r="G355" s="20">
        <f>0.8*(表2_3671626293034567[[#This Row],[累计净值]]/$B$22-1)</f>
        <v>0.18002980625931464</v>
      </c>
    </row>
    <row r="356" spans="1:7" x14ac:dyDescent="0.2">
      <c r="A356" s="55">
        <v>44208</v>
      </c>
      <c r="B356" s="112">
        <v>1.2399</v>
      </c>
      <c r="C356" s="108">
        <f t="shared" si="100"/>
        <v>6.8999999999999062E-3</v>
      </c>
      <c r="D356" s="109" t="str">
        <f t="shared" si="101"/>
        <v>/</v>
      </c>
      <c r="E356" s="109">
        <f ca="1">IF(表2_3671626293034567[[#This Row],[累计净值]]/MAX(INDIRECT("B21:B" &amp; ROW()))-1&lt;E355,表2_3671626293034567[[#This Row],[累计净值]]/MAX(INDIRECT("B21:B" &amp; ROW()))-1,E355)</f>
        <v>-2.5203567274137306E-2</v>
      </c>
      <c r="F356" s="110">
        <f>表2_3671626293034567[[#This Row],[累计净值]]-$I$242</f>
        <v>1.0757000000000001</v>
      </c>
      <c r="G356" s="20">
        <f>0.8*(表2_3671626293034567[[#This Row],[累计净值]]/$B$22-1)</f>
        <v>0.1855141579731745</v>
      </c>
    </row>
    <row r="357" spans="1:7" x14ac:dyDescent="0.2">
      <c r="A357" s="55">
        <v>44209</v>
      </c>
      <c r="B357" s="112">
        <v>1.2373000000000001</v>
      </c>
      <c r="C357" s="108">
        <f t="shared" si="100"/>
        <v>-2.5999999999999357E-3</v>
      </c>
      <c r="D357" s="109">
        <f t="shared" si="101"/>
        <v>-2.5999999999999357E-3</v>
      </c>
      <c r="E357" s="109">
        <f ca="1">IF(表2_3671626293034567[[#This Row],[累计净值]]/MAX(INDIRECT("B21:B" &amp; ROW()))-1&lt;E356,表2_3671626293034567[[#This Row],[累计净值]]/MAX(INDIRECT("B21:B" &amp; ROW()))-1,E356)</f>
        <v>-2.5203567274137306E-2</v>
      </c>
      <c r="F357" s="110">
        <f>表2_3671626293034567[[#This Row],[累计净值]]-$I$242</f>
        <v>1.0731000000000002</v>
      </c>
      <c r="G357" s="20">
        <f>0.8*(表2_3671626293034567[[#This Row],[累计净值]]/$B$22-1)</f>
        <v>0.18344759066070557</v>
      </c>
    </row>
    <row r="358" spans="1:7" x14ac:dyDescent="0.2">
      <c r="A358" s="55">
        <v>44210</v>
      </c>
      <c r="B358" s="112">
        <v>1.2304999999999999</v>
      </c>
      <c r="C358" s="108">
        <f t="shared" si="100"/>
        <v>-6.8000000000001393E-3</v>
      </c>
      <c r="D358" s="109">
        <f t="shared" si="101"/>
        <v>-6.8000000000001393E-3</v>
      </c>
      <c r="E358" s="109">
        <f ca="1">IF(表2_3671626293034567[[#This Row],[累计净值]]/MAX(INDIRECT("B21:B" &amp; ROW()))-1&lt;E357,表2_3671626293034567[[#This Row],[累计净值]]/MAX(INDIRECT("B21:B" &amp; ROW()))-1,E357)</f>
        <v>-2.5203567274137306E-2</v>
      </c>
      <c r="F358" s="110">
        <f>表2_3671626293034567[[#This Row],[累计净值]]-$I$242</f>
        <v>1.0663</v>
      </c>
      <c r="G358" s="20">
        <f>0.8*(表2_3671626293034567[[#This Row],[累计净值]]/$B$22-1)</f>
        <v>0.17804272230501736</v>
      </c>
    </row>
    <row r="359" spans="1:7" x14ac:dyDescent="0.2">
      <c r="A359" s="55">
        <v>44211</v>
      </c>
      <c r="B359" s="112">
        <v>1.236</v>
      </c>
      <c r="C359" s="108">
        <f t="shared" ref="C359:C365" si="102">IFERROR(B359-B358,0)</f>
        <v>5.5000000000000604E-3</v>
      </c>
      <c r="D359" s="109" t="str">
        <f t="shared" ref="D359:D365" si="103">IF(C359&lt;0,C359,"/")</f>
        <v>/</v>
      </c>
      <c r="E359" s="109">
        <f ca="1">IF(表2_3671626293034567[[#This Row],[累计净值]]/MAX(INDIRECT("B21:B" &amp; ROW()))-1&lt;E358,表2_3671626293034567[[#This Row],[累计净值]]/MAX(INDIRECT("B21:B" &amp; ROW()))-1,E358)</f>
        <v>-2.5203567274137306E-2</v>
      </c>
      <c r="F359" s="110">
        <f>表2_3671626293034567[[#This Row],[累计净值]]-$I$242</f>
        <v>1.0718000000000001</v>
      </c>
      <c r="G359" s="20">
        <f>0.8*(表2_3671626293034567[[#This Row],[累计净值]]/$B$22-1)</f>
        <v>0.18241430700447092</v>
      </c>
    </row>
    <row r="360" spans="1:7" x14ac:dyDescent="0.2">
      <c r="A360" s="55">
        <v>44214</v>
      </c>
      <c r="B360" s="112">
        <v>1.2414000000000001</v>
      </c>
      <c r="C360" s="108">
        <f t="shared" si="102"/>
        <v>5.4000000000000714E-3</v>
      </c>
      <c r="D360" s="109" t="str">
        <f t="shared" si="103"/>
        <v>/</v>
      </c>
      <c r="E360" s="109">
        <f ca="1">IF(表2_3671626293034567[[#This Row],[累计净值]]/MAX(INDIRECT("B21:B" &amp; ROW()))-1&lt;E359,表2_3671626293034567[[#This Row],[累计净值]]/MAX(INDIRECT("B21:B" &amp; ROW()))-1,E359)</f>
        <v>-2.5203567274137306E-2</v>
      </c>
      <c r="F360" s="110">
        <f>表2_3671626293034567[[#This Row],[累计净值]]-$I$242</f>
        <v>1.0772000000000002</v>
      </c>
      <c r="G360" s="20">
        <f>0.8*(表2_3671626293034567[[#This Row],[累计净值]]/$B$22-1)</f>
        <v>0.18670640834575264</v>
      </c>
    </row>
    <row r="361" spans="1:7" x14ac:dyDescent="0.2">
      <c r="A361" s="55">
        <v>44215</v>
      </c>
      <c r="B361" s="112">
        <v>1.2410000000000001</v>
      </c>
      <c r="C361" s="108">
        <f t="shared" si="102"/>
        <v>-3.9999999999995595E-4</v>
      </c>
      <c r="D361" s="109">
        <f t="shared" si="103"/>
        <v>-3.9999999999995595E-4</v>
      </c>
      <c r="E361" s="109">
        <f ca="1">IF(表2_3671626293034567[[#This Row],[累计净值]]/MAX(INDIRECT("B21:B" &amp; ROW()))-1&lt;E360,表2_3671626293034567[[#This Row],[累计净值]]/MAX(INDIRECT("B21:B" &amp; ROW()))-1,E360)</f>
        <v>-2.5203567274137306E-2</v>
      </c>
      <c r="F361" s="110">
        <f>表2_3671626293034567[[#This Row],[累计净值]]-$I$242</f>
        <v>1.0768000000000002</v>
      </c>
      <c r="G361" s="20">
        <f>0.8*(表2_3671626293034567[[#This Row],[累计净值]]/$B$22-1)</f>
        <v>0.18638847491306515</v>
      </c>
    </row>
    <row r="362" spans="1:7" x14ac:dyDescent="0.2">
      <c r="A362" s="55">
        <v>44216</v>
      </c>
      <c r="B362" s="112">
        <v>1.2442</v>
      </c>
      <c r="C362" s="108">
        <f t="shared" si="102"/>
        <v>3.1999999999998696E-3</v>
      </c>
      <c r="D362" s="109" t="str">
        <f t="shared" si="103"/>
        <v>/</v>
      </c>
      <c r="E362" s="109">
        <f ca="1">IF(表2_3671626293034567[[#This Row],[累计净值]]/MAX(INDIRECT("B21:B" &amp; ROW()))-1&lt;E361,表2_3671626293034567[[#This Row],[累计净值]]/MAX(INDIRECT("B21:B" &amp; ROW()))-1,E361)</f>
        <v>-2.5203567274137306E-2</v>
      </c>
      <c r="F362" s="110">
        <f>表2_3671626293034567[[#This Row],[累计净值]]-$I$242</f>
        <v>1.08</v>
      </c>
      <c r="G362" s="20">
        <f>0.8*(表2_3671626293034567[[#This Row],[累计净值]]/$B$22-1)</f>
        <v>0.18893194237456543</v>
      </c>
    </row>
    <row r="363" spans="1:7" x14ac:dyDescent="0.2">
      <c r="A363" s="55">
        <v>44217</v>
      </c>
      <c r="B363" s="112">
        <v>1.2462</v>
      </c>
      <c r="C363" s="108">
        <f t="shared" si="102"/>
        <v>2.0000000000000018E-3</v>
      </c>
      <c r="D363" s="109" t="str">
        <f t="shared" si="103"/>
        <v>/</v>
      </c>
      <c r="E363" s="109">
        <f ca="1">IF(表2_3671626293034567[[#This Row],[累计净值]]/MAX(INDIRECT("B21:B" &amp; ROW()))-1&lt;E362,表2_3671626293034567[[#This Row],[累计净值]]/MAX(INDIRECT("B21:B" &amp; ROW()))-1,E362)</f>
        <v>-2.5203567274137306E-2</v>
      </c>
      <c r="F363" s="110">
        <f>表2_3671626293034567[[#This Row],[累计净值]]-$I$242</f>
        <v>1.0820000000000001</v>
      </c>
      <c r="G363" s="20">
        <f>0.8*(表2_3671626293034567[[#This Row],[累计净值]]/$B$22-1)</f>
        <v>0.19052160953800304</v>
      </c>
    </row>
    <row r="364" spans="1:7" x14ac:dyDescent="0.2">
      <c r="A364" s="55">
        <v>44218</v>
      </c>
      <c r="B364" s="112">
        <v>1.2502</v>
      </c>
      <c r="C364" s="108">
        <f t="shared" si="102"/>
        <v>4.0000000000000036E-3</v>
      </c>
      <c r="D364" s="109" t="str">
        <f t="shared" si="103"/>
        <v>/</v>
      </c>
      <c r="E364" s="109">
        <f ca="1">IF(表2_3671626293034567[[#This Row],[累计净值]]/MAX(INDIRECT("B21:B" &amp; ROW()))-1&lt;E363,表2_3671626293034567[[#This Row],[累计净值]]/MAX(INDIRECT("B21:B" &amp; ROW()))-1,E363)</f>
        <v>-2.5203567274137306E-2</v>
      </c>
      <c r="F364" s="110">
        <f>表2_3671626293034567[[#This Row],[累计净值]]-$I$242</f>
        <v>1.0860000000000001</v>
      </c>
      <c r="G364" s="20">
        <f>0.8*(表2_3671626293034567[[#This Row],[累计净值]]/$B$22-1)</f>
        <v>0.19370094386487829</v>
      </c>
    </row>
    <row r="365" spans="1:7" x14ac:dyDescent="0.2">
      <c r="A365" s="55">
        <v>44221</v>
      </c>
      <c r="B365" s="117">
        <v>1.2509999999999999</v>
      </c>
      <c r="C365" s="108">
        <f t="shared" si="102"/>
        <v>7.9999999999991189E-4</v>
      </c>
      <c r="D365" s="109" t="str">
        <f t="shared" si="103"/>
        <v>/</v>
      </c>
      <c r="E365" s="109">
        <f ca="1">IF(表2_3671626293034567[[#This Row],[累计净值]]/MAX(INDIRECT("B21:B" &amp; ROW()))-1&lt;E364,表2_3671626293034567[[#This Row],[累计净值]]/MAX(INDIRECT("B21:B" &amp; ROW()))-1,E364)</f>
        <v>-2.5203567274137306E-2</v>
      </c>
      <c r="F365" s="110">
        <f>表2_3671626293034567[[#This Row],[累计净值]]-$I$242</f>
        <v>1.0868</v>
      </c>
      <c r="G365" s="20">
        <f>0.8*(表2_3671626293034567[[#This Row],[累计净值]]/$B$22-1)</f>
        <v>0.19433681073025327</v>
      </c>
    </row>
    <row r="366" spans="1:7" x14ac:dyDescent="0.2">
      <c r="A366" s="55">
        <v>44222</v>
      </c>
      <c r="B366" s="112">
        <v>1.2454000000000001</v>
      </c>
      <c r="C366" s="108">
        <f t="shared" ref="C366:C372" si="104">IFERROR(B366-B365,0)</f>
        <v>-5.5999999999998273E-3</v>
      </c>
      <c r="D366" s="109">
        <f t="shared" ref="D366:D372" si="105">IF(C366&lt;0,C366,"/")</f>
        <v>-5.5999999999998273E-3</v>
      </c>
      <c r="E366" s="109">
        <f ca="1">IF(表2_3671626293034567[[#This Row],[累计净值]]/MAX(INDIRECT("B21:B" &amp; ROW()))-1&lt;E365,表2_3671626293034567[[#This Row],[累计净值]]/MAX(INDIRECT("B21:B" &amp; ROW()))-1,E365)</f>
        <v>-2.5203567274137306E-2</v>
      </c>
      <c r="F366" s="110">
        <f>表2_3671626293034567[[#This Row],[累计净值]]-$I$242</f>
        <v>1.0812000000000002</v>
      </c>
      <c r="G366" s="20">
        <f>0.8*(表2_3671626293034567[[#This Row],[累计净值]]/$B$22-1)</f>
        <v>0.18988574267262806</v>
      </c>
    </row>
    <row r="367" spans="1:7" x14ac:dyDescent="0.2">
      <c r="A367" s="55">
        <v>44223</v>
      </c>
      <c r="B367" s="112">
        <v>1.2476</v>
      </c>
      <c r="C367" s="108">
        <f t="shared" si="104"/>
        <v>2.1999999999999797E-3</v>
      </c>
      <c r="D367" s="109" t="str">
        <f t="shared" si="105"/>
        <v>/</v>
      </c>
      <c r="E367" s="109">
        <f ca="1">IF(表2_3671626293034567[[#This Row],[累计净值]]/MAX(INDIRECT("B21:B" &amp; ROW()))-1&lt;E366,表2_3671626293034567[[#This Row],[累计净值]]/MAX(INDIRECT("B21:B" &amp; ROW()))-1,E366)</f>
        <v>-2.5203567274137306E-2</v>
      </c>
      <c r="F367" s="110">
        <f>表2_3671626293034567[[#This Row],[累计净值]]-$I$242</f>
        <v>1.0834000000000001</v>
      </c>
      <c r="G367" s="20">
        <f>0.8*(表2_3671626293034567[[#This Row],[累计净值]]/$B$22-1)</f>
        <v>0.19163437655240934</v>
      </c>
    </row>
    <row r="368" spans="1:7" x14ac:dyDescent="0.2">
      <c r="A368" s="55">
        <v>44224</v>
      </c>
      <c r="B368" s="112">
        <v>1.2387999999999999</v>
      </c>
      <c r="C368" s="108">
        <f t="shared" si="104"/>
        <v>-8.800000000000141E-3</v>
      </c>
      <c r="D368" s="109">
        <f t="shared" si="105"/>
        <v>-8.800000000000141E-3</v>
      </c>
      <c r="E368" s="109">
        <f ca="1">IF(表2_3671626293034567[[#This Row],[累计净值]]/MAX(INDIRECT("B21:B" &amp; ROW()))-1&lt;E367,表2_3671626293034567[[#This Row],[累计净值]]/MAX(INDIRECT("B21:B" &amp; ROW()))-1,E367)</f>
        <v>-2.5203567274137306E-2</v>
      </c>
      <c r="F368" s="110">
        <f>表2_3671626293034567[[#This Row],[累计净值]]-$I$242</f>
        <v>1.0746</v>
      </c>
      <c r="G368" s="20">
        <f>0.8*(表2_3671626293034567[[#This Row],[累计净值]]/$B$22-1)</f>
        <v>0.18463984103328368</v>
      </c>
    </row>
    <row r="369" spans="1:7" x14ac:dyDescent="0.2">
      <c r="A369" s="55">
        <v>44225</v>
      </c>
      <c r="B369" s="112">
        <v>1.2414000000000001</v>
      </c>
      <c r="C369" s="108">
        <f t="shared" si="104"/>
        <v>2.6000000000001577E-3</v>
      </c>
      <c r="D369" s="109" t="str">
        <f t="shared" si="105"/>
        <v>/</v>
      </c>
      <c r="E369" s="109">
        <f ca="1">IF(表2_3671626293034567[[#This Row],[累计净值]]/MAX(INDIRECT("B21:B" &amp; ROW()))-1&lt;E368,表2_3671626293034567[[#This Row],[累计净值]]/MAX(INDIRECT("B21:B" &amp; ROW()))-1,E368)</f>
        <v>-2.5203567274137306E-2</v>
      </c>
      <c r="F369" s="110">
        <f>表2_3671626293034567[[#This Row],[累计净值]]-$I$242</f>
        <v>1.0772000000000002</v>
      </c>
      <c r="G369" s="20">
        <f>0.8*(表2_3671626293034567[[#This Row],[累计净值]]/$B$22-1)</f>
        <v>0.18670640834575264</v>
      </c>
    </row>
    <row r="370" spans="1:7" x14ac:dyDescent="0.2">
      <c r="A370" s="55">
        <v>44228</v>
      </c>
      <c r="B370" s="112">
        <v>1.2413000000000001</v>
      </c>
      <c r="C370" s="108">
        <f t="shared" si="104"/>
        <v>-9.9999999999988987E-5</v>
      </c>
      <c r="D370" s="109">
        <f t="shared" si="105"/>
        <v>-9.9999999999988987E-5</v>
      </c>
      <c r="E370" s="109">
        <f ca="1">IF(表2_3671626293034567[[#This Row],[累计净值]]/MAX(INDIRECT("B21:B" &amp; ROW()))-1&lt;E369,表2_3671626293034567[[#This Row],[累计净值]]/MAX(INDIRECT("B21:B" &amp; ROW()))-1,E369)</f>
        <v>-2.5203567274137306E-2</v>
      </c>
      <c r="F370" s="110">
        <f>表2_3671626293034567[[#This Row],[累计净值]]-$I$242</f>
        <v>1.0771000000000002</v>
      </c>
      <c r="G370" s="20">
        <f>0.8*(表2_3671626293034567[[#This Row],[累计净值]]/$B$22-1)</f>
        <v>0.18662692498758082</v>
      </c>
    </row>
    <row r="371" spans="1:7" x14ac:dyDescent="0.2">
      <c r="A371" s="55">
        <v>44229</v>
      </c>
      <c r="B371" s="112">
        <v>1.2452000000000001</v>
      </c>
      <c r="C371" s="108">
        <f t="shared" si="104"/>
        <v>3.9000000000000146E-3</v>
      </c>
      <c r="D371" s="109" t="str">
        <f t="shared" si="105"/>
        <v>/</v>
      </c>
      <c r="E371" s="109">
        <f ca="1">IF(表2_3671626293034567[[#This Row],[累计净值]]/MAX(INDIRECT("B21:B" &amp; ROW()))-1&lt;E370,表2_3671626293034567[[#This Row],[累计净值]]/MAX(INDIRECT("B21:B" &amp; ROW()))-1,E370)</f>
        <v>-2.5203567274137306E-2</v>
      </c>
      <c r="F371" s="110">
        <f>表2_3671626293034567[[#This Row],[累计净值]]-$I$242</f>
        <v>1.0810000000000002</v>
      </c>
      <c r="G371" s="20">
        <f>0.8*(表2_3671626293034567[[#This Row],[累计净值]]/$B$22-1)</f>
        <v>0.18972677595628423</v>
      </c>
    </row>
    <row r="372" spans="1:7" x14ac:dyDescent="0.2">
      <c r="A372" s="55">
        <v>44230</v>
      </c>
      <c r="B372" s="112">
        <v>1.2421</v>
      </c>
      <c r="C372" s="108">
        <f t="shared" si="104"/>
        <v>-3.1000000000001027E-3</v>
      </c>
      <c r="D372" s="109">
        <f t="shared" si="105"/>
        <v>-3.1000000000001027E-3</v>
      </c>
      <c r="E372" s="109">
        <f ca="1">IF(表2_3671626293034567[[#This Row],[累计净值]]/MAX(INDIRECT("B21:B" &amp; ROW()))-1&lt;E371,表2_3671626293034567[[#This Row],[累计净值]]/MAX(INDIRECT("B21:B" &amp; ROW()))-1,E371)</f>
        <v>-2.5203567274137306E-2</v>
      </c>
      <c r="F372" s="110">
        <f>表2_3671626293034567[[#This Row],[累计净值]]-$I$242</f>
        <v>1.0779000000000001</v>
      </c>
      <c r="G372" s="20">
        <f>0.8*(表2_3671626293034567[[#This Row],[累计净值]]/$B$22-1)</f>
        <v>0.1872627918529558</v>
      </c>
    </row>
    <row r="373" spans="1:7" x14ac:dyDescent="0.2">
      <c r="A373" s="55">
        <v>44231</v>
      </c>
      <c r="B373" s="112">
        <v>1.2399</v>
      </c>
      <c r="C373" s="108">
        <f>IFERROR(B373-B372,0)</f>
        <v>-2.1999999999999797E-3</v>
      </c>
      <c r="D373" s="109">
        <f>IF(C373&lt;0,C373,"/")</f>
        <v>-2.1999999999999797E-3</v>
      </c>
      <c r="E373" s="109">
        <f ca="1">IF(表2_3671626293034567[[#This Row],[累计净值]]/MAX(INDIRECT("B21:B" &amp; ROW()))-1&lt;E372,表2_3671626293034567[[#This Row],[累计净值]]/MAX(INDIRECT("B21:B" &amp; ROW()))-1,E372)</f>
        <v>-2.5203567274137306E-2</v>
      </c>
      <c r="F373" s="110">
        <f>表2_3671626293034567[[#This Row],[累计净值]]-$I$242</f>
        <v>1.0757000000000001</v>
      </c>
      <c r="G373" s="20">
        <f>0.8*(表2_3671626293034567[[#This Row],[累计净值]]/$B$22-1)</f>
        <v>0.1855141579731745</v>
      </c>
    </row>
    <row r="374" spans="1:7" x14ac:dyDescent="0.2">
      <c r="A374" s="55">
        <v>44232</v>
      </c>
      <c r="B374" s="112">
        <v>1.2365999999999999</v>
      </c>
      <c r="C374" s="108">
        <f>IFERROR(B374-B373,0)</f>
        <v>-3.3000000000000806E-3</v>
      </c>
      <c r="D374" s="109">
        <f>IF(C374&lt;0,C374,"/")</f>
        <v>-3.3000000000000806E-3</v>
      </c>
      <c r="E374" s="109">
        <f ca="1">IF(表2_3671626293034567[[#This Row],[累计净值]]/MAX(INDIRECT("B21:B" &amp; ROW()))-1&lt;E373,表2_3671626293034567[[#This Row],[累计净值]]/MAX(INDIRECT("B21:B" &amp; ROW()))-1,E373)</f>
        <v>-2.5203567274137306E-2</v>
      </c>
      <c r="F374" s="110">
        <f>表2_3671626293034567[[#This Row],[累计净值]]-$I$242</f>
        <v>1.0724</v>
      </c>
      <c r="G374" s="20">
        <f>0.8*(表2_3671626293034567[[#This Row],[累计净值]]/$B$22-1)</f>
        <v>0.18289120715350224</v>
      </c>
    </row>
    <row r="375" spans="1:7" x14ac:dyDescent="0.2">
      <c r="A375" s="55">
        <v>44235</v>
      </c>
      <c r="B375" s="112">
        <v>1.2353000000000001</v>
      </c>
      <c r="C375" s="108">
        <f>IFERROR(B375-B374,0)</f>
        <v>-1.2999999999998568E-3</v>
      </c>
      <c r="D375" s="109">
        <f>IF(C375&lt;0,C375,"/")</f>
        <v>-1.2999999999998568E-3</v>
      </c>
      <c r="E375" s="109">
        <f ca="1">IF(表2_3671626293034567[[#This Row],[累计净值]]/MAX(INDIRECT("B21:B" &amp; ROW()))-1&lt;E374,表2_3671626293034567[[#This Row],[累计净值]]/MAX(INDIRECT("B21:B" &amp; ROW()))-1,E374)</f>
        <v>-2.5203567274137306E-2</v>
      </c>
      <c r="F375" s="110">
        <f>表2_3671626293034567[[#This Row],[累计净值]]-$I$242</f>
        <v>1.0711000000000002</v>
      </c>
      <c r="G375" s="20">
        <f>0.8*(表2_3671626293034567[[#This Row],[累计净值]]/$B$22-1)</f>
        <v>0.18185792349726793</v>
      </c>
    </row>
    <row r="376" spans="1:7" x14ac:dyDescent="0.2">
      <c r="A376" s="55">
        <v>44236</v>
      </c>
      <c r="B376" s="112">
        <v>1.2375</v>
      </c>
      <c r="C376" s="108">
        <f>IFERROR(B376-B375,0)</f>
        <v>2.1999999999999797E-3</v>
      </c>
      <c r="D376" s="109" t="str">
        <f>IF(C376&lt;0,C376,"/")</f>
        <v>/</v>
      </c>
      <c r="E376" s="109">
        <f ca="1">IF(表2_3671626293034567[[#This Row],[累计净值]]/MAX(INDIRECT("B21:B" &amp; ROW()))-1&lt;E375,表2_3671626293034567[[#This Row],[累计净值]]/MAX(INDIRECT("B21:B" &amp; ROW()))-1,E375)</f>
        <v>-2.5203567274137306E-2</v>
      </c>
      <c r="F376" s="110">
        <f>表2_3671626293034567[[#This Row],[累计净值]]-$I$242</f>
        <v>1.0733000000000001</v>
      </c>
      <c r="G376" s="20">
        <f>0.8*(表2_3671626293034567[[#This Row],[累计净值]]/$B$22-1)</f>
        <v>0.18360655737704923</v>
      </c>
    </row>
    <row r="377" spans="1:7" x14ac:dyDescent="0.2">
      <c r="A377" s="55">
        <v>44237</v>
      </c>
      <c r="B377" s="112">
        <v>1.2412000000000001</v>
      </c>
      <c r="C377" s="108">
        <f t="shared" ref="C377:C378" si="106">IFERROR(B377-B376,0)</f>
        <v>3.7000000000000366E-3</v>
      </c>
      <c r="D377" s="109" t="str">
        <f t="shared" ref="D377:D378" si="107">IF(C377&lt;0,C377,"/")</f>
        <v>/</v>
      </c>
      <c r="E377" s="109">
        <f ca="1">IF(表2_3671626293034567[[#This Row],[累计净值]]/MAX(INDIRECT("B21:B" &amp; ROW()))-1&lt;E376,表2_3671626293034567[[#This Row],[累计净值]]/MAX(INDIRECT("B21:B" &amp; ROW()))-1,E376)</f>
        <v>-2.5203567274137306E-2</v>
      </c>
      <c r="F377" s="110">
        <f>表2_3671626293034567[[#This Row],[累计净值]]-$I$242</f>
        <v>1.0770000000000002</v>
      </c>
      <c r="G377" s="20">
        <f>0.8*(表2_3671626293034567[[#This Row],[累计净值]]/$B$22-1)</f>
        <v>0.18654744162940898</v>
      </c>
    </row>
    <row r="378" spans="1:7" x14ac:dyDescent="0.2">
      <c r="A378" s="55">
        <v>44245</v>
      </c>
      <c r="B378" s="112">
        <v>1.2444999999999999</v>
      </c>
      <c r="C378" s="108">
        <f t="shared" si="106"/>
        <v>3.2999999999998586E-3</v>
      </c>
      <c r="D378" s="109" t="str">
        <f t="shared" si="107"/>
        <v>/</v>
      </c>
      <c r="E378" s="109">
        <f ca="1">IF(表2_3671626293034567[[#This Row],[累计净值]]/MAX(INDIRECT("B21:B" &amp; ROW()))-1&lt;E377,表2_3671626293034567[[#This Row],[累计净值]]/MAX(INDIRECT("B21:B" &amp; ROW()))-1,E377)</f>
        <v>-2.5203567274137306E-2</v>
      </c>
      <c r="F378" s="110">
        <f>表2_3671626293034567[[#This Row],[累计净值]]-$I$242</f>
        <v>1.0803</v>
      </c>
      <c r="G378" s="20">
        <f>0.8*(表2_3671626293034567[[#This Row],[累计净值]]/$B$22-1)</f>
        <v>0.1891703924490809</v>
      </c>
    </row>
    <row r="379" spans="1:7" x14ac:dyDescent="0.2">
      <c r="A379" s="55">
        <v>44246</v>
      </c>
      <c r="B379" s="112">
        <v>1.2451000000000001</v>
      </c>
      <c r="C379" s="108">
        <f>IFERROR(B379-B378,0)</f>
        <v>6.0000000000015596E-4</v>
      </c>
      <c r="D379" s="109" t="str">
        <f>IF(C379&lt;0,C379,"/")</f>
        <v>/</v>
      </c>
      <c r="E379" s="109">
        <f ca="1">IF(表2_3671626293034567[[#This Row],[累计净值]]/MAX(INDIRECT("B21:B" &amp; ROW()))-1&lt;E378,表2_3671626293034567[[#This Row],[累计净值]]/MAX(INDIRECT("B21:B" &amp; ROW()))-1,E378)</f>
        <v>-2.5203567274137306E-2</v>
      </c>
      <c r="F379" s="110">
        <f>表2_3671626293034567[[#This Row],[累计净值]]-$I$242</f>
        <v>1.0809000000000002</v>
      </c>
      <c r="G379" s="20">
        <f>0.8*(表2_3671626293034567[[#This Row],[累计净值]]/$B$22-1)</f>
        <v>0.18964729259811242</v>
      </c>
    </row>
    <row r="380" spans="1:7" x14ac:dyDescent="0.2">
      <c r="A380" s="55">
        <v>44249</v>
      </c>
      <c r="B380" s="112">
        <v>1.2415</v>
      </c>
      <c r="C380" s="108">
        <f>IFERROR(B380-B379,0)</f>
        <v>-3.6000000000000476E-3</v>
      </c>
      <c r="D380" s="109">
        <f>IF(C380&lt;0,C380,"/")</f>
        <v>-3.6000000000000476E-3</v>
      </c>
      <c r="E380" s="109">
        <f ca="1">IF(表2_3671626293034567[[#This Row],[累计净值]]/MAX(INDIRECT("B21:B" &amp; ROW()))-1&lt;E379,表2_3671626293034567[[#This Row],[累计净值]]/MAX(INDIRECT("B21:B" &amp; ROW()))-1,E379)</f>
        <v>-2.5203567274137306E-2</v>
      </c>
      <c r="F380" s="110">
        <f>表2_3671626293034567[[#This Row],[累计净值]]-$I$242</f>
        <v>1.0773000000000001</v>
      </c>
      <c r="G380" s="20">
        <f>0.8*(表2_3671626293034567[[#This Row],[累计净值]]/$B$22-1)</f>
        <v>0.18678589170392465</v>
      </c>
    </row>
    <row r="381" spans="1:7" x14ac:dyDescent="0.2">
      <c r="A381" s="55">
        <v>44250</v>
      </c>
      <c r="B381" s="112">
        <v>1.2413000000000001</v>
      </c>
      <c r="C381" s="108">
        <f t="shared" ref="C381:C385" si="108">IFERROR(B381-B380,0)</f>
        <v>-1.9999999999997797E-4</v>
      </c>
      <c r="D381" s="109">
        <f t="shared" ref="D381:D385" si="109">IF(C381&lt;0,C381,"/")</f>
        <v>-1.9999999999997797E-4</v>
      </c>
      <c r="E381" s="109">
        <f ca="1">IF(表2_3671626293034567[[#This Row],[累计净值]]/MAX(INDIRECT("B21:B" &amp; ROW()))-1&lt;E380,表2_3671626293034567[[#This Row],[累计净值]]/MAX(INDIRECT("B21:B" &amp; ROW()))-1,E380)</f>
        <v>-2.5203567274137306E-2</v>
      </c>
      <c r="F381" s="110">
        <f>表2_3671626293034567[[#This Row],[累计净值]]-$I$242</f>
        <v>1.0771000000000002</v>
      </c>
      <c r="G381" s="20">
        <f>0.8*(表2_3671626293034567[[#This Row],[累计净值]]/$B$22-1)</f>
        <v>0.18662692498758082</v>
      </c>
    </row>
    <row r="382" spans="1:7" x14ac:dyDescent="0.2">
      <c r="A382" s="55">
        <v>44251</v>
      </c>
      <c r="B382" s="112">
        <v>1.2423999999999999</v>
      </c>
      <c r="C382" s="108">
        <f t="shared" si="108"/>
        <v>1.0999999999998789E-3</v>
      </c>
      <c r="D382" s="109" t="str">
        <f t="shared" si="109"/>
        <v>/</v>
      </c>
      <c r="E382" s="109">
        <f ca="1">IF(表2_3671626293034567[[#This Row],[累计净值]]/MAX(INDIRECT("B21:B" &amp; ROW()))-1&lt;E381,表2_3671626293034567[[#This Row],[累计净值]]/MAX(INDIRECT("B21:B" &amp; ROW()))-1,E381)</f>
        <v>-2.5203567274137306E-2</v>
      </c>
      <c r="F382" s="110">
        <f>表2_3671626293034567[[#This Row],[累计净值]]-$I$242</f>
        <v>1.0782</v>
      </c>
      <c r="G382" s="20">
        <f>0.8*(表2_3671626293034567[[#This Row],[累计净值]]/$B$22-1)</f>
        <v>0.18750124192747145</v>
      </c>
    </row>
    <row r="383" spans="1:7" x14ac:dyDescent="0.2">
      <c r="A383" s="55">
        <v>44252</v>
      </c>
      <c r="B383" s="112">
        <v>1.2441</v>
      </c>
      <c r="C383" s="108">
        <f t="shared" si="108"/>
        <v>1.7000000000000348E-3</v>
      </c>
      <c r="D383" s="109" t="str">
        <f t="shared" si="109"/>
        <v>/</v>
      </c>
      <c r="E383" s="109">
        <f ca="1">IF(表2_3671626293034567[[#This Row],[累计净值]]/MAX(INDIRECT("B21:B" &amp; ROW()))-1&lt;E382,表2_3671626293034567[[#This Row],[累计净值]]/MAX(INDIRECT("B21:B" &amp; ROW()))-1,E382)</f>
        <v>-2.5203567274137306E-2</v>
      </c>
      <c r="F383" s="110">
        <f>表2_3671626293034567[[#This Row],[累计净值]]-$I$242</f>
        <v>1.0799000000000001</v>
      </c>
      <c r="G383" s="20">
        <f>0.8*(表2_3671626293034567[[#This Row],[累计净值]]/$B$22-1)</f>
        <v>0.18885245901639341</v>
      </c>
    </row>
    <row r="384" spans="1:7" x14ac:dyDescent="0.2">
      <c r="A384" s="55">
        <v>44253</v>
      </c>
      <c r="B384" s="112">
        <v>1.2450000000000001</v>
      </c>
      <c r="C384" s="108">
        <f t="shared" si="108"/>
        <v>9.0000000000012292E-4</v>
      </c>
      <c r="D384" s="109" t="str">
        <f t="shared" si="109"/>
        <v>/</v>
      </c>
      <c r="E384" s="109">
        <f ca="1">IF(表2_3671626293034567[[#This Row],[累计净值]]/MAX(INDIRECT("B21:B" &amp; ROW()))-1&lt;E383,表2_3671626293034567[[#This Row],[累计净值]]/MAX(INDIRECT("B21:B" &amp; ROW()))-1,E383)</f>
        <v>-2.5203567274137306E-2</v>
      </c>
      <c r="F384" s="110">
        <f>表2_3671626293034567[[#This Row],[累计净值]]-$I$242</f>
        <v>1.0808000000000002</v>
      </c>
      <c r="G384" s="20">
        <f>0.8*(表2_3671626293034567[[#This Row],[累计净值]]/$B$22-1)</f>
        <v>0.18956780923994057</v>
      </c>
    </row>
    <row r="385" spans="1:7" x14ac:dyDescent="0.2">
      <c r="A385" s="55">
        <v>44256</v>
      </c>
      <c r="B385" s="63">
        <v>1.2524</v>
      </c>
      <c r="C385" s="64">
        <f t="shared" si="108"/>
        <v>7.3999999999998511E-3</v>
      </c>
      <c r="D385" s="65" t="str">
        <f t="shared" si="109"/>
        <v>/</v>
      </c>
      <c r="E385" s="65">
        <f ca="1">IF(表2_3671626293034567[[#This Row],[累计净值]]/MAX(INDIRECT("B21:B" &amp; ROW()))-1&lt;E384,表2_3671626293034567[[#This Row],[累计净值]]/MAX(INDIRECT("B21:B" &amp; ROW()))-1,E384)</f>
        <v>-2.5203567274137306E-2</v>
      </c>
      <c r="F385" s="110">
        <f>表2_3671626293034567[[#This Row],[累计净值]]-$I$242</f>
        <v>1.0882000000000001</v>
      </c>
      <c r="G385" s="20">
        <f>0.8*(表2_3671626293034567[[#This Row],[累计净值]]/$B$22-1)</f>
        <v>0.19544957774465976</v>
      </c>
    </row>
    <row r="386" spans="1:7" x14ac:dyDescent="0.2">
      <c r="A386" s="55">
        <v>44257</v>
      </c>
      <c r="B386" s="112">
        <v>1.2544</v>
      </c>
      <c r="C386" s="108">
        <f t="shared" ref="C386" si="110">IFERROR(B386-B385,0)</f>
        <v>2.0000000000000018E-3</v>
      </c>
      <c r="D386" s="109" t="str">
        <f t="shared" ref="D386" si="111">IF(C386&lt;0,C386,"/")</f>
        <v>/</v>
      </c>
      <c r="E386" s="109">
        <f ca="1">IF(表2_3671626293034567[[#This Row],[累计净值]]/MAX(INDIRECT("B21:B" &amp; ROW()))-1&lt;E385,表2_3671626293034567[[#This Row],[累计净值]]/MAX(INDIRECT("B21:B" &amp; ROW()))-1,E385)</f>
        <v>-2.5203567274137306E-2</v>
      </c>
      <c r="F386" s="110">
        <f>表2_3671626293034567[[#This Row],[累计净值]]-$I$242</f>
        <v>1.0902000000000001</v>
      </c>
      <c r="G386" s="20">
        <f>0.8*(表2_3671626293034567[[#This Row],[累计净值]]/$B$22-1)</f>
        <v>0.19703924490809738</v>
      </c>
    </row>
    <row r="387" spans="1:7" x14ac:dyDescent="0.2">
      <c r="A387" s="55">
        <v>44258</v>
      </c>
      <c r="B387" s="117">
        <v>1.2555000000000001</v>
      </c>
      <c r="C387" s="108">
        <f t="shared" ref="C387:C388" si="112">IFERROR(B387-B386,0)</f>
        <v>1.1000000000001009E-3</v>
      </c>
      <c r="D387" s="109" t="str">
        <f t="shared" ref="D387:D388" si="113">IF(C387&lt;0,C387,"/")</f>
        <v>/</v>
      </c>
      <c r="E387" s="109">
        <f ca="1">IF(表2_3671626293034567[[#This Row],[累计净值]]/MAX(INDIRECT("B21:B" &amp; ROW()))-1&lt;E386,表2_3671626293034567[[#This Row],[累计净值]]/MAX(INDIRECT("B21:B" &amp; ROW()))-1,E386)</f>
        <v>-2.5203567274137306E-2</v>
      </c>
      <c r="F387" s="110">
        <f>表2_3671626293034567[[#This Row],[累计净值]]-$I$242</f>
        <v>1.0913000000000002</v>
      </c>
      <c r="G387" s="20">
        <f>0.8*(表2_3671626293034567[[#This Row],[累计净值]]/$B$22-1)</f>
        <v>0.1979135618479882</v>
      </c>
    </row>
    <row r="388" spans="1:7" x14ac:dyDescent="0.2">
      <c r="A388" s="55">
        <v>44259</v>
      </c>
      <c r="B388" s="112">
        <v>1.2514000000000001</v>
      </c>
      <c r="C388" s="108">
        <f t="shared" si="112"/>
        <v>-4.0999999999999925E-3</v>
      </c>
      <c r="D388" s="109">
        <f t="shared" si="113"/>
        <v>-4.0999999999999925E-3</v>
      </c>
      <c r="E388" s="109">
        <f ca="1">IF(表2_3671626293034567[[#This Row],[累计净值]]/MAX(INDIRECT("B21:B" &amp; ROW()))-1&lt;E387,表2_3671626293034567[[#This Row],[累计净值]]/MAX(INDIRECT("B21:B" &amp; ROW()))-1,E387)</f>
        <v>-2.5203567274137306E-2</v>
      </c>
      <c r="F388" s="110">
        <f>表2_3671626293034567[[#This Row],[累计净值]]-$I$242</f>
        <v>1.0872000000000002</v>
      </c>
      <c r="G388" s="20">
        <f>0.8*(表2_3671626293034567[[#This Row],[累计净值]]/$B$22-1)</f>
        <v>0.19465474416294093</v>
      </c>
    </row>
    <row r="389" spans="1:7" x14ac:dyDescent="0.2">
      <c r="A389" s="55">
        <v>44260</v>
      </c>
      <c r="B389" s="112">
        <v>1.2486999999999999</v>
      </c>
      <c r="C389" s="108">
        <f t="shared" ref="C389:C394" si="114">IFERROR(B389-B388,0)</f>
        <v>-2.7000000000001467E-3</v>
      </c>
      <c r="D389" s="109">
        <f t="shared" ref="D389:D394" si="115">IF(C389&lt;0,C389,"/")</f>
        <v>-2.7000000000001467E-3</v>
      </c>
      <c r="E389" s="109">
        <f ca="1">IF(表2_3671626293034567[[#This Row],[累计净值]]/MAX(INDIRECT("B21:B" &amp; ROW()))-1&lt;E388,表2_3671626293034567[[#This Row],[累计净值]]/MAX(INDIRECT("B21:B" &amp; ROW()))-1,E388)</f>
        <v>-2.5203567274137306E-2</v>
      </c>
      <c r="F389" s="110">
        <f>表2_3671626293034567[[#This Row],[累计净值]]-$I$242</f>
        <v>1.0845</v>
      </c>
      <c r="G389" s="20">
        <f>0.8*(表2_3671626293034567[[#This Row],[累计净值]]/$B$22-1)</f>
        <v>0.19250869349229999</v>
      </c>
    </row>
    <row r="390" spans="1:7" x14ac:dyDescent="0.2">
      <c r="A390" s="55">
        <v>44263</v>
      </c>
      <c r="B390" s="112">
        <v>1.2447999999999999</v>
      </c>
      <c r="C390" s="108">
        <f t="shared" si="114"/>
        <v>-3.9000000000000146E-3</v>
      </c>
      <c r="D390" s="109">
        <f t="shared" si="115"/>
        <v>-3.9000000000000146E-3</v>
      </c>
      <c r="E390" s="109">
        <f ca="1">IF(表2_3671626293034567[[#This Row],[累计净值]]/MAX(INDIRECT("B21:B" &amp; ROW()))-1&lt;E389,表2_3671626293034567[[#This Row],[累计净值]]/MAX(INDIRECT("B21:B" &amp; ROW()))-1,E389)</f>
        <v>-2.5203567274137306E-2</v>
      </c>
      <c r="F390" s="110">
        <f>表2_3671626293034567[[#This Row],[累计净值]]-$I$242</f>
        <v>1.0806</v>
      </c>
      <c r="G390" s="20">
        <f>0.8*(表2_3671626293034567[[#This Row],[累计净值]]/$B$22-1)</f>
        <v>0.18940884252359658</v>
      </c>
    </row>
    <row r="391" spans="1:7" x14ac:dyDescent="0.2">
      <c r="A391" s="55">
        <v>44264</v>
      </c>
      <c r="B391" s="112">
        <v>1.2408999999999999</v>
      </c>
      <c r="C391" s="108">
        <f t="shared" si="114"/>
        <v>-3.9000000000000146E-3</v>
      </c>
      <c r="D391" s="109">
        <f t="shared" si="115"/>
        <v>-3.9000000000000146E-3</v>
      </c>
      <c r="E391" s="109">
        <f ca="1">IF(表2_3671626293034567[[#This Row],[累计净值]]/MAX(INDIRECT("B21:B" &amp; ROW()))-1&lt;E390,表2_3671626293034567[[#This Row],[累计净值]]/MAX(INDIRECT("B21:B" &amp; ROW()))-1,E390)</f>
        <v>-2.5203567274137306E-2</v>
      </c>
      <c r="F391" s="110">
        <f>表2_3671626293034567[[#This Row],[累计净值]]-$I$242</f>
        <v>1.0767</v>
      </c>
      <c r="G391" s="20">
        <f>0.8*(表2_3671626293034567[[#This Row],[累计净值]]/$B$22-1)</f>
        <v>0.18630899155489314</v>
      </c>
    </row>
    <row r="392" spans="1:7" x14ac:dyDescent="0.2">
      <c r="A392" s="55">
        <v>44265</v>
      </c>
      <c r="B392" s="112">
        <v>1.2475000000000001</v>
      </c>
      <c r="C392" s="108">
        <f t="shared" si="114"/>
        <v>6.6000000000001613E-3</v>
      </c>
      <c r="D392" s="109" t="str">
        <f t="shared" si="115"/>
        <v>/</v>
      </c>
      <c r="E392" s="109">
        <f ca="1">IF(表2_3671626293034567[[#This Row],[累计净值]]/MAX(INDIRECT("B21:B" &amp; ROW()))-1&lt;E391,表2_3671626293034567[[#This Row],[累计净值]]/MAX(INDIRECT("B21:B" &amp; ROW()))-1,E391)</f>
        <v>-2.5203567274137306E-2</v>
      </c>
      <c r="F392" s="110">
        <f>表2_3671626293034567[[#This Row],[累计净值]]-$I$242</f>
        <v>1.0833000000000002</v>
      </c>
      <c r="G392" s="20">
        <f>0.8*(表2_3671626293034567[[#This Row],[累计净值]]/$B$22-1)</f>
        <v>0.19155489319423752</v>
      </c>
    </row>
    <row r="393" spans="1:7" x14ac:dyDescent="0.2">
      <c r="A393" s="55">
        <v>44266</v>
      </c>
      <c r="B393" s="112">
        <v>1.2552000000000001</v>
      </c>
      <c r="C393" s="108">
        <f t="shared" si="114"/>
        <v>7.7000000000000401E-3</v>
      </c>
      <c r="D393" s="109" t="str">
        <f t="shared" si="115"/>
        <v>/</v>
      </c>
      <c r="E393" s="109">
        <f ca="1">IF(表2_3671626293034567[[#This Row],[累计净值]]/MAX(INDIRECT("B21:B" &amp; ROW()))-1&lt;E392,表2_3671626293034567[[#This Row],[累计净值]]/MAX(INDIRECT("B21:B" &amp; ROW()))-1,E392)</f>
        <v>-2.5203567274137306E-2</v>
      </c>
      <c r="F393" s="110">
        <f>表2_3671626293034567[[#This Row],[累计净值]]-$I$242</f>
        <v>1.0910000000000002</v>
      </c>
      <c r="G393" s="20">
        <f>0.8*(表2_3671626293034567[[#This Row],[累计净值]]/$B$22-1)</f>
        <v>0.19767511177347252</v>
      </c>
    </row>
    <row r="394" spans="1:7" x14ac:dyDescent="0.2">
      <c r="A394" s="55">
        <v>44267</v>
      </c>
      <c r="B394" s="112">
        <v>1.2554000000000001</v>
      </c>
      <c r="C394" s="108">
        <f t="shared" si="114"/>
        <v>1.9999999999997797E-4</v>
      </c>
      <c r="D394" s="109" t="str">
        <f t="shared" si="115"/>
        <v>/</v>
      </c>
      <c r="E394" s="109">
        <f ca="1">IF(表2_3671626293034567[[#This Row],[累计净值]]/MAX(INDIRECT("B21:B" &amp; ROW()))-1&lt;E393,表2_3671626293034567[[#This Row],[累计净值]]/MAX(INDIRECT("B21:B" &amp; ROW()))-1,E393)</f>
        <v>-2.5203567274137306E-2</v>
      </c>
      <c r="F394" s="110">
        <f>表2_3671626293034567[[#This Row],[累计净值]]-$I$242</f>
        <v>1.0912000000000002</v>
      </c>
      <c r="G394" s="20">
        <f>0.8*(表2_3671626293034567[[#This Row],[累计净值]]/$B$22-1)</f>
        <v>0.19783407848981638</v>
      </c>
    </row>
    <row r="395" spans="1:7" x14ac:dyDescent="0.2">
      <c r="A395" s="55">
        <v>44270</v>
      </c>
      <c r="B395" s="112">
        <v>1.2525999999999999</v>
      </c>
      <c r="C395" s="108">
        <f t="shared" ref="C395:C400" si="116">IFERROR(B395-B394,0)</f>
        <v>-2.8000000000001357E-3</v>
      </c>
      <c r="D395" s="109">
        <f t="shared" ref="D395:D400" si="117">IF(C395&lt;0,C395,"/")</f>
        <v>-2.8000000000001357E-3</v>
      </c>
      <c r="E395" s="109">
        <f ca="1">IF(表2_3671626293034567[[#This Row],[累计净值]]/MAX(INDIRECT("B21:B" &amp; ROW()))-1&lt;E394,表2_3671626293034567[[#This Row],[累计净值]]/MAX(INDIRECT("B21:B" &amp; ROW()))-1,E394)</f>
        <v>-2.5203567274137306E-2</v>
      </c>
      <c r="F395" s="110">
        <f>表2_3671626293034567[[#This Row],[累计净值]]-$I$242</f>
        <v>1.0884</v>
      </c>
      <c r="G395" s="20">
        <f>0.8*(表2_3671626293034567[[#This Row],[累计净值]]/$B$22-1)</f>
        <v>0.1956085444610034</v>
      </c>
    </row>
    <row r="396" spans="1:7" x14ac:dyDescent="0.2">
      <c r="A396" s="55">
        <v>44271</v>
      </c>
      <c r="B396" s="112">
        <v>1.2563</v>
      </c>
      <c r="C396" s="108">
        <f t="shared" si="116"/>
        <v>3.7000000000000366E-3</v>
      </c>
      <c r="D396" s="109" t="str">
        <f t="shared" si="117"/>
        <v>/</v>
      </c>
      <c r="E396" s="109">
        <f ca="1">IF(表2_3671626293034567[[#This Row],[累计净值]]/MAX(INDIRECT("B21:B" &amp; ROW()))-1&lt;E395,表2_3671626293034567[[#This Row],[累计净值]]/MAX(INDIRECT("B21:B" &amp; ROW()))-1,E395)</f>
        <v>-2.5203567274137306E-2</v>
      </c>
      <c r="F396" s="110">
        <f>表2_3671626293034567[[#This Row],[累计净值]]-$I$242</f>
        <v>1.0921000000000001</v>
      </c>
      <c r="G396" s="20">
        <f>0.8*(表2_3671626293034567[[#This Row],[累计净值]]/$B$22-1)</f>
        <v>0.19854942871336317</v>
      </c>
    </row>
    <row r="397" spans="1:7" x14ac:dyDescent="0.2">
      <c r="A397" s="55">
        <v>44272</v>
      </c>
      <c r="B397" s="112">
        <v>1.2567999999999999</v>
      </c>
      <c r="C397" s="108">
        <f t="shared" si="116"/>
        <v>4.9999999999994493E-4</v>
      </c>
      <c r="D397" s="109" t="str">
        <f t="shared" si="117"/>
        <v>/</v>
      </c>
      <c r="E397" s="109">
        <f ca="1">IF(表2_3671626293034567[[#This Row],[累计净值]]/MAX(INDIRECT("B21:B" &amp; ROW()))-1&lt;E396,表2_3671626293034567[[#This Row],[累计净值]]/MAX(INDIRECT("B21:B" &amp; ROW()))-1,E396)</f>
        <v>-2.5203567274137306E-2</v>
      </c>
      <c r="F397" s="110">
        <f>表2_3671626293034567[[#This Row],[累计净值]]-$I$242</f>
        <v>1.0926</v>
      </c>
      <c r="G397" s="20">
        <f>0.8*(表2_3671626293034567[[#This Row],[累计净值]]/$B$22-1)</f>
        <v>0.19894684550422248</v>
      </c>
    </row>
    <row r="398" spans="1:7" x14ac:dyDescent="0.2">
      <c r="A398" s="55">
        <v>44273</v>
      </c>
      <c r="B398" s="112">
        <v>1.256</v>
      </c>
      <c r="C398" s="108">
        <f t="shared" si="116"/>
        <v>-7.9999999999991189E-4</v>
      </c>
      <c r="D398" s="109">
        <f t="shared" si="117"/>
        <v>-7.9999999999991189E-4</v>
      </c>
      <c r="E398" s="109">
        <f ca="1">IF(表2_3671626293034567[[#This Row],[累计净值]]/MAX(INDIRECT("B21:B" &amp; ROW()))-1&lt;E397,表2_3671626293034567[[#This Row],[累计净值]]/MAX(INDIRECT("B21:B" &amp; ROW()))-1,E397)</f>
        <v>-2.5203567274137306E-2</v>
      </c>
      <c r="F398" s="110">
        <f>表2_3671626293034567[[#This Row],[累计净值]]-$I$242</f>
        <v>1.0918000000000001</v>
      </c>
      <c r="G398" s="20">
        <f>0.8*(表2_3671626293034567[[#This Row],[累计净值]]/$B$22-1)</f>
        <v>0.1983109786388475</v>
      </c>
    </row>
    <row r="399" spans="1:7" x14ac:dyDescent="0.2">
      <c r="A399" s="55">
        <v>44274</v>
      </c>
      <c r="B399" s="112">
        <v>1.2532000000000001</v>
      </c>
      <c r="C399" s="108">
        <f t="shared" si="116"/>
        <v>-2.7999999999999137E-3</v>
      </c>
      <c r="D399" s="109">
        <f t="shared" si="117"/>
        <v>-2.7999999999999137E-3</v>
      </c>
      <c r="E399" s="109">
        <f ca="1">IF(表2_3671626293034567[[#This Row],[累计净值]]/MAX(INDIRECT("B21:B" &amp; ROW()))-1&lt;E398,表2_3671626293034567[[#This Row],[累计净值]]/MAX(INDIRECT("B21:B" &amp; ROW()))-1,E398)</f>
        <v>-2.5203567274137306E-2</v>
      </c>
      <c r="F399" s="110">
        <f>表2_3671626293034567[[#This Row],[累计净值]]-$I$242</f>
        <v>1.0890000000000002</v>
      </c>
      <c r="G399" s="20">
        <f>0.8*(表2_3671626293034567[[#This Row],[累计净值]]/$B$22-1)</f>
        <v>0.19608544461003491</v>
      </c>
    </row>
    <row r="400" spans="1:7" x14ac:dyDescent="0.2">
      <c r="A400" s="55">
        <v>44277</v>
      </c>
      <c r="B400" s="112">
        <v>1.2521</v>
      </c>
      <c r="C400" s="108">
        <f t="shared" si="116"/>
        <v>-1.1000000000001009E-3</v>
      </c>
      <c r="D400" s="109">
        <f t="shared" si="117"/>
        <v>-1.1000000000001009E-3</v>
      </c>
      <c r="E400" s="109">
        <f ca="1">IF(表2_3671626293034567[[#This Row],[累计净值]]/MAX(INDIRECT("B21:B" &amp; ROW()))-1&lt;E399,表2_3671626293034567[[#This Row],[累计净值]]/MAX(INDIRECT("B21:B" &amp; ROW()))-1,E399)</f>
        <v>-2.5203567274137306E-2</v>
      </c>
      <c r="F400" s="110">
        <f>表2_3671626293034567[[#This Row],[累计净值]]-$I$242</f>
        <v>1.0879000000000001</v>
      </c>
      <c r="G400" s="20">
        <f>0.8*(表2_3671626293034567[[#This Row],[累计净值]]/$B$22-1)</f>
        <v>0.19521112767014409</v>
      </c>
    </row>
    <row r="401" spans="1:7" x14ac:dyDescent="0.2">
      <c r="A401" s="55">
        <v>44278</v>
      </c>
      <c r="B401" s="112">
        <v>1.2525999999999999</v>
      </c>
      <c r="C401" s="108">
        <f t="shared" ref="C401:C404" si="118">IFERROR(B401-B400,0)</f>
        <v>4.9999999999994493E-4</v>
      </c>
      <c r="D401" s="109" t="str">
        <f t="shared" ref="D401:D404" si="119">IF(C401&lt;0,C401,"/")</f>
        <v>/</v>
      </c>
      <c r="E401" s="109">
        <f ca="1">IF(表2_3671626293034567[[#This Row],[累计净值]]/MAX(INDIRECT("B21:B" &amp; ROW()))-1&lt;E400,表2_3671626293034567[[#This Row],[累计净值]]/MAX(INDIRECT("B21:B" &amp; ROW()))-1,E400)</f>
        <v>-2.5203567274137306E-2</v>
      </c>
      <c r="F401" s="110">
        <f>表2_3671626293034567[[#This Row],[累计净值]]-$I$242</f>
        <v>1.0884</v>
      </c>
      <c r="G401" s="20">
        <f>0.8*(表2_3671626293034567[[#This Row],[累计净值]]/$B$22-1)</f>
        <v>0.1956085444610034</v>
      </c>
    </row>
    <row r="402" spans="1:7" x14ac:dyDescent="0.2">
      <c r="A402" s="55">
        <v>44279</v>
      </c>
      <c r="B402" s="112">
        <v>1.2424999999999999</v>
      </c>
      <c r="C402" s="108">
        <f t="shared" si="118"/>
        <v>-1.0099999999999998E-2</v>
      </c>
      <c r="D402" s="109">
        <f t="shared" si="119"/>
        <v>-1.0099999999999998E-2</v>
      </c>
      <c r="E402" s="109">
        <f ca="1">IF(表2_3671626293034567[[#This Row],[累计净值]]/MAX(INDIRECT("B21:B" &amp; ROW()))-1&lt;E401,表2_3671626293034567[[#This Row],[累计净值]]/MAX(INDIRECT("B21:B" &amp; ROW()))-1,E401)</f>
        <v>-2.5203567274137306E-2</v>
      </c>
      <c r="F402" s="110">
        <f>表2_3671626293034567[[#This Row],[累计净值]]-$I$242</f>
        <v>1.0783</v>
      </c>
      <c r="G402" s="20">
        <f>0.8*(表2_3671626293034567[[#This Row],[累计净值]]/$B$22-1)</f>
        <v>0.18758072528564329</v>
      </c>
    </row>
    <row r="403" spans="1:7" x14ac:dyDescent="0.2">
      <c r="A403" s="55">
        <v>44280</v>
      </c>
      <c r="B403" s="112">
        <v>1.2387999999999999</v>
      </c>
      <c r="C403" s="108">
        <f t="shared" si="118"/>
        <v>-3.7000000000000366E-3</v>
      </c>
      <c r="D403" s="109">
        <f t="shared" si="119"/>
        <v>-3.7000000000000366E-3</v>
      </c>
      <c r="E403" s="109">
        <f ca="1">IF(表2_3671626293034567[[#This Row],[累计净值]]/MAX(INDIRECT("B21:B" &amp; ROW()))-1&lt;E402,表2_3671626293034567[[#This Row],[累计净值]]/MAX(INDIRECT("B21:B" &amp; ROW()))-1,E402)</f>
        <v>-2.5203567274137306E-2</v>
      </c>
      <c r="F403" s="110">
        <f>表2_3671626293034567[[#This Row],[累计净值]]-$I$242</f>
        <v>1.0746</v>
      </c>
      <c r="G403" s="20">
        <f>0.8*(表2_3671626293034567[[#This Row],[累计净值]]/$B$22-1)</f>
        <v>0.18463984103328368</v>
      </c>
    </row>
    <row r="404" spans="1:7" x14ac:dyDescent="0.2">
      <c r="A404" s="55">
        <v>44281</v>
      </c>
      <c r="B404" s="112">
        <v>1.2427999999999999</v>
      </c>
      <c r="C404" s="108">
        <f t="shared" si="118"/>
        <v>4.0000000000000036E-3</v>
      </c>
      <c r="D404" s="109" t="str">
        <f t="shared" si="119"/>
        <v>/</v>
      </c>
      <c r="E404" s="109">
        <f ca="1">IF(表2_3671626293034567[[#This Row],[累计净值]]/MAX(INDIRECT("B21:B" &amp; ROW()))-1&lt;E403,表2_3671626293034567[[#This Row],[累计净值]]/MAX(INDIRECT("B21:B" &amp; ROW()))-1,E403)</f>
        <v>-2.5203567274137306E-2</v>
      </c>
      <c r="F404" s="110">
        <f>表2_3671626293034567[[#This Row],[累计净值]]-$I$242</f>
        <v>1.0786</v>
      </c>
      <c r="G404" s="20">
        <f>0.8*(表2_3671626293034567[[#This Row],[累计净值]]/$B$22-1)</f>
        <v>0.18781917536015894</v>
      </c>
    </row>
    <row r="405" spans="1:7" x14ac:dyDescent="0.2">
      <c r="A405" s="55">
        <v>44284</v>
      </c>
      <c r="B405" s="112">
        <v>1.2467999999999999</v>
      </c>
      <c r="C405" s="108">
        <f>IFERROR(B405-B404,0)</f>
        <v>4.0000000000000036E-3</v>
      </c>
      <c r="D405" s="109" t="str">
        <f>IF(C405&lt;0,C405,"/")</f>
        <v>/</v>
      </c>
      <c r="E405" s="109">
        <f ca="1">IF(表2_3671626293034567[[#This Row],[累计净值]]/MAX(INDIRECT("B21:B" &amp; ROW()))-1&lt;E404,表2_3671626293034567[[#This Row],[累计净值]]/MAX(INDIRECT("B21:B" &amp; ROW()))-1,E404)</f>
        <v>-2.5203567274137306E-2</v>
      </c>
      <c r="F405" s="110">
        <f>表2_3671626293034567[[#This Row],[累计净值]]-$I$242</f>
        <v>1.0826</v>
      </c>
      <c r="G405" s="20">
        <f>0.8*(表2_3671626293034567[[#This Row],[累计净值]]/$B$22-1)</f>
        <v>0.19099850968703419</v>
      </c>
    </row>
    <row r="406" spans="1:7" x14ac:dyDescent="0.2">
      <c r="A406" s="55">
        <v>44285</v>
      </c>
      <c r="B406" s="112">
        <v>1.2477</v>
      </c>
      <c r="C406" s="108">
        <f t="shared" ref="C406:C407" si="120">IFERROR(B406-B405,0)</f>
        <v>9.0000000000012292E-4</v>
      </c>
      <c r="D406" s="109" t="str">
        <f t="shared" ref="D406:D407" si="121">IF(C406&lt;0,C406,"/")</f>
        <v>/</v>
      </c>
      <c r="E406" s="109">
        <f ca="1">IF(表2_3671626293034567[[#This Row],[累计净值]]/MAX(INDIRECT("B21:B" &amp; ROW()))-1&lt;E405,表2_3671626293034567[[#This Row],[累计净值]]/MAX(INDIRECT("B21:B" &amp; ROW()))-1,E405)</f>
        <v>-2.5203567274137306E-2</v>
      </c>
      <c r="F406" s="110">
        <f>表2_3671626293034567[[#This Row],[累计净值]]-$I$242</f>
        <v>1.0835000000000001</v>
      </c>
      <c r="G406" s="20">
        <f>0.8*(表2_3671626293034567[[#This Row],[累计净值]]/$B$22-1)</f>
        <v>0.19171385991058135</v>
      </c>
    </row>
    <row r="407" spans="1:7" x14ac:dyDescent="0.2">
      <c r="A407" s="55">
        <v>44286</v>
      </c>
      <c r="B407" s="112">
        <v>1.2448999999999999</v>
      </c>
      <c r="C407" s="108">
        <f t="shared" si="120"/>
        <v>-2.8000000000001357E-3</v>
      </c>
      <c r="D407" s="109">
        <f t="shared" si="121"/>
        <v>-2.8000000000001357E-3</v>
      </c>
      <c r="E407" s="109">
        <f ca="1">IF(表2_3671626293034567[[#This Row],[累计净值]]/MAX(INDIRECT("B21:B" &amp; ROW()))-1&lt;E406,表2_3671626293034567[[#This Row],[累计净值]]/MAX(INDIRECT("B21:B" &amp; ROW()))-1,E406)</f>
        <v>-2.5203567274137306E-2</v>
      </c>
      <c r="F407" s="110">
        <f>表2_3671626293034567[[#This Row],[累计净值]]-$I$242</f>
        <v>1.0807</v>
      </c>
      <c r="G407" s="20">
        <f>0.8*(表2_3671626293034567[[#This Row],[累计净值]]/$B$22-1)</f>
        <v>0.18948832588176839</v>
      </c>
    </row>
    <row r="408" spans="1:7" x14ac:dyDescent="0.2">
      <c r="A408" s="55">
        <v>44287</v>
      </c>
      <c r="B408" s="112">
        <v>1.2432000000000001</v>
      </c>
      <c r="C408" s="108">
        <f t="shared" ref="C408:C413" si="122">IFERROR(B408-B407,0)</f>
        <v>-1.6999999999998128E-3</v>
      </c>
      <c r="D408" s="109">
        <f t="shared" ref="D408:D413" si="123">IF(C408&lt;0,C408,"/")</f>
        <v>-1.6999999999998128E-3</v>
      </c>
      <c r="E408" s="109">
        <f ca="1">IF(表2_3671626293034567[[#This Row],[累计净值]]/MAX(INDIRECT("B21:B" &amp; ROW()))-1&lt;E407,表2_3671626293034567[[#This Row],[累计净值]]/MAX(INDIRECT("B21:B" &amp; ROW()))-1,E407)</f>
        <v>-2.5203567274137306E-2</v>
      </c>
      <c r="F408" s="110">
        <f>表2_3671626293034567[[#This Row],[累计净值]]-$I$242</f>
        <v>1.0790000000000002</v>
      </c>
      <c r="G408" s="20">
        <f>0.8*(表2_3671626293034567[[#This Row],[累计净值]]/$B$22-1)</f>
        <v>0.18813710879284662</v>
      </c>
    </row>
    <row r="409" spans="1:7" x14ac:dyDescent="0.2">
      <c r="A409" s="55">
        <v>44288</v>
      </c>
      <c r="B409" s="112">
        <v>1.2441</v>
      </c>
      <c r="C409" s="108">
        <f t="shared" si="122"/>
        <v>8.9999999999990088E-4</v>
      </c>
      <c r="D409" s="109" t="str">
        <f t="shared" si="123"/>
        <v>/</v>
      </c>
      <c r="E409" s="109">
        <f ca="1">IF(表2_3671626293034567[[#This Row],[累计净值]]/MAX(INDIRECT("B21:B" &amp; ROW()))-1&lt;E408,表2_3671626293034567[[#This Row],[累计净值]]/MAX(INDIRECT("B21:B" &amp; ROW()))-1,E408)</f>
        <v>-2.5203567274137306E-2</v>
      </c>
      <c r="F409" s="110">
        <f>表2_3671626293034567[[#This Row],[累计净值]]-$I$242</f>
        <v>1.0799000000000001</v>
      </c>
      <c r="G409" s="20">
        <f>0.8*(表2_3671626293034567[[#This Row],[累计净值]]/$B$22-1)</f>
        <v>0.18885245901639341</v>
      </c>
    </row>
    <row r="410" spans="1:7" x14ac:dyDescent="0.2">
      <c r="A410" s="55">
        <v>44292</v>
      </c>
      <c r="B410" s="112">
        <v>1.2459</v>
      </c>
      <c r="C410" s="108">
        <f t="shared" si="122"/>
        <v>1.8000000000000238E-3</v>
      </c>
      <c r="D410" s="109" t="str">
        <f t="shared" si="123"/>
        <v>/</v>
      </c>
      <c r="E410" s="109">
        <f ca="1">IF(表2_3671626293034567[[#This Row],[累计净值]]/MAX(INDIRECT("B21:B" &amp; ROW()))-1&lt;E409,表2_3671626293034567[[#This Row],[累计净值]]/MAX(INDIRECT("B21:B" &amp; ROW()))-1,E409)</f>
        <v>-2.5203567274137306E-2</v>
      </c>
      <c r="F410" s="110">
        <f>表2_3671626293034567[[#This Row],[累计净值]]-$I$242</f>
        <v>1.0817000000000001</v>
      </c>
      <c r="G410" s="20">
        <f>0.8*(表2_3671626293034567[[#This Row],[累计净值]]/$B$22-1)</f>
        <v>0.19028315946348739</v>
      </c>
    </row>
    <row r="411" spans="1:7" x14ac:dyDescent="0.2">
      <c r="A411" s="55">
        <v>44293</v>
      </c>
      <c r="B411" s="112">
        <v>1.2495000000000001</v>
      </c>
      <c r="C411" s="108">
        <f t="shared" si="122"/>
        <v>3.6000000000000476E-3</v>
      </c>
      <c r="D411" s="109" t="str">
        <f t="shared" si="123"/>
        <v>/</v>
      </c>
      <c r="E411" s="109">
        <f ca="1">IF(表2_3671626293034567[[#This Row],[累计净值]]/MAX(INDIRECT("B21:B" &amp; ROW()))-1&lt;E410,表2_3671626293034567[[#This Row],[累计净值]]/MAX(INDIRECT("B21:B" &amp; ROW()))-1,E410)</f>
        <v>-2.5203567274137306E-2</v>
      </c>
      <c r="F411" s="110">
        <f>表2_3671626293034567[[#This Row],[累计净值]]-$I$242</f>
        <v>1.0853000000000002</v>
      </c>
      <c r="G411" s="20">
        <f>0.8*(表2_3671626293034567[[#This Row],[累计净值]]/$B$22-1)</f>
        <v>0.19314456035767513</v>
      </c>
    </row>
    <row r="412" spans="1:7" x14ac:dyDescent="0.2">
      <c r="A412" s="55">
        <v>44294</v>
      </c>
      <c r="B412" s="112">
        <v>1.2462</v>
      </c>
      <c r="C412" s="108">
        <f t="shared" si="122"/>
        <v>-3.3000000000000806E-3</v>
      </c>
      <c r="D412" s="109">
        <f t="shared" si="123"/>
        <v>-3.3000000000000806E-3</v>
      </c>
      <c r="E412" s="109">
        <f ca="1">IF(表2_3671626293034567[[#This Row],[累计净值]]/MAX(INDIRECT("B21:B" &amp; ROW()))-1&lt;E411,表2_3671626293034567[[#This Row],[累计净值]]/MAX(INDIRECT("B21:B" &amp; ROW()))-1,E411)</f>
        <v>-2.5203567274137306E-2</v>
      </c>
      <c r="F412" s="110">
        <f>表2_3671626293034567[[#This Row],[累计净值]]-$I$242</f>
        <v>1.0820000000000001</v>
      </c>
      <c r="G412" s="20">
        <f>0.8*(表2_3671626293034567[[#This Row],[累计净值]]/$B$22-1)</f>
        <v>0.19052160953800304</v>
      </c>
    </row>
    <row r="413" spans="1:7" x14ac:dyDescent="0.2">
      <c r="A413" s="55">
        <v>44295</v>
      </c>
      <c r="B413" s="112">
        <v>1.2462</v>
      </c>
      <c r="C413" s="108">
        <f t="shared" si="122"/>
        <v>0</v>
      </c>
      <c r="D413" s="109" t="str">
        <f t="shared" si="123"/>
        <v>/</v>
      </c>
      <c r="E413" s="109">
        <f ca="1">IF(表2_3671626293034567[[#This Row],[累计净值]]/MAX(INDIRECT("B21:B" &amp; ROW()))-1&lt;E412,表2_3671626293034567[[#This Row],[累计净值]]/MAX(INDIRECT("B21:B" &amp; ROW()))-1,E412)</f>
        <v>-2.5203567274137306E-2</v>
      </c>
      <c r="F413" s="110">
        <f>表2_3671626293034567[[#This Row],[累计净值]]-$I$242</f>
        <v>1.0820000000000001</v>
      </c>
      <c r="G413" s="20">
        <f>0.8*(表2_3671626293034567[[#This Row],[累计净值]]/$B$22-1)</f>
        <v>0.19052160953800304</v>
      </c>
    </row>
    <row r="414" spans="1:7" x14ac:dyDescent="0.2">
      <c r="A414" s="55">
        <v>44298</v>
      </c>
      <c r="B414" s="112">
        <v>1.2437</v>
      </c>
      <c r="C414" s="108">
        <f t="shared" ref="C414:C420" si="124">IFERROR(B414-B413,0)</f>
        <v>-2.4999999999999467E-3</v>
      </c>
      <c r="D414" s="109">
        <f t="shared" ref="D414:D420" si="125">IF(C414&lt;0,C414,"/")</f>
        <v>-2.4999999999999467E-3</v>
      </c>
      <c r="E414" s="109">
        <f ca="1">IF(表2_3671626293034567[[#This Row],[累计净值]]/MAX(INDIRECT("B21:B" &amp; ROW()))-1&lt;E413,表2_3671626293034567[[#This Row],[累计净值]]/MAX(INDIRECT("B21:B" &amp; ROW()))-1,E413)</f>
        <v>-2.5203567274137306E-2</v>
      </c>
      <c r="F414" s="110">
        <f>表2_3671626293034567[[#This Row],[累计净值]]-$I$242</f>
        <v>1.0795000000000001</v>
      </c>
      <c r="G414" s="20">
        <f>0.8*(表2_3671626293034567[[#This Row],[累计净值]]/$B$22-1)</f>
        <v>0.18853452558370593</v>
      </c>
    </row>
    <row r="415" spans="1:7" x14ac:dyDescent="0.2">
      <c r="A415" s="55">
        <v>44299</v>
      </c>
      <c r="B415" s="112">
        <v>1.2376</v>
      </c>
      <c r="C415" s="108">
        <f t="shared" si="124"/>
        <v>-6.0999999999999943E-3</v>
      </c>
      <c r="D415" s="109">
        <f t="shared" si="125"/>
        <v>-6.0999999999999943E-3</v>
      </c>
      <c r="E415" s="109">
        <f ca="1">IF(表2_3671626293034567[[#This Row],[累计净值]]/MAX(INDIRECT("B21:B" &amp; ROW()))-1&lt;E414,表2_3671626293034567[[#This Row],[累计净值]]/MAX(INDIRECT("B21:B" &amp; ROW()))-1,E414)</f>
        <v>-2.5203567274137306E-2</v>
      </c>
      <c r="F415" s="110">
        <f>表2_3671626293034567[[#This Row],[累计净值]]-$I$242</f>
        <v>1.0734000000000001</v>
      </c>
      <c r="G415" s="20">
        <f>0.8*(表2_3671626293034567[[#This Row],[累计净值]]/$B$22-1)</f>
        <v>0.18368604073522121</v>
      </c>
    </row>
    <row r="416" spans="1:7" x14ac:dyDescent="0.2">
      <c r="A416" s="55">
        <v>44300</v>
      </c>
      <c r="B416" s="112">
        <v>1.2374000000000001</v>
      </c>
      <c r="C416" s="108">
        <f t="shared" si="124"/>
        <v>-1.9999999999997797E-4</v>
      </c>
      <c r="D416" s="109">
        <f t="shared" si="125"/>
        <v>-1.9999999999997797E-4</v>
      </c>
      <c r="E416" s="109">
        <f ca="1">IF(表2_3671626293034567[[#This Row],[累计净值]]/MAX(INDIRECT("B21:B" &amp; ROW()))-1&lt;E415,表2_3671626293034567[[#This Row],[累计净值]]/MAX(INDIRECT("B21:B" &amp; ROW()))-1,E415)</f>
        <v>-2.5203567274137306E-2</v>
      </c>
      <c r="F416" s="110">
        <f>表2_3671626293034567[[#This Row],[累计净值]]-$I$242</f>
        <v>1.0732000000000002</v>
      </c>
      <c r="G416" s="20">
        <f>0.8*(表2_3671626293034567[[#This Row],[累计净值]]/$B$22-1)</f>
        <v>0.18352707401887738</v>
      </c>
    </row>
    <row r="417" spans="1:7" x14ac:dyDescent="0.2">
      <c r="A417" s="55">
        <v>44301</v>
      </c>
      <c r="B417" s="112">
        <v>1.2343999999999999</v>
      </c>
      <c r="C417" s="108">
        <f t="shared" si="124"/>
        <v>-3.0000000000001137E-3</v>
      </c>
      <c r="D417" s="109">
        <f t="shared" si="125"/>
        <v>-3.0000000000001137E-3</v>
      </c>
      <c r="E417" s="109">
        <f ca="1">IF(表2_3671626293034567[[#This Row],[累计净值]]/MAX(INDIRECT("B21:B" &amp; ROW()))-1&lt;E416,表2_3671626293034567[[#This Row],[累计净值]]/MAX(INDIRECT("B21:B" &amp; ROW()))-1,E416)</f>
        <v>-2.5203567274137306E-2</v>
      </c>
      <c r="F417" s="110">
        <f>表2_3671626293034567[[#This Row],[累计净值]]-$I$242</f>
        <v>1.0702</v>
      </c>
      <c r="G417" s="20">
        <f>0.8*(表2_3671626293034567[[#This Row],[累计净值]]/$B$22-1)</f>
        <v>0.18114257327372077</v>
      </c>
    </row>
    <row r="418" spans="1:7" x14ac:dyDescent="0.2">
      <c r="A418" s="55">
        <v>44302</v>
      </c>
      <c r="B418" s="112">
        <v>1.2326999999999999</v>
      </c>
      <c r="C418" s="108">
        <f t="shared" si="124"/>
        <v>-1.7000000000000348E-3</v>
      </c>
      <c r="D418" s="109">
        <f t="shared" si="125"/>
        <v>-1.7000000000000348E-3</v>
      </c>
      <c r="E418" s="109">
        <f ca="1">IF(表2_3671626293034567[[#This Row],[累计净值]]/MAX(INDIRECT("B21:B" &amp; ROW()))-1&lt;E417,表2_3671626293034567[[#This Row],[累计净值]]/MAX(INDIRECT("B21:B" &amp; ROW()))-1,E417)</f>
        <v>-2.5203567274137306E-2</v>
      </c>
      <c r="F418" s="110">
        <f>表2_3671626293034567[[#This Row],[累计净值]]-$I$242</f>
        <v>1.0685</v>
      </c>
      <c r="G418" s="20">
        <f>0.8*(表2_3671626293034567[[#This Row],[累计净值]]/$B$22-1)</f>
        <v>0.1797913561847988</v>
      </c>
    </row>
    <row r="419" spans="1:7" x14ac:dyDescent="0.2">
      <c r="A419" s="55">
        <v>44305</v>
      </c>
      <c r="B419" s="112">
        <v>1.2334000000000001</v>
      </c>
      <c r="C419" s="108">
        <f t="shared" si="124"/>
        <v>7.0000000000014495E-4</v>
      </c>
      <c r="D419" s="109" t="str">
        <f t="shared" si="125"/>
        <v>/</v>
      </c>
      <c r="E419" s="109">
        <f ca="1">IF(表2_3671626293034567[[#This Row],[累计净值]]/MAX(INDIRECT("B21:B" &amp; ROW()))-1&lt;E418,表2_3671626293034567[[#This Row],[累计净值]]/MAX(INDIRECT("B21:B" &amp; ROW()))-1,E418)</f>
        <v>-2.5203567274137306E-2</v>
      </c>
      <c r="F419" s="110">
        <f>表2_3671626293034567[[#This Row],[累计净值]]-$I$242</f>
        <v>1.0692000000000002</v>
      </c>
      <c r="G419" s="20">
        <f>0.8*(表2_3671626293034567[[#This Row],[累计净值]]/$B$22-1)</f>
        <v>0.18034773969200213</v>
      </c>
    </row>
    <row r="420" spans="1:7" x14ac:dyDescent="0.2">
      <c r="A420" s="55">
        <v>44306</v>
      </c>
      <c r="B420" s="112">
        <v>1.2319</v>
      </c>
      <c r="C420" s="108">
        <f t="shared" si="124"/>
        <v>-1.5000000000000568E-3</v>
      </c>
      <c r="D420" s="109">
        <f t="shared" si="125"/>
        <v>-1.5000000000000568E-3</v>
      </c>
      <c r="E420" s="109">
        <f ca="1">IF(表2_3671626293034567[[#This Row],[累计净值]]/MAX(INDIRECT("B21:B" &amp; ROW()))-1&lt;E419,表2_3671626293034567[[#This Row],[累计净值]]/MAX(INDIRECT("B21:B" &amp; ROW()))-1,E419)</f>
        <v>-2.5203567274137306E-2</v>
      </c>
      <c r="F420" s="110">
        <f>表2_3671626293034567[[#This Row],[累计净值]]-$I$242</f>
        <v>1.0677000000000001</v>
      </c>
      <c r="G420" s="20">
        <f>0.8*(表2_3671626293034567[[#This Row],[累计净值]]/$B$22-1)</f>
        <v>0.17915548931942382</v>
      </c>
    </row>
    <row r="421" spans="1:7" x14ac:dyDescent="0.2">
      <c r="A421" s="55">
        <v>44307</v>
      </c>
      <c r="B421" s="112">
        <v>1.2317</v>
      </c>
      <c r="C421" s="108">
        <f t="shared" ref="C421:C426" si="126">IFERROR(B421-B420,0)</f>
        <v>-1.9999999999997797E-4</v>
      </c>
      <c r="D421" s="109">
        <f t="shared" ref="D421:D426" si="127">IF(C421&lt;0,C421,"/")</f>
        <v>-1.9999999999997797E-4</v>
      </c>
      <c r="E421" s="109">
        <f ca="1">IF(表2_3671626293034567[[#This Row],[累计净值]]/MAX(INDIRECT("B21:B" &amp; ROW()))-1&lt;E420,表2_3671626293034567[[#This Row],[累计净值]]/MAX(INDIRECT("B21:B" &amp; ROW()))-1,E420)</f>
        <v>-2.5203567274137306E-2</v>
      </c>
      <c r="F421" s="110">
        <f>表2_3671626293034567[[#This Row],[累计净值]]-$I$242</f>
        <v>1.0675000000000001</v>
      </c>
      <c r="G421" s="20">
        <f>0.8*(表2_3671626293034567[[#This Row],[累计净值]]/$B$22-1)</f>
        <v>0.17899652260307999</v>
      </c>
    </row>
    <row r="422" spans="1:7" x14ac:dyDescent="0.2">
      <c r="A422" s="55">
        <v>44308</v>
      </c>
      <c r="B422" s="112">
        <v>1.2329000000000001</v>
      </c>
      <c r="C422" s="108">
        <f t="shared" si="126"/>
        <v>1.2000000000000899E-3</v>
      </c>
      <c r="D422" s="109" t="str">
        <f t="shared" si="127"/>
        <v>/</v>
      </c>
      <c r="E422" s="109">
        <f ca="1">IF(表2_3671626293034567[[#This Row],[累计净值]]/MAX(INDIRECT("B21:B" &amp; ROW()))-1&lt;E421,表2_3671626293034567[[#This Row],[累计净值]]/MAX(INDIRECT("B21:B" &amp; ROW()))-1,E421)</f>
        <v>-2.5203567274137306E-2</v>
      </c>
      <c r="F422" s="110">
        <f>表2_3671626293034567[[#This Row],[累计净值]]-$I$242</f>
        <v>1.0687000000000002</v>
      </c>
      <c r="G422" s="20">
        <f>0.8*(表2_3671626293034567[[#This Row],[累计净值]]/$B$22-1)</f>
        <v>0.17995032290114266</v>
      </c>
    </row>
    <row r="423" spans="1:7" x14ac:dyDescent="0.2">
      <c r="A423" s="55">
        <v>44309</v>
      </c>
      <c r="B423" s="112">
        <v>1.2276</v>
      </c>
      <c r="C423" s="108">
        <f t="shared" si="126"/>
        <v>-5.3000000000000824E-3</v>
      </c>
      <c r="D423" s="109">
        <f t="shared" si="127"/>
        <v>-5.3000000000000824E-3</v>
      </c>
      <c r="E423" s="109">
        <f ca="1">IF(表2_3671626293034567[[#This Row],[累计净值]]/MAX(INDIRECT("B21:B" &amp; ROW()))-1&lt;E422,表2_3671626293034567[[#This Row],[累计净值]]/MAX(INDIRECT("B21:B" &amp; ROW()))-1,E422)</f>
        <v>-2.5203567274137306E-2</v>
      </c>
      <c r="F423" s="110">
        <f>表2_3671626293034567[[#This Row],[累计净值]]-$I$242</f>
        <v>1.0634000000000001</v>
      </c>
      <c r="G423" s="20">
        <f>0.8*(表2_3671626293034567[[#This Row],[累计净值]]/$B$22-1)</f>
        <v>0.17573770491803292</v>
      </c>
    </row>
    <row r="424" spans="1:7" x14ac:dyDescent="0.2">
      <c r="A424" s="55">
        <v>44312</v>
      </c>
      <c r="B424" s="112">
        <v>1.2221</v>
      </c>
      <c r="C424" s="108">
        <f t="shared" si="126"/>
        <v>-5.5000000000000604E-3</v>
      </c>
      <c r="D424" s="109">
        <f t="shared" si="127"/>
        <v>-5.5000000000000604E-3</v>
      </c>
      <c r="E424" s="109">
        <f ca="1">IF(表2_3671626293034567[[#This Row],[累计净值]]/MAX(INDIRECT("B21:B" &amp; ROW()))-1&lt;E423,表2_3671626293034567[[#This Row],[累计净值]]/MAX(INDIRECT("B21:B" &amp; ROW()))-1,E423)</f>
        <v>-2.7609802673456363E-2</v>
      </c>
      <c r="F424" s="110">
        <f>表2_3671626293034567[[#This Row],[累计净值]]-$I$242</f>
        <v>1.0579000000000001</v>
      </c>
      <c r="G424" s="20">
        <f>0.8*(表2_3671626293034567[[#This Row],[累计净值]]/$B$22-1)</f>
        <v>0.17136612021857919</v>
      </c>
    </row>
    <row r="425" spans="1:7" x14ac:dyDescent="0.2">
      <c r="A425" s="55">
        <v>44313</v>
      </c>
      <c r="B425" s="112">
        <v>1.2193000000000001</v>
      </c>
      <c r="C425" s="108">
        <f t="shared" si="126"/>
        <v>-2.7999999999999137E-3</v>
      </c>
      <c r="D425" s="109">
        <f t="shared" si="127"/>
        <v>-2.7999999999999137E-3</v>
      </c>
      <c r="E425" s="109">
        <f ca="1">IF(表2_3671626293034567[[#This Row],[累计净值]]/MAX(INDIRECT("B21:B" &amp; ROW()))-1&lt;E424,表2_3671626293034567[[#This Row],[累计净值]]/MAX(INDIRECT("B21:B" &amp; ROW()))-1,E424)</f>
        <v>-2.9837683004455662E-2</v>
      </c>
      <c r="F425" s="110">
        <f>表2_3671626293034567[[#This Row],[累计净值]]-$I$242</f>
        <v>1.0551000000000001</v>
      </c>
      <c r="G425" s="20">
        <f>0.8*(表2_3671626293034567[[#This Row],[累计净值]]/$B$22-1)</f>
        <v>0.16914058618976657</v>
      </c>
    </row>
    <row r="426" spans="1:7" x14ac:dyDescent="0.2">
      <c r="A426" s="55">
        <v>44314</v>
      </c>
      <c r="B426" s="112">
        <v>1.2192000000000001</v>
      </c>
      <c r="C426" s="108">
        <f t="shared" si="126"/>
        <v>-9.9999999999988987E-5</v>
      </c>
      <c r="D426" s="109">
        <f t="shared" si="127"/>
        <v>-9.9999999999988987E-5</v>
      </c>
      <c r="E426" s="109">
        <f ca="1">IF(表2_3671626293034567[[#This Row],[累计净值]]/MAX(INDIRECT("B21:B" &amp; ROW()))-1&lt;E425,表2_3671626293034567[[#This Row],[累计净值]]/MAX(INDIRECT("B21:B" &amp; ROW()))-1,E425)</f>
        <v>-2.9917250159134157E-2</v>
      </c>
      <c r="F426" s="110">
        <f>表2_3671626293034567[[#This Row],[累计净值]]-$I$242</f>
        <v>1.0550000000000002</v>
      </c>
      <c r="G426" s="20">
        <f>0.8*(表2_3671626293034567[[#This Row],[累计净值]]/$B$22-1)</f>
        <v>0.16906110283159476</v>
      </c>
    </row>
    <row r="427" spans="1:7" x14ac:dyDescent="0.2">
      <c r="A427" s="55">
        <v>44315</v>
      </c>
      <c r="B427" s="112">
        <v>1.2191000000000001</v>
      </c>
      <c r="C427" s="108">
        <f t="shared" ref="C427:C429" si="128">IFERROR(B427-B426,0)</f>
        <v>-9.9999999999988987E-5</v>
      </c>
      <c r="D427" s="109">
        <f t="shared" ref="D427:D429" si="129">IF(C427&lt;0,C427,"/")</f>
        <v>-9.9999999999988987E-5</v>
      </c>
      <c r="E427" s="109">
        <f ca="1">IF(表2_3671626293034567[[#This Row],[累计净值]]/MAX(INDIRECT("B21:B" &amp; ROW()))-1&lt;E426,表2_3671626293034567[[#This Row],[累计净值]]/MAX(INDIRECT("B21:B" &amp; ROW()))-1,E426)</f>
        <v>-2.9996817313812763E-2</v>
      </c>
      <c r="F427" s="110">
        <f>表2_3671626293034567[[#This Row],[累计净值]]-$I$242</f>
        <v>1.0549000000000002</v>
      </c>
      <c r="G427" s="20">
        <f>0.8*(表2_3671626293034567[[#This Row],[累计净值]]/$B$22-1)</f>
        <v>0.16898161947342294</v>
      </c>
    </row>
    <row r="428" spans="1:7" x14ac:dyDescent="0.2">
      <c r="A428" s="55">
        <v>44316</v>
      </c>
      <c r="B428" s="112">
        <v>1.2159</v>
      </c>
      <c r="C428" s="108">
        <f t="shared" si="128"/>
        <v>-3.2000000000000917E-3</v>
      </c>
      <c r="D428" s="109">
        <f t="shared" si="129"/>
        <v>-3.2000000000000917E-3</v>
      </c>
      <c r="E428" s="109">
        <f ca="1">IF(表2_3671626293034567[[#This Row],[累计净值]]/MAX(INDIRECT("B21:B" &amp; ROW()))-1&lt;E427,表2_3671626293034567[[#This Row],[累计净值]]/MAX(INDIRECT("B21:B" &amp; ROW()))-1,E427)</f>
        <v>-3.2542966263526374E-2</v>
      </c>
      <c r="F428" s="110">
        <f>表2_3671626293034567[[#This Row],[累计净值]]-$I$242</f>
        <v>1.0517000000000001</v>
      </c>
      <c r="G428" s="20">
        <f>0.8*(表2_3671626293034567[[#This Row],[累计净值]]/$B$22-1)</f>
        <v>0.16643815201192247</v>
      </c>
    </row>
    <row r="429" spans="1:7" x14ac:dyDescent="0.2">
      <c r="A429" s="55">
        <v>44322</v>
      </c>
      <c r="B429" s="112">
        <v>1.216</v>
      </c>
      <c r="C429" s="108">
        <f t="shared" si="128"/>
        <v>9.9999999999988987E-5</v>
      </c>
      <c r="D429" s="109" t="str">
        <f t="shared" si="129"/>
        <v>/</v>
      </c>
      <c r="E429" s="109">
        <f ca="1">IF(表2_3671626293034567[[#This Row],[累计净值]]/MAX(INDIRECT("B21:B" &amp; ROW()))-1&lt;E428,表2_3671626293034567[[#This Row],[累计净值]]/MAX(INDIRECT("B21:B" &amp; ROW()))-1,E428)</f>
        <v>-3.2542966263526374E-2</v>
      </c>
      <c r="F429" s="110">
        <f>表2_3671626293034567[[#This Row],[累计净值]]-$I$242</f>
        <v>1.0518000000000001</v>
      </c>
      <c r="G429" s="20">
        <f>0.8*(表2_3671626293034567[[#This Row],[累计净值]]/$B$22-1)</f>
        <v>0.16651763537009448</v>
      </c>
    </row>
    <row r="430" spans="1:7" x14ac:dyDescent="0.2">
      <c r="A430" s="55">
        <v>44323</v>
      </c>
      <c r="B430" s="112">
        <v>1.2153</v>
      </c>
      <c r="C430" s="108">
        <f t="shared" ref="C430:C436" si="130">IFERROR(B430-B429,0)</f>
        <v>-6.9999999999992291E-4</v>
      </c>
      <c r="D430" s="109">
        <f t="shared" ref="D430:D436" si="131">IF(C430&lt;0,C430,"/")</f>
        <v>-6.9999999999992291E-4</v>
      </c>
      <c r="E430" s="109">
        <f ca="1">IF(表2_3671626293034567[[#This Row],[累计净值]]/MAX(INDIRECT("B21:B" &amp; ROW()))-1&lt;E429,表2_3671626293034567[[#This Row],[累计净值]]/MAX(INDIRECT("B21:B" &amp; ROW()))-1,E429)</f>
        <v>-3.3020369191597565E-2</v>
      </c>
      <c r="F430" s="110">
        <f>表2_3671626293034567[[#This Row],[累计净值]]-$I$242</f>
        <v>1.0511000000000001</v>
      </c>
      <c r="G430" s="20">
        <f>0.8*(表2_3671626293034567[[#This Row],[累计净值]]/$B$22-1)</f>
        <v>0.16596125186289135</v>
      </c>
    </row>
    <row r="431" spans="1:7" x14ac:dyDescent="0.2">
      <c r="A431" s="55">
        <v>44326</v>
      </c>
      <c r="B431" s="112">
        <v>1.2178</v>
      </c>
      <c r="C431" s="108">
        <f t="shared" si="130"/>
        <v>2.4999999999999467E-3</v>
      </c>
      <c r="D431" s="109" t="str">
        <f t="shared" si="131"/>
        <v>/</v>
      </c>
      <c r="E431" s="109">
        <f ca="1">IF(表2_3671626293034567[[#This Row],[累计净值]]/MAX(INDIRECT("B21:B" &amp; ROW()))-1&lt;E430,表2_3671626293034567[[#This Row],[累计净值]]/MAX(INDIRECT("B21:B" &amp; ROW()))-1,E430)</f>
        <v>-3.3020369191597565E-2</v>
      </c>
      <c r="F431" s="110">
        <f>表2_3671626293034567[[#This Row],[累计净值]]-$I$242</f>
        <v>1.0536000000000001</v>
      </c>
      <c r="G431" s="20">
        <f>0.8*(表2_3671626293034567[[#This Row],[累计净值]]/$B$22-1)</f>
        <v>0.16794833581718827</v>
      </c>
    </row>
    <row r="432" spans="1:7" x14ac:dyDescent="0.2">
      <c r="A432" s="55">
        <v>44327</v>
      </c>
      <c r="B432" s="112">
        <v>1.2203999999999999</v>
      </c>
      <c r="C432" s="108">
        <f t="shared" si="130"/>
        <v>2.5999999999999357E-3</v>
      </c>
      <c r="D432" s="109" t="str">
        <f t="shared" si="131"/>
        <v>/</v>
      </c>
      <c r="E432" s="109">
        <f ca="1">IF(表2_3671626293034567[[#This Row],[累计净值]]/MAX(INDIRECT("B21:B" &amp; ROW()))-1&lt;E431,表2_3671626293034567[[#This Row],[累计净值]]/MAX(INDIRECT("B21:B" &amp; ROW()))-1,E431)</f>
        <v>-3.3020369191597565E-2</v>
      </c>
      <c r="F432" s="110">
        <f>表2_3671626293034567[[#This Row],[累计净值]]-$I$242</f>
        <v>1.0562</v>
      </c>
      <c r="G432" s="20">
        <f>0.8*(表2_3671626293034567[[#This Row],[累计净值]]/$B$22-1)</f>
        <v>0.17001490312965722</v>
      </c>
    </row>
    <row r="433" spans="1:7" x14ac:dyDescent="0.2">
      <c r="A433" s="55">
        <v>44328</v>
      </c>
      <c r="B433" s="112">
        <v>1.2204999999999999</v>
      </c>
      <c r="C433" s="108">
        <f t="shared" si="130"/>
        <v>9.9999999999988987E-5</v>
      </c>
      <c r="D433" s="109" t="str">
        <f t="shared" si="131"/>
        <v>/</v>
      </c>
      <c r="E433" s="109">
        <f ca="1">IF(表2_3671626293034567[[#This Row],[累计净值]]/MAX(INDIRECT("B21:B" &amp; ROW()))-1&lt;E432,表2_3671626293034567[[#This Row],[累计净值]]/MAX(INDIRECT("B21:B" &amp; ROW()))-1,E432)</f>
        <v>-3.3020369191597565E-2</v>
      </c>
      <c r="F433" s="110">
        <f>表2_3671626293034567[[#This Row],[累计净值]]-$I$242</f>
        <v>1.0563</v>
      </c>
      <c r="G433" s="20">
        <f>0.8*(表2_3671626293034567[[#This Row],[累计净值]]/$B$22-1)</f>
        <v>0.17009438648782904</v>
      </c>
    </row>
    <row r="434" spans="1:7" x14ac:dyDescent="0.2">
      <c r="A434" s="55">
        <v>44329</v>
      </c>
      <c r="B434" s="112">
        <v>1.2204999999999999</v>
      </c>
      <c r="C434" s="108">
        <f t="shared" si="130"/>
        <v>0</v>
      </c>
      <c r="D434" s="109" t="str">
        <f t="shared" si="131"/>
        <v>/</v>
      </c>
      <c r="E434" s="109">
        <f ca="1">IF(表2_3671626293034567[[#This Row],[累计净值]]/MAX(INDIRECT("B21:B" &amp; ROW()))-1&lt;E433,表2_3671626293034567[[#This Row],[累计净值]]/MAX(INDIRECT("B21:B" &amp; ROW()))-1,E433)</f>
        <v>-3.3020369191597565E-2</v>
      </c>
      <c r="F434" s="110">
        <f>表2_3671626293034567[[#This Row],[累计净值]]-$I$242</f>
        <v>1.0563</v>
      </c>
      <c r="G434" s="20">
        <f>0.8*(表2_3671626293034567[[#This Row],[累计净值]]/$B$22-1)</f>
        <v>0.17009438648782904</v>
      </c>
    </row>
    <row r="435" spans="1:7" x14ac:dyDescent="0.2">
      <c r="A435" s="55">
        <v>44330</v>
      </c>
      <c r="B435" s="112">
        <v>1.2209000000000001</v>
      </c>
      <c r="C435" s="108">
        <f t="shared" si="130"/>
        <v>4.0000000000017799E-4</v>
      </c>
      <c r="D435" s="109" t="str">
        <f t="shared" si="131"/>
        <v>/</v>
      </c>
      <c r="E435" s="109">
        <f ca="1">IF(表2_3671626293034567[[#This Row],[累计净值]]/MAX(INDIRECT("B21:B" &amp; ROW()))-1&lt;E434,表2_3671626293034567[[#This Row],[累计净值]]/MAX(INDIRECT("B21:B" &amp; ROW()))-1,E434)</f>
        <v>-3.3020369191597565E-2</v>
      </c>
      <c r="F435" s="110">
        <f>表2_3671626293034567[[#This Row],[累计净值]]-$I$242</f>
        <v>1.0567000000000002</v>
      </c>
      <c r="G435" s="20">
        <f>0.8*(表2_3671626293034567[[#This Row],[累计净值]]/$B$22-1)</f>
        <v>0.17041231992051672</v>
      </c>
    </row>
    <row r="436" spans="1:7" x14ac:dyDescent="0.2">
      <c r="A436" s="55">
        <v>44333</v>
      </c>
      <c r="B436" s="112">
        <v>1.2158</v>
      </c>
      <c r="C436" s="108">
        <f t="shared" si="130"/>
        <v>-5.1000000000001044E-3</v>
      </c>
      <c r="D436" s="109">
        <f t="shared" si="131"/>
        <v>-5.1000000000001044E-3</v>
      </c>
      <c r="E436" s="109">
        <f ca="1">IF(表2_3671626293034567[[#This Row],[累计净值]]/MAX(INDIRECT("B21:B" &amp; ROW()))-1&lt;E435,表2_3671626293034567[[#This Row],[累计净值]]/MAX(INDIRECT("B21:B" &amp; ROW()))-1,E435)</f>
        <v>-3.3020369191597565E-2</v>
      </c>
      <c r="F436" s="110">
        <f>表2_3671626293034567[[#This Row],[累计净值]]-$I$242</f>
        <v>1.0516000000000001</v>
      </c>
      <c r="G436" s="20">
        <f>0.8*(表2_3671626293034567[[#This Row],[累计净值]]/$B$22-1)</f>
        <v>0.16635866865375065</v>
      </c>
    </row>
  </sheetData>
  <mergeCells count="1">
    <mergeCell ref="G2:G3"/>
  </mergeCells>
  <phoneticPr fontId="24" type="noConversion"/>
  <pageMargins left="0.7" right="0.7" top="0.75" bottom="0.75" header="0.3" footer="0.3"/>
  <pageSetup paperSize="9" orientation="portrait" horizontalDpi="200" verticalDpi="200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K390"/>
  <sheetViews>
    <sheetView workbookViewId="0">
      <pane xSplit="1" ySplit="20" topLeftCell="B376" activePane="bottomRight" state="frozen"/>
      <selection pane="topRight" activeCell="B1" sqref="B1"/>
      <selection pane="bottomLeft" activeCell="A21" sqref="A21"/>
      <selection pane="bottomRight" activeCell="L385" sqref="L385"/>
    </sheetView>
  </sheetViews>
  <sheetFormatPr defaultColWidth="9" defaultRowHeight="14.25" x14ac:dyDescent="0.2"/>
  <cols>
    <col min="1" max="1" width="11.625" style="120" bestFit="1" customWidth="1"/>
    <col min="2" max="2" width="13" style="120" customWidth="1"/>
    <col min="3" max="4" width="13.5" style="120" bestFit="1" customWidth="1"/>
    <col min="5" max="5" width="10.75" style="120" customWidth="1"/>
    <col min="6" max="6" width="11.125" style="120" customWidth="1"/>
    <col min="7" max="7" width="18.875" style="121" customWidth="1"/>
    <col min="8" max="8" width="9" style="120"/>
    <col min="9" max="9" width="14.25" style="120" customWidth="1"/>
    <col min="10" max="10" width="12" style="120" bestFit="1" customWidth="1"/>
    <col min="11" max="16384" width="9" style="120"/>
  </cols>
  <sheetData>
    <row r="1" spans="1:7" ht="15" thickBot="1" x14ac:dyDescent="0.25"/>
    <row r="2" spans="1:7" ht="15" thickBot="1" x14ac:dyDescent="0.25">
      <c r="A2" s="122" t="s">
        <v>0</v>
      </c>
      <c r="B2" s="123">
        <f>COUNT(表2_36716262930381020[每日盈亏])</f>
        <v>370</v>
      </c>
      <c r="C2" s="124"/>
      <c r="D2" s="125" t="s">
        <v>1</v>
      </c>
      <c r="E2" s="126"/>
      <c r="F2" s="120" t="s">
        <v>2</v>
      </c>
      <c r="G2" s="395" t="s">
        <v>3</v>
      </c>
    </row>
    <row r="3" spans="1:7" x14ac:dyDescent="0.2">
      <c r="A3" s="127" t="s">
        <v>4</v>
      </c>
      <c r="B3" s="128">
        <f>COUNTIF(表2_36716262930381020[每日盈亏],"&gt;0")</f>
        <v>212</v>
      </c>
      <c r="C3" s="129"/>
      <c r="D3" s="130" t="s">
        <v>5</v>
      </c>
      <c r="E3" s="131">
        <f>245^0.5*(B10-0.025/365)/E10</f>
        <v>1.9051719296571332</v>
      </c>
      <c r="G3" s="395"/>
    </row>
    <row r="4" spans="1:7" x14ac:dyDescent="0.2">
      <c r="A4" s="127" t="s">
        <v>6</v>
      </c>
      <c r="B4" s="128">
        <f>COUNTIF(表2_36716262930381020[每日盈亏],"&lt;0")</f>
        <v>154</v>
      </c>
      <c r="C4" s="129"/>
      <c r="D4" s="132" t="s">
        <v>7</v>
      </c>
      <c r="E4" s="131">
        <f ca="1">-B9/E8</f>
        <v>4.260462596357721</v>
      </c>
      <c r="G4" s="121">
        <f>LOOKUP(999^10,表2_36716262930381020[累计净值])</f>
        <v>1.4478</v>
      </c>
    </row>
    <row r="5" spans="1:7" x14ac:dyDescent="0.2">
      <c r="A5" s="127" t="s">
        <v>8</v>
      </c>
      <c r="B5" s="128">
        <f>B2-B3-B4</f>
        <v>4</v>
      </c>
      <c r="C5" s="129"/>
      <c r="D5" s="133" t="s">
        <v>9</v>
      </c>
      <c r="E5" s="134">
        <f>245^0.5*(B10-0.025/365)/E9</f>
        <v>2.8207158008643169</v>
      </c>
    </row>
    <row r="6" spans="1:7" ht="15" thickBot="1" x14ac:dyDescent="0.25">
      <c r="A6" s="135"/>
      <c r="B6" s="136"/>
      <c r="C6" s="136"/>
      <c r="D6" s="136"/>
      <c r="E6" s="137"/>
    </row>
    <row r="7" spans="1:7" ht="15" thickBot="1" x14ac:dyDescent="0.25">
      <c r="A7" s="138" t="s">
        <v>10</v>
      </c>
      <c r="B7" s="136"/>
      <c r="C7" s="136"/>
      <c r="D7" s="125" t="s">
        <v>11</v>
      </c>
      <c r="E7" s="139"/>
    </row>
    <row r="8" spans="1:7" x14ac:dyDescent="0.2">
      <c r="A8" s="140" t="s">
        <v>12</v>
      </c>
      <c r="B8" s="141">
        <f>LOOKUP(999^10,表2_36716262930381020[累计净值])/$B$21-1</f>
        <v>0.46065375302663436</v>
      </c>
      <c r="C8" s="142"/>
      <c r="D8" s="130" t="s">
        <v>13</v>
      </c>
      <c r="E8" s="143">
        <f ca="1">MIN(表2_36716262930381020[最大回撤])</f>
        <v>-7.1594921493501551E-2</v>
      </c>
    </row>
    <row r="9" spans="1:7" x14ac:dyDescent="0.2">
      <c r="A9" s="127" t="s">
        <v>14</v>
      </c>
      <c r="B9" s="132">
        <f>B8*245/B2</f>
        <v>0.30502748511223082</v>
      </c>
      <c r="C9" s="142"/>
      <c r="D9" s="133" t="s">
        <v>15</v>
      </c>
      <c r="E9" s="144">
        <f>STDEV(表2_36716262930381020[下跌幅度])</f>
        <v>6.467831277917363E-3</v>
      </c>
    </row>
    <row r="10" spans="1:7" x14ac:dyDescent="0.2">
      <c r="A10" s="145" t="s">
        <v>16</v>
      </c>
      <c r="B10" s="146">
        <f>AVERAGE(表2_36716262930381020[每日盈亏])</f>
        <v>1.234054054054054E-3</v>
      </c>
      <c r="C10" s="147"/>
      <c r="D10" s="133" t="s">
        <v>17</v>
      </c>
      <c r="E10" s="144">
        <f>STDEV(表2_36716262930381020[每日盈亏])</f>
        <v>9.5759934308024593E-3</v>
      </c>
    </row>
    <row r="11" spans="1:7" x14ac:dyDescent="0.2">
      <c r="A11" s="148" t="s">
        <v>18</v>
      </c>
      <c r="B11" s="132">
        <f>B3/B2</f>
        <v>0.572972972972973</v>
      </c>
      <c r="C11" s="142"/>
      <c r="D11" s="132" t="s">
        <v>19</v>
      </c>
      <c r="E11" s="143">
        <f>245^0.5*E10</f>
        <v>0.1498880058435601</v>
      </c>
    </row>
    <row r="12" spans="1:7" ht="15" thickBot="1" x14ac:dyDescent="0.25">
      <c r="A12" s="149" t="s">
        <v>20</v>
      </c>
      <c r="B12" s="150">
        <f>-(SUMIF(表2_36716262930381020[每日盈亏],"&gt;=0")/B3)/(SUMIF(表2_36716262930381020[每日盈亏],"&lt;0")/B4)</f>
        <v>1.0343541269971961</v>
      </c>
      <c r="C12" s="151"/>
      <c r="D12" s="152"/>
      <c r="E12" s="153"/>
    </row>
    <row r="14" spans="1:7" ht="28.5" x14ac:dyDescent="0.2">
      <c r="A14" s="200" t="s">
        <v>21</v>
      </c>
      <c r="B14" s="200" t="s">
        <v>14</v>
      </c>
      <c r="C14" s="201" t="s">
        <v>19</v>
      </c>
      <c r="D14" s="201" t="s">
        <v>13</v>
      </c>
      <c r="E14" s="201" t="s">
        <v>5</v>
      </c>
      <c r="F14" s="201" t="s">
        <v>7</v>
      </c>
    </row>
    <row r="15" spans="1:7" x14ac:dyDescent="0.2">
      <c r="A15" s="156">
        <f>B2</f>
        <v>370</v>
      </c>
      <c r="B15" s="157">
        <f>B9</f>
        <v>0.30502748511223082</v>
      </c>
      <c r="C15" s="157">
        <f>E11</f>
        <v>0.1498880058435601</v>
      </c>
      <c r="D15" s="157">
        <f ca="1">E8</f>
        <v>-7.1594921493501551E-2</v>
      </c>
      <c r="E15" s="158">
        <f>E3</f>
        <v>1.9051719296571332</v>
      </c>
      <c r="F15" s="158">
        <f ca="1">E4</f>
        <v>4.260462596357721</v>
      </c>
    </row>
    <row r="19" spans="1:8" x14ac:dyDescent="0.2">
      <c r="A19" s="159"/>
      <c r="B19" s="120" t="s">
        <v>22</v>
      </c>
    </row>
    <row r="20" spans="1:8" ht="15.75" x14ac:dyDescent="0.2">
      <c r="A20" s="160" t="s">
        <v>23</v>
      </c>
      <c r="B20" s="160" t="s">
        <v>24</v>
      </c>
      <c r="C20" s="160" t="s">
        <v>25</v>
      </c>
      <c r="D20" s="160" t="s">
        <v>26</v>
      </c>
      <c r="E20" s="160" t="s">
        <v>27</v>
      </c>
      <c r="F20" s="160" t="s">
        <v>28</v>
      </c>
      <c r="G20" s="160" t="s">
        <v>29</v>
      </c>
      <c r="H20" s="160" t="s">
        <v>35</v>
      </c>
    </row>
    <row r="21" spans="1:8" x14ac:dyDescent="0.2">
      <c r="A21" s="161">
        <v>43775</v>
      </c>
      <c r="B21" s="174">
        <v>0.99119999999999997</v>
      </c>
      <c r="C21" s="163">
        <f>IFERROR(B21-B20,0)</f>
        <v>0</v>
      </c>
      <c r="D21" s="164" t="str">
        <f>IF(C21&lt;0,C21,"/")</f>
        <v>/</v>
      </c>
      <c r="E21" s="164">
        <f ca="1">IF(表2_36716262930381020[[#This Row],[累计净值]]/MAX(INDIRECT("B21:B" &amp; ROW()))-1&lt;E20,表2_36716262930381020[[#This Row],[累计净值]]/MAX(INDIRECT("B21:B" &amp; ROW()))-1,E20)</f>
        <v>0</v>
      </c>
      <c r="F21" s="165">
        <v>0.99119999999999997</v>
      </c>
      <c r="G21" s="166" t="s">
        <v>30</v>
      </c>
    </row>
    <row r="22" spans="1:8" x14ac:dyDescent="0.2">
      <c r="A22" s="161">
        <v>43776</v>
      </c>
      <c r="B22" s="162">
        <v>0.99119999999999997</v>
      </c>
      <c r="C22" s="179">
        <f>IFERROR(B22-B21,0)</f>
        <v>0</v>
      </c>
      <c r="D22" s="168" t="str">
        <f>IF(C22&lt;0,C22,"/")</f>
        <v>/</v>
      </c>
      <c r="E22" s="168">
        <f ca="1">IF(表2_36716262930381020[[#This Row],[累计净值]]/MAX(INDIRECT("B21:B" &amp; ROW()))-1&lt;E21,表2_36716262930381020[[#This Row],[累计净值]]/MAX(INDIRECT("B21:B" &amp; ROW()))-1,E21)</f>
        <v>0</v>
      </c>
      <c r="F22" s="169">
        <f>表2_36716262930381020[[#This Row],[累计净值]]</f>
        <v>0.99119999999999997</v>
      </c>
      <c r="G22" s="180">
        <f>表2_36716262930381020[[#This Row],[累计净值]]/$B$21-1</f>
        <v>0</v>
      </c>
    </row>
    <row r="23" spans="1:8" x14ac:dyDescent="0.2">
      <c r="A23" s="161">
        <v>43777</v>
      </c>
      <c r="B23" s="162">
        <v>0.99080000000000001</v>
      </c>
      <c r="C23" s="167">
        <f>IFERROR(B23-B22,0)</f>
        <v>-3.9999999999995595E-4</v>
      </c>
      <c r="D23" s="168">
        <f>IF(C23&lt;0,C23,"/")</f>
        <v>-3.9999999999995595E-4</v>
      </c>
      <c r="E23" s="168">
        <f ca="1">IF(表2_36716262930381020[[#This Row],[累计净值]]/MAX(INDIRECT("B21:B" &amp; ROW()))-1&lt;E22,表2_36716262930381020[[#This Row],[累计净值]]/MAX(INDIRECT("B21:B" &amp; ROW()))-1,E22)</f>
        <v>-4.0355125100888234E-4</v>
      </c>
      <c r="F23" s="169">
        <f>表2_36716262930381020[[#This Row],[累计净值]]</f>
        <v>0.99080000000000001</v>
      </c>
      <c r="G23" s="170">
        <f>表2_36716262930381020[[#This Row],[累计净值]]/$B$21-1</f>
        <v>-4.0355125100888234E-4</v>
      </c>
    </row>
    <row r="24" spans="1:8" x14ac:dyDescent="0.2">
      <c r="A24" s="161">
        <v>43780</v>
      </c>
      <c r="B24" s="162">
        <v>0.99399999999999999</v>
      </c>
      <c r="C24" s="171">
        <f t="shared" ref="C24:C41" si="0">IFERROR(B24-B23,0)</f>
        <v>3.1999999999999806E-3</v>
      </c>
      <c r="D24" s="168" t="str">
        <f t="shared" ref="D24:D41" si="1">IF(C24&lt;0,C24,"/")</f>
        <v>/</v>
      </c>
      <c r="E24" s="168">
        <f ca="1">IF(表2_36716262930381020[[#This Row],[累计净值]]/MAX(INDIRECT("B21:B" &amp; ROW()))-1&lt;E23,表2_36716262930381020[[#This Row],[累计净值]]/MAX(INDIRECT("B21:B" &amp; ROW()))-1,E23)</f>
        <v>-4.0355125100888234E-4</v>
      </c>
      <c r="F24" s="169">
        <f>表2_36716262930381020[[#This Row],[累计净值]]</f>
        <v>0.99399999999999999</v>
      </c>
      <c r="G24" s="170">
        <f>表2_36716262930381020[[#This Row],[累计净值]]/$B$21-1</f>
        <v>2.8248587570620654E-3</v>
      </c>
    </row>
    <row r="25" spans="1:8" x14ac:dyDescent="0.2">
      <c r="A25" s="161">
        <v>43781</v>
      </c>
      <c r="B25" s="162">
        <v>0.99450000000000005</v>
      </c>
      <c r="C25" s="171">
        <f t="shared" si="0"/>
        <v>5.0000000000005596E-4</v>
      </c>
      <c r="D25" s="168" t="str">
        <f t="shared" si="1"/>
        <v>/</v>
      </c>
      <c r="E25" s="168">
        <f ca="1">IF(表2_36716262930381020[[#This Row],[累计净值]]/MAX(INDIRECT("B21:B" &amp; ROW()))-1&lt;E24,表2_36716262930381020[[#This Row],[累计净值]]/MAX(INDIRECT("B21:B" &amp; ROW()))-1,E24)</f>
        <v>-4.0355125100888234E-4</v>
      </c>
      <c r="F25" s="169">
        <f>表2_36716262930381020[[#This Row],[累计净值]]</f>
        <v>0.99450000000000005</v>
      </c>
      <c r="G25" s="170">
        <f>表2_36716262930381020[[#This Row],[累计净值]]/$B$21-1</f>
        <v>3.3292978208232515E-3</v>
      </c>
    </row>
    <row r="26" spans="1:8" x14ac:dyDescent="0.2">
      <c r="A26" s="161">
        <v>43782</v>
      </c>
      <c r="B26" s="162">
        <v>0.99</v>
      </c>
      <c r="C26" s="171">
        <f t="shared" si="0"/>
        <v>-4.5000000000000595E-3</v>
      </c>
      <c r="D26" s="168">
        <f t="shared" si="1"/>
        <v>-4.5000000000000595E-3</v>
      </c>
      <c r="E26" s="168">
        <f ca="1">IF(表2_36716262930381020[[#This Row],[累计净值]]/MAX(INDIRECT("B21:B" &amp; ROW()))-1&lt;E25,表2_36716262930381020[[#This Row],[累计净值]]/MAX(INDIRECT("B21:B" &amp; ROW()))-1,E25)</f>
        <v>-4.5248868778281492E-3</v>
      </c>
      <c r="F26" s="169">
        <f>表2_36716262930381020[[#This Row],[累计净值]]</f>
        <v>0.99</v>
      </c>
      <c r="G26" s="170">
        <f>表2_36716262930381020[[#This Row],[累计净值]]/$B$21-1</f>
        <v>-1.210653753026647E-3</v>
      </c>
    </row>
    <row r="27" spans="1:8" x14ac:dyDescent="0.2">
      <c r="A27" s="161">
        <v>43783</v>
      </c>
      <c r="B27" s="162">
        <v>0.99</v>
      </c>
      <c r="C27" s="171">
        <f t="shared" si="0"/>
        <v>0</v>
      </c>
      <c r="D27" s="168" t="str">
        <f t="shared" si="1"/>
        <v>/</v>
      </c>
      <c r="E27" s="168">
        <f ca="1">IF(表2_36716262930381020[[#This Row],[累计净值]]/MAX(INDIRECT("B21:B" &amp; ROW()))-1&lt;E26,表2_36716262930381020[[#This Row],[累计净值]]/MAX(INDIRECT("B21:B" &amp; ROW()))-1,E26)</f>
        <v>-4.5248868778281492E-3</v>
      </c>
      <c r="F27" s="169">
        <f>表2_36716262930381020[[#This Row],[累计净值]]</f>
        <v>0.99</v>
      </c>
      <c r="G27" s="170">
        <f>表2_36716262930381020[[#This Row],[累计净值]]/$B$21-1</f>
        <v>-1.210653753026647E-3</v>
      </c>
    </row>
    <row r="28" spans="1:8" x14ac:dyDescent="0.2">
      <c r="A28" s="161">
        <v>43784</v>
      </c>
      <c r="B28" s="162">
        <v>0.99539999999999995</v>
      </c>
      <c r="C28" s="171">
        <f t="shared" si="0"/>
        <v>5.3999999999999604E-3</v>
      </c>
      <c r="D28" s="168" t="str">
        <f t="shared" si="1"/>
        <v>/</v>
      </c>
      <c r="E28" s="168">
        <f ca="1">IF(表2_36716262930381020[[#This Row],[累计净值]]/MAX(INDIRECT("B21:B" &amp; ROW()))-1&lt;E27,表2_36716262930381020[[#This Row],[累计净值]]/MAX(INDIRECT("B21:B" &amp; ROW()))-1,E27)</f>
        <v>-4.5248868778281492E-3</v>
      </c>
      <c r="F28" s="169">
        <f>表2_36716262930381020[[#This Row],[累计净值]]</f>
        <v>0.99539999999999995</v>
      </c>
      <c r="G28" s="170">
        <f>表2_36716262930381020[[#This Row],[累计净值]]/$B$21-1</f>
        <v>4.237288135593209E-3</v>
      </c>
    </row>
    <row r="29" spans="1:8" x14ac:dyDescent="0.2">
      <c r="A29" s="161">
        <v>43787</v>
      </c>
      <c r="B29" s="181">
        <v>0.99680000000000002</v>
      </c>
      <c r="C29" s="182">
        <f t="shared" si="0"/>
        <v>1.4000000000000679E-3</v>
      </c>
      <c r="D29" s="183" t="str">
        <f t="shared" si="1"/>
        <v>/</v>
      </c>
      <c r="E29" s="183">
        <f ca="1">IF(表2_36716262930381020[[#This Row],[累计净值]]/MAX(INDIRECT("B21:B" &amp; ROW()))-1&lt;E28,表2_36716262930381020[[#This Row],[累计净值]]/MAX(INDIRECT("B21:B" &amp; ROW()))-1,E28)</f>
        <v>-4.5248868778281492E-3</v>
      </c>
      <c r="F29" s="169">
        <f>表2_36716262930381020[[#This Row],[累计净值]]</f>
        <v>0.99680000000000002</v>
      </c>
      <c r="G29" s="170">
        <f>表2_36716262930381020[[#This Row],[累计净值]]/$B$21-1</f>
        <v>5.6497175141243527E-3</v>
      </c>
    </row>
    <row r="30" spans="1:8" x14ac:dyDescent="0.2">
      <c r="A30" s="161">
        <v>43788</v>
      </c>
      <c r="B30" s="162">
        <v>0.99650000000000005</v>
      </c>
      <c r="C30" s="171">
        <f t="shared" si="0"/>
        <v>-2.9999999999996696E-4</v>
      </c>
      <c r="D30" s="168">
        <f t="shared" si="1"/>
        <v>-2.9999999999996696E-4</v>
      </c>
      <c r="E30" s="168">
        <f ca="1">IF(表2_36716262930381020[[#This Row],[累计净值]]/MAX(INDIRECT("B21:B" &amp; ROW()))-1&lt;E29,表2_36716262930381020[[#This Row],[累计净值]]/MAX(INDIRECT("B21:B" &amp; ROW()))-1,E29)</f>
        <v>-4.5248868778281492E-3</v>
      </c>
      <c r="F30" s="169">
        <f>表2_36716262930381020[[#This Row],[累计净值]]</f>
        <v>0.99650000000000005</v>
      </c>
      <c r="G30" s="170">
        <f>表2_36716262930381020[[#This Row],[累计净值]]/$B$21-1</f>
        <v>5.3470540758677743E-3</v>
      </c>
    </row>
    <row r="31" spans="1:8" x14ac:dyDescent="0.2">
      <c r="A31" s="161">
        <v>43789</v>
      </c>
      <c r="B31" s="162">
        <v>0.99929999999999997</v>
      </c>
      <c r="C31" s="171">
        <f t="shared" si="0"/>
        <v>2.7999999999999137E-3</v>
      </c>
      <c r="D31" s="168" t="str">
        <f t="shared" si="1"/>
        <v>/</v>
      </c>
      <c r="E31" s="168">
        <f ca="1">IF(表2_36716262930381020[[#This Row],[累计净值]]/MAX(INDIRECT("B21:B" &amp; ROW()))-1&lt;E30,表2_36716262930381020[[#This Row],[累计净值]]/MAX(INDIRECT("B21:B" &amp; ROW()))-1,E30)</f>
        <v>-4.5248868778281492E-3</v>
      </c>
      <c r="F31" s="169">
        <f>表2_36716262930381020[[#This Row],[累计净值]]</f>
        <v>0.99929999999999997</v>
      </c>
      <c r="G31" s="170">
        <f>表2_36716262930381020[[#This Row],[累计净值]]/$B$21-1</f>
        <v>8.1719128329298396E-3</v>
      </c>
    </row>
    <row r="32" spans="1:8" x14ac:dyDescent="0.2">
      <c r="A32" s="161">
        <v>43790</v>
      </c>
      <c r="B32" s="162">
        <v>0.99439999999999995</v>
      </c>
      <c r="C32" s="171">
        <f t="shared" si="0"/>
        <v>-4.9000000000000155E-3</v>
      </c>
      <c r="D32" s="168">
        <f t="shared" si="1"/>
        <v>-4.9000000000000155E-3</v>
      </c>
      <c r="E32" s="168">
        <f ca="1">IF(表2_36716262930381020[[#This Row],[累计净值]]/MAX(INDIRECT("B21:B" &amp; ROW()))-1&lt;E31,表2_36716262930381020[[#This Row],[累计净值]]/MAX(INDIRECT("B21:B" &amp; ROW()))-1,E31)</f>
        <v>-4.9034324026818732E-3</v>
      </c>
      <c r="F32" s="169">
        <f>表2_36716262930381020[[#This Row],[累计净值]]</f>
        <v>0.99439999999999995</v>
      </c>
      <c r="G32" s="170">
        <f>表2_36716262930381020[[#This Row],[累计净值]]/$B$21-1</f>
        <v>3.2284100080710587E-3</v>
      </c>
    </row>
    <row r="33" spans="1:7" x14ac:dyDescent="0.2">
      <c r="A33" s="161">
        <v>43791</v>
      </c>
      <c r="B33" s="162">
        <v>0.99270000000000003</v>
      </c>
      <c r="C33" s="171">
        <f t="shared" si="0"/>
        <v>-1.6999999999999238E-3</v>
      </c>
      <c r="D33" s="168">
        <f t="shared" si="1"/>
        <v>-1.6999999999999238E-3</v>
      </c>
      <c r="E33" s="168">
        <f ca="1">IF(表2_36716262930381020[[#This Row],[累计净值]]/MAX(INDIRECT("B21:B" &amp; ROW()))-1&lt;E32,表2_36716262930381020[[#This Row],[累计净值]]/MAX(INDIRECT("B21:B" &amp; ROW()))-1,E32)</f>
        <v>-6.6046232362653168E-3</v>
      </c>
      <c r="F33" s="169">
        <f>表2_36716262930381020[[#This Row],[累计净值]]</f>
        <v>0.99270000000000003</v>
      </c>
      <c r="G33" s="170">
        <f>表2_36716262930381020[[#This Row],[累计净值]]/$B$21-1</f>
        <v>1.5133171912833365E-3</v>
      </c>
    </row>
    <row r="34" spans="1:7" x14ac:dyDescent="0.2">
      <c r="A34" s="161">
        <v>43794</v>
      </c>
      <c r="B34" s="162">
        <v>0.99639999999999995</v>
      </c>
      <c r="C34" s="171">
        <f t="shared" si="0"/>
        <v>3.6999999999999256E-3</v>
      </c>
      <c r="D34" s="168" t="str">
        <f t="shared" si="1"/>
        <v>/</v>
      </c>
      <c r="E34" s="168">
        <f ca="1">IF(表2_36716262930381020[[#This Row],[累计净值]]/MAX(INDIRECT("B21:B" &amp; ROW()))-1&lt;E33,表2_36716262930381020[[#This Row],[累计净值]]/MAX(INDIRECT("B21:B" &amp; ROW()))-1,E33)</f>
        <v>-6.6046232362653168E-3</v>
      </c>
      <c r="F34" s="169">
        <f>表2_36716262930381020[[#This Row],[累计净值]]</f>
        <v>0.99639999999999995</v>
      </c>
      <c r="G34" s="170">
        <f>表2_36716262930381020[[#This Row],[累计净值]]/$B$21-1</f>
        <v>5.2461662631153594E-3</v>
      </c>
    </row>
    <row r="35" spans="1:7" x14ac:dyDescent="0.2">
      <c r="A35" s="161">
        <v>43795</v>
      </c>
      <c r="B35" s="162">
        <v>0.99539999999999995</v>
      </c>
      <c r="C35" s="171">
        <f t="shared" si="0"/>
        <v>-1.0000000000000009E-3</v>
      </c>
      <c r="D35" s="168">
        <f t="shared" si="1"/>
        <v>-1.0000000000000009E-3</v>
      </c>
      <c r="E35" s="168">
        <f ca="1">IF(表2_36716262930381020[[#This Row],[累计净值]]/MAX(INDIRECT("B21:B" &amp; ROW()))-1&lt;E34,表2_36716262930381020[[#This Row],[累计净值]]/MAX(INDIRECT("B21:B" &amp; ROW()))-1,E34)</f>
        <v>-6.6046232362653168E-3</v>
      </c>
      <c r="F35" s="169">
        <f>表2_36716262930381020[[#This Row],[累计净值]]</f>
        <v>0.99539999999999995</v>
      </c>
      <c r="G35" s="170">
        <f>表2_36716262930381020[[#This Row],[累计净值]]/$B$21-1</f>
        <v>4.237288135593209E-3</v>
      </c>
    </row>
    <row r="36" spans="1:7" x14ac:dyDescent="0.2">
      <c r="A36" s="161">
        <v>43796</v>
      </c>
      <c r="B36" s="162">
        <v>0.99209999999999998</v>
      </c>
      <c r="C36" s="171">
        <f t="shared" si="0"/>
        <v>-3.2999999999999696E-3</v>
      </c>
      <c r="D36" s="168">
        <f t="shared" si="1"/>
        <v>-3.2999999999999696E-3</v>
      </c>
      <c r="E36" s="168">
        <f ca="1">IF(表2_36716262930381020[[#This Row],[累计净值]]/MAX(INDIRECT("B21:B" &amp; ROW()))-1&lt;E35,表2_36716262930381020[[#This Row],[累计净值]]/MAX(INDIRECT("B21:B" &amp; ROW()))-1,E35)</f>
        <v>-7.2050435304713556E-3</v>
      </c>
      <c r="F36" s="169">
        <f>表2_36716262930381020[[#This Row],[累计净值]]</f>
        <v>0.99209999999999998</v>
      </c>
      <c r="G36" s="170">
        <f>表2_36716262930381020[[#This Row],[累计净值]]/$B$21-1</f>
        <v>9.0799031476995751E-4</v>
      </c>
    </row>
    <row r="37" spans="1:7" x14ac:dyDescent="0.2">
      <c r="A37" s="161">
        <v>43797</v>
      </c>
      <c r="B37" s="162">
        <v>0.99080000000000001</v>
      </c>
      <c r="C37" s="171">
        <f t="shared" si="0"/>
        <v>-1.2999999999999678E-3</v>
      </c>
      <c r="D37" s="168">
        <f t="shared" si="1"/>
        <v>-1.2999999999999678E-3</v>
      </c>
      <c r="E37" s="168">
        <f ca="1">IF(表2_36716262930381020[[#This Row],[累计净值]]/MAX(INDIRECT("B21:B" &amp; ROW()))-1&lt;E36,表2_36716262930381020[[#This Row],[累计净值]]/MAX(INDIRECT("B21:B" &amp; ROW()))-1,E36)</f>
        <v>-8.50595416791744E-3</v>
      </c>
      <c r="F37" s="169">
        <f>表2_36716262930381020[[#This Row],[累计净值]]</f>
        <v>0.99080000000000001</v>
      </c>
      <c r="G37" s="170">
        <f>表2_36716262930381020[[#This Row],[累计净值]]/$B$21-1</f>
        <v>-4.0355125100888234E-4</v>
      </c>
    </row>
    <row r="38" spans="1:7" x14ac:dyDescent="0.2">
      <c r="A38" s="161">
        <v>43798</v>
      </c>
      <c r="B38" s="162">
        <v>0.99319999999999997</v>
      </c>
      <c r="C38" s="171">
        <f t="shared" si="0"/>
        <v>2.3999999999999577E-3</v>
      </c>
      <c r="D38" s="168" t="str">
        <f t="shared" si="1"/>
        <v>/</v>
      </c>
      <c r="E38" s="168">
        <f ca="1">IF(表2_36716262930381020[[#This Row],[累计净值]]/MAX(INDIRECT("B21:B" &amp; ROW()))-1&lt;E37,表2_36716262930381020[[#This Row],[累计净值]]/MAX(INDIRECT("B21:B" &amp; ROW()))-1,E37)</f>
        <v>-8.50595416791744E-3</v>
      </c>
      <c r="F38" s="169">
        <f>表2_36716262930381020[[#This Row],[累计净值]]</f>
        <v>0.99319999999999997</v>
      </c>
      <c r="G38" s="170">
        <f>表2_36716262930381020[[#This Row],[累计净值]]/$B$21-1</f>
        <v>2.0177562550443007E-3</v>
      </c>
    </row>
    <row r="39" spans="1:7" x14ac:dyDescent="0.2">
      <c r="A39" s="161">
        <v>43801</v>
      </c>
      <c r="B39" s="162">
        <v>0.98760000000000003</v>
      </c>
      <c r="C39" s="171">
        <f t="shared" si="0"/>
        <v>-5.5999999999999384E-3</v>
      </c>
      <c r="D39" s="168">
        <f t="shared" si="1"/>
        <v>-5.5999999999999384E-3</v>
      </c>
      <c r="E39" s="168">
        <f ca="1">IF(表2_36716262930381020[[#This Row],[累计净值]]/MAX(INDIRECT("B21:B" &amp; ROW()))-1&lt;E38,表2_36716262930381020[[#This Row],[累计净值]]/MAX(INDIRECT("B21:B" &amp; ROW()))-1,E38)</f>
        <v>-1.170819573701587E-2</v>
      </c>
      <c r="F39" s="169">
        <f>表2_36716262930381020[[#This Row],[累计净值]]</f>
        <v>0.98760000000000003</v>
      </c>
      <c r="G39" s="170">
        <f>表2_36716262930381020[[#This Row],[累计净值]]/$B$21-1</f>
        <v>-3.63196125907983E-3</v>
      </c>
    </row>
    <row r="40" spans="1:7" x14ac:dyDescent="0.2">
      <c r="A40" s="161">
        <v>43802</v>
      </c>
      <c r="B40" s="162">
        <v>0.98970000000000002</v>
      </c>
      <c r="C40" s="171">
        <f t="shared" si="0"/>
        <v>2.0999999999999908E-3</v>
      </c>
      <c r="D40" s="168" t="str">
        <f t="shared" si="1"/>
        <v>/</v>
      </c>
      <c r="E40" s="168">
        <f ca="1">IF(表2_36716262930381020[[#This Row],[累计净值]]/MAX(INDIRECT("B21:B" &amp; ROW()))-1&lt;E39,表2_36716262930381020[[#This Row],[累计净值]]/MAX(INDIRECT("B21:B" &amp; ROW()))-1,E39)</f>
        <v>-1.170819573701587E-2</v>
      </c>
      <c r="F40" s="169">
        <f>表2_36716262930381020[[#This Row],[累计净值]]</f>
        <v>0.98970000000000002</v>
      </c>
      <c r="G40" s="170">
        <f>表2_36716262930381020[[#This Row],[累计净值]]/$B$21-1</f>
        <v>-1.5133171912832255E-3</v>
      </c>
    </row>
    <row r="41" spans="1:7" x14ac:dyDescent="0.2">
      <c r="A41" s="161">
        <v>43803</v>
      </c>
      <c r="B41" s="162">
        <v>0.98870000000000002</v>
      </c>
      <c r="C41" s="171">
        <f t="shared" si="0"/>
        <v>-1.0000000000000009E-3</v>
      </c>
      <c r="D41" s="168">
        <f t="shared" si="1"/>
        <v>-1.0000000000000009E-3</v>
      </c>
      <c r="E41" s="168">
        <f ca="1">IF(表2_36716262930381020[[#This Row],[累计净值]]/MAX(INDIRECT("B21:B" &amp; ROW()))-1&lt;E40,表2_36716262930381020[[#This Row],[累计净值]]/MAX(INDIRECT("B21:B" &amp; ROW()))-1,E40)</f>
        <v>-1.170819573701587E-2</v>
      </c>
      <c r="F41" s="169">
        <f>表2_36716262930381020[[#This Row],[累计净值]]</f>
        <v>0.98870000000000002</v>
      </c>
      <c r="G41" s="170">
        <f>表2_36716262930381020[[#This Row],[累计净值]]/$B$21-1</f>
        <v>-2.5221953188054869E-3</v>
      </c>
    </row>
    <row r="42" spans="1:7" x14ac:dyDescent="0.2">
      <c r="A42" s="161">
        <v>43804</v>
      </c>
      <c r="B42" s="162">
        <v>0.98209999999999997</v>
      </c>
      <c r="C42" s="171">
        <f>IFERROR(B42-B41,0)</f>
        <v>-6.6000000000000503E-3</v>
      </c>
      <c r="D42" s="168">
        <f>IF(C42&lt;0,C42,"/")</f>
        <v>-6.6000000000000503E-3</v>
      </c>
      <c r="E42" s="168">
        <f ca="1">IF(表2_36716262930381020[[#This Row],[累计净值]]/MAX(INDIRECT("B21:B" &amp; ROW()))-1&lt;E41,表2_36716262930381020[[#This Row],[累计净值]]/MAX(INDIRECT("B21:B" &amp; ROW()))-1,E41)</f>
        <v>-1.7212048433903782E-2</v>
      </c>
      <c r="F42" s="169">
        <f>表2_36716262930381020[[#This Row],[累计净值]]</f>
        <v>0.98209999999999997</v>
      </c>
      <c r="G42" s="170">
        <f>表2_36716262930381020[[#This Row],[累计净值]]/$B$21-1</f>
        <v>-9.1807909604519899E-3</v>
      </c>
    </row>
    <row r="43" spans="1:7" x14ac:dyDescent="0.2">
      <c r="A43" s="161">
        <v>43805</v>
      </c>
      <c r="B43" s="162">
        <v>0.97719999999999996</v>
      </c>
      <c r="C43" s="171">
        <f>IFERROR(B43-B42,0)</f>
        <v>-4.9000000000000155E-3</v>
      </c>
      <c r="D43" s="168">
        <f>IF(C43&lt;0,C43,"/")</f>
        <v>-4.9000000000000155E-3</v>
      </c>
      <c r="E43" s="168">
        <f ca="1">IF(表2_36716262930381020[[#This Row],[累计净值]]/MAX(INDIRECT("B21:B" &amp; ROW()))-1&lt;E42,表2_36716262930381020[[#This Row],[累计净值]]/MAX(INDIRECT("B21:B" &amp; ROW()))-1,E42)</f>
        <v>-2.2115480836585655E-2</v>
      </c>
      <c r="F43" s="169">
        <f>表2_36716262930381020[[#This Row],[累计净值]]</f>
        <v>0.97719999999999996</v>
      </c>
      <c r="G43" s="170">
        <f>表2_36716262930381020[[#This Row],[累计净值]]/$B$21-1</f>
        <v>-1.4124293785310771E-2</v>
      </c>
    </row>
    <row r="44" spans="1:7" x14ac:dyDescent="0.2">
      <c r="A44" s="161">
        <v>43808</v>
      </c>
      <c r="B44" s="162">
        <v>0.99760000000000004</v>
      </c>
      <c r="C44" s="171">
        <f>IFERROR(B44-B43,0)</f>
        <v>2.0400000000000085E-2</v>
      </c>
      <c r="D44" s="168" t="str">
        <f>IF(C44&lt;0,C44,"/")</f>
        <v>/</v>
      </c>
      <c r="E44" s="168">
        <f ca="1">IF(表2_36716262930381020[[#This Row],[累计净值]]/MAX(INDIRECT("B21:B" &amp; ROW()))-1&lt;E43,表2_36716262930381020[[#This Row],[累计净值]]/MAX(INDIRECT("B21:B" &amp; ROW()))-1,E43)</f>
        <v>-2.2115480836585655E-2</v>
      </c>
      <c r="F44" s="169">
        <f>表2_36716262930381020[[#This Row],[累计净值]]</f>
        <v>0.99760000000000004</v>
      </c>
      <c r="G44" s="170">
        <f>表2_36716262930381020[[#This Row],[累计净值]]/$B$21-1</f>
        <v>6.4568200161421174E-3</v>
      </c>
    </row>
    <row r="45" spans="1:7" x14ac:dyDescent="0.2">
      <c r="A45" s="161">
        <v>43809</v>
      </c>
      <c r="B45" s="162">
        <v>1.0014000000000001</v>
      </c>
      <c r="C45" s="171">
        <f>IFERROR(B45-B44,0)</f>
        <v>3.8000000000000256E-3</v>
      </c>
      <c r="D45" s="168" t="str">
        <f>IF(C45&lt;0,C45,"/")</f>
        <v>/</v>
      </c>
      <c r="E45" s="168">
        <f ca="1">IF(表2_36716262930381020[[#This Row],[累计净值]]/MAX(INDIRECT("B21:B" &amp; ROW()))-1&lt;E44,表2_36716262930381020[[#This Row],[累计净值]]/MAX(INDIRECT("B21:B" &amp; ROW()))-1,E44)</f>
        <v>-2.2115480836585655E-2</v>
      </c>
      <c r="F45" s="169">
        <f>表2_36716262930381020[[#This Row],[累计净值]]</f>
        <v>1.0014000000000001</v>
      </c>
      <c r="G45" s="170">
        <f>表2_36716262930381020[[#This Row],[累计净值]]/$B$21-1</f>
        <v>1.0290556900726555E-2</v>
      </c>
    </row>
    <row r="46" spans="1:7" x14ac:dyDescent="0.2">
      <c r="A46" s="161">
        <v>43810</v>
      </c>
      <c r="B46" s="162">
        <v>1</v>
      </c>
      <c r="C46" s="171">
        <f>IFERROR(B46-B45,0)</f>
        <v>-1.4000000000000679E-3</v>
      </c>
      <c r="D46" s="168">
        <f>IF(C46&lt;0,C46,"/")</f>
        <v>-1.4000000000000679E-3</v>
      </c>
      <c r="E46" s="168">
        <f ca="1">IF(表2_36716262930381020[[#This Row],[累计净值]]/MAX(INDIRECT("B21:B" &amp; ROW()))-1&lt;E45,表2_36716262930381020[[#This Row],[累计净值]]/MAX(INDIRECT("B21:B" &amp; ROW()))-1,E45)</f>
        <v>-2.2115480836585655E-2</v>
      </c>
      <c r="F46" s="169">
        <f>表2_36716262930381020[[#This Row],[累计净值]]</f>
        <v>1</v>
      </c>
      <c r="G46" s="170">
        <f>表2_36716262930381020[[#This Row],[累计净值]]/$B$21-1</f>
        <v>8.8781275221954115E-3</v>
      </c>
    </row>
    <row r="47" spans="1:7" x14ac:dyDescent="0.2">
      <c r="A47" s="161">
        <v>43811</v>
      </c>
      <c r="B47" s="162">
        <v>1.0011000000000001</v>
      </c>
      <c r="C47" s="171">
        <f t="shared" ref="C47:C60" si="2">IFERROR(B47-B46,0)</f>
        <v>1.1000000000001009E-3</v>
      </c>
      <c r="D47" s="168" t="str">
        <f t="shared" ref="D47:D60" si="3">IF(C47&lt;0,C47,"/")</f>
        <v>/</v>
      </c>
      <c r="E47" s="168">
        <f ca="1">IF(表2_36716262930381020[[#This Row],[累计净值]]/MAX(INDIRECT("B21:B" &amp; ROW()))-1&lt;E46,表2_36716262930381020[[#This Row],[累计净值]]/MAX(INDIRECT("B21:B" &amp; ROW()))-1,E46)</f>
        <v>-2.2115480836585655E-2</v>
      </c>
      <c r="F47" s="169">
        <f>表2_36716262930381020[[#This Row],[累计净值]]</f>
        <v>1.0011000000000001</v>
      </c>
      <c r="G47" s="170">
        <f>表2_36716262930381020[[#This Row],[累计净值]]/$B$21-1</f>
        <v>9.9878934624699767E-3</v>
      </c>
    </row>
    <row r="48" spans="1:7" x14ac:dyDescent="0.2">
      <c r="A48" s="161">
        <v>43812</v>
      </c>
      <c r="B48" s="162">
        <v>1.0013000000000001</v>
      </c>
      <c r="C48" s="171">
        <f t="shared" si="2"/>
        <v>1.9999999999997797E-4</v>
      </c>
      <c r="D48" s="168" t="str">
        <f t="shared" si="3"/>
        <v>/</v>
      </c>
      <c r="E48" s="168">
        <f ca="1">IF(表2_36716262930381020[[#This Row],[累计净值]]/MAX(INDIRECT("B21:B" &amp; ROW()))-1&lt;E47,表2_36716262930381020[[#This Row],[累计净值]]/MAX(INDIRECT("B21:B" &amp; ROW()))-1,E47)</f>
        <v>-2.2115480836585655E-2</v>
      </c>
      <c r="F48" s="169">
        <f>表2_36716262930381020[[#This Row],[累计净值]]</f>
        <v>1.0013000000000001</v>
      </c>
      <c r="G48" s="170">
        <f>表2_36716262930381020[[#This Row],[累计净值]]/$B$21-1</f>
        <v>1.0189669087974362E-2</v>
      </c>
    </row>
    <row r="49" spans="1:7" x14ac:dyDescent="0.2">
      <c r="A49" s="161">
        <v>43815</v>
      </c>
      <c r="B49" s="162">
        <v>1.0051000000000001</v>
      </c>
      <c r="C49" s="171">
        <f t="shared" si="2"/>
        <v>3.8000000000000256E-3</v>
      </c>
      <c r="D49" s="168" t="str">
        <f t="shared" si="3"/>
        <v>/</v>
      </c>
      <c r="E49" s="168">
        <f ca="1">IF(表2_36716262930381020[[#This Row],[累计净值]]/MAX(INDIRECT("B21:B" &amp; ROW()))-1&lt;E48,表2_36716262930381020[[#This Row],[累计净值]]/MAX(INDIRECT("B21:B" &amp; ROW()))-1,E48)</f>
        <v>-2.2115480836585655E-2</v>
      </c>
      <c r="F49" s="169">
        <f>表2_36716262930381020[[#This Row],[累计净值]]</f>
        <v>1.0051000000000001</v>
      </c>
      <c r="G49" s="170">
        <f>表2_36716262930381020[[#This Row],[累计净值]]/$B$21-1</f>
        <v>1.4023405972558578E-2</v>
      </c>
    </row>
    <row r="50" spans="1:7" x14ac:dyDescent="0.2">
      <c r="A50" s="161">
        <v>43816</v>
      </c>
      <c r="B50" s="162">
        <v>0.99690000000000001</v>
      </c>
      <c r="C50" s="171">
        <f t="shared" si="2"/>
        <v>-8.2000000000000961E-3</v>
      </c>
      <c r="D50" s="168">
        <f t="shared" si="3"/>
        <v>-8.2000000000000961E-3</v>
      </c>
      <c r="E50" s="168">
        <f ca="1">IF(表2_36716262930381020[[#This Row],[累计净值]]/MAX(INDIRECT("B21:B" &amp; ROW()))-1&lt;E49,表2_36716262930381020[[#This Row],[累计净值]]/MAX(INDIRECT("B21:B" &amp; ROW()))-1,E49)</f>
        <v>-2.2115480836585655E-2</v>
      </c>
      <c r="F50" s="169">
        <f>表2_36716262930381020[[#This Row],[累计净值]]</f>
        <v>0.99690000000000001</v>
      </c>
      <c r="G50" s="170">
        <f>表2_36716262930381020[[#This Row],[累计净值]]/$B$21-1</f>
        <v>5.7506053268765456E-3</v>
      </c>
    </row>
    <row r="51" spans="1:7" x14ac:dyDescent="0.2">
      <c r="A51" s="161">
        <v>43817</v>
      </c>
      <c r="B51" s="162">
        <v>0.99670000000000003</v>
      </c>
      <c r="C51" s="171">
        <f t="shared" si="2"/>
        <v>-1.9999999999997797E-4</v>
      </c>
      <c r="D51" s="168">
        <f t="shared" si="3"/>
        <v>-1.9999999999997797E-4</v>
      </c>
      <c r="E51" s="168">
        <f ca="1">IF(表2_36716262930381020[[#This Row],[累计净值]]/MAX(INDIRECT("B21:B" &amp; ROW()))-1&lt;E50,表2_36716262930381020[[#This Row],[累计净值]]/MAX(INDIRECT("B21:B" &amp; ROW()))-1,E50)</f>
        <v>-2.2115480836585655E-2</v>
      </c>
      <c r="F51" s="169">
        <f>表2_36716262930381020[[#This Row],[累计净值]]</f>
        <v>0.99670000000000003</v>
      </c>
      <c r="G51" s="170">
        <f>表2_36716262930381020[[#This Row],[累计净值]]/$B$21-1</f>
        <v>5.5488297013721599E-3</v>
      </c>
    </row>
    <row r="52" spans="1:7" x14ac:dyDescent="0.2">
      <c r="A52" s="161">
        <v>43818</v>
      </c>
      <c r="B52" s="162">
        <v>1.0017</v>
      </c>
      <c r="C52" s="171">
        <f t="shared" si="2"/>
        <v>5.0000000000000044E-3</v>
      </c>
      <c r="D52" s="168" t="str">
        <f t="shared" si="3"/>
        <v>/</v>
      </c>
      <c r="E52" s="168">
        <f ca="1">IF(表2_36716262930381020[[#This Row],[累计净值]]/MAX(INDIRECT("B21:B" &amp; ROW()))-1&lt;E51,表2_36716262930381020[[#This Row],[累计净值]]/MAX(INDIRECT("B21:B" &amp; ROW()))-1,E51)</f>
        <v>-2.2115480836585655E-2</v>
      </c>
      <c r="F52" s="169">
        <f>表2_36716262930381020[[#This Row],[累计净值]]</f>
        <v>1.0017</v>
      </c>
      <c r="G52" s="170">
        <f>表2_36716262930381020[[#This Row],[累计净值]]/$B$21-1</f>
        <v>1.0593220338983134E-2</v>
      </c>
    </row>
    <row r="53" spans="1:7" x14ac:dyDescent="0.2">
      <c r="A53" s="161">
        <v>43819</v>
      </c>
      <c r="B53" s="162">
        <v>1.0072000000000001</v>
      </c>
      <c r="C53" s="171">
        <f t="shared" si="2"/>
        <v>5.5000000000000604E-3</v>
      </c>
      <c r="D53" s="168" t="str">
        <f t="shared" si="3"/>
        <v>/</v>
      </c>
      <c r="E53" s="168">
        <f ca="1">IF(表2_36716262930381020[[#This Row],[累计净值]]/MAX(INDIRECT("B21:B" &amp; ROW()))-1&lt;E52,表2_36716262930381020[[#This Row],[累计净值]]/MAX(INDIRECT("B21:B" &amp; ROW()))-1,E52)</f>
        <v>-2.2115480836585655E-2</v>
      </c>
      <c r="F53" s="169">
        <f>表2_36716262930381020[[#This Row],[累计净值]]</f>
        <v>1.0072000000000001</v>
      </c>
      <c r="G53" s="170">
        <f>表2_36716262930381020[[#This Row],[累计净值]]/$B$21-1</f>
        <v>1.6142050040355294E-2</v>
      </c>
    </row>
    <row r="54" spans="1:7" x14ac:dyDescent="0.2">
      <c r="A54" s="161">
        <v>43822</v>
      </c>
      <c r="B54" s="162">
        <v>1.0105999999999999</v>
      </c>
      <c r="C54" s="171">
        <f t="shared" si="2"/>
        <v>3.3999999999998476E-3</v>
      </c>
      <c r="D54" s="168" t="str">
        <f t="shared" si="3"/>
        <v>/</v>
      </c>
      <c r="E54" s="168">
        <f ca="1">IF(表2_36716262930381020[[#This Row],[累计净值]]/MAX(INDIRECT("B21:B" &amp; ROW()))-1&lt;E53,表2_36716262930381020[[#This Row],[累计净值]]/MAX(INDIRECT("B21:B" &amp; ROW()))-1,E53)</f>
        <v>-2.2115480836585655E-2</v>
      </c>
      <c r="F54" s="169">
        <f>表2_36716262930381020[[#This Row],[累计净值]]</f>
        <v>1.0105999999999999</v>
      </c>
      <c r="G54" s="170">
        <f>表2_36716262930381020[[#This Row],[累计净值]]/$B$21-1</f>
        <v>1.9572235673930516E-2</v>
      </c>
    </row>
    <row r="55" spans="1:7" x14ac:dyDescent="0.2">
      <c r="A55" s="161">
        <v>43823</v>
      </c>
      <c r="B55" s="162">
        <v>1.0085</v>
      </c>
      <c r="C55" s="171">
        <f t="shared" si="2"/>
        <v>-2.0999999999999908E-3</v>
      </c>
      <c r="D55" s="168">
        <f t="shared" si="3"/>
        <v>-2.0999999999999908E-3</v>
      </c>
      <c r="E55" s="168">
        <f ca="1">IF(表2_36716262930381020[[#This Row],[累计净值]]/MAX(INDIRECT("B21:B" &amp; ROW()))-1&lt;E54,表2_36716262930381020[[#This Row],[累计净值]]/MAX(INDIRECT("B21:B" &amp; ROW()))-1,E54)</f>
        <v>-2.2115480836585655E-2</v>
      </c>
      <c r="F55" s="169">
        <f>表2_36716262930381020[[#This Row],[累计净值]]</f>
        <v>1.0085</v>
      </c>
      <c r="G55" s="170">
        <f>表2_36716262930381020[[#This Row],[累计净值]]/$B$21-1</f>
        <v>1.7453591606134022E-2</v>
      </c>
    </row>
    <row r="56" spans="1:7" x14ac:dyDescent="0.2">
      <c r="A56" s="161">
        <v>43824</v>
      </c>
      <c r="B56" s="162">
        <v>1.0082</v>
      </c>
      <c r="C56" s="171">
        <f t="shared" si="2"/>
        <v>-2.9999999999996696E-4</v>
      </c>
      <c r="D56" s="168">
        <f t="shared" si="3"/>
        <v>-2.9999999999996696E-4</v>
      </c>
      <c r="E56" s="168">
        <f ca="1">IF(表2_36716262930381020[[#This Row],[累计净值]]/MAX(INDIRECT("B21:B" &amp; ROW()))-1&lt;E55,表2_36716262930381020[[#This Row],[累计净值]]/MAX(INDIRECT("B21:B" &amp; ROW()))-1,E55)</f>
        <v>-2.2115480836585655E-2</v>
      </c>
      <c r="F56" s="169">
        <f>表2_36716262930381020[[#This Row],[累计净值]]</f>
        <v>1.0082</v>
      </c>
      <c r="G56" s="170">
        <f>表2_36716262930381020[[#This Row],[累计净值]]/$B$21-1</f>
        <v>1.7150928167877444E-2</v>
      </c>
    </row>
    <row r="57" spans="1:7" x14ac:dyDescent="0.2">
      <c r="A57" s="161">
        <v>43825</v>
      </c>
      <c r="B57" s="162">
        <v>1.0065</v>
      </c>
      <c r="C57" s="171">
        <f t="shared" si="2"/>
        <v>-1.7000000000000348E-3</v>
      </c>
      <c r="D57" s="168">
        <f t="shared" si="3"/>
        <v>-1.7000000000000348E-3</v>
      </c>
      <c r="E57" s="168">
        <f ca="1">IF(表2_36716262930381020[[#This Row],[累计净值]]/MAX(INDIRECT("B21:B" &amp; ROW()))-1&lt;E56,表2_36716262930381020[[#This Row],[累计净值]]/MAX(INDIRECT("B21:B" &amp; ROW()))-1,E56)</f>
        <v>-2.2115480836585655E-2</v>
      </c>
      <c r="F57" s="169">
        <f>表2_36716262930381020[[#This Row],[累计净值]]</f>
        <v>1.0065</v>
      </c>
      <c r="G57" s="170">
        <f>表2_36716262930381020[[#This Row],[累计净值]]/$B$21-1</f>
        <v>1.54358353510895E-2</v>
      </c>
    </row>
    <row r="58" spans="1:7" x14ac:dyDescent="0.2">
      <c r="A58" s="161">
        <v>43826</v>
      </c>
      <c r="B58" s="178">
        <v>1.0145</v>
      </c>
      <c r="C58" s="171">
        <f t="shared" si="2"/>
        <v>8.0000000000000071E-3</v>
      </c>
      <c r="D58" s="168" t="str">
        <f t="shared" si="3"/>
        <v>/</v>
      </c>
      <c r="E58" s="168">
        <f ca="1">IF(表2_36716262930381020[[#This Row],[累计净值]]/MAX(INDIRECT("B21:B" &amp; ROW()))-1&lt;E57,表2_36716262930381020[[#This Row],[累计净值]]/MAX(INDIRECT("B21:B" &amp; ROW()))-1,E57)</f>
        <v>-2.2115480836585655E-2</v>
      </c>
      <c r="F58" s="169">
        <f>表2_36716262930381020[[#This Row],[累计净值]]</f>
        <v>1.0145</v>
      </c>
      <c r="G58" s="170">
        <f>表2_36716262930381020[[#This Row],[累计净值]]/$B$21-1</f>
        <v>2.3506860371267146E-2</v>
      </c>
    </row>
    <row r="59" spans="1:7" x14ac:dyDescent="0.2">
      <c r="A59" s="161">
        <v>43829</v>
      </c>
      <c r="B59" s="162">
        <v>1.0094000000000001</v>
      </c>
      <c r="C59" s="171">
        <f t="shared" si="2"/>
        <v>-5.0999999999998824E-3</v>
      </c>
      <c r="D59" s="168">
        <f t="shared" si="3"/>
        <v>-5.0999999999998824E-3</v>
      </c>
      <c r="E59" s="168">
        <f ca="1">IF(表2_36716262930381020[[#This Row],[累计净值]]/MAX(INDIRECT("B21:B" &amp; ROW()))-1&lt;E58,表2_36716262930381020[[#This Row],[累计净值]]/MAX(INDIRECT("B21:B" &amp; ROW()))-1,E58)</f>
        <v>-2.2115480836585655E-2</v>
      </c>
      <c r="F59" s="169">
        <f>表2_36716262930381020[[#This Row],[累计净值]]</f>
        <v>1.0094000000000001</v>
      </c>
      <c r="G59" s="170">
        <f>表2_36716262930381020[[#This Row],[累计净值]]/$B$21-1</f>
        <v>1.836158192090398E-2</v>
      </c>
    </row>
    <row r="60" spans="1:7" x14ac:dyDescent="0.2">
      <c r="A60" s="161">
        <v>43830</v>
      </c>
      <c r="B60" s="162">
        <v>1.0095000000000001</v>
      </c>
      <c r="C60" s="171">
        <f t="shared" si="2"/>
        <v>9.9999999999988987E-5</v>
      </c>
      <c r="D60" s="168" t="str">
        <f t="shared" si="3"/>
        <v>/</v>
      </c>
      <c r="E60" s="168">
        <f ca="1">IF(表2_36716262930381020[[#This Row],[累计净值]]/MAX(INDIRECT("B21:B" &amp; ROW()))-1&lt;E59,表2_36716262930381020[[#This Row],[累计净值]]/MAX(INDIRECT("B21:B" &amp; ROW()))-1,E59)</f>
        <v>-2.2115480836585655E-2</v>
      </c>
      <c r="F60" s="169">
        <f>表2_36716262930381020[[#This Row],[累计净值]]</f>
        <v>1.0095000000000001</v>
      </c>
      <c r="G60" s="170">
        <f>表2_36716262930381020[[#This Row],[累计净值]]/$B$21-1</f>
        <v>1.8462469733656173E-2</v>
      </c>
    </row>
    <row r="61" spans="1:7" x14ac:dyDescent="0.2">
      <c r="A61" s="161">
        <v>43832</v>
      </c>
      <c r="B61" s="162">
        <v>1.0079</v>
      </c>
      <c r="C61" s="171">
        <f>IFERROR(B61-B60,0)</f>
        <v>-1.6000000000000458E-3</v>
      </c>
      <c r="D61" s="168">
        <f>IF(C61&lt;0,C61,"/")</f>
        <v>-1.6000000000000458E-3</v>
      </c>
      <c r="E61" s="168">
        <f ca="1">IF(表2_36716262930381020[[#This Row],[累计净值]]/MAX(INDIRECT("B21:B" &amp; ROW()))-1&lt;E60,表2_36716262930381020[[#This Row],[累计净值]]/MAX(INDIRECT("B21:B" &amp; ROW()))-1,E60)</f>
        <v>-2.2115480836585655E-2</v>
      </c>
      <c r="F61" s="169">
        <f>表2_36716262930381020[[#This Row],[累计净值]]</f>
        <v>1.0079</v>
      </c>
      <c r="G61" s="170">
        <f>表2_36716262930381020[[#This Row],[累计净值]]/$B$21-1</f>
        <v>1.6848264729620643E-2</v>
      </c>
    </row>
    <row r="62" spans="1:7" x14ac:dyDescent="0.2">
      <c r="A62" s="161">
        <v>43833</v>
      </c>
      <c r="B62" s="162">
        <v>1.0132000000000001</v>
      </c>
      <c r="C62" s="171">
        <f>IFERROR(B62-B61,0)</f>
        <v>5.3000000000000824E-3</v>
      </c>
      <c r="D62" s="168" t="str">
        <f>IF(C62&lt;0,C62,"/")</f>
        <v>/</v>
      </c>
      <c r="E62" s="168">
        <f ca="1">IF(表2_36716262930381020[[#This Row],[累计净值]]/MAX(INDIRECT("B21:B" &amp; ROW()))-1&lt;E61,表2_36716262930381020[[#This Row],[累计净值]]/MAX(INDIRECT("B21:B" &amp; ROW()))-1,E61)</f>
        <v>-2.2115480836585655E-2</v>
      </c>
      <c r="F62" s="169">
        <f>表2_36716262930381020[[#This Row],[累计净值]]</f>
        <v>1.0132000000000001</v>
      </c>
      <c r="G62" s="170">
        <f>表2_36716262930381020[[#This Row],[累计净值]]/$B$21-1</f>
        <v>2.2195318805488418E-2</v>
      </c>
    </row>
    <row r="63" spans="1:7" x14ac:dyDescent="0.2">
      <c r="A63" s="161">
        <v>43836</v>
      </c>
      <c r="B63" s="162">
        <v>1.0076000000000001</v>
      </c>
      <c r="C63" s="171">
        <f t="shared" ref="C63:C126" si="4">IFERROR(B63-B62,0)</f>
        <v>-5.6000000000000494E-3</v>
      </c>
      <c r="D63" s="168">
        <f t="shared" ref="D63:D126" si="5">IF(C63&lt;0,C63,"/")</f>
        <v>-5.6000000000000494E-3</v>
      </c>
      <c r="E63" s="168">
        <f ca="1">IF(表2_36716262930381020[[#This Row],[累计净值]]/MAX(INDIRECT("B21:B" &amp; ROW()))-1&lt;E62,表2_36716262930381020[[#This Row],[累计净值]]/MAX(INDIRECT("B21:B" &amp; ROW()))-1,E62)</f>
        <v>-2.2115480836585655E-2</v>
      </c>
      <c r="F63" s="169">
        <f>表2_36716262930381020[[#This Row],[累计净值]]</f>
        <v>1.0076000000000001</v>
      </c>
      <c r="G63" s="170">
        <f>表2_36716262930381020[[#This Row],[累计净值]]/$B$21-1</f>
        <v>1.6545601291364065E-2</v>
      </c>
    </row>
    <row r="64" spans="1:7" x14ac:dyDescent="0.2">
      <c r="A64" s="161">
        <v>43837</v>
      </c>
      <c r="B64" s="162">
        <v>1.0017</v>
      </c>
      <c r="C64" s="171">
        <f t="shared" si="4"/>
        <v>-5.9000000000000163E-3</v>
      </c>
      <c r="D64" s="168">
        <f t="shared" si="5"/>
        <v>-5.9000000000000163E-3</v>
      </c>
      <c r="E64" s="168">
        <f ca="1">IF(表2_36716262930381020[[#This Row],[累计净值]]/MAX(INDIRECT("B21:B" &amp; ROW()))-1&lt;E63,表2_36716262930381020[[#This Row],[累计净值]]/MAX(INDIRECT("B21:B" &amp; ROW()))-1,E63)</f>
        <v>-2.2115480836585655E-2</v>
      </c>
      <c r="F64" s="169">
        <f>表2_36716262930381020[[#This Row],[累计净值]]</f>
        <v>1.0017</v>
      </c>
      <c r="G64" s="170">
        <f>表2_36716262930381020[[#This Row],[累计净值]]/$B$21-1</f>
        <v>1.0593220338983134E-2</v>
      </c>
    </row>
    <row r="65" spans="1:7" x14ac:dyDescent="0.2">
      <c r="A65" s="161">
        <v>43838</v>
      </c>
      <c r="B65" s="162">
        <v>1.0035000000000001</v>
      </c>
      <c r="C65" s="171">
        <f t="shared" si="4"/>
        <v>1.8000000000000238E-3</v>
      </c>
      <c r="D65" s="168" t="str">
        <f t="shared" si="5"/>
        <v>/</v>
      </c>
      <c r="E65" s="168">
        <f ca="1">IF(表2_36716262930381020[[#This Row],[累计净值]]/MAX(INDIRECT("B21:B" &amp; ROW()))-1&lt;E64,表2_36716262930381020[[#This Row],[累计净值]]/MAX(INDIRECT("B21:B" &amp; ROW()))-1,E64)</f>
        <v>-2.2115480836585655E-2</v>
      </c>
      <c r="F65" s="169">
        <f>表2_36716262930381020[[#This Row],[累计净值]]</f>
        <v>1.0035000000000001</v>
      </c>
      <c r="G65" s="170">
        <f>表2_36716262930381020[[#This Row],[累计净值]]/$B$21-1</f>
        <v>1.2409200968523049E-2</v>
      </c>
    </row>
    <row r="66" spans="1:7" x14ac:dyDescent="0.2">
      <c r="A66" s="161">
        <v>43839</v>
      </c>
      <c r="B66" s="162">
        <v>1.0093000000000001</v>
      </c>
      <c r="C66" s="171">
        <f t="shared" si="4"/>
        <v>5.8000000000000274E-3</v>
      </c>
      <c r="D66" s="168" t="str">
        <f t="shared" si="5"/>
        <v>/</v>
      </c>
      <c r="E66" s="168">
        <f ca="1">IF(表2_36716262930381020[[#This Row],[累计净值]]/MAX(INDIRECT("B21:B" &amp; ROW()))-1&lt;E65,表2_36716262930381020[[#This Row],[累计净值]]/MAX(INDIRECT("B21:B" &amp; ROW()))-1,E65)</f>
        <v>-2.2115480836585655E-2</v>
      </c>
      <c r="F66" s="169">
        <f>表2_36716262930381020[[#This Row],[累计净值]]</f>
        <v>1.0093000000000001</v>
      </c>
      <c r="G66" s="170">
        <f>表2_36716262930381020[[#This Row],[累计净值]]/$B$21-1</f>
        <v>1.8260694108151787E-2</v>
      </c>
    </row>
    <row r="67" spans="1:7" x14ac:dyDescent="0.2">
      <c r="A67" s="161">
        <v>43840</v>
      </c>
      <c r="B67" s="162">
        <v>1.0169999999999999</v>
      </c>
      <c r="C67" s="171">
        <f t="shared" si="4"/>
        <v>7.6999999999998181E-3</v>
      </c>
      <c r="D67" s="168" t="str">
        <f t="shared" si="5"/>
        <v>/</v>
      </c>
      <c r="E67" s="168">
        <f ca="1">IF(表2_36716262930381020[[#This Row],[累计净值]]/MAX(INDIRECT("B21:B" &amp; ROW()))-1&lt;E66,表2_36716262930381020[[#This Row],[累计净值]]/MAX(INDIRECT("B21:B" &amp; ROW()))-1,E66)</f>
        <v>-2.2115480836585655E-2</v>
      </c>
      <c r="F67" s="169">
        <f>表2_36716262930381020[[#This Row],[累计净值]]</f>
        <v>1.0169999999999999</v>
      </c>
      <c r="G67" s="170">
        <f>表2_36716262930381020[[#This Row],[累计净值]]/$B$21-1</f>
        <v>2.6029055690072633E-2</v>
      </c>
    </row>
    <row r="68" spans="1:7" x14ac:dyDescent="0.2">
      <c r="A68" s="161">
        <v>43843</v>
      </c>
      <c r="B68" s="178">
        <v>1.0194000000000001</v>
      </c>
      <c r="C68" s="171">
        <f t="shared" si="4"/>
        <v>2.4000000000001798E-3</v>
      </c>
      <c r="D68" s="168" t="str">
        <f t="shared" si="5"/>
        <v>/</v>
      </c>
      <c r="E68" s="168">
        <f ca="1">IF(表2_36716262930381020[[#This Row],[累计净值]]/MAX(INDIRECT("B21:B" &amp; ROW()))-1&lt;E67,表2_36716262930381020[[#This Row],[累计净值]]/MAX(INDIRECT("B21:B" &amp; ROW()))-1,E67)</f>
        <v>-2.2115480836585655E-2</v>
      </c>
      <c r="F68" s="169">
        <f>表2_36716262930381020[[#This Row],[累计净值]]</f>
        <v>1.0194000000000001</v>
      </c>
      <c r="G68" s="170">
        <f>表2_36716262930381020[[#This Row],[累计净值]]/$B$21-1</f>
        <v>2.8450363196125927E-2</v>
      </c>
    </row>
    <row r="69" spans="1:7" x14ac:dyDescent="0.2">
      <c r="A69" s="161">
        <v>43844</v>
      </c>
      <c r="B69" s="162">
        <v>1.0190999999999999</v>
      </c>
      <c r="C69" s="171">
        <f t="shared" si="4"/>
        <v>-3.00000000000189E-4</v>
      </c>
      <c r="D69" s="168">
        <f t="shared" si="5"/>
        <v>-3.00000000000189E-4</v>
      </c>
      <c r="E69" s="168">
        <f ca="1">IF(表2_36716262930381020[[#This Row],[累计净值]]/MAX(INDIRECT("B21:B" &amp; ROW()))-1&lt;E68,表2_36716262930381020[[#This Row],[累计净值]]/MAX(INDIRECT("B21:B" &amp; ROW()))-1,E68)</f>
        <v>-2.2115480836585655E-2</v>
      </c>
      <c r="F69" s="169">
        <f>表2_36716262930381020[[#This Row],[累计净值]]</f>
        <v>1.0190999999999999</v>
      </c>
      <c r="G69" s="170">
        <f>表2_36716262930381020[[#This Row],[累计净值]]/$B$21-1</f>
        <v>2.8147699757869127E-2</v>
      </c>
    </row>
    <row r="70" spans="1:7" x14ac:dyDescent="0.2">
      <c r="A70" s="161">
        <v>43845</v>
      </c>
      <c r="B70" s="162">
        <v>1.0158</v>
      </c>
      <c r="C70" s="171">
        <f t="shared" si="4"/>
        <v>-3.2999999999998586E-3</v>
      </c>
      <c r="D70" s="168">
        <f t="shared" si="5"/>
        <v>-3.2999999999998586E-3</v>
      </c>
      <c r="E70" s="168">
        <f ca="1">IF(表2_36716262930381020[[#This Row],[累计净值]]/MAX(INDIRECT("B21:B" &amp; ROW()))-1&lt;E69,表2_36716262930381020[[#This Row],[累计净值]]/MAX(INDIRECT("B21:B" &amp; ROW()))-1,E69)</f>
        <v>-2.2115480836585655E-2</v>
      </c>
      <c r="F70" s="169">
        <f>表2_36716262930381020[[#This Row],[累计净值]]</f>
        <v>1.0158</v>
      </c>
      <c r="G70" s="170">
        <f>表2_36716262930381020[[#This Row],[累计净值]]/$B$21-1</f>
        <v>2.4818401937046097E-2</v>
      </c>
    </row>
    <row r="71" spans="1:7" x14ac:dyDescent="0.2">
      <c r="A71" s="161">
        <v>43846</v>
      </c>
      <c r="B71" s="162">
        <v>1.0123</v>
      </c>
      <c r="C71" s="171">
        <f t="shared" si="4"/>
        <v>-3.5000000000000586E-3</v>
      </c>
      <c r="D71" s="168">
        <f t="shared" si="5"/>
        <v>-3.5000000000000586E-3</v>
      </c>
      <c r="E71" s="168">
        <f ca="1">IF(表2_36716262930381020[[#This Row],[累计净值]]/MAX(INDIRECT("B21:B" &amp; ROW()))-1&lt;E70,表2_36716262930381020[[#This Row],[累计净值]]/MAX(INDIRECT("B21:B" &amp; ROW()))-1,E70)</f>
        <v>-2.2115480836585655E-2</v>
      </c>
      <c r="F71" s="169">
        <f>表2_36716262930381020[[#This Row],[累计净值]]</f>
        <v>1.0123</v>
      </c>
      <c r="G71" s="170">
        <f>表2_36716262930381020[[#This Row],[累计净值]]/$B$21-1</f>
        <v>2.1287328490718238E-2</v>
      </c>
    </row>
    <row r="72" spans="1:7" x14ac:dyDescent="0.2">
      <c r="A72" s="161">
        <v>43847</v>
      </c>
      <c r="B72" s="162">
        <v>1.0077</v>
      </c>
      <c r="C72" s="171">
        <f t="shared" si="4"/>
        <v>-4.5999999999999375E-3</v>
      </c>
      <c r="D72" s="168">
        <f t="shared" si="5"/>
        <v>-4.5999999999999375E-3</v>
      </c>
      <c r="E72" s="168">
        <f ca="1">IF(表2_36716262930381020[[#This Row],[累计净值]]/MAX(INDIRECT("B21:B" &amp; ROW()))-1&lt;E71,表2_36716262930381020[[#This Row],[累计净值]]/MAX(INDIRECT("B21:B" &amp; ROW()))-1,E71)</f>
        <v>-2.2115480836585655E-2</v>
      </c>
      <c r="F72" s="169">
        <f>表2_36716262930381020[[#This Row],[累计净值]]</f>
        <v>1.0077</v>
      </c>
      <c r="G72" s="170">
        <f>表2_36716262930381020[[#This Row],[累计净值]]/$B$21-1</f>
        <v>1.6646489104116258E-2</v>
      </c>
    </row>
    <row r="73" spans="1:7" x14ac:dyDescent="0.2">
      <c r="A73" s="161">
        <v>43850</v>
      </c>
      <c r="B73" s="162">
        <v>1.0082</v>
      </c>
      <c r="C73" s="171">
        <f t="shared" si="4"/>
        <v>4.9999999999994493E-4</v>
      </c>
      <c r="D73" s="168" t="str">
        <f t="shared" si="5"/>
        <v>/</v>
      </c>
      <c r="E73" s="168">
        <f ca="1">IF(表2_36716262930381020[[#This Row],[累计净值]]/MAX(INDIRECT("B21:B" &amp; ROW()))-1&lt;E72,表2_36716262930381020[[#This Row],[累计净值]]/MAX(INDIRECT("B21:B" &amp; ROW()))-1,E72)</f>
        <v>-2.2115480836585655E-2</v>
      </c>
      <c r="F73" s="169">
        <f>表2_36716262930381020[[#This Row],[累计净值]]</f>
        <v>1.0082</v>
      </c>
      <c r="G73" s="170">
        <f>表2_36716262930381020[[#This Row],[累计净值]]/$B$21-1</f>
        <v>1.7150928167877444E-2</v>
      </c>
    </row>
    <row r="74" spans="1:7" x14ac:dyDescent="0.2">
      <c r="A74" s="161">
        <v>43851</v>
      </c>
      <c r="B74" s="162">
        <v>1.0081</v>
      </c>
      <c r="C74" s="171">
        <f t="shared" si="4"/>
        <v>-9.9999999999988987E-5</v>
      </c>
      <c r="D74" s="168">
        <f t="shared" si="5"/>
        <v>-9.9999999999988987E-5</v>
      </c>
      <c r="E74" s="168">
        <f ca="1">IF(表2_36716262930381020[[#This Row],[累计净值]]/MAX(INDIRECT("B21:B" &amp; ROW()))-1&lt;E73,表2_36716262930381020[[#This Row],[累计净值]]/MAX(INDIRECT("B21:B" &amp; ROW()))-1,E73)</f>
        <v>-2.2115480836585655E-2</v>
      </c>
      <c r="F74" s="169">
        <f>表2_36716262930381020[[#This Row],[累计净值]]</f>
        <v>1.0081</v>
      </c>
      <c r="G74" s="170">
        <f>表2_36716262930381020[[#This Row],[累计净值]]/$B$21-1</f>
        <v>1.7050040355125029E-2</v>
      </c>
    </row>
    <row r="75" spans="1:7" x14ac:dyDescent="0.2">
      <c r="A75" s="161">
        <v>43852</v>
      </c>
      <c r="B75" s="162">
        <v>1.0182</v>
      </c>
      <c r="C75" s="171">
        <f t="shared" si="4"/>
        <v>1.0099999999999998E-2</v>
      </c>
      <c r="D75" s="168" t="str">
        <f t="shared" si="5"/>
        <v>/</v>
      </c>
      <c r="E75" s="168">
        <f ca="1">IF(表2_36716262930381020[[#This Row],[累计净值]]/MAX(INDIRECT("B21:B" &amp; ROW()))-1&lt;E74,表2_36716262930381020[[#This Row],[累计净值]]/MAX(INDIRECT("B21:B" &amp; ROW()))-1,E74)</f>
        <v>-2.2115480836585655E-2</v>
      </c>
      <c r="F75" s="169">
        <f>表2_36716262930381020[[#This Row],[累计净值]]</f>
        <v>1.0182</v>
      </c>
      <c r="G75" s="170">
        <f>表2_36716262930381020[[#This Row],[累计净值]]/$B$21-1</f>
        <v>2.7239709443099391E-2</v>
      </c>
    </row>
    <row r="76" spans="1:7" x14ac:dyDescent="0.2">
      <c r="A76" s="161">
        <v>43853</v>
      </c>
      <c r="B76" s="162">
        <v>1.0244</v>
      </c>
      <c r="C76" s="171">
        <f t="shared" si="4"/>
        <v>6.1999999999999833E-3</v>
      </c>
      <c r="D76" s="168" t="str">
        <f t="shared" si="5"/>
        <v>/</v>
      </c>
      <c r="E76" s="168">
        <f ca="1">IF(表2_36716262930381020[[#This Row],[累计净值]]/MAX(INDIRECT("B21:B" &amp; ROW()))-1&lt;E75,表2_36716262930381020[[#This Row],[累计净值]]/MAX(INDIRECT("B21:B" &amp; ROW()))-1,E75)</f>
        <v>-2.2115480836585655E-2</v>
      </c>
      <c r="F76" s="169">
        <f>表2_36716262930381020[[#This Row],[累计净值]]</f>
        <v>1.0244</v>
      </c>
      <c r="G76" s="170">
        <f>表2_36716262930381020[[#This Row],[累计净值]]/$B$21-1</f>
        <v>3.3494753833736901E-2</v>
      </c>
    </row>
    <row r="77" spans="1:7" x14ac:dyDescent="0.2">
      <c r="A77" s="161">
        <v>43864</v>
      </c>
      <c r="B77" s="162">
        <v>1.0604</v>
      </c>
      <c r="C77" s="171">
        <f t="shared" si="4"/>
        <v>3.6000000000000032E-2</v>
      </c>
      <c r="D77" s="168" t="str">
        <f t="shared" si="5"/>
        <v>/</v>
      </c>
      <c r="E77" s="168">
        <f ca="1">IF(表2_36716262930381020[[#This Row],[累计净值]]/MAX(INDIRECT("B21:B" &amp; ROW()))-1&lt;E76,表2_36716262930381020[[#This Row],[累计净值]]/MAX(INDIRECT("B21:B" &amp; ROW()))-1,E76)</f>
        <v>-2.2115480836585655E-2</v>
      </c>
      <c r="F77" s="169">
        <f>表2_36716262930381020[[#This Row],[累计净值]]</f>
        <v>1.0604</v>
      </c>
      <c r="G77" s="170">
        <f>表2_36716262930381020[[#This Row],[累计净值]]/$B$21-1</f>
        <v>6.9814366424535867E-2</v>
      </c>
    </row>
    <row r="78" spans="1:7" x14ac:dyDescent="0.2">
      <c r="A78" s="161">
        <v>43865</v>
      </c>
      <c r="B78" s="178">
        <v>1.0826</v>
      </c>
      <c r="C78" s="171">
        <f t="shared" si="4"/>
        <v>2.2199999999999998E-2</v>
      </c>
      <c r="D78" s="168" t="str">
        <f t="shared" si="5"/>
        <v>/</v>
      </c>
      <c r="E78" s="168">
        <f ca="1">IF(表2_36716262930381020[[#This Row],[累计净值]]/MAX(INDIRECT("B21:B" &amp; ROW()))-1&lt;E77,表2_36716262930381020[[#This Row],[累计净值]]/MAX(INDIRECT("B21:B" &amp; ROW()))-1,E77)</f>
        <v>-2.2115480836585655E-2</v>
      </c>
      <c r="F78" s="169">
        <f>表2_36716262930381020[[#This Row],[累计净值]]</f>
        <v>1.0826</v>
      </c>
      <c r="G78" s="170">
        <f>表2_36716262930381020[[#This Row],[累计净值]]/$B$21-1</f>
        <v>9.2211460855528671E-2</v>
      </c>
    </row>
    <row r="79" spans="1:7" x14ac:dyDescent="0.2">
      <c r="A79" s="161">
        <v>43866</v>
      </c>
      <c r="B79" s="162">
        <v>1.0819000000000001</v>
      </c>
      <c r="C79" s="171">
        <f t="shared" si="4"/>
        <v>-6.9999999999992291E-4</v>
      </c>
      <c r="D79" s="168">
        <f t="shared" si="5"/>
        <v>-6.9999999999992291E-4</v>
      </c>
      <c r="E79" s="168">
        <f ca="1">IF(表2_36716262930381020[[#This Row],[累计净值]]/MAX(INDIRECT("B21:B" &amp; ROW()))-1&lt;E78,表2_36716262930381020[[#This Row],[累计净值]]/MAX(INDIRECT("B21:B" &amp; ROW()))-1,E78)</f>
        <v>-2.2115480836585655E-2</v>
      </c>
      <c r="F79" s="169">
        <f>表2_36716262930381020[[#This Row],[累计净值]]</f>
        <v>1.0819000000000001</v>
      </c>
      <c r="G79" s="170">
        <f>表2_36716262930381020[[#This Row],[累计净值]]/$B$21-1</f>
        <v>9.1505246166263321E-2</v>
      </c>
    </row>
    <row r="80" spans="1:7" x14ac:dyDescent="0.2">
      <c r="A80" s="161">
        <v>43867</v>
      </c>
      <c r="B80" s="162">
        <v>1.0809</v>
      </c>
      <c r="C80" s="171">
        <f t="shared" si="4"/>
        <v>-1.0000000000001119E-3</v>
      </c>
      <c r="D80" s="168">
        <f t="shared" si="5"/>
        <v>-1.0000000000001119E-3</v>
      </c>
      <c r="E80" s="168">
        <f ca="1">IF(表2_36716262930381020[[#This Row],[累计净值]]/MAX(INDIRECT("B21:B" &amp; ROW()))-1&lt;E79,表2_36716262930381020[[#This Row],[累计净值]]/MAX(INDIRECT("B21:B" &amp; ROW()))-1,E79)</f>
        <v>-2.2115480836585655E-2</v>
      </c>
      <c r="F80" s="169">
        <f>表2_36716262930381020[[#This Row],[累计净值]]</f>
        <v>1.0809</v>
      </c>
      <c r="G80" s="170">
        <f>表2_36716262930381020[[#This Row],[累计净值]]/$B$21-1</f>
        <v>9.0496368038740949E-2</v>
      </c>
    </row>
    <row r="81" spans="1:7" x14ac:dyDescent="0.2">
      <c r="A81" s="161">
        <v>43868</v>
      </c>
      <c r="B81" s="162">
        <v>1.0759000000000001</v>
      </c>
      <c r="C81" s="171">
        <f t="shared" si="4"/>
        <v>-4.9999999999998934E-3</v>
      </c>
      <c r="D81" s="168">
        <f t="shared" si="5"/>
        <v>-4.9999999999998934E-3</v>
      </c>
      <c r="E81" s="168">
        <f ca="1">IF(表2_36716262930381020[[#This Row],[累计净值]]/MAX(INDIRECT("B21:B" &amp; ROW()))-1&lt;E80,表2_36716262930381020[[#This Row],[累计净值]]/MAX(INDIRECT("B21:B" &amp; ROW()))-1,E80)</f>
        <v>-2.2115480836585655E-2</v>
      </c>
      <c r="F81" s="169">
        <f>表2_36716262930381020[[#This Row],[累计净值]]</f>
        <v>1.0759000000000001</v>
      </c>
      <c r="G81" s="170">
        <f>表2_36716262930381020[[#This Row],[累计净值]]/$B$21-1</f>
        <v>8.5451977401129975E-2</v>
      </c>
    </row>
    <row r="82" spans="1:7" x14ac:dyDescent="0.2">
      <c r="A82" s="161">
        <v>43871</v>
      </c>
      <c r="B82" s="178">
        <v>1.083</v>
      </c>
      <c r="C82" s="171">
        <f t="shared" si="4"/>
        <v>7.0999999999998842E-3</v>
      </c>
      <c r="D82" s="168" t="str">
        <f t="shared" si="5"/>
        <v>/</v>
      </c>
      <c r="E82" s="168">
        <f ca="1">IF(表2_36716262930381020[[#This Row],[累计净值]]/MAX(INDIRECT("B21:B" &amp; ROW()))-1&lt;E81,表2_36716262930381020[[#This Row],[累计净值]]/MAX(INDIRECT("B21:B" &amp; ROW()))-1,E81)</f>
        <v>-2.2115480836585655E-2</v>
      </c>
      <c r="F82" s="169">
        <f>表2_36716262930381020[[#This Row],[累计净值]]</f>
        <v>1.083</v>
      </c>
      <c r="G82" s="170">
        <f>表2_36716262930381020[[#This Row],[累计净值]]/$B$21-1</f>
        <v>9.2615012106537442E-2</v>
      </c>
    </row>
    <row r="83" spans="1:7" x14ac:dyDescent="0.2">
      <c r="A83" s="161">
        <v>43872</v>
      </c>
      <c r="B83" s="162">
        <v>1.0746</v>
      </c>
      <c r="C83" s="171">
        <f t="shared" si="4"/>
        <v>-8.3999999999999631E-3</v>
      </c>
      <c r="D83" s="168">
        <f t="shared" si="5"/>
        <v>-8.3999999999999631E-3</v>
      </c>
      <c r="E83" s="168">
        <f ca="1">IF(表2_36716262930381020[[#This Row],[累计净值]]/MAX(INDIRECT("B21:B" &amp; ROW()))-1&lt;E82,表2_36716262930381020[[#This Row],[累计净值]]/MAX(INDIRECT("B21:B" &amp; ROW()))-1,E82)</f>
        <v>-2.2115480836585655E-2</v>
      </c>
      <c r="F83" s="169">
        <f>表2_36716262930381020[[#This Row],[累计净值]]</f>
        <v>1.0746</v>
      </c>
      <c r="G83" s="170">
        <f>表2_36716262930381020[[#This Row],[累计净值]]/$B$21-1</f>
        <v>8.4140435835351024E-2</v>
      </c>
    </row>
    <row r="84" spans="1:7" x14ac:dyDescent="0.2">
      <c r="A84" s="161">
        <v>43873</v>
      </c>
      <c r="B84" s="162">
        <v>1.0775999999999999</v>
      </c>
      <c r="C84" s="171">
        <f t="shared" si="4"/>
        <v>2.9999999999998916E-3</v>
      </c>
      <c r="D84" s="168" t="str">
        <f t="shared" si="5"/>
        <v>/</v>
      </c>
      <c r="E84" s="168">
        <f ca="1">IF(表2_36716262930381020[[#This Row],[累计净值]]/MAX(INDIRECT("B21:B" &amp; ROW()))-1&lt;E83,表2_36716262930381020[[#This Row],[累计净值]]/MAX(INDIRECT("B21:B" &amp; ROW()))-1,E83)</f>
        <v>-2.2115480836585655E-2</v>
      </c>
      <c r="F84" s="169">
        <f>表2_36716262930381020[[#This Row],[累计净值]]</f>
        <v>1.0775999999999999</v>
      </c>
      <c r="G84" s="170">
        <f>表2_36716262930381020[[#This Row],[累计净值]]/$B$21-1</f>
        <v>8.7167070217917697E-2</v>
      </c>
    </row>
    <row r="85" spans="1:7" x14ac:dyDescent="0.2">
      <c r="A85" s="161">
        <v>43874</v>
      </c>
      <c r="B85" s="162">
        <v>1.0681</v>
      </c>
      <c r="C85" s="171">
        <f t="shared" si="4"/>
        <v>-9.4999999999998419E-3</v>
      </c>
      <c r="D85" s="168">
        <f t="shared" si="5"/>
        <v>-9.4999999999998419E-3</v>
      </c>
      <c r="E85" s="168">
        <f ca="1">IF(表2_36716262930381020[[#This Row],[累计净值]]/MAX(INDIRECT("B21:B" &amp; ROW()))-1&lt;E84,表2_36716262930381020[[#This Row],[累计净值]]/MAX(INDIRECT("B21:B" &amp; ROW()))-1,E84)</f>
        <v>-2.2115480836585655E-2</v>
      </c>
      <c r="F85" s="169">
        <f>表2_36716262930381020[[#This Row],[累计净值]]</f>
        <v>1.0681</v>
      </c>
      <c r="G85" s="170">
        <f>表2_36716262930381020[[#This Row],[累计净值]]/$B$21-1</f>
        <v>7.7582728006456936E-2</v>
      </c>
    </row>
    <row r="86" spans="1:7" x14ac:dyDescent="0.2">
      <c r="A86" s="161">
        <v>43875</v>
      </c>
      <c r="B86" s="162">
        <v>1.0677000000000001</v>
      </c>
      <c r="C86" s="171">
        <f t="shared" si="4"/>
        <v>-3.9999999999995595E-4</v>
      </c>
      <c r="D86" s="168">
        <f t="shared" si="5"/>
        <v>-3.9999999999995595E-4</v>
      </c>
      <c r="E86" s="168">
        <f ca="1">IF(表2_36716262930381020[[#This Row],[累计净值]]/MAX(INDIRECT("B21:B" &amp; ROW()))-1&lt;E85,表2_36716262930381020[[#This Row],[累计净值]]/MAX(INDIRECT("B21:B" &amp; ROW()))-1,E85)</f>
        <v>-2.2115480836585655E-2</v>
      </c>
      <c r="F86" s="169">
        <f>表2_36716262930381020[[#This Row],[累计净值]]</f>
        <v>1.0677000000000001</v>
      </c>
      <c r="G86" s="170">
        <f>表2_36716262930381020[[#This Row],[累计净值]]/$B$21-1</f>
        <v>7.7179176755448164E-2</v>
      </c>
    </row>
    <row r="87" spans="1:7" x14ac:dyDescent="0.2">
      <c r="A87" s="161">
        <v>43878</v>
      </c>
      <c r="B87" s="162">
        <v>1.0671999999999999</v>
      </c>
      <c r="C87" s="171">
        <f t="shared" si="4"/>
        <v>-5.0000000000016698E-4</v>
      </c>
      <c r="D87" s="168">
        <f t="shared" si="5"/>
        <v>-5.0000000000016698E-4</v>
      </c>
      <c r="E87" s="168">
        <f ca="1">IF(表2_36716262930381020[[#This Row],[累计净值]]/MAX(INDIRECT("B21:B" &amp; ROW()))-1&lt;E86,表2_36716262930381020[[#This Row],[累计净值]]/MAX(INDIRECT("B21:B" &amp; ROW()))-1,E86)</f>
        <v>-2.2115480836585655E-2</v>
      </c>
      <c r="F87" s="169">
        <f>表2_36716262930381020[[#This Row],[累计净值]]</f>
        <v>1.0671999999999999</v>
      </c>
      <c r="G87" s="170">
        <f>表2_36716262930381020[[#This Row],[累计净值]]/$B$21-1</f>
        <v>7.6674737691686756E-2</v>
      </c>
    </row>
    <row r="88" spans="1:7" x14ac:dyDescent="0.2">
      <c r="A88" s="161">
        <v>43879</v>
      </c>
      <c r="B88" s="162">
        <v>1.0633999999999999</v>
      </c>
      <c r="C88" s="171">
        <f t="shared" si="4"/>
        <v>-3.8000000000000256E-3</v>
      </c>
      <c r="D88" s="168">
        <f t="shared" si="5"/>
        <v>-3.8000000000000256E-3</v>
      </c>
      <c r="E88" s="168">
        <f ca="1">IF(表2_36716262930381020[[#This Row],[累计净值]]/MAX(INDIRECT("B21:B" &amp; ROW()))-1&lt;E87,表2_36716262930381020[[#This Row],[累计净值]]/MAX(INDIRECT("B21:B" &amp; ROW()))-1,E87)</f>
        <v>-2.2115480836585655E-2</v>
      </c>
      <c r="F88" s="169">
        <f>表2_36716262930381020[[#This Row],[累计净值]]</f>
        <v>1.0633999999999999</v>
      </c>
      <c r="G88" s="170">
        <f>表2_36716262930381020[[#This Row],[累计净值]]/$B$21-1</f>
        <v>7.2841000807102541E-2</v>
      </c>
    </row>
    <row r="89" spans="1:7" x14ac:dyDescent="0.2">
      <c r="A89" s="161">
        <v>43880</v>
      </c>
      <c r="B89" s="162">
        <v>1.0568</v>
      </c>
      <c r="C89" s="171">
        <f t="shared" si="4"/>
        <v>-6.5999999999999392E-3</v>
      </c>
      <c r="D89" s="168">
        <f t="shared" si="5"/>
        <v>-6.5999999999999392E-3</v>
      </c>
      <c r="E89" s="168">
        <f ca="1">IF(表2_36716262930381020[[#This Row],[累计净值]]/MAX(INDIRECT("B21:B" &amp; ROW()))-1&lt;E88,表2_36716262930381020[[#This Row],[累计净值]]/MAX(INDIRECT("B21:B" &amp; ROW()))-1,E88)</f>
        <v>-2.4192059095106133E-2</v>
      </c>
      <c r="F89" s="169">
        <f>表2_36716262930381020[[#This Row],[累计净值]]</f>
        <v>1.0568</v>
      </c>
      <c r="G89" s="170">
        <f>表2_36716262930381020[[#This Row],[累计净值]]/$B$21-1</f>
        <v>6.6182405165456037E-2</v>
      </c>
    </row>
    <row r="90" spans="1:7" x14ac:dyDescent="0.2">
      <c r="A90" s="161">
        <v>43881</v>
      </c>
      <c r="B90" s="162">
        <v>1.0484</v>
      </c>
      <c r="C90" s="171">
        <f t="shared" si="4"/>
        <v>-8.3999999999999631E-3</v>
      </c>
      <c r="D90" s="168">
        <f t="shared" si="5"/>
        <v>-8.3999999999999631E-3</v>
      </c>
      <c r="E90" s="168">
        <f ca="1">IF(表2_36716262930381020[[#This Row],[累计净值]]/MAX(INDIRECT("B21:B" &amp; ROW()))-1&lt;E89,表2_36716262930381020[[#This Row],[累计净值]]/MAX(INDIRECT("B21:B" &amp; ROW()))-1,E89)</f>
        <v>-3.1948291782086802E-2</v>
      </c>
      <c r="F90" s="169">
        <f>表2_36716262930381020[[#This Row],[累计净值]]</f>
        <v>1.0484</v>
      </c>
      <c r="G90" s="170">
        <f>表2_36716262930381020[[#This Row],[累计净值]]/$B$21-1</f>
        <v>5.7707828894269619E-2</v>
      </c>
    </row>
    <row r="91" spans="1:7" x14ac:dyDescent="0.2">
      <c r="A91" s="161">
        <v>43882</v>
      </c>
      <c r="B91" s="162">
        <v>1.0488999999999999</v>
      </c>
      <c r="C91" s="171">
        <f t="shared" si="4"/>
        <v>4.9999999999994493E-4</v>
      </c>
      <c r="D91" s="168" t="str">
        <f t="shared" si="5"/>
        <v>/</v>
      </c>
      <c r="E91" s="168">
        <f ca="1">IF(表2_36716262930381020[[#This Row],[累计净值]]/MAX(INDIRECT("B21:B" &amp; ROW()))-1&lt;E90,表2_36716262930381020[[#This Row],[累计净值]]/MAX(INDIRECT("B21:B" &amp; ROW()))-1,E90)</f>
        <v>-3.1948291782086802E-2</v>
      </c>
      <c r="F91" s="169">
        <f>表2_36716262930381020[[#This Row],[累计净值]]</f>
        <v>1.0488999999999999</v>
      </c>
      <c r="G91" s="170">
        <f>表2_36716262930381020[[#This Row],[累计净值]]/$B$21-1</f>
        <v>5.8212267958030584E-2</v>
      </c>
    </row>
    <row r="92" spans="1:7" x14ac:dyDescent="0.2">
      <c r="A92" s="161">
        <v>43885</v>
      </c>
      <c r="B92" s="162">
        <v>1.071</v>
      </c>
      <c r="C92" s="171">
        <f t="shared" si="4"/>
        <v>2.2100000000000009E-2</v>
      </c>
      <c r="D92" s="168" t="str">
        <f t="shared" si="5"/>
        <v>/</v>
      </c>
      <c r="E92" s="168">
        <f ca="1">IF(表2_36716262930381020[[#This Row],[累计净值]]/MAX(INDIRECT("B21:B" &amp; ROW()))-1&lt;E91,表2_36716262930381020[[#This Row],[累计净值]]/MAX(INDIRECT("B21:B" &amp; ROW()))-1,E91)</f>
        <v>-3.1948291782086802E-2</v>
      </c>
      <c r="F92" s="169">
        <f>表2_36716262930381020[[#This Row],[累计净值]]</f>
        <v>1.071</v>
      </c>
      <c r="G92" s="170">
        <f>表2_36716262930381020[[#This Row],[累计净值]]/$B$21-1</f>
        <v>8.0508474576271194E-2</v>
      </c>
    </row>
    <row r="93" spans="1:7" x14ac:dyDescent="0.2">
      <c r="A93" s="161">
        <v>43886</v>
      </c>
      <c r="B93" s="162">
        <v>1.0738000000000001</v>
      </c>
      <c r="C93" s="171">
        <f t="shared" si="4"/>
        <v>2.8000000000001357E-3</v>
      </c>
      <c r="D93" s="168" t="str">
        <f t="shared" si="5"/>
        <v>/</v>
      </c>
      <c r="E93" s="168">
        <f ca="1">IF(表2_36716262930381020[[#This Row],[累计净值]]/MAX(INDIRECT("B21:B" &amp; ROW()))-1&lt;E92,表2_36716262930381020[[#This Row],[累计净值]]/MAX(INDIRECT("B21:B" &amp; ROW()))-1,E92)</f>
        <v>-3.1948291782086802E-2</v>
      </c>
      <c r="F93" s="169">
        <f>表2_36716262930381020[[#This Row],[累计净值]]</f>
        <v>1.0738000000000001</v>
      </c>
      <c r="G93" s="170">
        <f>表2_36716262930381020[[#This Row],[累计净值]]/$B$21-1</f>
        <v>8.3333333333333481E-2</v>
      </c>
    </row>
    <row r="94" spans="1:7" x14ac:dyDescent="0.2">
      <c r="A94" s="161">
        <v>43887</v>
      </c>
      <c r="B94" s="162">
        <v>1.077</v>
      </c>
      <c r="C94" s="171">
        <f t="shared" si="4"/>
        <v>3.1999999999998696E-3</v>
      </c>
      <c r="D94" s="168" t="str">
        <f t="shared" si="5"/>
        <v>/</v>
      </c>
      <c r="E94" s="168">
        <f ca="1">IF(表2_36716262930381020[[#This Row],[累计净值]]/MAX(INDIRECT("B21:B" &amp; ROW()))-1&lt;E93,表2_36716262930381020[[#This Row],[累计净值]]/MAX(INDIRECT("B21:B" &amp; ROW()))-1,E93)</f>
        <v>-3.1948291782086802E-2</v>
      </c>
      <c r="F94" s="169">
        <f>表2_36716262930381020[[#This Row],[累计净值]]</f>
        <v>1.077</v>
      </c>
      <c r="G94" s="170">
        <f>表2_36716262930381020[[#This Row],[累计净值]]/$B$21-1</f>
        <v>8.6561743341404318E-2</v>
      </c>
    </row>
    <row r="95" spans="1:7" x14ac:dyDescent="0.2">
      <c r="A95" s="161">
        <v>43888</v>
      </c>
      <c r="B95" s="162">
        <v>1.0981000000000001</v>
      </c>
      <c r="C95" s="171">
        <f t="shared" si="4"/>
        <v>2.1100000000000119E-2</v>
      </c>
      <c r="D95" s="168" t="str">
        <f t="shared" si="5"/>
        <v>/</v>
      </c>
      <c r="E95" s="168">
        <f ca="1">IF(表2_36716262930381020[[#This Row],[累计净值]]/MAX(INDIRECT("B21:B" &amp; ROW()))-1&lt;E94,表2_36716262930381020[[#This Row],[累计净值]]/MAX(INDIRECT("B21:B" &amp; ROW()))-1,E94)</f>
        <v>-3.1948291782086802E-2</v>
      </c>
      <c r="F95" s="169">
        <f>表2_36716262930381020[[#This Row],[累计净值]]</f>
        <v>1.0981000000000001</v>
      </c>
      <c r="G95" s="170">
        <f>表2_36716262930381020[[#This Row],[累计净值]]/$B$21-1</f>
        <v>0.10784907183212278</v>
      </c>
    </row>
    <row r="96" spans="1:7" x14ac:dyDescent="0.2">
      <c r="A96" s="161">
        <v>43889</v>
      </c>
      <c r="B96" s="162">
        <v>1.1177999999999999</v>
      </c>
      <c r="C96" s="171">
        <f t="shared" si="4"/>
        <v>1.9699999999999829E-2</v>
      </c>
      <c r="D96" s="168" t="str">
        <f t="shared" si="5"/>
        <v>/</v>
      </c>
      <c r="E96" s="168">
        <f ca="1">IF(表2_36716262930381020[[#This Row],[累计净值]]/MAX(INDIRECT("B21:B" &amp; ROW()))-1&lt;E95,表2_36716262930381020[[#This Row],[累计净值]]/MAX(INDIRECT("B21:B" &amp; ROW()))-1,E95)</f>
        <v>-3.1948291782086802E-2</v>
      </c>
      <c r="F96" s="169">
        <f>表2_36716262930381020[[#This Row],[累计净值]]</f>
        <v>1.1177999999999999</v>
      </c>
      <c r="G96" s="170">
        <f>表2_36716262930381020[[#This Row],[累计净值]]/$B$21-1</f>
        <v>0.12772397094430987</v>
      </c>
    </row>
    <row r="97" spans="1:7" x14ac:dyDescent="0.2">
      <c r="A97" s="161">
        <v>43892</v>
      </c>
      <c r="B97" s="162">
        <v>1.125</v>
      </c>
      <c r="C97" s="171">
        <f t="shared" si="4"/>
        <v>7.2000000000000952E-3</v>
      </c>
      <c r="D97" s="168" t="str">
        <f t="shared" si="5"/>
        <v>/</v>
      </c>
      <c r="E97" s="168">
        <f ca="1">IF(表2_36716262930381020[[#This Row],[累计净值]]/MAX(INDIRECT("B21:B" &amp; ROW()))-1&lt;E96,表2_36716262930381020[[#This Row],[累计净值]]/MAX(INDIRECT("B21:B" &amp; ROW()))-1,E96)</f>
        <v>-3.1948291782086802E-2</v>
      </c>
      <c r="F97" s="169">
        <f>表2_36716262930381020[[#This Row],[累计净值]]</f>
        <v>1.125</v>
      </c>
      <c r="G97" s="170">
        <f>表2_36716262930381020[[#This Row],[累计净值]]/$B$21-1</f>
        <v>0.13498789346246975</v>
      </c>
    </row>
    <row r="98" spans="1:7" x14ac:dyDescent="0.2">
      <c r="A98" s="161">
        <v>43893</v>
      </c>
      <c r="B98" s="162">
        <v>1.1124000000000001</v>
      </c>
      <c r="C98" s="171">
        <f t="shared" si="4"/>
        <v>-1.2599999999999945E-2</v>
      </c>
      <c r="D98" s="168">
        <f t="shared" si="5"/>
        <v>-1.2599999999999945E-2</v>
      </c>
      <c r="E98" s="168">
        <f ca="1">IF(表2_36716262930381020[[#This Row],[累计净值]]/MAX(INDIRECT("B21:B" &amp; ROW()))-1&lt;E97,表2_36716262930381020[[#This Row],[累计净值]]/MAX(INDIRECT("B21:B" &amp; ROW()))-1,E97)</f>
        <v>-3.1948291782086802E-2</v>
      </c>
      <c r="F98" s="169">
        <f>表2_36716262930381020[[#This Row],[累计净值]]</f>
        <v>1.1124000000000001</v>
      </c>
      <c r="G98" s="170">
        <f>表2_36716262930381020[[#This Row],[累计净值]]/$B$21-1</f>
        <v>0.12227602905569013</v>
      </c>
    </row>
    <row r="99" spans="1:7" x14ac:dyDescent="0.2">
      <c r="A99" s="161">
        <v>43894</v>
      </c>
      <c r="B99" s="162">
        <v>1.1195999999999999</v>
      </c>
      <c r="C99" s="171">
        <f t="shared" si="4"/>
        <v>7.1999999999998732E-3</v>
      </c>
      <c r="D99" s="168" t="str">
        <f t="shared" si="5"/>
        <v>/</v>
      </c>
      <c r="E99" s="168">
        <f ca="1">IF(表2_36716262930381020[[#This Row],[累计净值]]/MAX(INDIRECT("B21:B" &amp; ROW()))-1&lt;E98,表2_36716262930381020[[#This Row],[累计净值]]/MAX(INDIRECT("B21:B" &amp; ROW()))-1,E98)</f>
        <v>-3.1948291782086802E-2</v>
      </c>
      <c r="F99" s="169">
        <f>表2_36716262930381020[[#This Row],[累计净值]]</f>
        <v>1.1195999999999999</v>
      </c>
      <c r="G99" s="170">
        <f>表2_36716262930381020[[#This Row],[累计净值]]/$B$21-1</f>
        <v>0.12953995157384979</v>
      </c>
    </row>
    <row r="100" spans="1:7" x14ac:dyDescent="0.2">
      <c r="A100" s="161">
        <v>43895</v>
      </c>
      <c r="B100" s="162">
        <v>1.1215999999999999</v>
      </c>
      <c r="C100" s="171">
        <f t="shared" si="4"/>
        <v>2.0000000000000018E-3</v>
      </c>
      <c r="D100" s="168" t="str">
        <f t="shared" si="5"/>
        <v>/</v>
      </c>
      <c r="E100" s="168">
        <f ca="1">IF(表2_36716262930381020[[#This Row],[累计净值]]/MAX(INDIRECT("B21:B" &amp; ROW()))-1&lt;E99,表2_36716262930381020[[#This Row],[累计净值]]/MAX(INDIRECT("B21:B" &amp; ROW()))-1,E99)</f>
        <v>-3.1948291782086802E-2</v>
      </c>
      <c r="F100" s="169">
        <f>表2_36716262930381020[[#This Row],[累计净值]]</f>
        <v>1.1215999999999999</v>
      </c>
      <c r="G100" s="170">
        <f>表2_36716262930381020[[#This Row],[累计净值]]/$B$21-1</f>
        <v>0.13155770782889431</v>
      </c>
    </row>
    <row r="101" spans="1:7" x14ac:dyDescent="0.2">
      <c r="A101" s="161">
        <v>43896</v>
      </c>
      <c r="B101" s="162">
        <v>1.1299999999999999</v>
      </c>
      <c r="C101" s="171">
        <f t="shared" si="4"/>
        <v>8.3999999999999631E-3</v>
      </c>
      <c r="D101" s="168" t="str">
        <f t="shared" si="5"/>
        <v>/</v>
      </c>
      <c r="E101" s="168">
        <f ca="1">IF(表2_36716262930381020[[#This Row],[累计净值]]/MAX(INDIRECT("B21:B" &amp; ROW()))-1&lt;E100,表2_36716262930381020[[#This Row],[累计净值]]/MAX(INDIRECT("B21:B" &amp; ROW()))-1,E100)</f>
        <v>-3.1948291782086802E-2</v>
      </c>
      <c r="F101" s="169">
        <f>表2_36716262930381020[[#This Row],[累计净值]]</f>
        <v>1.1299999999999999</v>
      </c>
      <c r="G101" s="170">
        <f>表2_36716262930381020[[#This Row],[累计净值]]/$B$21-1</f>
        <v>0.14003228410008073</v>
      </c>
    </row>
    <row r="102" spans="1:7" x14ac:dyDescent="0.2">
      <c r="A102" s="161">
        <v>43899</v>
      </c>
      <c r="B102" s="162">
        <v>1.1452</v>
      </c>
      <c r="C102" s="171">
        <f t="shared" si="4"/>
        <v>1.5200000000000102E-2</v>
      </c>
      <c r="D102" s="168" t="str">
        <f t="shared" si="5"/>
        <v>/</v>
      </c>
      <c r="E102" s="168">
        <f ca="1">IF(表2_36716262930381020[[#This Row],[累计净值]]/MAX(INDIRECT("B21:B" &amp; ROW()))-1&lt;E101,表2_36716262930381020[[#This Row],[累计净值]]/MAX(INDIRECT("B21:B" &amp; ROW()))-1,E101)</f>
        <v>-3.1948291782086802E-2</v>
      </c>
      <c r="F102" s="169">
        <f>表2_36716262930381020[[#This Row],[累计净值]]</f>
        <v>1.1452</v>
      </c>
      <c r="G102" s="170">
        <f>表2_36716262930381020[[#This Row],[累计净值]]/$B$21-1</f>
        <v>0.15536723163841804</v>
      </c>
    </row>
    <row r="103" spans="1:7" x14ac:dyDescent="0.2">
      <c r="A103" s="161">
        <v>43900</v>
      </c>
      <c r="B103" s="162">
        <v>1.1447000000000001</v>
      </c>
      <c r="C103" s="171">
        <f t="shared" si="4"/>
        <v>-4.9999999999994493E-4</v>
      </c>
      <c r="D103" s="168">
        <f t="shared" si="5"/>
        <v>-4.9999999999994493E-4</v>
      </c>
      <c r="E103" s="168">
        <f ca="1">IF(表2_36716262930381020[[#This Row],[累计净值]]/MAX(INDIRECT("B21:B" &amp; ROW()))-1&lt;E102,表2_36716262930381020[[#This Row],[累计净值]]/MAX(INDIRECT("B21:B" &amp; ROW()))-1,E102)</f>
        <v>-3.1948291782086802E-2</v>
      </c>
      <c r="F103" s="169">
        <f>表2_36716262930381020[[#This Row],[累计净值]]</f>
        <v>1.1447000000000001</v>
      </c>
      <c r="G103" s="170">
        <f>表2_36716262930381020[[#This Row],[累计净值]]/$B$21-1</f>
        <v>0.15486279257465707</v>
      </c>
    </row>
    <row r="104" spans="1:7" x14ac:dyDescent="0.2">
      <c r="A104" s="161">
        <v>43901</v>
      </c>
      <c r="B104" s="162">
        <v>1.1466000000000001</v>
      </c>
      <c r="C104" s="171">
        <f t="shared" si="4"/>
        <v>1.9000000000000128E-3</v>
      </c>
      <c r="D104" s="168" t="str">
        <f t="shared" si="5"/>
        <v>/</v>
      </c>
      <c r="E104" s="168">
        <f ca="1">IF(表2_36716262930381020[[#This Row],[累计净值]]/MAX(INDIRECT("B21:B" &amp; ROW()))-1&lt;E103,表2_36716262930381020[[#This Row],[累计净值]]/MAX(INDIRECT("B21:B" &amp; ROW()))-1,E103)</f>
        <v>-3.1948291782086802E-2</v>
      </c>
      <c r="F104" s="169">
        <f>表2_36716262930381020[[#This Row],[累计净值]]</f>
        <v>1.1466000000000001</v>
      </c>
      <c r="G104" s="170">
        <f>表2_36716262930381020[[#This Row],[累计净值]]/$B$21-1</f>
        <v>0.15677966101694918</v>
      </c>
    </row>
    <row r="105" spans="1:7" x14ac:dyDescent="0.2">
      <c r="A105" s="161">
        <v>43902</v>
      </c>
      <c r="B105" s="162">
        <v>1.1586000000000001</v>
      </c>
      <c r="C105" s="171">
        <f t="shared" si="4"/>
        <v>1.2000000000000011E-2</v>
      </c>
      <c r="D105" s="168" t="str">
        <f t="shared" si="5"/>
        <v>/</v>
      </c>
      <c r="E105" s="168">
        <f ca="1">IF(表2_36716262930381020[[#This Row],[累计净值]]/MAX(INDIRECT("B21:B" &amp; ROW()))-1&lt;E104,表2_36716262930381020[[#This Row],[累计净值]]/MAX(INDIRECT("B21:B" &amp; ROW()))-1,E104)</f>
        <v>-3.1948291782086802E-2</v>
      </c>
      <c r="F105" s="169">
        <f>表2_36716262930381020[[#This Row],[累计净值]]</f>
        <v>1.1586000000000001</v>
      </c>
      <c r="G105" s="170">
        <f>表2_36716262930381020[[#This Row],[累计净值]]/$B$21-1</f>
        <v>0.16888619854721565</v>
      </c>
    </row>
    <row r="106" spans="1:7" x14ac:dyDescent="0.2">
      <c r="A106" s="161">
        <v>43903</v>
      </c>
      <c r="B106" s="178">
        <v>1.1617</v>
      </c>
      <c r="C106" s="171">
        <f t="shared" si="4"/>
        <v>3.0999999999998806E-3</v>
      </c>
      <c r="D106" s="168" t="str">
        <f t="shared" si="5"/>
        <v>/</v>
      </c>
      <c r="E106" s="168">
        <f ca="1">IF(表2_36716262930381020[[#This Row],[累计净值]]/MAX(INDIRECT("B21:B" &amp; ROW()))-1&lt;E105,表2_36716262930381020[[#This Row],[累计净值]]/MAX(INDIRECT("B21:B" &amp; ROW()))-1,E105)</f>
        <v>-3.1948291782086802E-2</v>
      </c>
      <c r="F106" s="169">
        <f>表2_36716262930381020[[#This Row],[累计净值]]</f>
        <v>1.1617</v>
      </c>
      <c r="G106" s="170">
        <f>表2_36716262930381020[[#This Row],[累计净值]]/$B$21-1</f>
        <v>0.17201372074253429</v>
      </c>
    </row>
    <row r="107" spans="1:7" x14ac:dyDescent="0.2">
      <c r="A107" s="161">
        <v>43906</v>
      </c>
      <c r="B107" s="162">
        <v>1.1140000000000001</v>
      </c>
      <c r="C107" s="171">
        <f t="shared" si="4"/>
        <v>-4.7699999999999854E-2</v>
      </c>
      <c r="D107" s="168">
        <f t="shared" si="5"/>
        <v>-4.7699999999999854E-2</v>
      </c>
      <c r="E107" s="168">
        <f ca="1">IF(表2_36716262930381020[[#This Row],[累计净值]]/MAX(INDIRECT("B21:B" &amp; ROW()))-1&lt;E106,表2_36716262930381020[[#This Row],[累计净值]]/MAX(INDIRECT("B21:B" &amp; ROW()))-1,E106)</f>
        <v>-4.1060514762847444E-2</v>
      </c>
      <c r="F107" s="169">
        <f>表2_36716262930381020[[#This Row],[累计净值]]</f>
        <v>1.1140000000000001</v>
      </c>
      <c r="G107" s="170">
        <f>表2_36716262930381020[[#This Row],[累计净值]]/$B$21-1</f>
        <v>0.12389023405972566</v>
      </c>
    </row>
    <row r="108" spans="1:7" x14ac:dyDescent="0.2">
      <c r="A108" s="161">
        <v>43907</v>
      </c>
      <c r="B108" s="162">
        <v>1.1183000000000001</v>
      </c>
      <c r="C108" s="171">
        <f t="shared" si="4"/>
        <v>4.2999999999999705E-3</v>
      </c>
      <c r="D108" s="168" t="str">
        <f t="shared" si="5"/>
        <v>/</v>
      </c>
      <c r="E108" s="168">
        <f ca="1">IF(表2_36716262930381020[[#This Row],[累计净值]]/MAX(INDIRECT("B21:B" &amp; ROW()))-1&lt;E107,表2_36716262930381020[[#This Row],[累计净值]]/MAX(INDIRECT("B21:B" &amp; ROW()))-1,E107)</f>
        <v>-4.1060514762847444E-2</v>
      </c>
      <c r="F108" s="169">
        <f>表2_36716262930381020[[#This Row],[累计净值]]</f>
        <v>1.1183000000000001</v>
      </c>
      <c r="G108" s="170">
        <f>表2_36716262930381020[[#This Row],[累计净值]]/$B$21-1</f>
        <v>0.12822841000807106</v>
      </c>
    </row>
    <row r="109" spans="1:7" x14ac:dyDescent="0.2">
      <c r="A109" s="161">
        <v>43908</v>
      </c>
      <c r="B109" s="162">
        <v>1.1523000000000001</v>
      </c>
      <c r="C109" s="171">
        <f t="shared" si="4"/>
        <v>3.400000000000003E-2</v>
      </c>
      <c r="D109" s="168" t="str">
        <f t="shared" si="5"/>
        <v>/</v>
      </c>
      <c r="E109" s="168">
        <f ca="1">IF(表2_36716262930381020[[#This Row],[累计净值]]/MAX(INDIRECT("B21:B" &amp; ROW()))-1&lt;E108,表2_36716262930381020[[#This Row],[累计净值]]/MAX(INDIRECT("B21:B" &amp; ROW()))-1,E108)</f>
        <v>-4.1060514762847444E-2</v>
      </c>
      <c r="F109" s="169">
        <f>表2_36716262930381020[[#This Row],[累计净值]]</f>
        <v>1.1523000000000001</v>
      </c>
      <c r="G109" s="170">
        <f>表2_36716262930381020[[#This Row],[累计净值]]/$B$21-1</f>
        <v>0.16253026634382572</v>
      </c>
    </row>
    <row r="110" spans="1:7" x14ac:dyDescent="0.2">
      <c r="A110" s="161">
        <v>43909</v>
      </c>
      <c r="B110" s="162">
        <v>1.1624000000000001</v>
      </c>
      <c r="C110" s="171">
        <f t="shared" si="4"/>
        <v>1.0099999999999998E-2</v>
      </c>
      <c r="D110" s="168" t="str">
        <f t="shared" si="5"/>
        <v>/</v>
      </c>
      <c r="E110" s="168">
        <f ca="1">IF(表2_36716262930381020[[#This Row],[累计净值]]/MAX(INDIRECT("B21:B" &amp; ROW()))-1&lt;E109,表2_36716262930381020[[#This Row],[累计净值]]/MAX(INDIRECT("B21:B" &amp; ROW()))-1,E109)</f>
        <v>-4.1060514762847444E-2</v>
      </c>
      <c r="F110" s="169">
        <f>表2_36716262930381020[[#This Row],[累计净值]]</f>
        <v>1.1624000000000001</v>
      </c>
      <c r="G110" s="170">
        <f>表2_36716262930381020[[#This Row],[累计净值]]/$B$21-1</f>
        <v>0.17271993543179986</v>
      </c>
    </row>
    <row r="111" spans="1:7" x14ac:dyDescent="0.2">
      <c r="A111" s="161">
        <v>43910</v>
      </c>
      <c r="B111" s="178">
        <v>1.1807000000000001</v>
      </c>
      <c r="C111" s="171">
        <f t="shared" si="4"/>
        <v>1.8299999999999983E-2</v>
      </c>
      <c r="D111" s="168" t="str">
        <f t="shared" si="5"/>
        <v>/</v>
      </c>
      <c r="E111" s="168">
        <f ca="1">IF(表2_36716262930381020[[#This Row],[累计净值]]/MAX(INDIRECT("B21:B" &amp; ROW()))-1&lt;E110,表2_36716262930381020[[#This Row],[累计净值]]/MAX(INDIRECT("B21:B" &amp; ROW()))-1,E110)</f>
        <v>-4.1060514762847444E-2</v>
      </c>
      <c r="F111" s="169">
        <f>表2_36716262930381020[[#This Row],[累计净值]]</f>
        <v>1.1807000000000001</v>
      </c>
      <c r="G111" s="170">
        <f>表2_36716262930381020[[#This Row],[累计净值]]/$B$21-1</f>
        <v>0.19118240516545604</v>
      </c>
    </row>
    <row r="112" spans="1:7" x14ac:dyDescent="0.2">
      <c r="A112" s="161">
        <v>43913</v>
      </c>
      <c r="B112" s="162">
        <v>1.1598999999999999</v>
      </c>
      <c r="C112" s="171">
        <f t="shared" si="4"/>
        <v>-2.0800000000000152E-2</v>
      </c>
      <c r="D112" s="168">
        <f t="shared" si="5"/>
        <v>-2.0800000000000152E-2</v>
      </c>
      <c r="E112" s="168">
        <f ca="1">IF(表2_36716262930381020[[#This Row],[累计净值]]/MAX(INDIRECT("B21:B" &amp; ROW()))-1&lt;E111,表2_36716262930381020[[#This Row],[累计净值]]/MAX(INDIRECT("B21:B" &amp; ROW()))-1,E111)</f>
        <v>-4.1060514762847444E-2</v>
      </c>
      <c r="F112" s="169">
        <f>表2_36716262930381020[[#This Row],[累计净值]]</f>
        <v>1.1598999999999999</v>
      </c>
      <c r="G112" s="170">
        <f>表2_36716262930381020[[#This Row],[累计净值]]/$B$21-1</f>
        <v>0.17019774011299438</v>
      </c>
    </row>
    <row r="113" spans="1:7" x14ac:dyDescent="0.2">
      <c r="A113" s="161">
        <v>43914</v>
      </c>
      <c r="B113" s="162">
        <v>1.1564000000000001</v>
      </c>
      <c r="C113" s="171">
        <f t="shared" si="4"/>
        <v>-3.4999999999998366E-3</v>
      </c>
      <c r="D113" s="168">
        <f t="shared" si="5"/>
        <v>-3.4999999999998366E-3</v>
      </c>
      <c r="E113" s="168">
        <f ca="1">IF(表2_36716262930381020[[#This Row],[累计净值]]/MAX(INDIRECT("B21:B" &amp; ROW()))-1&lt;E112,表2_36716262930381020[[#This Row],[累计净值]]/MAX(INDIRECT("B21:B" &amp; ROW()))-1,E112)</f>
        <v>-4.1060514762847444E-2</v>
      </c>
      <c r="F113" s="169">
        <f>表2_36716262930381020[[#This Row],[累计净值]]</f>
        <v>1.1564000000000001</v>
      </c>
      <c r="G113" s="170">
        <f>表2_36716262930381020[[#This Row],[累计净值]]/$B$21-1</f>
        <v>0.16666666666666674</v>
      </c>
    </row>
    <row r="114" spans="1:7" x14ac:dyDescent="0.2">
      <c r="A114" s="161">
        <v>43915</v>
      </c>
      <c r="B114" s="162">
        <v>1.1526000000000001</v>
      </c>
      <c r="C114" s="171">
        <f t="shared" si="4"/>
        <v>-3.8000000000000256E-3</v>
      </c>
      <c r="D114" s="168">
        <f t="shared" si="5"/>
        <v>-3.8000000000000256E-3</v>
      </c>
      <c r="E114" s="168">
        <f ca="1">IF(表2_36716262930381020[[#This Row],[累计净值]]/MAX(INDIRECT("B21:B" &amp; ROW()))-1&lt;E113,表2_36716262930381020[[#This Row],[累计净值]]/MAX(INDIRECT("B21:B" &amp; ROW()))-1,E113)</f>
        <v>-4.1060514762847444E-2</v>
      </c>
      <c r="F114" s="169">
        <f>表2_36716262930381020[[#This Row],[累计净值]]</f>
        <v>1.1526000000000001</v>
      </c>
      <c r="G114" s="170">
        <f>表2_36716262930381020[[#This Row],[累计净值]]/$B$21-1</f>
        <v>0.16283292978208252</v>
      </c>
    </row>
    <row r="115" spans="1:7" x14ac:dyDescent="0.2">
      <c r="A115" s="161">
        <v>43916</v>
      </c>
      <c r="B115" s="162">
        <v>1.1591</v>
      </c>
      <c r="C115" s="171">
        <f t="shared" si="4"/>
        <v>6.4999999999999503E-3</v>
      </c>
      <c r="D115" s="168" t="str">
        <f t="shared" si="5"/>
        <v>/</v>
      </c>
      <c r="E115" s="168">
        <f ca="1">IF(表2_36716262930381020[[#This Row],[累计净值]]/MAX(INDIRECT("B21:B" &amp; ROW()))-1&lt;E114,表2_36716262930381020[[#This Row],[累计净值]]/MAX(INDIRECT("B21:B" &amp; ROW()))-1,E114)</f>
        <v>-4.1060514762847444E-2</v>
      </c>
      <c r="F115" s="169">
        <f>表2_36716262930381020[[#This Row],[累计净值]]</f>
        <v>1.1591</v>
      </c>
      <c r="G115" s="170">
        <f>表2_36716262930381020[[#This Row],[累计净值]]/$B$21-1</f>
        <v>0.16939063761097661</v>
      </c>
    </row>
    <row r="116" spans="1:7" x14ac:dyDescent="0.2">
      <c r="A116" s="161">
        <v>43917</v>
      </c>
      <c r="B116" s="162">
        <v>1.1593</v>
      </c>
      <c r="C116" s="171">
        <f t="shared" si="4"/>
        <v>1.9999999999997797E-4</v>
      </c>
      <c r="D116" s="168" t="str">
        <f t="shared" si="5"/>
        <v>/</v>
      </c>
      <c r="E116" s="168">
        <f ca="1">IF(表2_36716262930381020[[#This Row],[累计净值]]/MAX(INDIRECT("B21:B" &amp; ROW()))-1&lt;E115,表2_36716262930381020[[#This Row],[累计净值]]/MAX(INDIRECT("B21:B" &amp; ROW()))-1,E115)</f>
        <v>-4.1060514762847444E-2</v>
      </c>
      <c r="F116" s="169">
        <f>表2_36716262930381020[[#This Row],[累计净值]]</f>
        <v>1.1593</v>
      </c>
      <c r="G116" s="170">
        <f>表2_36716262930381020[[#This Row],[累计净值]]/$B$21-1</f>
        <v>0.169592413236481</v>
      </c>
    </row>
    <row r="117" spans="1:7" x14ac:dyDescent="0.2">
      <c r="A117" s="161">
        <v>43920</v>
      </c>
      <c r="B117" s="162">
        <v>1.1753</v>
      </c>
      <c r="C117" s="171">
        <f t="shared" si="4"/>
        <v>1.6000000000000014E-2</v>
      </c>
      <c r="D117" s="168" t="str">
        <f t="shared" si="5"/>
        <v>/</v>
      </c>
      <c r="E117" s="168">
        <f ca="1">IF(表2_36716262930381020[[#This Row],[累计净值]]/MAX(INDIRECT("B21:B" &amp; ROW()))-1&lt;E116,表2_36716262930381020[[#This Row],[累计净值]]/MAX(INDIRECT("B21:B" &amp; ROW()))-1,E116)</f>
        <v>-4.1060514762847444E-2</v>
      </c>
      <c r="F117" s="169">
        <f>表2_36716262930381020[[#This Row],[累计净值]]</f>
        <v>1.1753</v>
      </c>
      <c r="G117" s="170">
        <f>表2_36716262930381020[[#This Row],[累计净值]]/$B$21-1</f>
        <v>0.18573446327683629</v>
      </c>
    </row>
    <row r="118" spans="1:7" x14ac:dyDescent="0.2">
      <c r="A118" s="161">
        <v>43921</v>
      </c>
      <c r="B118" s="162">
        <v>1.1711</v>
      </c>
      <c r="C118" s="171">
        <f t="shared" si="4"/>
        <v>-4.1999999999999815E-3</v>
      </c>
      <c r="D118" s="168">
        <f t="shared" si="5"/>
        <v>-4.1999999999999815E-3</v>
      </c>
      <c r="E118" s="168">
        <f ca="1">IF(表2_36716262930381020[[#This Row],[累计净值]]/MAX(INDIRECT("B21:B" &amp; ROW()))-1&lt;E117,表2_36716262930381020[[#This Row],[累计净值]]/MAX(INDIRECT("B21:B" &amp; ROW()))-1,E117)</f>
        <v>-4.1060514762847444E-2</v>
      </c>
      <c r="F118" s="169">
        <f>表2_36716262930381020[[#This Row],[累计净值]]</f>
        <v>1.1711</v>
      </c>
      <c r="G118" s="170">
        <f>表2_36716262930381020[[#This Row],[累计净值]]/$B$21-1</f>
        <v>0.18149717514124308</v>
      </c>
    </row>
    <row r="119" spans="1:7" x14ac:dyDescent="0.2">
      <c r="A119" s="161">
        <v>43922</v>
      </c>
      <c r="B119" s="162">
        <v>1.1783999999999999</v>
      </c>
      <c r="C119" s="171">
        <f t="shared" si="4"/>
        <v>7.2999999999998622E-3</v>
      </c>
      <c r="D119" s="168" t="str">
        <f t="shared" si="5"/>
        <v>/</v>
      </c>
      <c r="E119" s="168">
        <f ca="1">IF(表2_36716262930381020[[#This Row],[累计净值]]/MAX(INDIRECT("B21:B" &amp; ROW()))-1&lt;E118,表2_36716262930381020[[#This Row],[累计净值]]/MAX(INDIRECT("B21:B" &amp; ROW()))-1,E118)</f>
        <v>-4.1060514762847444E-2</v>
      </c>
      <c r="F119" s="169">
        <f>表2_36716262930381020[[#This Row],[累计净值]]</f>
        <v>1.1783999999999999</v>
      </c>
      <c r="G119" s="170">
        <f>表2_36716262930381020[[#This Row],[累计净值]]/$B$21-1</f>
        <v>0.18886198547215494</v>
      </c>
    </row>
    <row r="120" spans="1:7" x14ac:dyDescent="0.2">
      <c r="A120" s="161">
        <v>43923</v>
      </c>
      <c r="B120" s="162">
        <v>1.1973</v>
      </c>
      <c r="C120" s="171">
        <f t="shared" si="4"/>
        <v>1.8900000000000139E-2</v>
      </c>
      <c r="D120" s="168" t="str">
        <f t="shared" si="5"/>
        <v>/</v>
      </c>
      <c r="E120" s="168">
        <f ca="1">IF(表2_36716262930381020[[#This Row],[累计净值]]/MAX(INDIRECT("B21:B" &amp; ROW()))-1&lt;E119,表2_36716262930381020[[#This Row],[累计净值]]/MAX(INDIRECT("B21:B" &amp; ROW()))-1,E119)</f>
        <v>-4.1060514762847444E-2</v>
      </c>
      <c r="F120" s="169">
        <f>表2_36716262930381020[[#This Row],[累计净值]]</f>
        <v>1.1973</v>
      </c>
      <c r="G120" s="170">
        <f>表2_36716262930381020[[#This Row],[累计净值]]/$B$21-1</f>
        <v>0.20792978208232449</v>
      </c>
    </row>
    <row r="121" spans="1:7" x14ac:dyDescent="0.2">
      <c r="A121" s="161">
        <v>43924</v>
      </c>
      <c r="B121" s="162">
        <v>1.1856</v>
      </c>
      <c r="C121" s="171">
        <f t="shared" si="4"/>
        <v>-1.1700000000000044E-2</v>
      </c>
      <c r="D121" s="168">
        <f t="shared" si="5"/>
        <v>-1.1700000000000044E-2</v>
      </c>
      <c r="E121" s="168">
        <f ca="1">IF(表2_36716262930381020[[#This Row],[累计净值]]/MAX(INDIRECT("B21:B" &amp; ROW()))-1&lt;E120,表2_36716262930381020[[#This Row],[累计净值]]/MAX(INDIRECT("B21:B" &amp; ROW()))-1,E120)</f>
        <v>-4.1060514762847444E-2</v>
      </c>
      <c r="F121" s="169">
        <f>表2_36716262930381020[[#This Row],[累计净值]]</f>
        <v>1.1856</v>
      </c>
      <c r="G121" s="170">
        <f>表2_36716262930381020[[#This Row],[累计净值]]/$B$21-1</f>
        <v>0.19612590799031482</v>
      </c>
    </row>
    <row r="122" spans="1:7" x14ac:dyDescent="0.2">
      <c r="A122" s="161">
        <v>43928</v>
      </c>
      <c r="B122" s="162">
        <v>1.1805000000000001</v>
      </c>
      <c r="C122" s="171">
        <f t="shared" si="4"/>
        <v>-5.0999999999998824E-3</v>
      </c>
      <c r="D122" s="168">
        <f t="shared" si="5"/>
        <v>-5.0999999999998824E-3</v>
      </c>
      <c r="E122" s="168">
        <f ca="1">IF(表2_36716262930381020[[#This Row],[累计净值]]/MAX(INDIRECT("B21:B" &amp; ROW()))-1&lt;E121,表2_36716262930381020[[#This Row],[累计净值]]/MAX(INDIRECT("B21:B" &amp; ROW()))-1,E121)</f>
        <v>-4.1060514762847444E-2</v>
      </c>
      <c r="F122" s="169">
        <f>表2_36716262930381020[[#This Row],[累计净值]]</f>
        <v>1.1805000000000001</v>
      </c>
      <c r="G122" s="170">
        <f>表2_36716262930381020[[#This Row],[累计净值]]/$B$21-1</f>
        <v>0.19098062953995165</v>
      </c>
    </row>
    <row r="123" spans="1:7" x14ac:dyDescent="0.2">
      <c r="A123" s="161">
        <v>43929</v>
      </c>
      <c r="B123" s="162">
        <v>1.1971000000000001</v>
      </c>
      <c r="C123" s="171">
        <f t="shared" si="4"/>
        <v>1.6599999999999948E-2</v>
      </c>
      <c r="D123" s="168" t="str">
        <f t="shared" si="5"/>
        <v>/</v>
      </c>
      <c r="E123" s="168">
        <f ca="1">IF(表2_36716262930381020[[#This Row],[累计净值]]/MAX(INDIRECT("B21:B" &amp; ROW()))-1&lt;E122,表2_36716262930381020[[#This Row],[累计净值]]/MAX(INDIRECT("B21:B" &amp; ROW()))-1,E122)</f>
        <v>-4.1060514762847444E-2</v>
      </c>
      <c r="F123" s="169">
        <f>表2_36716262930381020[[#This Row],[累计净值]]</f>
        <v>1.1971000000000001</v>
      </c>
      <c r="G123" s="170">
        <f>表2_36716262930381020[[#This Row],[累计净值]]/$B$21-1</f>
        <v>0.2077280064568201</v>
      </c>
    </row>
    <row r="124" spans="1:7" x14ac:dyDescent="0.2">
      <c r="A124" s="161">
        <v>43930</v>
      </c>
      <c r="B124" s="162">
        <v>1.2035</v>
      </c>
      <c r="C124" s="171">
        <f t="shared" si="4"/>
        <v>6.3999999999999613E-3</v>
      </c>
      <c r="D124" s="168" t="str">
        <f t="shared" si="5"/>
        <v>/</v>
      </c>
      <c r="E124" s="168">
        <f ca="1">IF(表2_36716262930381020[[#This Row],[累计净值]]/MAX(INDIRECT("B21:B" &amp; ROW()))-1&lt;E123,表2_36716262930381020[[#This Row],[累计净值]]/MAX(INDIRECT("B21:B" &amp; ROW()))-1,E123)</f>
        <v>-4.1060514762847444E-2</v>
      </c>
      <c r="F124" s="169">
        <f>表2_36716262930381020[[#This Row],[累计净值]]</f>
        <v>1.2035</v>
      </c>
      <c r="G124" s="170">
        <f>表2_36716262930381020[[#This Row],[累计净值]]/$B$21-1</f>
        <v>0.21418482647296222</v>
      </c>
    </row>
    <row r="125" spans="1:7" x14ac:dyDescent="0.2">
      <c r="A125" s="161">
        <v>43931</v>
      </c>
      <c r="B125" s="162">
        <v>1.2068000000000001</v>
      </c>
      <c r="C125" s="171">
        <f t="shared" si="4"/>
        <v>3.3000000000000806E-3</v>
      </c>
      <c r="D125" s="168" t="str">
        <f t="shared" si="5"/>
        <v>/</v>
      </c>
      <c r="E125" s="168">
        <f ca="1">IF(表2_36716262930381020[[#This Row],[累计净值]]/MAX(INDIRECT("B21:B" &amp; ROW()))-1&lt;E124,表2_36716262930381020[[#This Row],[累计净值]]/MAX(INDIRECT("B21:B" &amp; ROW()))-1,E124)</f>
        <v>-4.1060514762847444E-2</v>
      </c>
      <c r="F125" s="169">
        <f>表2_36716262930381020[[#This Row],[累计净值]]</f>
        <v>1.2068000000000001</v>
      </c>
      <c r="G125" s="170">
        <f>表2_36716262930381020[[#This Row],[累计净值]]/$B$21-1</f>
        <v>0.21751412429378547</v>
      </c>
    </row>
    <row r="126" spans="1:7" x14ac:dyDescent="0.2">
      <c r="A126" s="161">
        <v>43934</v>
      </c>
      <c r="B126" s="162">
        <v>1.2009000000000001</v>
      </c>
      <c r="C126" s="171">
        <f t="shared" si="4"/>
        <v>-5.9000000000000163E-3</v>
      </c>
      <c r="D126" s="168">
        <f t="shared" si="5"/>
        <v>-5.9000000000000163E-3</v>
      </c>
      <c r="E126" s="168">
        <f ca="1">IF(表2_36716262930381020[[#This Row],[累计净值]]/MAX(INDIRECT("B21:B" &amp; ROW()))-1&lt;E125,表2_36716262930381020[[#This Row],[累计净值]]/MAX(INDIRECT("B21:B" &amp; ROW()))-1,E125)</f>
        <v>-4.1060514762847444E-2</v>
      </c>
      <c r="F126" s="169">
        <f>表2_36716262930381020[[#This Row],[累计净值]]</f>
        <v>1.2009000000000001</v>
      </c>
      <c r="G126" s="170">
        <f>表2_36716262930381020[[#This Row],[累计净值]]/$B$21-1</f>
        <v>0.21156174334140454</v>
      </c>
    </row>
    <row r="127" spans="1:7" x14ac:dyDescent="0.2">
      <c r="A127" s="161">
        <v>43935</v>
      </c>
      <c r="B127" s="162">
        <v>1.2302</v>
      </c>
      <c r="C127" s="171">
        <f t="shared" ref="C127:C164" si="6">IFERROR(B127-B126,0)</f>
        <v>2.9299999999999882E-2</v>
      </c>
      <c r="D127" s="168" t="str">
        <f t="shared" ref="D127:D164" si="7">IF(C127&lt;0,C127,"/")</f>
        <v>/</v>
      </c>
      <c r="E127" s="168">
        <f ca="1">IF(表2_36716262930381020[[#This Row],[累计净值]]/MAX(INDIRECT("B21:B" &amp; ROW()))-1&lt;E126,表2_36716262930381020[[#This Row],[累计净值]]/MAX(INDIRECT("B21:B" &amp; ROW()))-1,E126)</f>
        <v>-4.1060514762847444E-2</v>
      </c>
      <c r="F127" s="169">
        <f>表2_36716262930381020[[#This Row],[累计净值]]</f>
        <v>1.2302</v>
      </c>
      <c r="G127" s="170">
        <f>表2_36716262930381020[[#This Row],[累计净值]]/$B$21-1</f>
        <v>0.24112187247780459</v>
      </c>
    </row>
    <row r="128" spans="1:7" x14ac:dyDescent="0.2">
      <c r="A128" s="161">
        <v>43936</v>
      </c>
      <c r="B128" s="162">
        <v>1.2369000000000001</v>
      </c>
      <c r="C128" s="171">
        <f t="shared" si="6"/>
        <v>6.7000000000001503E-3</v>
      </c>
      <c r="D128" s="168" t="str">
        <f t="shared" si="7"/>
        <v>/</v>
      </c>
      <c r="E128" s="168">
        <f ca="1">IF(表2_36716262930381020[[#This Row],[累计净值]]/MAX(INDIRECT("B21:B" &amp; ROW()))-1&lt;E127,表2_36716262930381020[[#This Row],[累计净值]]/MAX(INDIRECT("B21:B" &amp; ROW()))-1,E127)</f>
        <v>-4.1060514762847444E-2</v>
      </c>
      <c r="F128" s="169">
        <f>表2_36716262930381020[[#This Row],[累计净值]]</f>
        <v>1.2369000000000001</v>
      </c>
      <c r="G128" s="170">
        <f>表2_36716262930381020[[#This Row],[累计净值]]/$B$21-1</f>
        <v>0.24788135593220351</v>
      </c>
    </row>
    <row r="129" spans="1:7" x14ac:dyDescent="0.2">
      <c r="A129" s="161">
        <v>43937</v>
      </c>
      <c r="B129" s="162">
        <v>1.2415</v>
      </c>
      <c r="C129" s="171">
        <f t="shared" si="6"/>
        <v>4.5999999999999375E-3</v>
      </c>
      <c r="D129" s="168" t="str">
        <f t="shared" si="7"/>
        <v>/</v>
      </c>
      <c r="E129" s="168">
        <f ca="1">IF(表2_36716262930381020[[#This Row],[累计净值]]/MAX(INDIRECT("B21:B" &amp; ROW()))-1&lt;E128,表2_36716262930381020[[#This Row],[累计净值]]/MAX(INDIRECT("B21:B" &amp; ROW()))-1,E128)</f>
        <v>-4.1060514762847444E-2</v>
      </c>
      <c r="F129" s="169">
        <f>表2_36716262930381020[[#This Row],[累计净值]]</f>
        <v>1.2415</v>
      </c>
      <c r="G129" s="170">
        <f>表2_36716262930381020[[#This Row],[累计净值]]/$B$21-1</f>
        <v>0.25252219531880549</v>
      </c>
    </row>
    <row r="130" spans="1:7" x14ac:dyDescent="0.2">
      <c r="A130" s="161">
        <v>43938</v>
      </c>
      <c r="B130" s="162">
        <v>1.2484</v>
      </c>
      <c r="C130" s="171">
        <f t="shared" si="6"/>
        <v>6.8999999999999062E-3</v>
      </c>
      <c r="D130" s="168" t="str">
        <f t="shared" si="7"/>
        <v>/</v>
      </c>
      <c r="E130" s="168">
        <f ca="1">IF(表2_36716262930381020[[#This Row],[累计净值]]/MAX(INDIRECT("B21:B" &amp; ROW()))-1&lt;E129,表2_36716262930381020[[#This Row],[累计净值]]/MAX(INDIRECT("B21:B" &amp; ROW()))-1,E129)</f>
        <v>-4.1060514762847444E-2</v>
      </c>
      <c r="F130" s="169">
        <f>表2_36716262930381020[[#This Row],[累计净值]]</f>
        <v>1.2484</v>
      </c>
      <c r="G130" s="170">
        <f>表2_36716262930381020[[#This Row],[累计净值]]/$B$21-1</f>
        <v>0.25948345439870857</v>
      </c>
    </row>
    <row r="131" spans="1:7" x14ac:dyDescent="0.2">
      <c r="A131" s="161">
        <v>43941</v>
      </c>
      <c r="B131" s="162">
        <v>1.2533000000000001</v>
      </c>
      <c r="C131" s="171">
        <f t="shared" si="6"/>
        <v>4.9000000000001265E-3</v>
      </c>
      <c r="D131" s="168" t="str">
        <f t="shared" si="7"/>
        <v>/</v>
      </c>
      <c r="E131" s="168">
        <f ca="1">IF(表2_36716262930381020[[#This Row],[累计净值]]/MAX(INDIRECT("B21:B" &amp; ROW()))-1&lt;E130,表2_36716262930381020[[#This Row],[累计净值]]/MAX(INDIRECT("B21:B" &amp; ROW()))-1,E130)</f>
        <v>-4.1060514762847444E-2</v>
      </c>
      <c r="F131" s="169">
        <f>表2_36716262930381020[[#This Row],[累计净值]]</f>
        <v>1.2533000000000001</v>
      </c>
      <c r="G131" s="170">
        <f>表2_36716262930381020[[#This Row],[累计净值]]/$B$21-1</f>
        <v>0.26442695722356757</v>
      </c>
    </row>
    <row r="132" spans="1:7" x14ac:dyDescent="0.2">
      <c r="A132" s="161">
        <v>43942</v>
      </c>
      <c r="B132" s="162">
        <v>1.2272000000000001</v>
      </c>
      <c r="C132" s="171">
        <f t="shared" si="6"/>
        <v>-2.6100000000000012E-2</v>
      </c>
      <c r="D132" s="168">
        <f t="shared" si="7"/>
        <v>-2.6100000000000012E-2</v>
      </c>
      <c r="E132" s="168">
        <f ca="1">IF(表2_36716262930381020[[#This Row],[累计净值]]/MAX(INDIRECT("B21:B" &amp; ROW()))-1&lt;E131,表2_36716262930381020[[#This Row],[累计净值]]/MAX(INDIRECT("B21:B" &amp; ROW()))-1,E131)</f>
        <v>-4.1060514762847444E-2</v>
      </c>
      <c r="F132" s="169">
        <f>表2_36716262930381020[[#This Row],[累计净值]]</f>
        <v>1.2272000000000001</v>
      </c>
      <c r="G132" s="170">
        <f>表2_36716262930381020[[#This Row],[累计净值]]/$B$21-1</f>
        <v>0.23809523809523814</v>
      </c>
    </row>
    <row r="133" spans="1:7" x14ac:dyDescent="0.2">
      <c r="A133" s="161">
        <v>43943</v>
      </c>
      <c r="B133" s="162">
        <v>1.2474000000000001</v>
      </c>
      <c r="C133" s="171">
        <f t="shared" si="6"/>
        <v>2.0199999999999996E-2</v>
      </c>
      <c r="D133" s="168" t="str">
        <f t="shared" si="7"/>
        <v>/</v>
      </c>
      <c r="E133" s="168">
        <f ca="1">IF(表2_36716262930381020[[#This Row],[累计净值]]/MAX(INDIRECT("B21:B" &amp; ROW()))-1&lt;E132,表2_36716262930381020[[#This Row],[累计净值]]/MAX(INDIRECT("B21:B" &amp; ROW()))-1,E132)</f>
        <v>-4.1060514762847444E-2</v>
      </c>
      <c r="F133" s="169">
        <f>表2_36716262930381020[[#This Row],[累计净值]]</f>
        <v>1.2474000000000001</v>
      </c>
      <c r="G133" s="170">
        <f>表2_36716262930381020[[#This Row],[累计净值]]/$B$21-1</f>
        <v>0.25847457627118664</v>
      </c>
    </row>
    <row r="134" spans="1:7" x14ac:dyDescent="0.2">
      <c r="A134" s="161">
        <v>43944</v>
      </c>
      <c r="B134" s="162">
        <v>1.2618</v>
      </c>
      <c r="C134" s="171">
        <f t="shared" si="6"/>
        <v>1.4399999999999968E-2</v>
      </c>
      <c r="D134" s="168" t="str">
        <f t="shared" si="7"/>
        <v>/</v>
      </c>
      <c r="E134" s="168">
        <f ca="1">IF(表2_36716262930381020[[#This Row],[累计净值]]/MAX(INDIRECT("B21:B" &amp; ROW()))-1&lt;E133,表2_36716262930381020[[#This Row],[累计净值]]/MAX(INDIRECT("B21:B" &amp; ROW()))-1,E133)</f>
        <v>-4.1060514762847444E-2</v>
      </c>
      <c r="F134" s="169">
        <f>表2_36716262930381020[[#This Row],[累计净值]]</f>
        <v>1.2618</v>
      </c>
      <c r="G134" s="170">
        <f>表2_36716262930381020[[#This Row],[累计净值]]/$B$21-1</f>
        <v>0.27300242130750618</v>
      </c>
    </row>
    <row r="135" spans="1:7" x14ac:dyDescent="0.2">
      <c r="A135" s="161">
        <v>43945</v>
      </c>
      <c r="B135" s="162">
        <v>1.2630999999999999</v>
      </c>
      <c r="C135" s="171">
        <f t="shared" si="6"/>
        <v>1.2999999999998568E-3</v>
      </c>
      <c r="D135" s="168" t="str">
        <f t="shared" si="7"/>
        <v>/</v>
      </c>
      <c r="E135" s="168">
        <f ca="1">IF(表2_36716262930381020[[#This Row],[累计净值]]/MAX(INDIRECT("B21:B" &amp; ROW()))-1&lt;E134,表2_36716262930381020[[#This Row],[累计净值]]/MAX(INDIRECT("B21:B" &amp; ROW()))-1,E134)</f>
        <v>-4.1060514762847444E-2</v>
      </c>
      <c r="F135" s="169">
        <f>表2_36716262930381020[[#This Row],[累计净值]]</f>
        <v>1.2630999999999999</v>
      </c>
      <c r="G135" s="170">
        <f>表2_36716262930381020[[#This Row],[累计净值]]/$B$21-1</f>
        <v>0.27431396287328491</v>
      </c>
    </row>
    <row r="136" spans="1:7" x14ac:dyDescent="0.2">
      <c r="A136" s="161">
        <v>43948</v>
      </c>
      <c r="B136" s="162">
        <v>1.2808999999999999</v>
      </c>
      <c r="C136" s="171">
        <f t="shared" si="6"/>
        <v>1.7800000000000038E-2</v>
      </c>
      <c r="D136" s="168" t="str">
        <f t="shared" si="7"/>
        <v>/</v>
      </c>
      <c r="E136" s="168">
        <f ca="1">IF(表2_36716262930381020[[#This Row],[累计净值]]/MAX(INDIRECT("B21:B" &amp; ROW()))-1&lt;E135,表2_36716262930381020[[#This Row],[累计净值]]/MAX(INDIRECT("B21:B" &amp; ROW()))-1,E135)</f>
        <v>-4.1060514762847444E-2</v>
      </c>
      <c r="F136" s="169">
        <f>表2_36716262930381020[[#This Row],[累计净值]]</f>
        <v>1.2808999999999999</v>
      </c>
      <c r="G136" s="170">
        <f>表2_36716262930381020[[#This Row],[累计净值]]/$B$21-1</f>
        <v>0.2922719935431799</v>
      </c>
    </row>
    <row r="137" spans="1:7" x14ac:dyDescent="0.2">
      <c r="A137" s="161">
        <v>43949</v>
      </c>
      <c r="B137" s="162">
        <v>1.2676000000000001</v>
      </c>
      <c r="C137" s="171">
        <f t="shared" si="6"/>
        <v>-1.3299999999999867E-2</v>
      </c>
      <c r="D137" s="168">
        <f t="shared" si="7"/>
        <v>-1.3299999999999867E-2</v>
      </c>
      <c r="E137" s="168">
        <f ca="1">IF(表2_36716262930381020[[#This Row],[累计净值]]/MAX(INDIRECT("B21:B" &amp; ROW()))-1&lt;E136,表2_36716262930381020[[#This Row],[累计净值]]/MAX(INDIRECT("B21:B" &amp; ROW()))-1,E136)</f>
        <v>-4.1060514762847444E-2</v>
      </c>
      <c r="F137" s="169">
        <f>表2_36716262930381020[[#This Row],[累计净值]]</f>
        <v>1.2676000000000001</v>
      </c>
      <c r="G137" s="170">
        <f>表2_36716262930381020[[#This Row],[累计净值]]/$B$21-1</f>
        <v>0.27885391444713492</v>
      </c>
    </row>
    <row r="138" spans="1:7" x14ac:dyDescent="0.2">
      <c r="A138" s="161">
        <v>43950</v>
      </c>
      <c r="B138" s="162">
        <v>1.2585</v>
      </c>
      <c r="C138" s="171">
        <f t="shared" si="6"/>
        <v>-9.100000000000108E-3</v>
      </c>
      <c r="D138" s="168">
        <f t="shared" si="7"/>
        <v>-9.100000000000108E-3</v>
      </c>
      <c r="E138" s="168">
        <f ca="1">IF(表2_36716262930381020[[#This Row],[累计净值]]/MAX(INDIRECT("B21:B" &amp; ROW()))-1&lt;E137,表2_36716262930381020[[#This Row],[累计净值]]/MAX(INDIRECT("B21:B" &amp; ROW()))-1,E137)</f>
        <v>-4.1060514762847444E-2</v>
      </c>
      <c r="F138" s="169">
        <f>表2_36716262930381020[[#This Row],[累计净值]]</f>
        <v>1.2585</v>
      </c>
      <c r="G138" s="170">
        <f>表2_36716262930381020[[#This Row],[累计净值]]/$B$21-1</f>
        <v>0.26967312348668271</v>
      </c>
    </row>
    <row r="139" spans="1:7" x14ac:dyDescent="0.2">
      <c r="A139" s="161">
        <v>43951</v>
      </c>
      <c r="B139" s="162">
        <v>1.2606999999999999</v>
      </c>
      <c r="C139" s="171">
        <f t="shared" si="6"/>
        <v>2.1999999999999797E-3</v>
      </c>
      <c r="D139" s="168" t="str">
        <f t="shared" si="7"/>
        <v>/</v>
      </c>
      <c r="E139" s="168">
        <f ca="1">IF(表2_36716262930381020[[#This Row],[累计净值]]/MAX(INDIRECT("B21:B" &amp; ROW()))-1&lt;E138,表2_36716262930381020[[#This Row],[累计净值]]/MAX(INDIRECT("B21:B" &amp; ROW()))-1,E138)</f>
        <v>-4.1060514762847444E-2</v>
      </c>
      <c r="F139" s="169">
        <f>表2_36716262930381020[[#This Row],[累计净值]]</f>
        <v>1.2606999999999999</v>
      </c>
      <c r="G139" s="170">
        <f>表2_36716262930381020[[#This Row],[累计净值]]/$B$21-1</f>
        <v>0.27189265536723162</v>
      </c>
    </row>
    <row r="140" spans="1:7" x14ac:dyDescent="0.2">
      <c r="A140" s="161">
        <v>43957</v>
      </c>
      <c r="B140" s="162">
        <v>1.2824</v>
      </c>
      <c r="C140" s="171">
        <f t="shared" si="6"/>
        <v>2.1700000000000053E-2</v>
      </c>
      <c r="D140" s="168" t="str">
        <f t="shared" si="7"/>
        <v>/</v>
      </c>
      <c r="E140" s="168">
        <f ca="1">IF(表2_36716262930381020[[#This Row],[累计净值]]/MAX(INDIRECT("B21:B" &amp; ROW()))-1&lt;E139,表2_36716262930381020[[#This Row],[累计净值]]/MAX(INDIRECT("B21:B" &amp; ROW()))-1,E139)</f>
        <v>-4.1060514762847444E-2</v>
      </c>
      <c r="F140" s="169">
        <f>表2_36716262930381020[[#This Row],[累计净值]]</f>
        <v>1.2824</v>
      </c>
      <c r="G140" s="170">
        <f>表2_36716262930381020[[#This Row],[累计净值]]/$B$21-1</f>
        <v>0.29378531073446323</v>
      </c>
    </row>
    <row r="141" spans="1:7" x14ac:dyDescent="0.2">
      <c r="A141" s="161">
        <v>43958</v>
      </c>
      <c r="B141" s="162">
        <v>1.2886</v>
      </c>
      <c r="C141" s="171">
        <f t="shared" si="6"/>
        <v>6.1999999999999833E-3</v>
      </c>
      <c r="D141" s="168" t="str">
        <f t="shared" si="7"/>
        <v>/</v>
      </c>
      <c r="E141" s="168">
        <f ca="1">IF(表2_36716262930381020[[#This Row],[累计净值]]/MAX(INDIRECT("B21:B" &amp; ROW()))-1&lt;E140,表2_36716262930381020[[#This Row],[累计净值]]/MAX(INDIRECT("B21:B" &amp; ROW()))-1,E140)</f>
        <v>-4.1060514762847444E-2</v>
      </c>
      <c r="F141" s="169">
        <f>表2_36716262930381020[[#This Row],[累计净值]]</f>
        <v>1.2886</v>
      </c>
      <c r="G141" s="170">
        <f>表2_36716262930381020[[#This Row],[累计净值]]/$B$21-1</f>
        <v>0.30004035512510097</v>
      </c>
    </row>
    <row r="142" spans="1:7" x14ac:dyDescent="0.2">
      <c r="A142" s="161">
        <v>43959</v>
      </c>
      <c r="B142" s="162">
        <v>1.2915000000000001</v>
      </c>
      <c r="C142" s="171">
        <f t="shared" si="6"/>
        <v>2.9000000000001247E-3</v>
      </c>
      <c r="D142" s="168" t="str">
        <f t="shared" si="7"/>
        <v>/</v>
      </c>
      <c r="E142" s="168">
        <f ca="1">IF(表2_36716262930381020[[#This Row],[累计净值]]/MAX(INDIRECT("B21:B" &amp; ROW()))-1&lt;E141,表2_36716262930381020[[#This Row],[累计净值]]/MAX(INDIRECT("B21:B" &amp; ROW()))-1,E141)</f>
        <v>-4.1060514762847444E-2</v>
      </c>
      <c r="F142" s="169">
        <f>表2_36716262930381020[[#This Row],[累计净值]]</f>
        <v>1.2915000000000001</v>
      </c>
      <c r="G142" s="170">
        <f>表2_36716262930381020[[#This Row],[累计净值]]/$B$21-1</f>
        <v>0.30296610169491545</v>
      </c>
    </row>
    <row r="143" spans="1:7" x14ac:dyDescent="0.2">
      <c r="A143" s="161">
        <v>43962</v>
      </c>
      <c r="B143" s="162">
        <v>1.2935000000000001</v>
      </c>
      <c r="C143" s="171">
        <f t="shared" si="6"/>
        <v>2.0000000000000018E-3</v>
      </c>
      <c r="D143" s="168" t="str">
        <f t="shared" si="7"/>
        <v>/</v>
      </c>
      <c r="E143" s="168">
        <f ca="1">IF(表2_36716262930381020[[#This Row],[累计净值]]/MAX(INDIRECT("B21:B" &amp; ROW()))-1&lt;E142,表2_36716262930381020[[#This Row],[累计净值]]/MAX(INDIRECT("B21:B" &amp; ROW()))-1,E142)</f>
        <v>-4.1060514762847444E-2</v>
      </c>
      <c r="F143" s="169">
        <f>表2_36716262930381020[[#This Row],[累计净值]]</f>
        <v>1.2935000000000001</v>
      </c>
      <c r="G143" s="170">
        <f>表2_36716262930381020[[#This Row],[累计净值]]/$B$21-1</f>
        <v>0.30498385794995975</v>
      </c>
    </row>
    <row r="144" spans="1:7" x14ac:dyDescent="0.2">
      <c r="A144" s="161">
        <v>43963</v>
      </c>
      <c r="B144" s="162">
        <v>1.3030999999999999</v>
      </c>
      <c r="C144" s="171">
        <f t="shared" si="6"/>
        <v>9.5999999999998309E-3</v>
      </c>
      <c r="D144" s="168" t="str">
        <f t="shared" si="7"/>
        <v>/</v>
      </c>
      <c r="E144" s="168">
        <f ca="1">IF(表2_36716262930381020[[#This Row],[累计净值]]/MAX(INDIRECT("B21:B" &amp; ROW()))-1&lt;E143,表2_36716262930381020[[#This Row],[累计净值]]/MAX(INDIRECT("B21:B" &amp; ROW()))-1,E143)</f>
        <v>-4.1060514762847444E-2</v>
      </c>
      <c r="F144" s="169">
        <f>表2_36716262930381020[[#This Row],[累计净值]]</f>
        <v>1.3030999999999999</v>
      </c>
      <c r="G144" s="170">
        <f>表2_36716262930381020[[#This Row],[累计净值]]/$B$21-1</f>
        <v>0.3146690879741727</v>
      </c>
    </row>
    <row r="145" spans="1:8" x14ac:dyDescent="0.2">
      <c r="A145" s="161">
        <v>43964</v>
      </c>
      <c r="B145" s="162">
        <v>1.3117000000000001</v>
      </c>
      <c r="C145" s="171">
        <f t="shared" si="6"/>
        <v>8.6000000000001631E-3</v>
      </c>
      <c r="D145" s="168" t="str">
        <f t="shared" si="7"/>
        <v>/</v>
      </c>
      <c r="E145" s="168">
        <f ca="1">IF(表2_36716262930381020[[#This Row],[累计净值]]/MAX(INDIRECT("B21:B" &amp; ROW()))-1&lt;E144,表2_36716262930381020[[#This Row],[累计净值]]/MAX(INDIRECT("B21:B" &amp; ROW()))-1,E144)</f>
        <v>-4.1060514762847444E-2</v>
      </c>
      <c r="F145" s="169">
        <f>表2_36716262930381020[[#This Row],[累计净值]]</f>
        <v>1.3117000000000001</v>
      </c>
      <c r="G145" s="170">
        <f>表2_36716262930381020[[#This Row],[累计净值]]/$B$21-1</f>
        <v>0.32334543987086373</v>
      </c>
    </row>
    <row r="146" spans="1:8" x14ac:dyDescent="0.2">
      <c r="A146" s="161">
        <v>43965</v>
      </c>
      <c r="B146" s="178">
        <v>1.3169999999999999</v>
      </c>
      <c r="C146" s="171">
        <f t="shared" si="6"/>
        <v>5.2999999999998604E-3</v>
      </c>
      <c r="D146" s="168" t="str">
        <f t="shared" si="7"/>
        <v>/</v>
      </c>
      <c r="E146" s="168">
        <f ca="1">IF(表2_36716262930381020[[#This Row],[累计净值]]/MAX(INDIRECT("B21:B" &amp; ROW()))-1&lt;E145,表2_36716262930381020[[#This Row],[累计净值]]/MAX(INDIRECT("B21:B" &amp; ROW()))-1,E145)</f>
        <v>-4.1060514762847444E-2</v>
      </c>
      <c r="F146" s="169">
        <f>表2_36716262930381020[[#This Row],[累计净值]]</f>
        <v>1.3169999999999999</v>
      </c>
      <c r="G146" s="170">
        <f>表2_36716262930381020[[#This Row],[累计净值]]/$B$21-1</f>
        <v>0.32869249394673128</v>
      </c>
    </row>
    <row r="147" spans="1:8" x14ac:dyDescent="0.2">
      <c r="A147" s="161">
        <v>43966</v>
      </c>
      <c r="B147" s="162">
        <v>1.3072999999999999</v>
      </c>
      <c r="C147" s="171">
        <f t="shared" si="6"/>
        <v>-9.7000000000000419E-3</v>
      </c>
      <c r="D147" s="168">
        <f t="shared" si="7"/>
        <v>-9.7000000000000419E-3</v>
      </c>
      <c r="E147" s="168">
        <f ca="1">IF(表2_36716262930381020[[#This Row],[累计净值]]/MAX(INDIRECT("B21:B" &amp; ROW()))-1&lt;E146,表2_36716262930381020[[#This Row],[累计净值]]/MAX(INDIRECT("B21:B" &amp; ROW()))-1,E146)</f>
        <v>-4.1060514762847444E-2</v>
      </c>
      <c r="F147" s="169">
        <f>表2_36716262930381020[[#This Row],[累计净值]]</f>
        <v>1.3072999999999999</v>
      </c>
      <c r="G147" s="170">
        <f>表2_36716262930381020[[#This Row],[累计净值]]/$B$21-1</f>
        <v>0.31890637610976591</v>
      </c>
    </row>
    <row r="148" spans="1:8" x14ac:dyDescent="0.2">
      <c r="A148" s="161">
        <v>43969</v>
      </c>
      <c r="B148" s="162">
        <v>1.3076000000000001</v>
      </c>
      <c r="C148" s="171">
        <f t="shared" si="6"/>
        <v>3.00000000000189E-4</v>
      </c>
      <c r="D148" s="168" t="str">
        <f t="shared" si="7"/>
        <v>/</v>
      </c>
      <c r="E148" s="168">
        <f ca="1">IF(表2_36716262930381020[[#This Row],[累计净值]]/MAX(INDIRECT("B21:B" &amp; ROW()))-1&lt;E147,表2_36716262930381020[[#This Row],[累计净值]]/MAX(INDIRECT("B21:B" &amp; ROW()))-1,E147)</f>
        <v>-4.1060514762847444E-2</v>
      </c>
      <c r="F148" s="169">
        <f>表2_36716262930381020[[#This Row],[累计净值]]</f>
        <v>1.3076000000000001</v>
      </c>
      <c r="G148" s="170">
        <f>表2_36716262930381020[[#This Row],[累计净值]]/$B$21-1</f>
        <v>0.31920903954802271</v>
      </c>
    </row>
    <row r="149" spans="1:8" x14ac:dyDescent="0.2">
      <c r="A149" s="161">
        <v>43970</v>
      </c>
      <c r="B149" s="162">
        <v>1.3005</v>
      </c>
      <c r="C149" s="171">
        <f t="shared" si="6"/>
        <v>-7.1000000000001062E-3</v>
      </c>
      <c r="D149" s="168">
        <f t="shared" si="7"/>
        <v>-7.1000000000001062E-3</v>
      </c>
      <c r="E149" s="168">
        <f ca="1">IF(表2_36716262930381020[[#This Row],[累计净值]]/MAX(INDIRECT("B21:B" &amp; ROW()))-1&lt;E148,表2_36716262930381020[[#This Row],[累计净值]]/MAX(INDIRECT("B21:B" &amp; ROW()))-1,E148)</f>
        <v>-4.1060514762847444E-2</v>
      </c>
      <c r="F149" s="169">
        <f>表2_36716262930381020[[#This Row],[累计净值]]</f>
        <v>1.3005</v>
      </c>
      <c r="G149" s="170">
        <f>表2_36716262930381020[[#This Row],[累计净值]]/$B$21-1</f>
        <v>0.31204600484261502</v>
      </c>
    </row>
    <row r="150" spans="1:8" x14ac:dyDescent="0.2">
      <c r="A150" s="161">
        <v>43971</v>
      </c>
      <c r="B150" s="162">
        <v>1.2948</v>
      </c>
      <c r="C150" s="171">
        <f t="shared" si="6"/>
        <v>-5.7000000000000384E-3</v>
      </c>
      <c r="D150" s="168">
        <f t="shared" si="7"/>
        <v>-5.7000000000000384E-3</v>
      </c>
      <c r="E150" s="168">
        <f ca="1">IF(表2_36716262930381020[[#This Row],[累计净值]]/MAX(INDIRECT("B21:B" &amp; ROW()))-1&lt;E149,表2_36716262930381020[[#This Row],[累计净值]]/MAX(INDIRECT("B21:B" &amp; ROW()))-1,E149)</f>
        <v>-4.1060514762847444E-2</v>
      </c>
      <c r="F150" s="169">
        <f>表2_36716262930381020[[#This Row],[累计净值]]</f>
        <v>1.2948</v>
      </c>
      <c r="G150" s="170">
        <f>表2_36716262930381020[[#This Row],[累计净值]]/$B$21-1</f>
        <v>0.30629539951573848</v>
      </c>
    </row>
    <row r="151" spans="1:8" x14ac:dyDescent="0.2">
      <c r="A151" s="161">
        <v>43972</v>
      </c>
      <c r="B151" s="162">
        <v>1.2928999999999999</v>
      </c>
      <c r="C151" s="171">
        <f t="shared" si="6"/>
        <v>-1.9000000000000128E-3</v>
      </c>
      <c r="D151" s="168">
        <f t="shared" si="7"/>
        <v>-1.9000000000000128E-3</v>
      </c>
      <c r="E151" s="168">
        <f ca="1">IF(表2_36716262930381020[[#This Row],[累计净值]]/MAX(INDIRECT("B21:B" &amp; ROW()))-1&lt;E150,表2_36716262930381020[[#This Row],[累计净值]]/MAX(INDIRECT("B21:B" &amp; ROW()))-1,E150)</f>
        <v>-4.1060514762847444E-2</v>
      </c>
      <c r="F151" s="169">
        <f>表2_36716262930381020[[#This Row],[累计净值]]</f>
        <v>1.2928999999999999</v>
      </c>
      <c r="G151" s="170">
        <f>表2_36716262930381020[[#This Row],[累计净值]]/$B$21-1</f>
        <v>0.30437853107344637</v>
      </c>
    </row>
    <row r="152" spans="1:8" x14ac:dyDescent="0.2">
      <c r="A152" s="161">
        <v>43973</v>
      </c>
      <c r="B152" s="162">
        <v>1.2968999999999999</v>
      </c>
      <c r="C152" s="171">
        <f t="shared" si="6"/>
        <v>4.0000000000000036E-3</v>
      </c>
      <c r="D152" s="168" t="str">
        <f t="shared" si="7"/>
        <v>/</v>
      </c>
      <c r="E152" s="168">
        <f ca="1">IF(表2_36716262930381020[[#This Row],[累计净值]]/MAX(INDIRECT("B21:B" &amp; ROW()))-1&lt;E151,表2_36716262930381020[[#This Row],[累计净值]]/MAX(INDIRECT("B21:B" &amp; ROW()))-1,E151)</f>
        <v>-4.1060514762847444E-2</v>
      </c>
      <c r="F152" s="169">
        <f>表2_36716262930381020[[#This Row],[累计净值]]</f>
        <v>1.2968999999999999</v>
      </c>
      <c r="G152" s="170">
        <f>表2_36716262930381020[[#This Row],[累计净值]]/$B$21-1</f>
        <v>0.30841404358353519</v>
      </c>
    </row>
    <row r="153" spans="1:8" x14ac:dyDescent="0.2">
      <c r="A153" s="161">
        <v>43976</v>
      </c>
      <c r="B153" s="162">
        <v>1.3004</v>
      </c>
      <c r="C153" s="171">
        <f t="shared" si="6"/>
        <v>3.5000000000000586E-3</v>
      </c>
      <c r="D153" s="168" t="str">
        <f t="shared" si="7"/>
        <v>/</v>
      </c>
      <c r="E153" s="168">
        <f ca="1">IF(表2_36716262930381020[[#This Row],[累计净值]]/MAX(INDIRECT("B21:B" &amp; ROW()))-1&lt;E152,表2_36716262930381020[[#This Row],[累计净值]]/MAX(INDIRECT("B21:B" &amp; ROW()))-1,E152)</f>
        <v>-4.1060514762847444E-2</v>
      </c>
      <c r="F153" s="169">
        <f>表2_36716262930381020[[#This Row],[累计净值]]</f>
        <v>1.3004</v>
      </c>
      <c r="G153" s="170">
        <f>表2_36716262930381020[[#This Row],[累计净值]]/$B$21-1</f>
        <v>0.31194511702986283</v>
      </c>
    </row>
    <row r="154" spans="1:8" x14ac:dyDescent="0.2">
      <c r="A154" s="161">
        <v>43977</v>
      </c>
      <c r="B154" s="162">
        <v>1.2937000000000001</v>
      </c>
      <c r="C154" s="171">
        <f t="shared" si="6"/>
        <v>-6.6999999999999282E-3</v>
      </c>
      <c r="D154" s="168">
        <f t="shared" si="7"/>
        <v>-6.6999999999999282E-3</v>
      </c>
      <c r="E154" s="168">
        <f ca="1">IF(表2_36716262930381020[[#This Row],[累计净值]]/MAX(INDIRECT("B21:B" &amp; ROW()))-1&lt;E153,表2_36716262930381020[[#This Row],[累计净值]]/MAX(INDIRECT("B21:B" &amp; ROW()))-1,E153)</f>
        <v>-4.1060514762847444E-2</v>
      </c>
      <c r="F154" s="169">
        <f>表2_36716262930381020[[#This Row],[累计净值]]</f>
        <v>1.2937000000000001</v>
      </c>
      <c r="G154" s="170">
        <f>表2_36716262930381020[[#This Row],[累计净值]]/$B$21-1</f>
        <v>0.30518563357546413</v>
      </c>
    </row>
    <row r="155" spans="1:8" x14ac:dyDescent="0.2">
      <c r="A155" s="161">
        <v>43978</v>
      </c>
      <c r="B155" s="162">
        <v>1.2790999999999999</v>
      </c>
      <c r="C155" s="171">
        <f t="shared" si="6"/>
        <v>-1.4600000000000168E-2</v>
      </c>
      <c r="D155" s="168">
        <f t="shared" si="7"/>
        <v>-1.4600000000000168E-2</v>
      </c>
      <c r="E155" s="168">
        <f ca="1">IF(表2_36716262930381020[[#This Row],[累计净值]]/MAX(INDIRECT("B21:B" &amp; ROW()))-1&lt;E154,表2_36716262930381020[[#This Row],[累计净值]]/MAX(INDIRECT("B21:B" &amp; ROW()))-1,E154)</f>
        <v>-4.1060514762847444E-2</v>
      </c>
      <c r="F155" s="169">
        <f>表2_36716262930381020[[#This Row],[累计净值]]</f>
        <v>1.2790999999999999</v>
      </c>
      <c r="G155" s="170">
        <f>表2_36716262930381020[[#This Row],[累计净值]]/$B$21-1</f>
        <v>0.29045601291363998</v>
      </c>
    </row>
    <row r="156" spans="1:8" x14ac:dyDescent="0.2">
      <c r="A156" s="173">
        <v>43979</v>
      </c>
      <c r="B156" s="174">
        <v>1.2830999999999999</v>
      </c>
      <c r="C156" s="175">
        <f t="shared" si="6"/>
        <v>4.0000000000000036E-3</v>
      </c>
      <c r="D156" s="164" t="str">
        <f t="shared" si="7"/>
        <v>/</v>
      </c>
      <c r="E156" s="164">
        <f ca="1">IF(表2_36716262930381020[[#This Row],[累计净值]]/MAX(INDIRECT("B21:B" &amp; ROW()))-1&lt;E155,表2_36716262930381020[[#This Row],[累计净值]]/MAX(INDIRECT("B21:B" &amp; ROW()))-1,E155)</f>
        <v>-4.1060514762847444E-2</v>
      </c>
      <c r="F156" s="165">
        <f>表2_36716262930381020[[#This Row],[累计净值]]</f>
        <v>1.2830999999999999</v>
      </c>
      <c r="G156" s="184">
        <f>表2_36716262930381020[[#This Row],[累计净值]]/$B$21-1</f>
        <v>0.29449152542372881</v>
      </c>
      <c r="H156" s="185" t="s">
        <v>30</v>
      </c>
    </row>
    <row r="157" spans="1:8" x14ac:dyDescent="0.2">
      <c r="A157" s="161">
        <v>43980</v>
      </c>
      <c r="B157" s="162">
        <v>1.2912999999999999</v>
      </c>
      <c r="C157" s="171">
        <f t="shared" si="6"/>
        <v>8.1999999999999851E-3</v>
      </c>
      <c r="D157" s="168" t="str">
        <f t="shared" si="7"/>
        <v>/</v>
      </c>
      <c r="E157" s="168">
        <f ca="1">IF(表2_36716262930381020[[#This Row],[累计净值]]/MAX(INDIRECT("B21:B" &amp; ROW()))-1&lt;E156,表2_36716262930381020[[#This Row],[累计净值]]/MAX(INDIRECT("B21:B" &amp; ROW()))-1,E156)</f>
        <v>-4.1060514762847444E-2</v>
      </c>
      <c r="F157" s="169">
        <f>表2_36716262930381020[[#This Row],[累计净值]]</f>
        <v>1.2912999999999999</v>
      </c>
      <c r="G157" s="170">
        <f>表2_36716262930381020[[#This Row],[累计净值]]/$B$21-1</f>
        <v>0.30276432606941084</v>
      </c>
      <c r="H157" s="170">
        <f>表2_36716262930381020[[#This Row],[累计净值]]/$B$156-1</f>
        <v>6.3907723482190537E-3</v>
      </c>
    </row>
    <row r="158" spans="1:8" x14ac:dyDescent="0.2">
      <c r="A158" s="161">
        <v>43983</v>
      </c>
      <c r="B158" s="162">
        <v>1.3016000000000001</v>
      </c>
      <c r="C158" s="171">
        <f t="shared" si="6"/>
        <v>1.0300000000000198E-2</v>
      </c>
      <c r="D158" s="168" t="str">
        <f t="shared" si="7"/>
        <v>/</v>
      </c>
      <c r="E158" s="168">
        <f ca="1">IF(表2_36716262930381020[[#This Row],[累计净值]]/MAX(INDIRECT("B21:B" &amp; ROW()))-1&lt;E157,表2_36716262930381020[[#This Row],[累计净值]]/MAX(INDIRECT("B21:B" &amp; ROW()))-1,E157)</f>
        <v>-4.1060514762847444E-2</v>
      </c>
      <c r="F158" s="169">
        <f>表2_36716262930381020[[#This Row],[累计净值]]</f>
        <v>1.3016000000000001</v>
      </c>
      <c r="G158" s="170">
        <f>表2_36716262930381020[[#This Row],[累计净值]]/$B$21-1</f>
        <v>0.31315577078288959</v>
      </c>
      <c r="H158" s="170">
        <f>表2_36716262930381020[[#This Row],[累计净值]]/$B$156-1</f>
        <v>1.4418205907567705E-2</v>
      </c>
    </row>
    <row r="159" spans="1:8" x14ac:dyDescent="0.2">
      <c r="A159" s="161">
        <v>43984</v>
      </c>
      <c r="B159" s="162">
        <v>1.3066</v>
      </c>
      <c r="C159" s="171">
        <f t="shared" si="6"/>
        <v>4.9999999999998934E-3</v>
      </c>
      <c r="D159" s="168" t="str">
        <f t="shared" si="7"/>
        <v>/</v>
      </c>
      <c r="E159" s="168">
        <f ca="1">IF(表2_36716262930381020[[#This Row],[累计净值]]/MAX(INDIRECT("B21:B" &amp; ROW()))-1&lt;E158,表2_36716262930381020[[#This Row],[累计净值]]/MAX(INDIRECT("B21:B" &amp; ROW()))-1,E158)</f>
        <v>-4.1060514762847444E-2</v>
      </c>
      <c r="F159" s="169">
        <f>表2_36716262930381020[[#This Row],[累计净值]]</f>
        <v>1.3066</v>
      </c>
      <c r="G159" s="170">
        <f>表2_36716262930381020[[#This Row],[累计净值]]/$B$21-1</f>
        <v>0.31820016142050034</v>
      </c>
      <c r="H159" s="170">
        <f>表2_36716262930381020[[#This Row],[累计净值]]/$B$156-1</f>
        <v>1.8315018315018472E-2</v>
      </c>
    </row>
    <row r="160" spans="1:8" x14ac:dyDescent="0.2">
      <c r="A160" s="161">
        <v>43985</v>
      </c>
      <c r="B160" s="162">
        <v>1.31</v>
      </c>
      <c r="C160" s="171">
        <f t="shared" si="6"/>
        <v>3.4000000000000696E-3</v>
      </c>
      <c r="D160" s="168" t="str">
        <f t="shared" si="7"/>
        <v>/</v>
      </c>
      <c r="E160" s="168">
        <f ca="1">IF(表2_36716262930381020[[#This Row],[累计净值]]/MAX(INDIRECT("B21:B" &amp; ROW()))-1&lt;E159,表2_36716262930381020[[#This Row],[累计净值]]/MAX(INDIRECT("B21:B" &amp; ROW()))-1,E159)</f>
        <v>-4.1060514762847444E-2</v>
      </c>
      <c r="F160" s="169">
        <f>表2_36716262930381020[[#This Row],[累计净值]]</f>
        <v>1.31</v>
      </c>
      <c r="G160" s="170">
        <f>表2_36716262930381020[[#This Row],[累计净值]]/$B$21-1</f>
        <v>0.321630347054076</v>
      </c>
      <c r="H160" s="170">
        <f>表2_36716262930381020[[#This Row],[累计净值]]/$B$156-1</f>
        <v>2.0964850752084985E-2</v>
      </c>
    </row>
    <row r="161" spans="1:8" x14ac:dyDescent="0.2">
      <c r="A161" s="161">
        <v>43986</v>
      </c>
      <c r="B161" s="162">
        <v>1.3069999999999999</v>
      </c>
      <c r="C161" s="171">
        <f t="shared" si="6"/>
        <v>-3.0000000000001137E-3</v>
      </c>
      <c r="D161" s="168">
        <f t="shared" si="7"/>
        <v>-3.0000000000001137E-3</v>
      </c>
      <c r="E161" s="168">
        <f ca="1">IF(表2_36716262930381020[[#This Row],[累计净值]]/MAX(INDIRECT("B21:B" &amp; ROW()))-1&lt;E160,表2_36716262930381020[[#This Row],[累计净值]]/MAX(INDIRECT("B21:B" &amp; ROW()))-1,E160)</f>
        <v>-4.1060514762847444E-2</v>
      </c>
      <c r="F161" s="169">
        <f>表2_36716262930381020[[#This Row],[累计净值]]</f>
        <v>1.3069999999999999</v>
      </c>
      <c r="G161" s="170">
        <f>表2_36716262930381020[[#This Row],[累计净值]]/$B$21-1</f>
        <v>0.31860371267150933</v>
      </c>
      <c r="H161" s="170">
        <f>表2_36716262930381020[[#This Row],[累计净值]]/$B$156-1</f>
        <v>1.862676330761448E-2</v>
      </c>
    </row>
    <row r="162" spans="1:8" x14ac:dyDescent="0.2">
      <c r="A162" s="161">
        <v>43987</v>
      </c>
      <c r="B162" s="162">
        <v>1.3031999999999999</v>
      </c>
      <c r="C162" s="171">
        <f t="shared" si="6"/>
        <v>-3.8000000000000256E-3</v>
      </c>
      <c r="D162" s="168">
        <f t="shared" si="7"/>
        <v>-3.8000000000000256E-3</v>
      </c>
      <c r="E162" s="168">
        <f ca="1">IF(表2_36716262930381020[[#This Row],[累计净值]]/MAX(INDIRECT("B21:B" &amp; ROW()))-1&lt;E161,表2_36716262930381020[[#This Row],[累计净值]]/MAX(INDIRECT("B21:B" &amp; ROW()))-1,E161)</f>
        <v>-4.1060514762847444E-2</v>
      </c>
      <c r="F162" s="169">
        <f>表2_36716262930381020[[#This Row],[累计净值]]</f>
        <v>1.3031999999999999</v>
      </c>
      <c r="G162" s="170">
        <f>表2_36716262930381020[[#This Row],[累计净值]]/$B$21-1</f>
        <v>0.31476997578692489</v>
      </c>
      <c r="H162" s="170">
        <f>表2_36716262930381020[[#This Row],[累计净值]]/$B$156-1</f>
        <v>1.5665185877951737E-2</v>
      </c>
    </row>
    <row r="163" spans="1:8" x14ac:dyDescent="0.2">
      <c r="A163" s="161">
        <v>43990</v>
      </c>
      <c r="B163" s="162">
        <v>1.3231999999999999</v>
      </c>
      <c r="C163" s="171">
        <f t="shared" si="6"/>
        <v>2.0000000000000018E-2</v>
      </c>
      <c r="D163" s="168" t="str">
        <f t="shared" si="7"/>
        <v>/</v>
      </c>
      <c r="E163" s="168">
        <f ca="1">IF(表2_36716262930381020[[#This Row],[累计净值]]/MAX(INDIRECT("B21:B" &amp; ROW()))-1&lt;E162,表2_36716262930381020[[#This Row],[累计净值]]/MAX(INDIRECT("B21:B" &amp; ROW()))-1,E162)</f>
        <v>-4.1060514762847444E-2</v>
      </c>
      <c r="F163" s="169">
        <f>表2_36716262930381020[[#This Row],[累计净值]]</f>
        <v>1.3231999999999999</v>
      </c>
      <c r="G163" s="170">
        <f>表2_36716262930381020[[#This Row],[累计净值]]/$B$21-1</f>
        <v>0.33494753833736879</v>
      </c>
      <c r="H163" s="170">
        <f>表2_36716262930381020[[#This Row],[累计净值]]/$B$156-1</f>
        <v>3.1252435507754583E-2</v>
      </c>
    </row>
    <row r="164" spans="1:8" x14ac:dyDescent="0.2">
      <c r="A164" s="161">
        <v>43991</v>
      </c>
      <c r="B164" s="162">
        <v>1.3263</v>
      </c>
      <c r="C164" s="171">
        <f t="shared" si="6"/>
        <v>3.1000000000001027E-3</v>
      </c>
      <c r="D164" s="168" t="str">
        <f t="shared" si="7"/>
        <v>/</v>
      </c>
      <c r="E164" s="168">
        <f ca="1">IF(表2_36716262930381020[[#This Row],[累计净值]]/MAX(INDIRECT("B21:B" &amp; ROW()))-1&lt;E163,表2_36716262930381020[[#This Row],[累计净值]]/MAX(INDIRECT("B21:B" &amp; ROW()))-1,E163)</f>
        <v>-4.1060514762847444E-2</v>
      </c>
      <c r="F164" s="169">
        <f>表2_36716262930381020[[#This Row],[累计净值]]</f>
        <v>1.3263</v>
      </c>
      <c r="G164" s="170">
        <f>表2_36716262930381020[[#This Row],[累计净值]]/$B$21-1</f>
        <v>0.33807506053268765</v>
      </c>
      <c r="H164" s="170">
        <f>表2_36716262930381020[[#This Row],[累计净值]]/$B$156-1</f>
        <v>3.3668459200374201E-2</v>
      </c>
    </row>
    <row r="165" spans="1:8" x14ac:dyDescent="0.2">
      <c r="A165" s="161">
        <v>43992</v>
      </c>
      <c r="B165" s="162">
        <v>1.3293999999999999</v>
      </c>
      <c r="C165" s="171">
        <f t="shared" ref="C165:C170" si="8">IFERROR(B165-B164,0)</f>
        <v>3.0999999999998806E-3</v>
      </c>
      <c r="D165" s="168" t="str">
        <f t="shared" ref="D165:D170" si="9">IF(C165&lt;0,C165,"/")</f>
        <v>/</v>
      </c>
      <c r="E165" s="168">
        <f ca="1">IF(表2_36716262930381020[[#This Row],[累计净值]]/MAX(INDIRECT("B21:B" &amp; ROW()))-1&lt;E164,表2_36716262930381020[[#This Row],[累计净值]]/MAX(INDIRECT("B21:B" &amp; ROW()))-1,E164)</f>
        <v>-4.1060514762847444E-2</v>
      </c>
      <c r="F165" s="169">
        <f>表2_36716262930381020[[#This Row],[累计净值]]</f>
        <v>1.3293999999999999</v>
      </c>
      <c r="G165" s="170">
        <f>表2_36716262930381020[[#This Row],[累计净值]]/$B$21-1</f>
        <v>0.34120258272800652</v>
      </c>
      <c r="H165" s="170">
        <f>表2_36716262930381020[[#This Row],[累计净值]]/$B$156-1</f>
        <v>3.6084482892993597E-2</v>
      </c>
    </row>
    <row r="166" spans="1:8" x14ac:dyDescent="0.2">
      <c r="A166" s="161">
        <v>43993</v>
      </c>
      <c r="B166" s="162">
        <v>1.3273999999999999</v>
      </c>
      <c r="C166" s="171">
        <f t="shared" si="8"/>
        <v>-2.0000000000000018E-3</v>
      </c>
      <c r="D166" s="168">
        <f t="shared" si="9"/>
        <v>-2.0000000000000018E-3</v>
      </c>
      <c r="E166" s="168">
        <f ca="1">IF(表2_36716262930381020[[#This Row],[累计净值]]/MAX(INDIRECT("B21:B" &amp; ROW()))-1&lt;E165,表2_36716262930381020[[#This Row],[累计净值]]/MAX(INDIRECT("B21:B" &amp; ROW()))-1,E165)</f>
        <v>-4.1060514762847444E-2</v>
      </c>
      <c r="F166" s="169">
        <f>表2_36716262930381020[[#This Row],[累计净值]]</f>
        <v>1.3273999999999999</v>
      </c>
      <c r="G166" s="170">
        <f>表2_36716262930381020[[#This Row],[累计净值]]/$B$21-1</f>
        <v>0.339184826472962</v>
      </c>
      <c r="H166" s="170">
        <f>表2_36716262930381020[[#This Row],[累计净值]]/$B$156-1</f>
        <v>3.4525757930013334E-2</v>
      </c>
    </row>
    <row r="167" spans="1:8" x14ac:dyDescent="0.2">
      <c r="A167" s="161">
        <v>43994</v>
      </c>
      <c r="B167" s="162">
        <v>1.3252999999999999</v>
      </c>
      <c r="C167" s="171">
        <f t="shared" si="8"/>
        <v>-2.0999999999999908E-3</v>
      </c>
      <c r="D167" s="168">
        <f t="shared" si="9"/>
        <v>-2.0999999999999908E-3</v>
      </c>
      <c r="E167" s="168">
        <f ca="1">IF(表2_36716262930381020[[#This Row],[累计净值]]/MAX(INDIRECT("B21:B" &amp; ROW()))-1&lt;E166,表2_36716262930381020[[#This Row],[累计净值]]/MAX(INDIRECT("B21:B" &amp; ROW()))-1,E166)</f>
        <v>-4.1060514762847444E-2</v>
      </c>
      <c r="F167" s="169">
        <f>表2_36716262930381020[[#This Row],[累计净值]]</f>
        <v>1.3252999999999999</v>
      </c>
      <c r="G167" s="170">
        <f>表2_36716262930381020[[#This Row],[累计净值]]/$B$21-1</f>
        <v>0.3370661824051655</v>
      </c>
      <c r="H167" s="170">
        <f>表2_36716262930381020[[#This Row],[累计净值]]/$B$156-1</f>
        <v>3.2889096718883959E-2</v>
      </c>
    </row>
    <row r="168" spans="1:8" x14ac:dyDescent="0.2">
      <c r="A168" s="161">
        <v>43997</v>
      </c>
      <c r="B168" s="162">
        <v>1.3182</v>
      </c>
      <c r="C168" s="171">
        <f t="shared" si="8"/>
        <v>-7.0999999999998842E-3</v>
      </c>
      <c r="D168" s="168">
        <f t="shared" si="9"/>
        <v>-7.0999999999998842E-3</v>
      </c>
      <c r="E168" s="168">
        <f ca="1">IF(表2_36716262930381020[[#This Row],[累计净值]]/MAX(INDIRECT("B21:B" &amp; ROW()))-1&lt;E167,表2_36716262930381020[[#This Row],[累计净值]]/MAX(INDIRECT("B21:B" &amp; ROW()))-1,E167)</f>
        <v>-4.1060514762847444E-2</v>
      </c>
      <c r="F168" s="169">
        <f>表2_36716262930381020[[#This Row],[累计净值]]</f>
        <v>1.3182</v>
      </c>
      <c r="G168" s="170">
        <f>表2_36716262930381020[[#This Row],[累计净值]]/$B$21-1</f>
        <v>0.32990314769975804</v>
      </c>
      <c r="H168" s="170">
        <f>表2_36716262930381020[[#This Row],[累计净值]]/$B$156-1</f>
        <v>2.7355623100304038E-2</v>
      </c>
    </row>
    <row r="169" spans="1:8" x14ac:dyDescent="0.2">
      <c r="A169" s="161">
        <v>43998</v>
      </c>
      <c r="B169" s="162">
        <v>1.3293999999999999</v>
      </c>
      <c r="C169" s="171">
        <f t="shared" si="8"/>
        <v>1.1199999999999877E-2</v>
      </c>
      <c r="D169" s="168" t="str">
        <f t="shared" si="9"/>
        <v>/</v>
      </c>
      <c r="E169" s="168">
        <f ca="1">IF(表2_36716262930381020[[#This Row],[累计净值]]/MAX(INDIRECT("B21:B" &amp; ROW()))-1&lt;E168,表2_36716262930381020[[#This Row],[累计净值]]/MAX(INDIRECT("B21:B" &amp; ROW()))-1,E168)</f>
        <v>-4.1060514762847444E-2</v>
      </c>
      <c r="F169" s="169">
        <f>表2_36716262930381020[[#This Row],[累计净值]]</f>
        <v>1.3293999999999999</v>
      </c>
      <c r="G169" s="170">
        <f>表2_36716262930381020[[#This Row],[累计净值]]/$B$21-1</f>
        <v>0.34120258272800652</v>
      </c>
      <c r="H169" s="170">
        <f>表2_36716262930381020[[#This Row],[累计净值]]/$B$156-1</f>
        <v>3.6084482892993597E-2</v>
      </c>
    </row>
    <row r="170" spans="1:8" x14ac:dyDescent="0.2">
      <c r="A170" s="161">
        <v>43999</v>
      </c>
      <c r="B170" s="178">
        <v>1.3310999999999999</v>
      </c>
      <c r="C170" s="171">
        <f t="shared" si="8"/>
        <v>1.7000000000000348E-3</v>
      </c>
      <c r="D170" s="168" t="str">
        <f t="shared" si="9"/>
        <v>/</v>
      </c>
      <c r="E170" s="168">
        <f ca="1">IF(表2_36716262930381020[[#This Row],[累计净值]]/MAX(INDIRECT("B21:B" &amp; ROW()))-1&lt;E169,表2_36716262930381020[[#This Row],[累计净值]]/MAX(INDIRECT("B21:B" &amp; ROW()))-1,E169)</f>
        <v>-4.1060514762847444E-2</v>
      </c>
      <c r="F170" s="169">
        <f>表2_36716262930381020[[#This Row],[累计净值]]</f>
        <v>1.3310999999999999</v>
      </c>
      <c r="G170" s="170">
        <f>表2_36716262930381020[[#This Row],[累计净值]]/$B$21-1</f>
        <v>0.34291767554479424</v>
      </c>
      <c r="H170" s="170">
        <f>表2_36716262930381020[[#This Row],[累计净值]]/$B$156-1</f>
        <v>3.7409399111526742E-2</v>
      </c>
    </row>
    <row r="171" spans="1:8" x14ac:dyDescent="0.2">
      <c r="A171" s="161">
        <v>44000</v>
      </c>
      <c r="B171" s="162">
        <v>1.3297000000000001</v>
      </c>
      <c r="C171" s="171">
        <f t="shared" ref="C171:C176" si="10">IFERROR(B171-B170,0)</f>
        <v>-1.3999999999998458E-3</v>
      </c>
      <c r="D171" s="168">
        <f t="shared" ref="D171:D176" si="11">IF(C171&lt;0,C171,"/")</f>
        <v>-1.3999999999998458E-3</v>
      </c>
      <c r="E171" s="168">
        <f ca="1">IF(表2_36716262930381020[[#This Row],[累计净值]]/MAX(INDIRECT("B21:B" &amp; ROW()))-1&lt;E170,表2_36716262930381020[[#This Row],[累计净值]]/MAX(INDIRECT("B21:B" &amp; ROW()))-1,E170)</f>
        <v>-4.1060514762847444E-2</v>
      </c>
      <c r="F171" s="169">
        <f>表2_36716262930381020[[#This Row],[累计净值]]</f>
        <v>1.3297000000000001</v>
      </c>
      <c r="G171" s="170">
        <f>表2_36716262930381020[[#This Row],[累计净值]]/$B$21-1</f>
        <v>0.34150524616626332</v>
      </c>
      <c r="H171" s="170">
        <f>表2_36716262930381020[[#This Row],[累计净值]]/$B$156-1</f>
        <v>3.6318291637440714E-2</v>
      </c>
    </row>
    <row r="172" spans="1:8" x14ac:dyDescent="0.2">
      <c r="A172" s="161">
        <v>44001</v>
      </c>
      <c r="B172" s="162">
        <v>1.3212999999999999</v>
      </c>
      <c r="C172" s="171">
        <f t="shared" si="10"/>
        <v>-8.4000000000001851E-3</v>
      </c>
      <c r="D172" s="168">
        <f t="shared" si="11"/>
        <v>-8.4000000000001851E-3</v>
      </c>
      <c r="E172" s="168">
        <f ca="1">IF(表2_36716262930381020[[#This Row],[累计净值]]/MAX(INDIRECT("B21:B" &amp; ROW()))-1&lt;E171,表2_36716262930381020[[#This Row],[累计净值]]/MAX(INDIRECT("B21:B" &amp; ROW()))-1,E171)</f>
        <v>-4.1060514762847444E-2</v>
      </c>
      <c r="F172" s="169">
        <f>表2_36716262930381020[[#This Row],[累计净值]]</f>
        <v>1.3212999999999999</v>
      </c>
      <c r="G172" s="170">
        <f>表2_36716262930381020[[#This Row],[累计净值]]/$B$21-1</f>
        <v>0.33303066989507668</v>
      </c>
      <c r="H172" s="170">
        <f>表2_36716262930381020[[#This Row],[累计净值]]/$B$156-1</f>
        <v>2.9771646792923434E-2</v>
      </c>
    </row>
    <row r="173" spans="1:8" x14ac:dyDescent="0.2">
      <c r="A173" s="161">
        <v>44004</v>
      </c>
      <c r="B173" s="162">
        <v>1.3126</v>
      </c>
      <c r="C173" s="171">
        <f t="shared" si="10"/>
        <v>-8.69999999999993E-3</v>
      </c>
      <c r="D173" s="168">
        <f t="shared" si="11"/>
        <v>-8.69999999999993E-3</v>
      </c>
      <c r="E173" s="168">
        <f ca="1">IF(表2_36716262930381020[[#This Row],[累计净值]]/MAX(INDIRECT("B21:B" &amp; ROW()))-1&lt;E172,表2_36716262930381020[[#This Row],[累计净值]]/MAX(INDIRECT("B21:B" &amp; ROW()))-1,E172)</f>
        <v>-4.1060514762847444E-2</v>
      </c>
      <c r="F173" s="169">
        <f>表2_36716262930381020[[#This Row],[累计净值]]</f>
        <v>1.3126</v>
      </c>
      <c r="G173" s="170">
        <f>表2_36716262930381020[[#This Row],[累计净值]]/$B$21-1</f>
        <v>0.32425343018563368</v>
      </c>
      <c r="H173" s="170">
        <f>表2_36716262930381020[[#This Row],[累计净值]]/$B$156-1</f>
        <v>2.2991193203959259E-2</v>
      </c>
    </row>
    <row r="174" spans="1:8" x14ac:dyDescent="0.2">
      <c r="A174" s="161">
        <v>44005</v>
      </c>
      <c r="B174" s="162">
        <v>1.3147</v>
      </c>
      <c r="C174" s="171">
        <f t="shared" si="10"/>
        <v>2.0999999999999908E-3</v>
      </c>
      <c r="D174" s="168" t="str">
        <f t="shared" si="11"/>
        <v>/</v>
      </c>
      <c r="E174" s="168">
        <f ca="1">IF(表2_36716262930381020[[#This Row],[累计净值]]/MAX(INDIRECT("B21:B" &amp; ROW()))-1&lt;E173,表2_36716262930381020[[#This Row],[累计净值]]/MAX(INDIRECT("B21:B" &amp; ROW()))-1,E173)</f>
        <v>-4.1060514762847444E-2</v>
      </c>
      <c r="F174" s="169">
        <f>表2_36716262930381020[[#This Row],[累计净值]]</f>
        <v>1.3147</v>
      </c>
      <c r="G174" s="170">
        <f>表2_36716262930381020[[#This Row],[累计净值]]/$B$21-1</f>
        <v>0.32637207425343018</v>
      </c>
      <c r="H174" s="170">
        <f>表2_36716262930381020[[#This Row],[累计净值]]/$B$156-1</f>
        <v>2.4627854415088413E-2</v>
      </c>
    </row>
    <row r="175" spans="1:8" x14ac:dyDescent="0.2">
      <c r="A175" s="161">
        <v>44006</v>
      </c>
      <c r="B175" s="162">
        <v>1.3123</v>
      </c>
      <c r="C175" s="171">
        <f t="shared" si="10"/>
        <v>-2.3999999999999577E-3</v>
      </c>
      <c r="D175" s="168">
        <f t="shared" si="11"/>
        <v>-2.3999999999999577E-3</v>
      </c>
      <c r="E175" s="168">
        <f ca="1">IF(表2_36716262930381020[[#This Row],[累计净值]]/MAX(INDIRECT("B21:B" &amp; ROW()))-1&lt;E174,表2_36716262930381020[[#This Row],[累计净值]]/MAX(INDIRECT("B21:B" &amp; ROW()))-1,E174)</f>
        <v>-4.1060514762847444E-2</v>
      </c>
      <c r="F175" s="169">
        <f>表2_36716262930381020[[#This Row],[累计净值]]</f>
        <v>1.3123</v>
      </c>
      <c r="G175" s="170">
        <f>表2_36716262930381020[[#This Row],[累计净值]]/$B$21-1</f>
        <v>0.32395076674737688</v>
      </c>
      <c r="H175" s="170">
        <f>表2_36716262930381020[[#This Row],[累计净值]]/$B$156-1</f>
        <v>2.2757384459512142E-2</v>
      </c>
    </row>
    <row r="176" spans="1:8" x14ac:dyDescent="0.2">
      <c r="A176" s="161">
        <v>44011</v>
      </c>
      <c r="B176" s="162">
        <v>1.3149999999999999</v>
      </c>
      <c r="C176" s="171">
        <f t="shared" si="10"/>
        <v>2.6999999999999247E-3</v>
      </c>
      <c r="D176" s="168" t="str">
        <f t="shared" si="11"/>
        <v>/</v>
      </c>
      <c r="E176" s="168">
        <f ca="1">IF(表2_36716262930381020[[#This Row],[累计净值]]/MAX(INDIRECT("B21:B" &amp; ROW()))-1&lt;E175,表2_36716262930381020[[#This Row],[累计净值]]/MAX(INDIRECT("B21:B" &amp; ROW()))-1,E175)</f>
        <v>-4.1060514762847444E-2</v>
      </c>
      <c r="F176" s="169">
        <f>表2_36716262930381020[[#This Row],[累计净值]]</f>
        <v>1.3149999999999999</v>
      </c>
      <c r="G176" s="170">
        <f>表2_36716262930381020[[#This Row],[累计净值]]/$B$21-1</f>
        <v>0.32667473769168676</v>
      </c>
      <c r="H176" s="170">
        <f>表2_36716262930381020[[#This Row],[累计净值]]/$B$156-1</f>
        <v>2.486166315953553E-2</v>
      </c>
    </row>
    <row r="177" spans="1:8" x14ac:dyDescent="0.2">
      <c r="A177" s="161">
        <v>44012</v>
      </c>
      <c r="B177" s="162">
        <v>1.3248</v>
      </c>
      <c r="C177" s="171">
        <f t="shared" ref="C177:C182" si="12">IFERROR(B177-B176,0)</f>
        <v>9.8000000000000309E-3</v>
      </c>
      <c r="D177" s="168" t="str">
        <f t="shared" ref="D177:D182" si="13">IF(C177&lt;0,C177,"/")</f>
        <v>/</v>
      </c>
      <c r="E177" s="168">
        <f ca="1">IF(表2_36716262930381020[[#This Row],[累计净值]]/MAX(INDIRECT("B21:B" &amp; ROW()))-1&lt;E176,表2_36716262930381020[[#This Row],[累计净值]]/MAX(INDIRECT("B21:B" &amp; ROW()))-1,E176)</f>
        <v>-4.1060514762847444E-2</v>
      </c>
      <c r="F177" s="169">
        <f>表2_36716262930381020[[#This Row],[累计净值]]</f>
        <v>1.3248</v>
      </c>
      <c r="G177" s="170">
        <f>表2_36716262930381020[[#This Row],[累计净值]]/$B$21-1</f>
        <v>0.33656174334140432</v>
      </c>
      <c r="H177" s="170">
        <f>表2_36716262930381020[[#This Row],[累计净值]]/$B$156-1</f>
        <v>3.2499415478138838E-2</v>
      </c>
    </row>
    <row r="178" spans="1:8" x14ac:dyDescent="0.2">
      <c r="A178" s="161">
        <v>44013</v>
      </c>
      <c r="B178" s="162">
        <v>1.3136000000000001</v>
      </c>
      <c r="C178" s="171">
        <f t="shared" si="12"/>
        <v>-1.1199999999999877E-2</v>
      </c>
      <c r="D178" s="168">
        <f t="shared" si="13"/>
        <v>-1.1199999999999877E-2</v>
      </c>
      <c r="E178" s="168">
        <f ca="1">IF(表2_36716262930381020[[#This Row],[累计净值]]/MAX(INDIRECT("B21:B" &amp; ROW()))-1&lt;E177,表2_36716262930381020[[#This Row],[累计净值]]/MAX(INDIRECT("B21:B" &amp; ROW()))-1,E177)</f>
        <v>-4.1060514762847444E-2</v>
      </c>
      <c r="F178" s="169">
        <f>表2_36716262930381020[[#This Row],[累计净值]]</f>
        <v>1.3136000000000001</v>
      </c>
      <c r="G178" s="170">
        <f>表2_36716262930381020[[#This Row],[累计净值]]/$B$21-1</f>
        <v>0.32526230831315583</v>
      </c>
      <c r="H178" s="170">
        <f>表2_36716262930381020[[#This Row],[累计净值]]/$B$156-1</f>
        <v>2.3770555685449501E-2</v>
      </c>
    </row>
    <row r="179" spans="1:8" x14ac:dyDescent="0.2">
      <c r="A179" s="161">
        <v>44014</v>
      </c>
      <c r="B179" s="162">
        <v>1.3008</v>
      </c>
      <c r="C179" s="171">
        <f t="shared" si="12"/>
        <v>-1.2800000000000145E-2</v>
      </c>
      <c r="D179" s="168">
        <f t="shared" si="13"/>
        <v>-1.2800000000000145E-2</v>
      </c>
      <c r="E179" s="168">
        <f ca="1">IF(表2_36716262930381020[[#This Row],[累计净值]]/MAX(INDIRECT("B21:B" &amp; ROW()))-1&lt;E178,表2_36716262930381020[[#This Row],[累计净值]]/MAX(INDIRECT("B21:B" &amp; ROW()))-1,E178)</f>
        <v>-4.1060514762847444E-2</v>
      </c>
      <c r="F179" s="169">
        <f>表2_36716262930381020[[#This Row],[累计净值]]</f>
        <v>1.3008</v>
      </c>
      <c r="G179" s="170">
        <f>表2_36716262930381020[[#This Row],[累计净值]]/$B$21-1</f>
        <v>0.3123486682808716</v>
      </c>
      <c r="H179" s="170">
        <f>表2_36716262930381020[[#This Row],[累计净值]]/$B$156-1</f>
        <v>1.3794715922375467E-2</v>
      </c>
    </row>
    <row r="180" spans="1:8" x14ac:dyDescent="0.2">
      <c r="A180" s="161">
        <v>44015</v>
      </c>
      <c r="B180" s="162">
        <v>1.2908999999999999</v>
      </c>
      <c r="C180" s="171">
        <f t="shared" si="12"/>
        <v>-9.9000000000000199E-3</v>
      </c>
      <c r="D180" s="168">
        <f t="shared" si="13"/>
        <v>-9.9000000000000199E-3</v>
      </c>
      <c r="E180" s="168">
        <f ca="1">IF(表2_36716262930381020[[#This Row],[累计净值]]/MAX(INDIRECT("B21:B" &amp; ROW()))-1&lt;E179,表2_36716262930381020[[#This Row],[累计净值]]/MAX(INDIRECT("B21:B" &amp; ROW()))-1,E179)</f>
        <v>-4.1060514762847444E-2</v>
      </c>
      <c r="F180" s="169">
        <f>表2_36716262930381020[[#This Row],[累计净值]]</f>
        <v>1.2908999999999999</v>
      </c>
      <c r="G180" s="170">
        <f>表2_36716262930381020[[#This Row],[累计净值]]/$B$21-1</f>
        <v>0.30236077481840185</v>
      </c>
      <c r="H180" s="170">
        <f>表2_36716262930381020[[#This Row],[累计净值]]/$B$156-1</f>
        <v>6.0790273556230456E-3</v>
      </c>
    </row>
    <row r="181" spans="1:8" x14ac:dyDescent="0.2">
      <c r="A181" s="161">
        <v>44018</v>
      </c>
      <c r="B181" s="162">
        <v>1.2722</v>
      </c>
      <c r="C181" s="171">
        <f t="shared" si="12"/>
        <v>-1.8699999999999939E-2</v>
      </c>
      <c r="D181" s="168">
        <f t="shared" si="13"/>
        <v>-1.8699999999999939E-2</v>
      </c>
      <c r="E181" s="168">
        <f ca="1">IF(表2_36716262930381020[[#This Row],[累计净值]]/MAX(INDIRECT("B21:B" &amp; ROW()))-1&lt;E180,表2_36716262930381020[[#This Row],[累计净值]]/MAX(INDIRECT("B21:B" &amp; ROW()))-1,E180)</f>
        <v>-4.4249117271429661E-2</v>
      </c>
      <c r="F181" s="169">
        <f>表2_36716262930381020[[#This Row],[累计净值]]</f>
        <v>1.2722</v>
      </c>
      <c r="G181" s="170">
        <f>表2_36716262930381020[[#This Row],[累计净值]]/$B$21-1</f>
        <v>0.2834947538337369</v>
      </c>
      <c r="H181" s="170">
        <f>表2_36716262930381020[[#This Row],[累计净值]]/$B$156-1</f>
        <v>-8.4950510482424413E-3</v>
      </c>
    </row>
    <row r="182" spans="1:8" x14ac:dyDescent="0.2">
      <c r="A182" s="161">
        <v>44019</v>
      </c>
      <c r="B182" s="162">
        <v>1.2947</v>
      </c>
      <c r="C182" s="171">
        <f t="shared" si="12"/>
        <v>2.2499999999999964E-2</v>
      </c>
      <c r="D182" s="168" t="str">
        <f t="shared" si="13"/>
        <v>/</v>
      </c>
      <c r="E182" s="168">
        <f ca="1">IF(表2_36716262930381020[[#This Row],[累计净值]]/MAX(INDIRECT("B21:B" &amp; ROW()))-1&lt;E181,表2_36716262930381020[[#This Row],[累计净值]]/MAX(INDIRECT("B21:B" &amp; ROW()))-1,E181)</f>
        <v>-4.4249117271429661E-2</v>
      </c>
      <c r="F182" s="169">
        <f>表2_36716262930381020[[#This Row],[累计净值]]</f>
        <v>1.2947</v>
      </c>
      <c r="G182" s="170">
        <f>表2_36716262930381020[[#This Row],[累计净值]]/$B$21-1</f>
        <v>0.30619451170298628</v>
      </c>
      <c r="H182" s="170">
        <f>表2_36716262930381020[[#This Row],[累计净值]]/$B$156-1</f>
        <v>9.0406047852857885E-3</v>
      </c>
    </row>
    <row r="183" spans="1:8" x14ac:dyDescent="0.2">
      <c r="A183" s="161">
        <v>44020</v>
      </c>
      <c r="B183" s="162">
        <v>1.2897000000000001</v>
      </c>
      <c r="C183" s="171">
        <f t="shared" ref="C183:C188" si="14">IFERROR(B183-B182,0)</f>
        <v>-4.9999999999998934E-3</v>
      </c>
      <c r="D183" s="168">
        <f t="shared" ref="D183:D188" si="15">IF(C183&lt;0,C183,"/")</f>
        <v>-4.9999999999998934E-3</v>
      </c>
      <c r="E183" s="168">
        <f ca="1">IF(表2_36716262930381020[[#This Row],[累计净值]]/MAX(INDIRECT("B21:B" &amp; ROW()))-1&lt;E182,表2_36716262930381020[[#This Row],[累计净值]]/MAX(INDIRECT("B21:B" &amp; ROW()))-1,E182)</f>
        <v>-4.4249117271429661E-2</v>
      </c>
      <c r="F183" s="169">
        <f>表2_36716262930381020[[#This Row],[累计净值]]</f>
        <v>1.2897000000000001</v>
      </c>
      <c r="G183" s="170">
        <f>表2_36716262930381020[[#This Row],[累计净值]]/$B$21-1</f>
        <v>0.30115012106537531</v>
      </c>
      <c r="H183" s="170">
        <f>表2_36716262930381020[[#This Row],[累计净值]]/$B$156-1</f>
        <v>5.1437923778350214E-3</v>
      </c>
    </row>
    <row r="184" spans="1:8" x14ac:dyDescent="0.2">
      <c r="A184" s="161">
        <v>44021</v>
      </c>
      <c r="B184" s="162">
        <v>1.2859</v>
      </c>
      <c r="C184" s="171">
        <f t="shared" si="14"/>
        <v>-3.8000000000000256E-3</v>
      </c>
      <c r="D184" s="168">
        <f t="shared" si="15"/>
        <v>-3.8000000000000256E-3</v>
      </c>
      <c r="E184" s="168">
        <f ca="1">IF(表2_36716262930381020[[#This Row],[累计净值]]/MAX(INDIRECT("B21:B" &amp; ROW()))-1&lt;E183,表2_36716262930381020[[#This Row],[累计净值]]/MAX(INDIRECT("B21:B" &amp; ROW()))-1,E183)</f>
        <v>-4.4249117271429661E-2</v>
      </c>
      <c r="F184" s="169">
        <f>表2_36716262930381020[[#This Row],[累计净值]]</f>
        <v>1.2859</v>
      </c>
      <c r="G184" s="170">
        <f>表2_36716262930381020[[#This Row],[累计净值]]/$B$21-1</f>
        <v>0.29731638418079109</v>
      </c>
      <c r="H184" s="170">
        <f>表2_36716262930381020[[#This Row],[累计净值]]/$B$156-1</f>
        <v>2.1822149481725006E-3</v>
      </c>
    </row>
    <row r="185" spans="1:8" x14ac:dyDescent="0.2">
      <c r="A185" s="161">
        <v>44022</v>
      </c>
      <c r="B185" s="162">
        <v>1.2865</v>
      </c>
      <c r="C185" s="171">
        <f t="shared" si="14"/>
        <v>5.9999999999993392E-4</v>
      </c>
      <c r="D185" s="168" t="str">
        <f t="shared" si="15"/>
        <v>/</v>
      </c>
      <c r="E185" s="168">
        <f ca="1">IF(表2_36716262930381020[[#This Row],[累计净值]]/MAX(INDIRECT("B21:B" &amp; ROW()))-1&lt;E184,表2_36716262930381020[[#This Row],[累计净值]]/MAX(INDIRECT("B21:B" &amp; ROW()))-1,E184)</f>
        <v>-4.4249117271429661E-2</v>
      </c>
      <c r="F185" s="169">
        <f>表2_36716262930381020[[#This Row],[累计净值]]</f>
        <v>1.2865</v>
      </c>
      <c r="G185" s="170">
        <f>表2_36716262930381020[[#This Row],[累计净值]]/$B$21-1</f>
        <v>0.29792171105730425</v>
      </c>
      <c r="H185" s="170">
        <f>表2_36716262930381020[[#This Row],[累计净值]]/$B$156-1</f>
        <v>2.6498324370665127E-3</v>
      </c>
    </row>
    <row r="186" spans="1:8" x14ac:dyDescent="0.2">
      <c r="A186" s="161">
        <v>44025</v>
      </c>
      <c r="B186" s="162">
        <v>1.3010999999999999</v>
      </c>
      <c r="C186" s="171">
        <f t="shared" si="14"/>
        <v>1.4599999999999946E-2</v>
      </c>
      <c r="D186" s="168" t="str">
        <f t="shared" si="15"/>
        <v>/</v>
      </c>
      <c r="E186" s="168">
        <f ca="1">IF(表2_36716262930381020[[#This Row],[累计净值]]/MAX(INDIRECT("B21:B" &amp; ROW()))-1&lt;E185,表2_36716262930381020[[#This Row],[累计净值]]/MAX(INDIRECT("B21:B" &amp; ROW()))-1,E185)</f>
        <v>-4.4249117271429661E-2</v>
      </c>
      <c r="F186" s="169">
        <f>表2_36716262930381020[[#This Row],[累计净值]]</f>
        <v>1.3010999999999999</v>
      </c>
      <c r="G186" s="170">
        <f>表2_36716262930381020[[#This Row],[累计净值]]/$B$21-1</f>
        <v>0.3126513317191284</v>
      </c>
      <c r="H186" s="170">
        <f>表2_36716262930381020[[#This Row],[累计净值]]/$B$156-1</f>
        <v>1.4028524666822584E-2</v>
      </c>
    </row>
    <row r="187" spans="1:8" x14ac:dyDescent="0.2">
      <c r="A187" s="161">
        <v>44026</v>
      </c>
      <c r="B187" s="162">
        <v>1.2895000000000001</v>
      </c>
      <c r="C187" s="171">
        <f t="shared" si="14"/>
        <v>-1.1599999999999833E-2</v>
      </c>
      <c r="D187" s="168">
        <f t="shared" si="15"/>
        <v>-1.1599999999999833E-2</v>
      </c>
      <c r="E187" s="168">
        <f ca="1">IF(表2_36716262930381020[[#This Row],[累计净值]]/MAX(INDIRECT("B21:B" &amp; ROW()))-1&lt;E186,表2_36716262930381020[[#This Row],[累计净值]]/MAX(INDIRECT("B21:B" &amp; ROW()))-1,E186)</f>
        <v>-4.4249117271429661E-2</v>
      </c>
      <c r="F187" s="169">
        <f>表2_36716262930381020[[#This Row],[累计净值]]</f>
        <v>1.2895000000000001</v>
      </c>
      <c r="G187" s="170">
        <f>表2_36716262930381020[[#This Row],[累计净值]]/$B$21-1</f>
        <v>0.30094834543987092</v>
      </c>
      <c r="H187" s="170">
        <f>表2_36716262930381020[[#This Row],[累计净值]]/$B$156-1</f>
        <v>4.9879198815370174E-3</v>
      </c>
    </row>
    <row r="188" spans="1:8" x14ac:dyDescent="0.2">
      <c r="A188" s="161">
        <v>44027</v>
      </c>
      <c r="B188" s="162">
        <v>1.2836000000000001</v>
      </c>
      <c r="C188" s="171">
        <f t="shared" si="14"/>
        <v>-5.9000000000000163E-3</v>
      </c>
      <c r="D188" s="168">
        <f t="shared" si="15"/>
        <v>-5.9000000000000163E-3</v>
      </c>
      <c r="E188" s="168">
        <f ca="1">IF(表2_36716262930381020[[#This Row],[累计净值]]/MAX(INDIRECT("B21:B" &amp; ROW()))-1&lt;E187,表2_36716262930381020[[#This Row],[累计净值]]/MAX(INDIRECT("B21:B" &amp; ROW()))-1,E187)</f>
        <v>-4.4249117271429661E-2</v>
      </c>
      <c r="F188" s="169">
        <f>表2_36716262930381020[[#This Row],[累计净值]]</f>
        <v>1.2836000000000001</v>
      </c>
      <c r="G188" s="170">
        <f>表2_36716262930381020[[#This Row],[累计净值]]/$B$21-1</f>
        <v>0.29499596448748999</v>
      </c>
      <c r="H188" s="170">
        <f>表2_36716262930381020[[#This Row],[累计净值]]/$B$156-1</f>
        <v>3.8968124074512112E-4</v>
      </c>
    </row>
    <row r="189" spans="1:8" x14ac:dyDescent="0.2">
      <c r="A189" s="161">
        <v>44028</v>
      </c>
      <c r="B189" s="162">
        <v>1.2652000000000001</v>
      </c>
      <c r="C189" s="171">
        <f t="shared" ref="C189:C195" si="16">IFERROR(B189-B188,0)</f>
        <v>-1.8399999999999972E-2</v>
      </c>
      <c r="D189" s="168">
        <f t="shared" ref="D189:D195" si="17">IF(C189&lt;0,C189,"/")</f>
        <v>-1.8399999999999972E-2</v>
      </c>
      <c r="E189" s="168">
        <f ca="1">IF(表2_36716262930381020[[#This Row],[累计净值]]/MAX(INDIRECT("B21:B" &amp; ROW()))-1&lt;E188,表2_36716262930381020[[#This Row],[累计净值]]/MAX(INDIRECT("B21:B" &amp; ROW()))-1,E188)</f>
        <v>-4.9507925775674089E-2</v>
      </c>
      <c r="F189" s="169">
        <f>表2_36716262930381020[[#This Row],[累计净值]]</f>
        <v>1.2652000000000001</v>
      </c>
      <c r="G189" s="170">
        <f>表2_36716262930381020[[#This Row],[累计净值]]/$B$21-1</f>
        <v>0.27643260694108163</v>
      </c>
      <c r="H189" s="170">
        <f>表2_36716262930381020[[#This Row],[累计净值]]/$B$156-1</f>
        <v>-1.395058841867336E-2</v>
      </c>
    </row>
    <row r="190" spans="1:8" x14ac:dyDescent="0.2">
      <c r="A190" s="161">
        <v>44029</v>
      </c>
      <c r="B190" s="162">
        <v>1.2776000000000001</v>
      </c>
      <c r="C190" s="171">
        <f t="shared" si="16"/>
        <v>1.2399999999999967E-2</v>
      </c>
      <c r="D190" s="168" t="str">
        <f t="shared" si="17"/>
        <v>/</v>
      </c>
      <c r="E190" s="168">
        <f ca="1">IF(表2_36716262930381020[[#This Row],[累计净值]]/MAX(INDIRECT("B21:B" &amp; ROW()))-1&lt;E189,表2_36716262930381020[[#This Row],[累计净值]]/MAX(INDIRECT("B21:B" &amp; ROW()))-1,E189)</f>
        <v>-4.9507925775674089E-2</v>
      </c>
      <c r="F190" s="169">
        <f>表2_36716262930381020[[#This Row],[累计净值]]</f>
        <v>1.2776000000000001</v>
      </c>
      <c r="G190" s="170">
        <f>表2_36716262930381020[[#This Row],[累计净值]]/$B$21-1</f>
        <v>0.28894269572235687</v>
      </c>
      <c r="H190" s="170">
        <f>表2_36716262930381020[[#This Row],[累计净值]]/$B$156-1</f>
        <v>-4.2864936481956661E-3</v>
      </c>
    </row>
    <row r="191" spans="1:8" x14ac:dyDescent="0.2">
      <c r="A191" s="161">
        <v>44032</v>
      </c>
      <c r="B191" s="162">
        <v>1.2845</v>
      </c>
      <c r="C191" s="171">
        <f t="shared" si="16"/>
        <v>6.8999999999999062E-3</v>
      </c>
      <c r="D191" s="168" t="str">
        <f t="shared" si="17"/>
        <v>/</v>
      </c>
      <c r="E191" s="168">
        <f ca="1">IF(表2_36716262930381020[[#This Row],[累计净值]]/MAX(INDIRECT("B21:B" &amp; ROW()))-1&lt;E190,表2_36716262930381020[[#This Row],[累计净值]]/MAX(INDIRECT("B21:B" &amp; ROW()))-1,E190)</f>
        <v>-4.9507925775674089E-2</v>
      </c>
      <c r="F191" s="169">
        <f>表2_36716262930381020[[#This Row],[累计净值]]</f>
        <v>1.2845</v>
      </c>
      <c r="G191" s="170">
        <f>表2_36716262930381020[[#This Row],[累计净值]]/$B$21-1</f>
        <v>0.29590395480225995</v>
      </c>
      <c r="H191" s="170">
        <f>表2_36716262930381020[[#This Row],[累计净值]]/$B$156-1</f>
        <v>1.0911074740862503E-3</v>
      </c>
    </row>
    <row r="192" spans="1:8" x14ac:dyDescent="0.2">
      <c r="A192" s="161">
        <v>44033</v>
      </c>
      <c r="B192" s="162">
        <v>1.2929999999999999</v>
      </c>
      <c r="C192" s="171">
        <f t="shared" si="16"/>
        <v>8.499999999999952E-3</v>
      </c>
      <c r="D192" s="168" t="str">
        <f t="shared" si="17"/>
        <v>/</v>
      </c>
      <c r="E192" s="168">
        <f ca="1">IF(表2_36716262930381020[[#This Row],[累计净值]]/MAX(INDIRECT("B21:B" &amp; ROW()))-1&lt;E191,表2_36716262930381020[[#This Row],[累计净值]]/MAX(INDIRECT("B21:B" &amp; ROW()))-1,E191)</f>
        <v>-4.9507925775674089E-2</v>
      </c>
      <c r="F192" s="169">
        <f>表2_36716262930381020[[#This Row],[累计净值]]</f>
        <v>1.2929999999999999</v>
      </c>
      <c r="G192" s="170">
        <f>表2_36716262930381020[[#This Row],[累计净值]]/$B$21-1</f>
        <v>0.30447941888619856</v>
      </c>
      <c r="H192" s="170">
        <f>表2_36716262930381020[[#This Row],[累计净值]]/$B$156-1</f>
        <v>7.7156885667524211E-3</v>
      </c>
    </row>
    <row r="193" spans="1:8" x14ac:dyDescent="0.2">
      <c r="A193" s="161">
        <v>44034</v>
      </c>
      <c r="B193" s="162">
        <v>1.2879</v>
      </c>
      <c r="C193" s="171">
        <f t="shared" si="16"/>
        <v>-5.0999999999998824E-3</v>
      </c>
      <c r="D193" s="168">
        <f t="shared" si="17"/>
        <v>-5.0999999999998824E-3</v>
      </c>
      <c r="E193" s="168">
        <f ca="1">IF(表2_36716262930381020[[#This Row],[累计净值]]/MAX(INDIRECT("B21:B" &amp; ROW()))-1&lt;E192,表2_36716262930381020[[#This Row],[累计净值]]/MAX(INDIRECT("B21:B" &amp; ROW()))-1,E192)</f>
        <v>-4.9507925775674089E-2</v>
      </c>
      <c r="F193" s="169">
        <f>表2_36716262930381020[[#This Row],[累计净值]]</f>
        <v>1.2879</v>
      </c>
      <c r="G193" s="170">
        <f>表2_36716262930381020[[#This Row],[累计净值]]/$B$21-1</f>
        <v>0.29933414043583539</v>
      </c>
      <c r="H193" s="170">
        <f>表2_36716262930381020[[#This Row],[累计净值]]/$B$156-1</f>
        <v>3.740939911152763E-3</v>
      </c>
    </row>
    <row r="194" spans="1:8" x14ac:dyDescent="0.2">
      <c r="A194" s="161">
        <v>44035</v>
      </c>
      <c r="B194" s="162">
        <v>1.2748999999999999</v>
      </c>
      <c r="C194" s="171">
        <f t="shared" si="16"/>
        <v>-1.3000000000000123E-2</v>
      </c>
      <c r="D194" s="168">
        <f t="shared" si="17"/>
        <v>-1.3000000000000123E-2</v>
      </c>
      <c r="E194" s="168">
        <f ca="1">IF(表2_36716262930381020[[#This Row],[累计净值]]/MAX(INDIRECT("B21:B" &amp; ROW()))-1&lt;E193,表2_36716262930381020[[#This Row],[累计净值]]/MAX(INDIRECT("B21:B" &amp; ROW()))-1,E193)</f>
        <v>-4.9507925775674089E-2</v>
      </c>
      <c r="F194" s="169">
        <f>表2_36716262930381020[[#This Row],[累计净值]]</f>
        <v>1.2748999999999999</v>
      </c>
      <c r="G194" s="170">
        <f>表2_36716262930381020[[#This Row],[累计净值]]/$B$21-1</f>
        <v>0.28621872477804677</v>
      </c>
      <c r="H194" s="170">
        <f>表2_36716262930381020[[#This Row],[累计净值]]/$B$156-1</f>
        <v>-6.3907723482191647E-3</v>
      </c>
    </row>
    <row r="195" spans="1:8" x14ac:dyDescent="0.2">
      <c r="A195" s="161">
        <v>44036</v>
      </c>
      <c r="B195" s="162">
        <v>1.2451000000000001</v>
      </c>
      <c r="C195" s="171">
        <f t="shared" si="16"/>
        <v>-2.9799999999999827E-2</v>
      </c>
      <c r="D195" s="168">
        <f t="shared" si="17"/>
        <v>-2.9799999999999827E-2</v>
      </c>
      <c r="E195" s="168">
        <f ca="1">IF(表2_36716262930381020[[#This Row],[累计净值]]/MAX(INDIRECT("B21:B" &amp; ROW()))-1&lt;E194,表2_36716262930381020[[#This Row],[累计净值]]/MAX(INDIRECT("B21:B" &amp; ROW()))-1,E194)</f>
        <v>-6.4608218766433634E-2</v>
      </c>
      <c r="F195" s="169">
        <f>表2_36716262930381020[[#This Row],[累计净值]]</f>
        <v>1.2451000000000001</v>
      </c>
      <c r="G195" s="170">
        <f>表2_36716262930381020[[#This Row],[累计净值]]/$B$21-1</f>
        <v>0.25615415657788554</v>
      </c>
      <c r="H195" s="170">
        <f>表2_36716262930381020[[#This Row],[累计净值]]/$B$156-1</f>
        <v>-2.9615774296625208E-2</v>
      </c>
    </row>
    <row r="196" spans="1:8" x14ac:dyDescent="0.2">
      <c r="A196" s="161">
        <v>44039</v>
      </c>
      <c r="B196" s="162">
        <v>1.2484</v>
      </c>
      <c r="C196" s="171">
        <f t="shared" ref="C196:C201" si="18">IFERROR(B196-B195,0)</f>
        <v>3.2999999999998586E-3</v>
      </c>
      <c r="D196" s="168" t="str">
        <f t="shared" ref="D196:D201" si="19">IF(C196&lt;0,C196,"/")</f>
        <v>/</v>
      </c>
      <c r="E196" s="168">
        <f ca="1">IF(表2_36716262930381020[[#This Row],[累计净值]]/MAX(INDIRECT("B21:B" &amp; ROW()))-1&lt;E195,表2_36716262930381020[[#This Row],[累计净值]]/MAX(INDIRECT("B21:B" &amp; ROW()))-1,E195)</f>
        <v>-6.4608218766433634E-2</v>
      </c>
      <c r="F196" s="169">
        <f>表2_36716262930381020[[#This Row],[累计净值]]</f>
        <v>1.2484</v>
      </c>
      <c r="G196" s="170">
        <f>表2_36716262930381020[[#This Row],[累计净值]]/$B$21-1</f>
        <v>0.25948345439870857</v>
      </c>
      <c r="H196" s="170">
        <f>表2_36716262930381020[[#This Row],[累计净值]]/$B$156-1</f>
        <v>-2.7043878107707808E-2</v>
      </c>
    </row>
    <row r="197" spans="1:8" x14ac:dyDescent="0.2">
      <c r="A197" s="161">
        <v>44040</v>
      </c>
      <c r="B197" s="162">
        <v>1.2421</v>
      </c>
      <c r="C197" s="171">
        <f t="shared" si="18"/>
        <v>-6.2999999999999723E-3</v>
      </c>
      <c r="D197" s="168">
        <f t="shared" si="19"/>
        <v>-6.2999999999999723E-3</v>
      </c>
      <c r="E197" s="168">
        <f ca="1">IF(表2_36716262930381020[[#This Row],[累计净值]]/MAX(INDIRECT("B21:B" &amp; ROW()))-1&lt;E196,表2_36716262930381020[[#This Row],[累计净值]]/MAX(INDIRECT("B21:B" &amp; ROW()))-1,E196)</f>
        <v>-6.6861993839681499E-2</v>
      </c>
      <c r="F197" s="169">
        <f>表2_36716262930381020[[#This Row],[累计净值]]</f>
        <v>1.2421</v>
      </c>
      <c r="G197" s="170">
        <f>表2_36716262930381020[[#This Row],[累计净值]]/$B$21-1</f>
        <v>0.25312752219531887</v>
      </c>
      <c r="H197" s="170">
        <f>表2_36716262930381020[[#This Row],[累计净值]]/$B$156-1</f>
        <v>-3.1953861741095713E-2</v>
      </c>
    </row>
    <row r="198" spans="1:8" x14ac:dyDescent="0.2">
      <c r="A198" s="161">
        <v>44041</v>
      </c>
      <c r="B198" s="162">
        <v>1.2386999999999999</v>
      </c>
      <c r="C198" s="171">
        <f t="shared" si="18"/>
        <v>-3.4000000000000696E-3</v>
      </c>
      <c r="D198" s="168">
        <f t="shared" si="19"/>
        <v>-3.4000000000000696E-3</v>
      </c>
      <c r="E198" s="168">
        <f ca="1">IF(表2_36716262930381020[[#This Row],[累计净值]]/MAX(INDIRECT("B21:B" &amp; ROW()))-1&lt;E197,表2_36716262930381020[[#This Row],[累计净值]]/MAX(INDIRECT("B21:B" &amp; ROW()))-1,E197)</f>
        <v>-6.9416272256028866E-2</v>
      </c>
      <c r="F198" s="169">
        <f>表2_36716262930381020[[#This Row],[累计净值]]</f>
        <v>1.2386999999999999</v>
      </c>
      <c r="G198" s="170">
        <f>表2_36716262930381020[[#This Row],[累计净值]]/$B$21-1</f>
        <v>0.2496973365617432</v>
      </c>
      <c r="H198" s="170">
        <f>表2_36716262930381020[[#This Row],[累计净值]]/$B$156-1</f>
        <v>-3.4603694178162225E-2</v>
      </c>
    </row>
    <row r="199" spans="1:8" x14ac:dyDescent="0.2">
      <c r="A199" s="161">
        <v>44042</v>
      </c>
      <c r="B199" s="162">
        <v>1.2358</v>
      </c>
      <c r="C199" s="171">
        <f t="shared" si="18"/>
        <v>-2.8999999999999027E-3</v>
      </c>
      <c r="D199" s="168">
        <f t="shared" si="19"/>
        <v>-2.8999999999999027E-3</v>
      </c>
      <c r="E199" s="168">
        <f ca="1">IF(表2_36716262930381020[[#This Row],[累计净值]]/MAX(INDIRECT("B21:B" &amp; ROW()))-1&lt;E198,表2_36716262930381020[[#This Row],[累计净值]]/MAX(INDIRECT("B21:B" &amp; ROW()))-1,E198)</f>
        <v>-7.1594921493501551E-2</v>
      </c>
      <c r="F199" s="169">
        <f>表2_36716262930381020[[#This Row],[累计净值]]</f>
        <v>1.2358</v>
      </c>
      <c r="G199" s="170">
        <f>表2_36716262930381020[[#This Row],[累计净值]]/$B$21-1</f>
        <v>0.24677158999192894</v>
      </c>
      <c r="H199" s="170">
        <f>表2_36716262930381020[[#This Row],[累计净值]]/$B$156-1</f>
        <v>-3.6863845374483617E-2</v>
      </c>
    </row>
    <row r="200" spans="1:8" x14ac:dyDescent="0.2">
      <c r="A200" s="161">
        <v>44043</v>
      </c>
      <c r="B200" s="162">
        <v>1.2374000000000001</v>
      </c>
      <c r="C200" s="171">
        <f t="shared" si="18"/>
        <v>1.6000000000000458E-3</v>
      </c>
      <c r="D200" s="168" t="str">
        <f t="shared" si="19"/>
        <v>/</v>
      </c>
      <c r="E200" s="168">
        <f ca="1">IF(表2_36716262930381020[[#This Row],[累计净值]]/MAX(INDIRECT("B21:B" &amp; ROW()))-1&lt;E199,表2_36716262930381020[[#This Row],[累计净值]]/MAX(INDIRECT("B21:B" &amp; ROW()))-1,E199)</f>
        <v>-7.1594921493501551E-2</v>
      </c>
      <c r="F200" s="169">
        <f>表2_36716262930381020[[#This Row],[累计净值]]</f>
        <v>1.2374000000000001</v>
      </c>
      <c r="G200" s="170">
        <f>表2_36716262930381020[[#This Row],[累计净值]]/$B$21-1</f>
        <v>0.24838579499596447</v>
      </c>
      <c r="H200" s="170">
        <f>表2_36716262930381020[[#This Row],[累计净值]]/$B$156-1</f>
        <v>-3.5616865404099363E-2</v>
      </c>
    </row>
    <row r="201" spans="1:8" x14ac:dyDescent="0.2">
      <c r="A201" s="161">
        <v>44046</v>
      </c>
      <c r="B201" s="162">
        <v>1.242</v>
      </c>
      <c r="C201" s="171">
        <f t="shared" si="18"/>
        <v>4.5999999999999375E-3</v>
      </c>
      <c r="D201" s="168" t="str">
        <f t="shared" si="19"/>
        <v>/</v>
      </c>
      <c r="E201" s="168">
        <f ca="1">IF(表2_36716262930381020[[#This Row],[累计净值]]/MAX(INDIRECT("B21:B" &amp; ROW()))-1&lt;E200,表2_36716262930381020[[#This Row],[累计净值]]/MAX(INDIRECT("B21:B" &amp; ROW()))-1,E200)</f>
        <v>-7.1594921493501551E-2</v>
      </c>
      <c r="F201" s="169">
        <f>表2_36716262930381020[[#This Row],[累计净值]]</f>
        <v>1.242</v>
      </c>
      <c r="G201" s="170">
        <f>表2_36716262930381020[[#This Row],[累计净值]]/$B$21-1</f>
        <v>0.25302663438256667</v>
      </c>
      <c r="H201" s="170">
        <f>表2_36716262930381020[[#This Row],[累计净值]]/$B$156-1</f>
        <v>-3.2031797989244715E-2</v>
      </c>
    </row>
    <row r="202" spans="1:8" x14ac:dyDescent="0.2">
      <c r="A202" s="161">
        <v>44047</v>
      </c>
      <c r="B202" s="162">
        <v>1.2524</v>
      </c>
      <c r="C202" s="171">
        <f t="shared" ref="C202:C207" si="20">IFERROR(B202-B201,0)</f>
        <v>1.0399999999999965E-2</v>
      </c>
      <c r="D202" s="168" t="str">
        <f t="shared" ref="D202:D207" si="21">IF(C202&lt;0,C202,"/")</f>
        <v>/</v>
      </c>
      <c r="E202" s="168">
        <f ca="1">IF(表2_36716262930381020[[#This Row],[累计净值]]/MAX(INDIRECT("B21:B" &amp; ROW()))-1&lt;E201,表2_36716262930381020[[#This Row],[累计净值]]/MAX(INDIRECT("B21:B" &amp; ROW()))-1,E201)</f>
        <v>-7.1594921493501551E-2</v>
      </c>
      <c r="F202" s="169">
        <f>表2_36716262930381020[[#This Row],[累计净值]]</f>
        <v>1.2524</v>
      </c>
      <c r="G202" s="170">
        <f>表2_36716262930381020[[#This Row],[累计净值]]/$B$21-1</f>
        <v>0.26351896690879739</v>
      </c>
      <c r="H202" s="170">
        <f>表2_36716262930381020[[#This Row],[累计净值]]/$B$156-1</f>
        <v>-2.3926428181747283E-2</v>
      </c>
    </row>
    <row r="203" spans="1:8" x14ac:dyDescent="0.2">
      <c r="A203" s="161">
        <v>44048</v>
      </c>
      <c r="B203" s="162">
        <v>1.2545999999999999</v>
      </c>
      <c r="C203" s="171">
        <f t="shared" si="20"/>
        <v>2.1999999999999797E-3</v>
      </c>
      <c r="D203" s="168" t="str">
        <f t="shared" si="21"/>
        <v>/</v>
      </c>
      <c r="E203" s="168">
        <f ca="1">IF(表2_36716262930381020[[#This Row],[累计净值]]/MAX(INDIRECT("B21:B" &amp; ROW()))-1&lt;E202,表2_36716262930381020[[#This Row],[累计净值]]/MAX(INDIRECT("B21:B" &amp; ROW()))-1,E202)</f>
        <v>-7.1594921493501551E-2</v>
      </c>
      <c r="F203" s="169">
        <f>表2_36716262930381020[[#This Row],[累计净值]]</f>
        <v>1.2545999999999999</v>
      </c>
      <c r="G203" s="170">
        <f>表2_36716262930381020[[#This Row],[累计净值]]/$B$21-1</f>
        <v>0.2657384987893463</v>
      </c>
      <c r="H203" s="170">
        <f>表2_36716262930381020[[#This Row],[累计净值]]/$B$156-1</f>
        <v>-2.2211830722469017E-2</v>
      </c>
    </row>
    <row r="204" spans="1:8" x14ac:dyDescent="0.2">
      <c r="A204" s="161">
        <v>44049</v>
      </c>
      <c r="B204" s="162">
        <v>1.2625</v>
      </c>
      <c r="C204" s="171">
        <f t="shared" si="20"/>
        <v>7.9000000000000181E-3</v>
      </c>
      <c r="D204" s="168" t="str">
        <f t="shared" si="21"/>
        <v>/</v>
      </c>
      <c r="E204" s="168">
        <f ca="1">IF(表2_36716262930381020[[#This Row],[累计净值]]/MAX(INDIRECT("B21:B" &amp; ROW()))-1&lt;E203,表2_36716262930381020[[#This Row],[累计净值]]/MAX(INDIRECT("B21:B" &amp; ROW()))-1,E203)</f>
        <v>-7.1594921493501551E-2</v>
      </c>
      <c r="F204" s="169">
        <f>表2_36716262930381020[[#This Row],[累计净值]]</f>
        <v>1.2625</v>
      </c>
      <c r="G204" s="170">
        <f>表2_36716262930381020[[#This Row],[累计净值]]/$B$21-1</f>
        <v>0.27370863599677153</v>
      </c>
      <c r="H204" s="170">
        <f>表2_36716262930381020[[#This Row],[累计净值]]/$B$156-1</f>
        <v>-1.6054867118696858E-2</v>
      </c>
    </row>
    <row r="205" spans="1:8" x14ac:dyDescent="0.2">
      <c r="A205" s="161">
        <v>44050</v>
      </c>
      <c r="B205" s="162">
        <v>1.2563</v>
      </c>
      <c r="C205" s="171">
        <f t="shared" si="20"/>
        <v>-6.1999999999999833E-3</v>
      </c>
      <c r="D205" s="168">
        <f t="shared" si="21"/>
        <v>-6.1999999999999833E-3</v>
      </c>
      <c r="E205" s="168">
        <f ca="1">IF(表2_36716262930381020[[#This Row],[累计净值]]/MAX(INDIRECT("B21:B" &amp; ROW()))-1&lt;E204,表2_36716262930381020[[#This Row],[累计净值]]/MAX(INDIRECT("B21:B" &amp; ROW()))-1,E204)</f>
        <v>-7.1594921493501551E-2</v>
      </c>
      <c r="F205" s="169">
        <f>表2_36716262930381020[[#This Row],[累计净值]]</f>
        <v>1.2563</v>
      </c>
      <c r="G205" s="170">
        <f>表2_36716262930381020[[#This Row],[累计净值]]/$B$21-1</f>
        <v>0.26745359160613402</v>
      </c>
      <c r="H205" s="170">
        <f>表2_36716262930381020[[#This Row],[累计净值]]/$B$156-1</f>
        <v>-2.0886914503935761E-2</v>
      </c>
    </row>
    <row r="206" spans="1:8" x14ac:dyDescent="0.2">
      <c r="A206" s="161">
        <v>44053</v>
      </c>
      <c r="B206" s="162">
        <v>1.2597</v>
      </c>
      <c r="C206" s="171">
        <f t="shared" si="20"/>
        <v>3.4000000000000696E-3</v>
      </c>
      <c r="D206" s="168" t="str">
        <f t="shared" si="21"/>
        <v>/</v>
      </c>
      <c r="E206" s="168">
        <f ca="1">IF(表2_36716262930381020[[#This Row],[累计净值]]/MAX(INDIRECT("B21:B" &amp; ROW()))-1&lt;E205,表2_36716262930381020[[#This Row],[累计净值]]/MAX(INDIRECT("B21:B" &amp; ROW()))-1,E205)</f>
        <v>-7.1594921493501551E-2</v>
      </c>
      <c r="F206" s="169">
        <f>表2_36716262930381020[[#This Row],[累计净值]]</f>
        <v>1.2597</v>
      </c>
      <c r="G206" s="170">
        <f>表2_36716262930381020[[#This Row],[累计净值]]/$B$21-1</f>
        <v>0.27088377723970947</v>
      </c>
      <c r="H206" s="170">
        <f>表2_36716262930381020[[#This Row],[累计净值]]/$B$156-1</f>
        <v>-1.8237082066869248E-2</v>
      </c>
    </row>
    <row r="207" spans="1:8" x14ac:dyDescent="0.2">
      <c r="A207" s="161">
        <v>44054</v>
      </c>
      <c r="B207" s="162">
        <v>1.2753000000000001</v>
      </c>
      <c r="C207" s="171">
        <f t="shared" si="20"/>
        <v>1.5600000000000058E-2</v>
      </c>
      <c r="D207" s="168" t="str">
        <f t="shared" si="21"/>
        <v>/</v>
      </c>
      <c r="E207" s="168">
        <f ca="1">IF(表2_36716262930381020[[#This Row],[累计净值]]/MAX(INDIRECT("B21:B" &amp; ROW()))-1&lt;E206,表2_36716262930381020[[#This Row],[累计净值]]/MAX(INDIRECT("B21:B" &amp; ROW()))-1,E206)</f>
        <v>-7.1594921493501551E-2</v>
      </c>
      <c r="F207" s="169">
        <f>表2_36716262930381020[[#This Row],[累计净值]]</f>
        <v>1.2753000000000001</v>
      </c>
      <c r="G207" s="170">
        <f>表2_36716262930381020[[#This Row],[累计净值]]/$B$21-1</f>
        <v>0.28662227602905577</v>
      </c>
      <c r="H207" s="170">
        <f>表2_36716262930381020[[#This Row],[累计净值]]/$B$156-1</f>
        <v>-6.0790273556229346E-3</v>
      </c>
    </row>
    <row r="208" spans="1:8" x14ac:dyDescent="0.2">
      <c r="A208" s="161">
        <v>44055</v>
      </c>
      <c r="B208" s="162">
        <v>1.2789999999999999</v>
      </c>
      <c r="C208" s="171">
        <f t="shared" ref="C208:C213" si="22">IFERROR(B208-B207,0)</f>
        <v>3.6999999999998145E-3</v>
      </c>
      <c r="D208" s="168" t="str">
        <f t="shared" ref="D208:D213" si="23">IF(C208&lt;0,C208,"/")</f>
        <v>/</v>
      </c>
      <c r="E208" s="168">
        <f ca="1">IF(表2_36716262930381020[[#This Row],[累计净值]]/MAX(INDIRECT("B21:B" &amp; ROW()))-1&lt;E207,表2_36716262930381020[[#This Row],[累计净值]]/MAX(INDIRECT("B21:B" &amp; ROW()))-1,E207)</f>
        <v>-7.1594921493501551E-2</v>
      </c>
      <c r="F208" s="169">
        <f>表2_36716262930381020[[#This Row],[累计净值]]</f>
        <v>1.2789999999999999</v>
      </c>
      <c r="G208" s="170">
        <f>表2_36716262930381020[[#This Row],[累计净值]]/$B$21-1</f>
        <v>0.29035512510088779</v>
      </c>
      <c r="H208" s="170">
        <f>表2_36716262930381020[[#This Row],[累计净值]]/$B$156-1</f>
        <v>-3.1953861741095269E-3</v>
      </c>
    </row>
    <row r="209" spans="1:8" x14ac:dyDescent="0.2">
      <c r="A209" s="161">
        <v>44056</v>
      </c>
      <c r="B209" s="162">
        <v>1.2823</v>
      </c>
      <c r="C209" s="171">
        <f t="shared" si="22"/>
        <v>3.3000000000000806E-3</v>
      </c>
      <c r="D209" s="168" t="str">
        <f t="shared" si="23"/>
        <v>/</v>
      </c>
      <c r="E209" s="168">
        <f ca="1">IF(表2_36716262930381020[[#This Row],[累计净值]]/MAX(INDIRECT("B21:B" &amp; ROW()))-1&lt;E208,表2_36716262930381020[[#This Row],[累计净值]]/MAX(INDIRECT("B21:B" &amp; ROW()))-1,E208)</f>
        <v>-7.1594921493501551E-2</v>
      </c>
      <c r="F209" s="169">
        <f>表2_36716262930381020[[#This Row],[累计净值]]</f>
        <v>1.2823</v>
      </c>
      <c r="G209" s="170">
        <f>表2_36716262930381020[[#This Row],[累计净值]]/$B$21-1</f>
        <v>0.29368442292171104</v>
      </c>
      <c r="H209" s="170">
        <f>表2_36716262930381020[[#This Row],[累计净值]]/$B$156-1</f>
        <v>-6.2348998519201615E-4</v>
      </c>
    </row>
    <row r="210" spans="1:8" x14ac:dyDescent="0.2">
      <c r="A210" s="161">
        <v>44057</v>
      </c>
      <c r="B210" s="162">
        <v>1.2844</v>
      </c>
      <c r="C210" s="171">
        <f t="shared" si="22"/>
        <v>2.0999999999999908E-3</v>
      </c>
      <c r="D210" s="168" t="str">
        <f t="shared" si="23"/>
        <v>/</v>
      </c>
      <c r="E210" s="168">
        <f ca="1">IF(表2_36716262930381020[[#This Row],[累计净值]]/MAX(INDIRECT("B21:B" &amp; ROW()))-1&lt;E209,表2_36716262930381020[[#This Row],[累计净值]]/MAX(INDIRECT("B21:B" &amp; ROW()))-1,E209)</f>
        <v>-7.1594921493501551E-2</v>
      </c>
      <c r="F210" s="169">
        <f>表2_36716262930381020[[#This Row],[累计净值]]</f>
        <v>1.2844</v>
      </c>
      <c r="G210" s="170">
        <f>表2_36716262930381020[[#This Row],[累计净值]]/$B$21-1</f>
        <v>0.29580306698950776</v>
      </c>
      <c r="H210" s="170">
        <f>表2_36716262930381020[[#This Row],[累计净值]]/$B$156-1</f>
        <v>1.0131712259371373E-3</v>
      </c>
    </row>
    <row r="211" spans="1:8" x14ac:dyDescent="0.2">
      <c r="A211" s="161">
        <v>44060</v>
      </c>
      <c r="B211" s="162">
        <v>1.2766</v>
      </c>
      <c r="C211" s="171">
        <f t="shared" si="22"/>
        <v>-7.8000000000000291E-3</v>
      </c>
      <c r="D211" s="168">
        <f t="shared" si="23"/>
        <v>-7.8000000000000291E-3</v>
      </c>
      <c r="E211" s="168">
        <f ca="1">IF(表2_36716262930381020[[#This Row],[累计净值]]/MAX(INDIRECT("B21:B" &amp; ROW()))-1&lt;E210,表2_36716262930381020[[#This Row],[累计净值]]/MAX(INDIRECT("B21:B" &amp; ROW()))-1,E210)</f>
        <v>-7.1594921493501551E-2</v>
      </c>
      <c r="F211" s="169">
        <f>表2_36716262930381020[[#This Row],[累计净值]]</f>
        <v>1.2766</v>
      </c>
      <c r="G211" s="170">
        <f>表2_36716262930381020[[#This Row],[累计净值]]/$B$21-1</f>
        <v>0.2879338175948345</v>
      </c>
      <c r="H211" s="170">
        <f>表2_36716262930381020[[#This Row],[累计净值]]/$B$156-1</f>
        <v>-5.0658561296859084E-3</v>
      </c>
    </row>
    <row r="212" spans="1:8" x14ac:dyDescent="0.2">
      <c r="A212" s="161">
        <v>44061</v>
      </c>
      <c r="B212" s="162">
        <v>1.2785</v>
      </c>
      <c r="C212" s="171">
        <f t="shared" si="22"/>
        <v>1.9000000000000128E-3</v>
      </c>
      <c r="D212" s="168" t="str">
        <f t="shared" si="23"/>
        <v>/</v>
      </c>
      <c r="E212" s="168">
        <f ca="1">IF(表2_36716262930381020[[#This Row],[累计净值]]/MAX(INDIRECT("B21:B" &amp; ROW()))-1&lt;E211,表2_36716262930381020[[#This Row],[累计净值]]/MAX(INDIRECT("B21:B" &amp; ROW()))-1,E211)</f>
        <v>-7.1594921493501551E-2</v>
      </c>
      <c r="F212" s="169">
        <f>表2_36716262930381020[[#This Row],[累计净值]]</f>
        <v>1.2785</v>
      </c>
      <c r="G212" s="170">
        <f>表2_36716262930381020[[#This Row],[累计净值]]/$B$21-1</f>
        <v>0.28985068603712683</v>
      </c>
      <c r="H212" s="170">
        <f>表2_36716262930381020[[#This Row],[累计净值]]/$B$156-1</f>
        <v>-3.585067414854648E-3</v>
      </c>
    </row>
    <row r="213" spans="1:8" x14ac:dyDescent="0.2">
      <c r="A213" s="161">
        <v>44062</v>
      </c>
      <c r="B213" s="162">
        <v>1.2867</v>
      </c>
      <c r="C213" s="171">
        <f t="shared" si="22"/>
        <v>8.1999999999999851E-3</v>
      </c>
      <c r="D213" s="168" t="str">
        <f t="shared" si="23"/>
        <v>/</v>
      </c>
      <c r="E213" s="168">
        <f ca="1">IF(表2_36716262930381020[[#This Row],[累计净值]]/MAX(INDIRECT("B21:B" &amp; ROW()))-1&lt;E212,表2_36716262930381020[[#This Row],[累计净值]]/MAX(INDIRECT("B21:B" &amp; ROW()))-1,E212)</f>
        <v>-7.1594921493501551E-2</v>
      </c>
      <c r="F213" s="169">
        <f>表2_36716262930381020[[#This Row],[累计净值]]</f>
        <v>1.2867</v>
      </c>
      <c r="G213" s="170">
        <f>表2_36716262930381020[[#This Row],[累计净值]]/$B$21-1</f>
        <v>0.29812348668280864</v>
      </c>
      <c r="H213" s="170">
        <f>表2_36716262930381020[[#This Row],[累计净值]]/$B$156-1</f>
        <v>2.8057049333645168E-3</v>
      </c>
    </row>
    <row r="214" spans="1:8" x14ac:dyDescent="0.2">
      <c r="A214" s="161">
        <v>44063</v>
      </c>
      <c r="B214" s="162">
        <v>1.2927</v>
      </c>
      <c r="C214" s="171">
        <f>IFERROR(B214-B213,0)</f>
        <v>6.0000000000000053E-3</v>
      </c>
      <c r="D214" s="168" t="str">
        <f>IF(C214&lt;0,C214,"/")</f>
        <v>/</v>
      </c>
      <c r="E214" s="168">
        <f ca="1">IF(表2_36716262930381020[[#This Row],[累计净值]]/MAX(INDIRECT("B21:B" &amp; ROW()))-1&lt;E213,表2_36716262930381020[[#This Row],[累计净值]]/MAX(INDIRECT("B21:B" &amp; ROW()))-1,E213)</f>
        <v>-7.1594921493501551E-2</v>
      </c>
      <c r="F214" s="169">
        <f>表2_36716262930381020[[#This Row],[累计净值]]</f>
        <v>1.2927</v>
      </c>
      <c r="G214" s="170">
        <f>表2_36716262930381020[[#This Row],[累计净值]]/$B$21-1</f>
        <v>0.30417675544794198</v>
      </c>
      <c r="H214" s="170">
        <f>表2_36716262930381020[[#This Row],[累计净值]]/$B$156-1</f>
        <v>7.481879822305304E-3</v>
      </c>
    </row>
    <row r="215" spans="1:8" x14ac:dyDescent="0.2">
      <c r="A215" s="161">
        <v>44064</v>
      </c>
      <c r="B215" s="162">
        <v>1.2969999999999999</v>
      </c>
      <c r="C215" s="171">
        <f>IFERROR(B215-B214,0)</f>
        <v>4.2999999999999705E-3</v>
      </c>
      <c r="D215" s="168" t="str">
        <f>IF(C215&lt;0,C215,"/")</f>
        <v>/</v>
      </c>
      <c r="E215" s="168">
        <f ca="1">IF(表2_36716262930381020[[#This Row],[累计净值]]/MAX(INDIRECT("B21:B" &amp; ROW()))-1&lt;E214,表2_36716262930381020[[#This Row],[累计净值]]/MAX(INDIRECT("B21:B" &amp; ROW()))-1,E214)</f>
        <v>-7.1594921493501551E-2</v>
      </c>
      <c r="F215" s="169">
        <f>表2_36716262930381020[[#This Row],[累计净值]]</f>
        <v>1.2969999999999999</v>
      </c>
      <c r="G215" s="170">
        <f>表2_36716262930381020[[#This Row],[累计净值]]/$B$21-1</f>
        <v>0.30851493139628738</v>
      </c>
      <c r="H215" s="170">
        <f>表2_36716262930381020[[#This Row],[累计净值]]/$B$156-1</f>
        <v>1.0833138492712946E-2</v>
      </c>
    </row>
    <row r="216" spans="1:8" x14ac:dyDescent="0.2">
      <c r="A216" s="161">
        <v>44067</v>
      </c>
      <c r="B216" s="162">
        <v>1.298</v>
      </c>
      <c r="C216" s="171">
        <f t="shared" ref="C216:C221" si="24">IFERROR(B216-B215,0)</f>
        <v>1.0000000000001119E-3</v>
      </c>
      <c r="D216" s="168" t="str">
        <f t="shared" ref="D216:D221" si="25">IF(C216&lt;0,C216,"/")</f>
        <v>/</v>
      </c>
      <c r="E216" s="168">
        <f ca="1">IF(表2_36716262930381020[[#This Row],[累计净值]]/MAX(INDIRECT("B21:B" &amp; ROW()))-1&lt;E215,表2_36716262930381020[[#This Row],[累计净值]]/MAX(INDIRECT("B21:B" &amp; ROW()))-1,E215)</f>
        <v>-7.1594921493501551E-2</v>
      </c>
      <c r="F216" s="169">
        <f>表2_36716262930381020[[#This Row],[累计净值]]</f>
        <v>1.298</v>
      </c>
      <c r="G216" s="170">
        <f>表2_36716262930381020[[#This Row],[累计净值]]/$B$21-1</f>
        <v>0.30952380952380953</v>
      </c>
      <c r="H216" s="170">
        <f>表2_36716262930381020[[#This Row],[累计净值]]/$B$156-1</f>
        <v>1.1612500974203188E-2</v>
      </c>
    </row>
    <row r="217" spans="1:8" x14ac:dyDescent="0.2">
      <c r="A217" s="161">
        <v>44068</v>
      </c>
      <c r="B217" s="162">
        <v>1.2922</v>
      </c>
      <c r="C217" s="171">
        <f t="shared" si="24"/>
        <v>-5.8000000000000274E-3</v>
      </c>
      <c r="D217" s="168">
        <f t="shared" si="25"/>
        <v>-5.8000000000000274E-3</v>
      </c>
      <c r="E217" s="168">
        <f ca="1">IF(表2_36716262930381020[[#This Row],[累计净值]]/MAX(INDIRECT("B21:B" &amp; ROW()))-1&lt;E216,表2_36716262930381020[[#This Row],[累计净值]]/MAX(INDIRECT("B21:B" &amp; ROW()))-1,E216)</f>
        <v>-7.1594921493501551E-2</v>
      </c>
      <c r="F217" s="169">
        <f>表2_36716262930381020[[#This Row],[累计净值]]</f>
        <v>1.2922</v>
      </c>
      <c r="G217" s="170">
        <f>表2_36716262930381020[[#This Row],[累计净值]]/$B$21-1</f>
        <v>0.3036723163841808</v>
      </c>
      <c r="H217" s="170">
        <f>表2_36716262930381020[[#This Row],[累计净值]]/$B$156-1</f>
        <v>7.0921985815604049E-3</v>
      </c>
    </row>
    <row r="218" spans="1:8" x14ac:dyDescent="0.2">
      <c r="A218" s="161">
        <v>44069</v>
      </c>
      <c r="B218" s="162">
        <v>1.2867999999999999</v>
      </c>
      <c r="C218" s="171">
        <f t="shared" si="24"/>
        <v>-5.4000000000000714E-3</v>
      </c>
      <c r="D218" s="168">
        <f t="shared" si="25"/>
        <v>-5.4000000000000714E-3</v>
      </c>
      <c r="E218" s="168">
        <f ca="1">IF(表2_36716262930381020[[#This Row],[累计净值]]/MAX(INDIRECT("B21:B" &amp; ROW()))-1&lt;E217,表2_36716262930381020[[#This Row],[累计净值]]/MAX(INDIRECT("B21:B" &amp; ROW()))-1,E217)</f>
        <v>-7.1594921493501551E-2</v>
      </c>
      <c r="F218" s="169">
        <f>表2_36716262930381020[[#This Row],[累计净值]]</f>
        <v>1.2867999999999999</v>
      </c>
      <c r="G218" s="170">
        <f>表2_36716262930381020[[#This Row],[累计净值]]/$B$21-1</f>
        <v>0.29822437449556083</v>
      </c>
      <c r="H218" s="170">
        <f>表2_36716262930381020[[#This Row],[累计净值]]/$B$156-1</f>
        <v>2.8836411815136298E-3</v>
      </c>
    </row>
    <row r="219" spans="1:8" x14ac:dyDescent="0.2">
      <c r="A219" s="161">
        <v>44070</v>
      </c>
      <c r="B219" s="162">
        <v>1.2846</v>
      </c>
      <c r="C219" s="171">
        <f t="shared" si="24"/>
        <v>-2.1999999999999797E-3</v>
      </c>
      <c r="D219" s="168">
        <f t="shared" si="25"/>
        <v>-2.1999999999999797E-3</v>
      </c>
      <c r="E219" s="168">
        <f ca="1">IF(表2_36716262930381020[[#This Row],[累计净值]]/MAX(INDIRECT("B21:B" &amp; ROW()))-1&lt;E218,表2_36716262930381020[[#This Row],[累计净值]]/MAX(INDIRECT("B21:B" &amp; ROW()))-1,E218)</f>
        <v>-7.1594921493501551E-2</v>
      </c>
      <c r="F219" s="169">
        <f>表2_36716262930381020[[#This Row],[累计净值]]</f>
        <v>1.2846</v>
      </c>
      <c r="G219" s="170">
        <f>表2_36716262930381020[[#This Row],[累计净值]]/$B$21-1</f>
        <v>0.29600484261501214</v>
      </c>
      <c r="H219" s="170">
        <f>表2_36716262930381020[[#This Row],[累计净值]]/$B$156-1</f>
        <v>1.1690437222353633E-3</v>
      </c>
    </row>
    <row r="220" spans="1:8" x14ac:dyDescent="0.2">
      <c r="A220" s="161">
        <v>44071</v>
      </c>
      <c r="B220" s="162">
        <v>1.2841</v>
      </c>
      <c r="C220" s="171">
        <f t="shared" si="24"/>
        <v>-4.9999999999994493E-4</v>
      </c>
      <c r="D220" s="168">
        <f t="shared" si="25"/>
        <v>-4.9999999999994493E-4</v>
      </c>
      <c r="E220" s="168">
        <f ca="1">IF(表2_36716262930381020[[#This Row],[累计净值]]/MAX(INDIRECT("B21:B" &amp; ROW()))-1&lt;E219,表2_36716262930381020[[#This Row],[累计净值]]/MAX(INDIRECT("B21:B" &amp; ROW()))-1,E219)</f>
        <v>-7.1594921493501551E-2</v>
      </c>
      <c r="F220" s="169">
        <f>表2_36716262930381020[[#This Row],[累计净值]]</f>
        <v>1.2841</v>
      </c>
      <c r="G220" s="170">
        <f>表2_36716262930381020[[#This Row],[累计净值]]/$B$21-1</f>
        <v>0.29550040355125118</v>
      </c>
      <c r="H220" s="170">
        <f>表2_36716262930381020[[#This Row],[累计净值]]/$B$156-1</f>
        <v>7.7936248149024223E-4</v>
      </c>
    </row>
    <row r="221" spans="1:8" x14ac:dyDescent="0.2">
      <c r="A221" s="161">
        <v>44074</v>
      </c>
      <c r="B221" s="162">
        <v>1.2807999999999999</v>
      </c>
      <c r="C221" s="171">
        <f t="shared" si="24"/>
        <v>-3.3000000000000806E-3</v>
      </c>
      <c r="D221" s="168">
        <f t="shared" si="25"/>
        <v>-3.3000000000000806E-3</v>
      </c>
      <c r="E221" s="168">
        <f ca="1">IF(表2_36716262930381020[[#This Row],[累计净值]]/MAX(INDIRECT("B21:B" &amp; ROW()))-1&lt;E220,表2_36716262930381020[[#This Row],[累计净值]]/MAX(INDIRECT("B21:B" &amp; ROW()))-1,E220)</f>
        <v>-7.1594921493501551E-2</v>
      </c>
      <c r="F221" s="169">
        <f>表2_36716262930381020[[#This Row],[累计净值]]</f>
        <v>1.2807999999999999</v>
      </c>
      <c r="G221" s="170">
        <f>表2_36716262930381020[[#This Row],[累计净值]]/$B$21-1</f>
        <v>0.2921711057304277</v>
      </c>
      <c r="H221" s="170">
        <f>表2_36716262930381020[[#This Row],[累计净值]]/$B$156-1</f>
        <v>-1.7925337074272685E-3</v>
      </c>
    </row>
    <row r="222" spans="1:8" x14ac:dyDescent="0.2">
      <c r="A222" s="161">
        <v>44075</v>
      </c>
      <c r="B222" s="162">
        <v>1.2774000000000001</v>
      </c>
      <c r="C222" s="171">
        <f t="shared" ref="C222:C227" si="26">IFERROR(B222-B221,0)</f>
        <v>-3.3999999999998476E-3</v>
      </c>
      <c r="D222" s="168">
        <f t="shared" ref="D222:D227" si="27">IF(C222&lt;0,C222,"/")</f>
        <v>-3.3999999999998476E-3</v>
      </c>
      <c r="E222" s="168">
        <f ca="1">IF(表2_36716262930381020[[#This Row],[累计净值]]/MAX(INDIRECT("B21:B" &amp; ROW()))-1&lt;E221,表2_36716262930381020[[#This Row],[累计净值]]/MAX(INDIRECT("B21:B" &amp; ROW()))-1,E221)</f>
        <v>-7.1594921493501551E-2</v>
      </c>
      <c r="F222" s="169">
        <f>表2_36716262930381020[[#This Row],[累计净值]]</f>
        <v>1.2774000000000001</v>
      </c>
      <c r="G222" s="170">
        <f>表2_36716262930381020[[#This Row],[累计净值]]/$B$21-1</f>
        <v>0.28874092009685248</v>
      </c>
      <c r="H222" s="170">
        <f>表2_36716262930381020[[#This Row],[累计净值]]/$B$156-1</f>
        <v>-4.4423661444936702E-3</v>
      </c>
    </row>
    <row r="223" spans="1:8" x14ac:dyDescent="0.2">
      <c r="A223" s="161">
        <v>44076</v>
      </c>
      <c r="B223" s="162">
        <v>1.2741</v>
      </c>
      <c r="C223" s="171">
        <f t="shared" si="26"/>
        <v>-3.3000000000000806E-3</v>
      </c>
      <c r="D223" s="168">
        <f t="shared" si="27"/>
        <v>-3.3000000000000806E-3</v>
      </c>
      <c r="E223" s="168">
        <f ca="1">IF(表2_36716262930381020[[#This Row],[累计净值]]/MAX(INDIRECT("B21:B" &amp; ROW()))-1&lt;E222,表2_36716262930381020[[#This Row],[累计净值]]/MAX(INDIRECT("B21:B" &amp; ROW()))-1,E222)</f>
        <v>-7.1594921493501551E-2</v>
      </c>
      <c r="F223" s="169">
        <f>表2_36716262930381020[[#This Row],[累计净值]]</f>
        <v>1.2741</v>
      </c>
      <c r="G223" s="170">
        <f>表2_36716262930381020[[#This Row],[累计净值]]/$B$21-1</f>
        <v>0.28541162227602901</v>
      </c>
      <c r="H223" s="170">
        <f>表2_36716262930381020[[#This Row],[累计净值]]/$B$156-1</f>
        <v>-7.0142623334111809E-3</v>
      </c>
    </row>
    <row r="224" spans="1:8" x14ac:dyDescent="0.2">
      <c r="A224" s="161">
        <v>44077</v>
      </c>
      <c r="B224" s="162">
        <v>1.2858000000000001</v>
      </c>
      <c r="C224" s="171">
        <f t="shared" si="26"/>
        <v>1.1700000000000044E-2</v>
      </c>
      <c r="D224" s="168" t="str">
        <f t="shared" si="27"/>
        <v>/</v>
      </c>
      <c r="E224" s="168">
        <f ca="1">IF(表2_36716262930381020[[#This Row],[累计净值]]/MAX(INDIRECT("B21:B" &amp; ROW()))-1&lt;E223,表2_36716262930381020[[#This Row],[累计净值]]/MAX(INDIRECT("B21:B" &amp; ROW()))-1,E223)</f>
        <v>-7.1594921493501551E-2</v>
      </c>
      <c r="F224" s="169">
        <f>表2_36716262930381020[[#This Row],[累计净值]]</f>
        <v>1.2858000000000001</v>
      </c>
      <c r="G224" s="170">
        <f>表2_36716262930381020[[#This Row],[累计净值]]/$B$21-1</f>
        <v>0.2972154963680389</v>
      </c>
      <c r="H224" s="170">
        <f>表2_36716262930381020[[#This Row],[累计净值]]/$B$156-1</f>
        <v>2.1042787000233876E-3</v>
      </c>
    </row>
    <row r="225" spans="1:10" x14ac:dyDescent="0.2">
      <c r="A225" s="161">
        <v>44078</v>
      </c>
      <c r="B225" s="162">
        <v>1.2926</v>
      </c>
      <c r="C225" s="171">
        <f t="shared" si="26"/>
        <v>6.7999999999999172E-3</v>
      </c>
      <c r="D225" s="168" t="str">
        <f t="shared" si="27"/>
        <v>/</v>
      </c>
      <c r="E225" s="168">
        <f ca="1">IF(表2_36716262930381020[[#This Row],[累计净值]]/MAX(INDIRECT("B21:B" &amp; ROW()))-1&lt;E224,表2_36716262930381020[[#This Row],[累计净值]]/MAX(INDIRECT("B21:B" &amp; ROW()))-1,E224)</f>
        <v>-7.1594921493501551E-2</v>
      </c>
      <c r="F225" s="169">
        <f>表2_36716262930381020[[#This Row],[累计净值]]</f>
        <v>1.2926</v>
      </c>
      <c r="G225" s="170">
        <f>表2_36716262930381020[[#This Row],[累计净值]]/$B$21-1</f>
        <v>0.30407586763518979</v>
      </c>
      <c r="H225" s="170">
        <f>表2_36716262930381020[[#This Row],[累计净值]]/$B$156-1</f>
        <v>7.403943574156413E-3</v>
      </c>
    </row>
    <row r="226" spans="1:10" x14ac:dyDescent="0.2">
      <c r="A226" s="161">
        <v>44081</v>
      </c>
      <c r="B226" s="162">
        <v>1.2934000000000001</v>
      </c>
      <c r="C226" s="171">
        <f t="shared" si="26"/>
        <v>8.0000000000013394E-4</v>
      </c>
      <c r="D226" s="168" t="str">
        <f t="shared" si="27"/>
        <v>/</v>
      </c>
      <c r="E226" s="168">
        <f ca="1">IF(表2_36716262930381020[[#This Row],[累计净值]]/MAX(INDIRECT("B21:B" &amp; ROW()))-1&lt;E225,表2_36716262930381020[[#This Row],[累计净值]]/MAX(INDIRECT("B21:B" &amp; ROW()))-1,E225)</f>
        <v>-7.1594921493501551E-2</v>
      </c>
      <c r="F226" s="169">
        <f>表2_36716262930381020[[#This Row],[累计净值]]</f>
        <v>1.2934000000000001</v>
      </c>
      <c r="G226" s="170">
        <f>表2_36716262930381020[[#This Row],[累计净值]]/$B$21-1</f>
        <v>0.30488297013720755</v>
      </c>
      <c r="H226" s="170">
        <f>表2_36716262930381020[[#This Row],[累计净值]]/$B$156-1</f>
        <v>8.0274335593486512E-3</v>
      </c>
    </row>
    <row r="227" spans="1:10" x14ac:dyDescent="0.2">
      <c r="A227" s="161">
        <v>44082</v>
      </c>
      <c r="B227" s="162">
        <v>1.2942</v>
      </c>
      <c r="C227" s="171">
        <f t="shared" si="26"/>
        <v>7.9999999999991189E-4</v>
      </c>
      <c r="D227" s="168" t="str">
        <f t="shared" si="27"/>
        <v>/</v>
      </c>
      <c r="E227" s="168">
        <f ca="1">IF(表2_36716262930381020[[#This Row],[累计净值]]/MAX(INDIRECT("B21:B" &amp; ROW()))-1&lt;E226,表2_36716262930381020[[#This Row],[累计净值]]/MAX(INDIRECT("B21:B" &amp; ROW()))-1,E226)</f>
        <v>-7.1594921493501551E-2</v>
      </c>
      <c r="F227" s="169">
        <f>表2_36716262930381020[[#This Row],[累计净值]]</f>
        <v>1.2942</v>
      </c>
      <c r="G227" s="170">
        <f>表2_36716262930381020[[#This Row],[累计净值]]/$B$21-1</f>
        <v>0.30569007263922532</v>
      </c>
      <c r="H227" s="170">
        <f>表2_36716262930381020[[#This Row],[累计净值]]/$B$156-1</f>
        <v>8.6509235445406674E-3</v>
      </c>
    </row>
    <row r="228" spans="1:10" x14ac:dyDescent="0.2">
      <c r="A228" s="161">
        <v>44083</v>
      </c>
      <c r="B228" s="162">
        <v>1.3028</v>
      </c>
      <c r="C228" s="171">
        <f t="shared" ref="C228:C233" si="28">IFERROR(B228-B227,0)</f>
        <v>8.599999999999941E-3</v>
      </c>
      <c r="D228" s="168" t="str">
        <f t="shared" ref="D228:D233" si="29">IF(C228&lt;0,C228,"/")</f>
        <v>/</v>
      </c>
      <c r="E228" s="168">
        <f ca="1">IF(表2_36716262930381020[[#This Row],[累计净值]]/MAX(INDIRECT("B21:B" &amp; ROW()))-1&lt;E227,表2_36716262930381020[[#This Row],[累计净值]]/MAX(INDIRECT("B21:B" &amp; ROW()))-1,E227)</f>
        <v>-7.1594921493501551E-2</v>
      </c>
      <c r="F228" s="169">
        <f>表2_36716262930381020[[#This Row],[累计净值]]</f>
        <v>1.3028</v>
      </c>
      <c r="G228" s="170">
        <f>表2_36716262930381020[[#This Row],[累计净值]]/$B$21-1</f>
        <v>0.31436642453591612</v>
      </c>
      <c r="H228" s="170">
        <f>表2_36716262930381020[[#This Row],[累计净值]]/$B$156-1</f>
        <v>1.5353440885355729E-2</v>
      </c>
    </row>
    <row r="229" spans="1:10" x14ac:dyDescent="0.2">
      <c r="A229" s="161">
        <v>44084</v>
      </c>
      <c r="B229" s="162">
        <v>1.3033999999999999</v>
      </c>
      <c r="C229" s="171">
        <f t="shared" si="28"/>
        <v>5.9999999999993392E-4</v>
      </c>
      <c r="D229" s="168" t="str">
        <f t="shared" si="29"/>
        <v>/</v>
      </c>
      <c r="E229" s="168">
        <f ca="1">IF(表2_36716262930381020[[#This Row],[累计净值]]/MAX(INDIRECT("B21:B" &amp; ROW()))-1&lt;E228,表2_36716262930381020[[#This Row],[累计净值]]/MAX(INDIRECT("B21:B" &amp; ROW()))-1,E228)</f>
        <v>-7.1594921493501551E-2</v>
      </c>
      <c r="F229" s="169">
        <f>表2_36716262930381020[[#This Row],[累计净值]]</f>
        <v>1.3033999999999999</v>
      </c>
      <c r="G229" s="170">
        <f>表2_36716262930381020[[#This Row],[累计净值]]/$B$21-1</f>
        <v>0.31497175141242928</v>
      </c>
      <c r="H229" s="170">
        <f>表2_36716262930381020[[#This Row],[累计净值]]/$B$156-1</f>
        <v>1.5821058374249963E-2</v>
      </c>
    </row>
    <row r="230" spans="1:10" x14ac:dyDescent="0.2">
      <c r="A230" s="161">
        <v>44085</v>
      </c>
      <c r="B230" s="162">
        <v>1.3141</v>
      </c>
      <c r="C230" s="171">
        <f t="shared" si="28"/>
        <v>1.0700000000000154E-2</v>
      </c>
      <c r="D230" s="168" t="str">
        <f t="shared" si="29"/>
        <v>/</v>
      </c>
      <c r="E230" s="168">
        <f ca="1">IF(表2_36716262930381020[[#This Row],[累计净值]]/MAX(INDIRECT("B21:B" &amp; ROW()))-1&lt;E229,表2_36716262930381020[[#This Row],[累计净值]]/MAX(INDIRECT("B21:B" &amp; ROW()))-1,E229)</f>
        <v>-7.1594921493501551E-2</v>
      </c>
      <c r="F230" s="169">
        <f>表2_36716262930381020[[#This Row],[累计净值]]</f>
        <v>1.3141</v>
      </c>
      <c r="G230" s="170">
        <f>表2_36716262930381020[[#This Row],[累计净值]]/$B$21-1</f>
        <v>0.32576674737691702</v>
      </c>
      <c r="H230" s="170">
        <f>表2_36716262930381020[[#This Row],[累计净值]]/$B$156-1</f>
        <v>2.4160236926194401E-2</v>
      </c>
    </row>
    <row r="231" spans="1:10" x14ac:dyDescent="0.2">
      <c r="A231" s="161">
        <v>44088</v>
      </c>
      <c r="B231" s="162">
        <v>1.3154999999999999</v>
      </c>
      <c r="C231" s="171">
        <f t="shared" si="28"/>
        <v>1.3999999999998458E-3</v>
      </c>
      <c r="D231" s="168" t="str">
        <f t="shared" si="29"/>
        <v>/</v>
      </c>
      <c r="E231" s="168">
        <f ca="1">IF(表2_36716262930381020[[#This Row],[累计净值]]/MAX(INDIRECT("B21:B" &amp; ROW()))-1&lt;E230,表2_36716262930381020[[#This Row],[累计净值]]/MAX(INDIRECT("B21:B" &amp; ROW()))-1,E230)</f>
        <v>-7.1594921493501551E-2</v>
      </c>
      <c r="F231" s="169">
        <f>表2_36716262930381020[[#This Row],[累计净值]]</f>
        <v>1.3154999999999999</v>
      </c>
      <c r="G231" s="170">
        <f>表2_36716262930381020[[#This Row],[累计净值]]/$B$21-1</f>
        <v>0.32717917675544794</v>
      </c>
      <c r="H231" s="170">
        <f>表2_36716262930381020[[#This Row],[累计净值]]/$B$156-1</f>
        <v>2.5251344400280651E-2</v>
      </c>
      <c r="J231" s="120" t="s">
        <v>41</v>
      </c>
    </row>
    <row r="232" spans="1:10" x14ac:dyDescent="0.2">
      <c r="A232" s="161">
        <v>44089</v>
      </c>
      <c r="B232" s="162">
        <v>1.3148</v>
      </c>
      <c r="C232" s="171">
        <f t="shared" si="28"/>
        <v>-6.9999999999992291E-4</v>
      </c>
      <c r="D232" s="168">
        <f t="shared" si="29"/>
        <v>-6.9999999999992291E-4</v>
      </c>
      <c r="E232" s="168">
        <f ca="1">IF(表2_36716262930381020[[#This Row],[累计净值]]/MAX(INDIRECT("B21:B" &amp; ROW()))-1&lt;E231,表2_36716262930381020[[#This Row],[累计净值]]/MAX(INDIRECT("B21:B" &amp; ROW()))-1,E231)</f>
        <v>-7.1594921493501551E-2</v>
      </c>
      <c r="F232" s="169">
        <f>表2_36716262930381020[[#This Row],[累计净值]]</f>
        <v>1.3148</v>
      </c>
      <c r="G232" s="170">
        <f>表2_36716262930381020[[#This Row],[累计净值]]/$B$21-1</f>
        <v>0.32647296206618237</v>
      </c>
      <c r="H232" s="170">
        <f>表2_36716262930381020[[#This Row],[累计净值]]/$B$156-1</f>
        <v>2.4705790663237526E-2</v>
      </c>
    </row>
    <row r="233" spans="1:10" x14ac:dyDescent="0.2">
      <c r="A233" s="161">
        <v>44090</v>
      </c>
      <c r="B233" s="162">
        <v>1.3106</v>
      </c>
      <c r="C233" s="171">
        <f t="shared" si="28"/>
        <v>-4.1999999999999815E-3</v>
      </c>
      <c r="D233" s="168">
        <f t="shared" si="29"/>
        <v>-4.1999999999999815E-3</v>
      </c>
      <c r="E233" s="168">
        <f ca="1">IF(表2_36716262930381020[[#This Row],[累计净值]]/MAX(INDIRECT("B21:B" &amp; ROW()))-1&lt;E232,表2_36716262930381020[[#This Row],[累计净值]]/MAX(INDIRECT("B21:B" &amp; ROW()))-1,E232)</f>
        <v>-7.1594921493501551E-2</v>
      </c>
      <c r="F233" s="169">
        <f>表2_36716262930381020[[#This Row],[累计净值]]</f>
        <v>1.3106</v>
      </c>
      <c r="G233" s="170">
        <f>表2_36716262930381020[[#This Row],[累计净值]]/$B$21-1</f>
        <v>0.32223567393058916</v>
      </c>
      <c r="H233" s="170">
        <f>表2_36716262930381020[[#This Row],[累计净值]]/$B$156-1</f>
        <v>2.1432468240978997E-2</v>
      </c>
    </row>
    <row r="234" spans="1:10" x14ac:dyDescent="0.2">
      <c r="A234" s="161">
        <v>44091</v>
      </c>
      <c r="B234" s="162">
        <v>1.3047</v>
      </c>
      <c r="C234" s="171">
        <f t="shared" ref="C234:C239" si="30">IFERROR(B234-B233,0)</f>
        <v>-5.9000000000000163E-3</v>
      </c>
      <c r="D234" s="168">
        <f t="shared" ref="D234:D239" si="31">IF(C234&lt;0,C234,"/")</f>
        <v>-5.9000000000000163E-3</v>
      </c>
      <c r="E234" s="168">
        <f ca="1">IF(表2_36716262930381020[[#This Row],[累计净值]]/MAX(INDIRECT("B21:B" &amp; ROW()))-1&lt;E233,表2_36716262930381020[[#This Row],[累计净值]]/MAX(INDIRECT("B21:B" &amp; ROW()))-1,E233)</f>
        <v>-7.1594921493501551E-2</v>
      </c>
      <c r="F234" s="169">
        <f>表2_36716262930381020[[#This Row],[累计净值]]</f>
        <v>1.3047</v>
      </c>
      <c r="G234" s="170">
        <f>表2_36716262930381020[[#This Row],[累计净值]]/$B$21-1</f>
        <v>0.31628329297820823</v>
      </c>
      <c r="H234" s="170">
        <f>表2_36716262930381020[[#This Row],[累计净值]]/$B$156-1</f>
        <v>1.6834229600187101E-2</v>
      </c>
    </row>
    <row r="235" spans="1:10" x14ac:dyDescent="0.2">
      <c r="A235" s="161">
        <v>44092</v>
      </c>
      <c r="B235" s="162">
        <v>1.3148</v>
      </c>
      <c r="C235" s="171">
        <f t="shared" si="30"/>
        <v>1.0099999999999998E-2</v>
      </c>
      <c r="D235" s="168" t="str">
        <f t="shared" si="31"/>
        <v>/</v>
      </c>
      <c r="E235" s="168">
        <f ca="1">IF(表2_36716262930381020[[#This Row],[累计净值]]/MAX(INDIRECT("B21:B" &amp; ROW()))-1&lt;E234,表2_36716262930381020[[#This Row],[累计净值]]/MAX(INDIRECT("B21:B" &amp; ROW()))-1,E234)</f>
        <v>-7.1594921493501551E-2</v>
      </c>
      <c r="F235" s="169">
        <f>表2_36716262930381020[[#This Row],[累计净值]]</f>
        <v>1.3148</v>
      </c>
      <c r="G235" s="170">
        <f>表2_36716262930381020[[#This Row],[累计净值]]/$B$21-1</f>
        <v>0.32647296206618237</v>
      </c>
      <c r="H235" s="170">
        <f>表2_36716262930381020[[#This Row],[累计净值]]/$B$156-1</f>
        <v>2.4705790663237526E-2</v>
      </c>
    </row>
    <row r="236" spans="1:10" x14ac:dyDescent="0.2">
      <c r="A236" s="161">
        <v>44095</v>
      </c>
      <c r="B236" s="162">
        <v>1.3157000000000001</v>
      </c>
      <c r="C236" s="171">
        <f t="shared" si="30"/>
        <v>9.0000000000012292E-4</v>
      </c>
      <c r="D236" s="168" t="str">
        <f t="shared" si="31"/>
        <v>/</v>
      </c>
      <c r="E236" s="168">
        <f ca="1">IF(表2_36716262930381020[[#This Row],[累计净值]]/MAX(INDIRECT("B21:B" &amp; ROW()))-1&lt;E235,表2_36716262930381020[[#This Row],[累计净值]]/MAX(INDIRECT("B21:B" &amp; ROW()))-1,E235)</f>
        <v>-7.1594921493501551E-2</v>
      </c>
      <c r="F236" s="169">
        <f>表2_36716262930381020[[#This Row],[累计净值]]</f>
        <v>1.3157000000000001</v>
      </c>
      <c r="G236" s="170">
        <f>表2_36716262930381020[[#This Row],[累计净值]]/$B$21-1</f>
        <v>0.32738095238095255</v>
      </c>
      <c r="H236" s="170">
        <f>表2_36716262930381020[[#This Row],[累计净值]]/$B$156-1</f>
        <v>2.5407216896578655E-2</v>
      </c>
    </row>
    <row r="237" spans="1:10" x14ac:dyDescent="0.2">
      <c r="A237" s="161">
        <v>44096</v>
      </c>
      <c r="B237" s="162">
        <v>1.3236000000000001</v>
      </c>
      <c r="C237" s="171">
        <f t="shared" si="30"/>
        <v>7.9000000000000181E-3</v>
      </c>
      <c r="D237" s="168" t="str">
        <f t="shared" si="31"/>
        <v>/</v>
      </c>
      <c r="E237" s="168">
        <f ca="1">IF(表2_36716262930381020[[#This Row],[累计净值]]/MAX(INDIRECT("B21:B" &amp; ROW()))-1&lt;E236,表2_36716262930381020[[#This Row],[累计净值]]/MAX(INDIRECT("B21:B" &amp; ROW()))-1,E236)</f>
        <v>-7.1594921493501551E-2</v>
      </c>
      <c r="F237" s="169">
        <f>表2_36716262930381020[[#This Row],[累计净值]]</f>
        <v>1.3236000000000001</v>
      </c>
      <c r="G237" s="170">
        <f>表2_36716262930381020[[#This Row],[累计净值]]/$B$21-1</f>
        <v>0.33535108958837778</v>
      </c>
      <c r="H237" s="170">
        <f>表2_36716262930381020[[#This Row],[累计净值]]/$B$156-1</f>
        <v>3.1564180500350814E-2</v>
      </c>
    </row>
    <row r="238" spans="1:10" x14ac:dyDescent="0.2">
      <c r="A238" s="161">
        <v>44097</v>
      </c>
      <c r="B238" s="162">
        <v>1.3241000000000001</v>
      </c>
      <c r="C238" s="171">
        <f t="shared" si="30"/>
        <v>4.9999999999994493E-4</v>
      </c>
      <c r="D238" s="168" t="str">
        <f t="shared" si="31"/>
        <v>/</v>
      </c>
      <c r="E238" s="168">
        <f ca="1">IF(表2_36716262930381020[[#This Row],[累计净值]]/MAX(INDIRECT("B21:B" &amp; ROW()))-1&lt;E237,表2_36716262930381020[[#This Row],[累计净值]]/MAX(INDIRECT("B21:B" &amp; ROW()))-1,E237)</f>
        <v>-7.1594921493501551E-2</v>
      </c>
      <c r="F238" s="169">
        <f>表2_36716262930381020[[#This Row],[累计净值]]</f>
        <v>1.3241000000000001</v>
      </c>
      <c r="G238" s="170">
        <f>表2_36716262930381020[[#This Row],[累计净值]]/$B$21-1</f>
        <v>0.33585552865213897</v>
      </c>
      <c r="H238" s="170">
        <f>表2_36716262930381020[[#This Row],[累计净值]]/$B$156-1</f>
        <v>3.1953861741095935E-2</v>
      </c>
    </row>
    <row r="239" spans="1:10" x14ac:dyDescent="0.2">
      <c r="A239" s="161">
        <v>44098</v>
      </c>
      <c r="B239" s="162">
        <v>1.3084</v>
      </c>
      <c r="C239" s="171">
        <f t="shared" si="30"/>
        <v>-1.5700000000000047E-2</v>
      </c>
      <c r="D239" s="168">
        <f t="shared" si="31"/>
        <v>-1.5700000000000047E-2</v>
      </c>
      <c r="E239" s="168">
        <f ca="1">IF(表2_36716262930381020[[#This Row],[累计净值]]/MAX(INDIRECT("B21:B" &amp; ROW()))-1&lt;E238,表2_36716262930381020[[#This Row],[累计净值]]/MAX(INDIRECT("B21:B" &amp; ROW()))-1,E238)</f>
        <v>-7.1594921493501551E-2</v>
      </c>
      <c r="F239" s="169">
        <f>表2_36716262930381020[[#This Row],[累计净值]]</f>
        <v>1.3084</v>
      </c>
      <c r="G239" s="170">
        <f>表2_36716262930381020[[#This Row],[累计净值]]/$B$21-1</f>
        <v>0.32001614205004048</v>
      </c>
      <c r="H239" s="170">
        <f>表2_36716262930381020[[#This Row],[累计净值]]/$B$156-1</f>
        <v>1.971787078170073E-2</v>
      </c>
    </row>
    <row r="240" spans="1:10" x14ac:dyDescent="0.2">
      <c r="A240" s="161">
        <v>44099</v>
      </c>
      <c r="B240" s="162">
        <v>1.3028</v>
      </c>
      <c r="C240" s="171">
        <f t="shared" ref="C240:C245" si="32">IFERROR(B240-B239,0)</f>
        <v>-5.6000000000000494E-3</v>
      </c>
      <c r="D240" s="168">
        <f t="shared" ref="D240:D245" si="33">IF(C240&lt;0,C240,"/")</f>
        <v>-5.6000000000000494E-3</v>
      </c>
      <c r="E240" s="168">
        <f ca="1">IF(表2_36716262930381020[[#This Row],[累计净值]]/MAX(INDIRECT("B21:B" &amp; ROW()))-1&lt;E239,表2_36716262930381020[[#This Row],[累计净值]]/MAX(INDIRECT("B21:B" &amp; ROW()))-1,E239)</f>
        <v>-7.1594921493501551E-2</v>
      </c>
      <c r="F240" s="169">
        <f>表2_36716262930381020[[#This Row],[累计净值]]</f>
        <v>1.3028</v>
      </c>
      <c r="G240" s="170">
        <f>表2_36716262930381020[[#This Row],[累计净值]]/$B$21-1</f>
        <v>0.31436642453591612</v>
      </c>
      <c r="H240" s="170">
        <f>表2_36716262930381020[[#This Row],[累计净值]]/$B$156-1</f>
        <v>1.5353440885355729E-2</v>
      </c>
    </row>
    <row r="241" spans="1:8" x14ac:dyDescent="0.2">
      <c r="A241" s="161">
        <v>44102</v>
      </c>
      <c r="B241" s="162">
        <v>1.3030999999999999</v>
      </c>
      <c r="C241" s="171">
        <f t="shared" si="32"/>
        <v>2.9999999999996696E-4</v>
      </c>
      <c r="D241" s="168" t="str">
        <f t="shared" si="33"/>
        <v>/</v>
      </c>
      <c r="E241" s="168">
        <f ca="1">IF(表2_36716262930381020[[#This Row],[累计净值]]/MAX(INDIRECT("B21:B" &amp; ROW()))-1&lt;E240,表2_36716262930381020[[#This Row],[累计净值]]/MAX(INDIRECT("B21:B" &amp; ROW()))-1,E240)</f>
        <v>-7.1594921493501551E-2</v>
      </c>
      <c r="F241" s="169">
        <f>表2_36716262930381020[[#This Row],[累计净值]]</f>
        <v>1.3030999999999999</v>
      </c>
      <c r="G241" s="170">
        <f>表2_36716262930381020[[#This Row],[累计净值]]/$B$21-1</f>
        <v>0.3146690879741727</v>
      </c>
      <c r="H241" s="170">
        <f>表2_36716262930381020[[#This Row],[累计净值]]/$B$156-1</f>
        <v>1.5587249629802846E-2</v>
      </c>
    </row>
    <row r="242" spans="1:8" x14ac:dyDescent="0.2">
      <c r="A242" s="161">
        <v>44103</v>
      </c>
      <c r="B242" s="162">
        <v>1.3063</v>
      </c>
      <c r="C242" s="171">
        <f t="shared" si="32"/>
        <v>3.2000000000000917E-3</v>
      </c>
      <c r="D242" s="168" t="str">
        <f t="shared" si="33"/>
        <v>/</v>
      </c>
      <c r="E242" s="168">
        <f ca="1">IF(表2_36716262930381020[[#This Row],[累计净值]]/MAX(INDIRECT("B21:B" &amp; ROW()))-1&lt;E241,表2_36716262930381020[[#This Row],[累计净值]]/MAX(INDIRECT("B21:B" &amp; ROW()))-1,E241)</f>
        <v>-7.1594921493501551E-2</v>
      </c>
      <c r="F242" s="169">
        <f>表2_36716262930381020[[#This Row],[累计净值]]</f>
        <v>1.3063</v>
      </c>
      <c r="G242" s="170">
        <f>表2_36716262930381020[[#This Row],[累计净值]]/$B$21-1</f>
        <v>0.31789749798224376</v>
      </c>
      <c r="H242" s="170">
        <f>表2_36716262930381020[[#This Row],[累计净值]]/$B$156-1</f>
        <v>1.8081209570571355E-2</v>
      </c>
    </row>
    <row r="243" spans="1:8" x14ac:dyDescent="0.2">
      <c r="A243" s="161">
        <v>44104</v>
      </c>
      <c r="B243" s="162">
        <v>1.3069999999999999</v>
      </c>
      <c r="C243" s="171">
        <f t="shared" si="32"/>
        <v>6.9999999999992291E-4</v>
      </c>
      <c r="D243" s="168" t="str">
        <f t="shared" si="33"/>
        <v>/</v>
      </c>
      <c r="E243" s="168">
        <f ca="1">IF(表2_36716262930381020[[#This Row],[累计净值]]/MAX(INDIRECT("B21:B" &amp; ROW()))-1&lt;E242,表2_36716262930381020[[#This Row],[累计净值]]/MAX(INDIRECT("B21:B" &amp; ROW()))-1,E242)</f>
        <v>-7.1594921493501551E-2</v>
      </c>
      <c r="F243" s="169">
        <f>表2_36716262930381020[[#This Row],[累计净值]]</f>
        <v>1.3069999999999999</v>
      </c>
      <c r="G243" s="170">
        <f>表2_36716262930381020[[#This Row],[累计净值]]/$B$21-1</f>
        <v>0.31860371267150933</v>
      </c>
      <c r="H243" s="170">
        <f>表2_36716262930381020[[#This Row],[累计净值]]/$B$156-1</f>
        <v>1.862676330761448E-2</v>
      </c>
    </row>
    <row r="244" spans="1:8" x14ac:dyDescent="0.2">
      <c r="A244" s="161">
        <v>44113</v>
      </c>
      <c r="B244" s="162">
        <v>1.3249</v>
      </c>
      <c r="C244" s="171">
        <f t="shared" si="32"/>
        <v>1.7900000000000027E-2</v>
      </c>
      <c r="D244" s="168" t="str">
        <f t="shared" si="33"/>
        <v>/</v>
      </c>
      <c r="E244" s="168">
        <f ca="1">IF(表2_36716262930381020[[#This Row],[累计净值]]/MAX(INDIRECT("B21:B" &amp; ROW()))-1&lt;E243,表2_36716262930381020[[#This Row],[累计净值]]/MAX(INDIRECT("B21:B" &amp; ROW()))-1,E243)</f>
        <v>-7.1594921493501551E-2</v>
      </c>
      <c r="F244" s="169">
        <f>表2_36716262930381020[[#This Row],[累计净值]]</f>
        <v>1.3249</v>
      </c>
      <c r="G244" s="170">
        <f>表2_36716262930381020[[#This Row],[累计净值]]/$B$21-1</f>
        <v>0.33666263115415651</v>
      </c>
      <c r="H244" s="170">
        <f>表2_36716262930381020[[#This Row],[累计净值]]/$B$156-1</f>
        <v>3.2577351726287951E-2</v>
      </c>
    </row>
    <row r="245" spans="1:8" x14ac:dyDescent="0.2">
      <c r="A245" s="161">
        <v>44116</v>
      </c>
      <c r="B245" s="162">
        <v>1.3178000000000001</v>
      </c>
      <c r="C245" s="171">
        <f t="shared" si="32"/>
        <v>-7.0999999999998842E-3</v>
      </c>
      <c r="D245" s="168">
        <f t="shared" si="33"/>
        <v>-7.0999999999998842E-3</v>
      </c>
      <c r="E245" s="168">
        <f ca="1">IF(表2_36716262930381020[[#This Row],[累计净值]]/MAX(INDIRECT("B21:B" &amp; ROW()))-1&lt;E244,表2_36716262930381020[[#This Row],[累计净值]]/MAX(INDIRECT("B21:B" &amp; ROW()))-1,E244)</f>
        <v>-7.1594921493501551E-2</v>
      </c>
      <c r="F245" s="169">
        <f>表2_36716262930381020[[#This Row],[累计净值]]</f>
        <v>1.3178000000000001</v>
      </c>
      <c r="G245" s="170">
        <f>表2_36716262930381020[[#This Row],[累计净值]]/$B$21-1</f>
        <v>0.32949959644874904</v>
      </c>
      <c r="H245" s="170">
        <f>表2_36716262930381020[[#This Row],[累计净值]]/$B$156-1</f>
        <v>2.704387810770803E-2</v>
      </c>
    </row>
    <row r="246" spans="1:8" x14ac:dyDescent="0.2">
      <c r="A246" s="161">
        <v>44117</v>
      </c>
      <c r="B246" s="162">
        <v>1.3231999999999999</v>
      </c>
      <c r="C246" s="171">
        <f t="shared" ref="C246:C251" si="34">IFERROR(B246-B245,0)</f>
        <v>5.3999999999998494E-3</v>
      </c>
      <c r="D246" s="168" t="str">
        <f t="shared" ref="D246:D251" si="35">IF(C246&lt;0,C246,"/")</f>
        <v>/</v>
      </c>
      <c r="E246" s="168">
        <f ca="1">IF(表2_36716262930381020[[#This Row],[累计净值]]/MAX(INDIRECT("B21:B" &amp; ROW()))-1&lt;E245,表2_36716262930381020[[#This Row],[累计净值]]/MAX(INDIRECT("B21:B" &amp; ROW()))-1,E245)</f>
        <v>-7.1594921493501551E-2</v>
      </c>
      <c r="F246" s="169">
        <f>表2_36716262930381020[[#This Row],[累计净值]]</f>
        <v>1.3231999999999999</v>
      </c>
      <c r="G246" s="170">
        <f>表2_36716262930381020[[#This Row],[累计净值]]/$B$21-1</f>
        <v>0.33494753833736879</v>
      </c>
      <c r="H246" s="170">
        <f>表2_36716262930381020[[#This Row],[累计净值]]/$B$156-1</f>
        <v>3.1252435507754583E-2</v>
      </c>
    </row>
    <row r="247" spans="1:8" x14ac:dyDescent="0.2">
      <c r="A247" s="161">
        <v>44118</v>
      </c>
      <c r="B247" s="162">
        <v>1.3172999999999999</v>
      </c>
      <c r="C247" s="171">
        <f t="shared" si="34"/>
        <v>-5.9000000000000163E-3</v>
      </c>
      <c r="D247" s="168">
        <f t="shared" si="35"/>
        <v>-5.9000000000000163E-3</v>
      </c>
      <c r="E247" s="168">
        <f ca="1">IF(表2_36716262930381020[[#This Row],[累计净值]]/MAX(INDIRECT("B21:B" &amp; ROW()))-1&lt;E246,表2_36716262930381020[[#This Row],[累计净值]]/MAX(INDIRECT("B21:B" &amp; ROW()))-1,E246)</f>
        <v>-7.1594921493501551E-2</v>
      </c>
      <c r="F247" s="169">
        <f>表2_36716262930381020[[#This Row],[累计净值]]</f>
        <v>1.3172999999999999</v>
      </c>
      <c r="G247" s="170">
        <f>表2_36716262930381020[[#This Row],[累计净值]]/$B$21-1</f>
        <v>0.32899515738498786</v>
      </c>
      <c r="H247" s="170">
        <f>表2_36716262930381020[[#This Row],[累计净值]]/$B$156-1</f>
        <v>2.6654196866962909E-2</v>
      </c>
    </row>
    <row r="248" spans="1:8" x14ac:dyDescent="0.2">
      <c r="A248" s="161">
        <v>44119</v>
      </c>
      <c r="B248" s="162">
        <v>1.3072999999999999</v>
      </c>
      <c r="C248" s="171">
        <f t="shared" si="34"/>
        <v>-1.0000000000000009E-2</v>
      </c>
      <c r="D248" s="168">
        <f t="shared" si="35"/>
        <v>-1.0000000000000009E-2</v>
      </c>
      <c r="E248" s="168">
        <f ca="1">IF(表2_36716262930381020[[#This Row],[累计净值]]/MAX(INDIRECT("B21:B" &amp; ROW()))-1&lt;E247,表2_36716262930381020[[#This Row],[累计净值]]/MAX(INDIRECT("B21:B" &amp; ROW()))-1,E247)</f>
        <v>-7.1594921493501551E-2</v>
      </c>
      <c r="F248" s="169">
        <f>表2_36716262930381020[[#This Row],[累计净值]]</f>
        <v>1.3072999999999999</v>
      </c>
      <c r="G248" s="170">
        <f>表2_36716262930381020[[#This Row],[累计净值]]/$B$21-1</f>
        <v>0.31890637610976591</v>
      </c>
      <c r="H248" s="170">
        <f>表2_36716262930381020[[#This Row],[累计净值]]/$B$156-1</f>
        <v>1.8860572052061375E-2</v>
      </c>
    </row>
    <row r="249" spans="1:8" x14ac:dyDescent="0.2">
      <c r="A249" s="161">
        <v>44120</v>
      </c>
      <c r="B249" s="162">
        <v>1.2968</v>
      </c>
      <c r="C249" s="171">
        <f t="shared" si="34"/>
        <v>-1.0499999999999954E-2</v>
      </c>
      <c r="D249" s="168">
        <f t="shared" si="35"/>
        <v>-1.0499999999999954E-2</v>
      </c>
      <c r="E249" s="168">
        <f ca="1">IF(表2_36716262930381020[[#This Row],[累计净值]]/MAX(INDIRECT("B21:B" &amp; ROW()))-1&lt;E248,表2_36716262930381020[[#This Row],[累计净值]]/MAX(INDIRECT("B21:B" &amp; ROW()))-1,E248)</f>
        <v>-7.1594921493501551E-2</v>
      </c>
      <c r="F249" s="169">
        <f>表2_36716262930381020[[#This Row],[累计净值]]</f>
        <v>1.2968</v>
      </c>
      <c r="G249" s="170">
        <f>表2_36716262930381020[[#This Row],[累计净值]]/$B$21-1</f>
        <v>0.30831315577078278</v>
      </c>
      <c r="H249" s="170">
        <f>表2_36716262930381020[[#This Row],[累计净值]]/$B$156-1</f>
        <v>1.0677265996414942E-2</v>
      </c>
    </row>
    <row r="250" spans="1:8" x14ac:dyDescent="0.2">
      <c r="A250" s="161">
        <v>44123</v>
      </c>
      <c r="B250" s="162">
        <v>1.2947</v>
      </c>
      <c r="C250" s="171">
        <f t="shared" si="34"/>
        <v>-2.0999999999999908E-3</v>
      </c>
      <c r="D250" s="168">
        <f t="shared" si="35"/>
        <v>-2.0999999999999908E-3</v>
      </c>
      <c r="E250" s="168">
        <f ca="1">IF(表2_36716262930381020[[#This Row],[累计净值]]/MAX(INDIRECT("B21:B" &amp; ROW()))-1&lt;E249,表2_36716262930381020[[#This Row],[累计净值]]/MAX(INDIRECT("B21:B" &amp; ROW()))-1,E249)</f>
        <v>-7.1594921493501551E-2</v>
      </c>
      <c r="F250" s="169">
        <f>表2_36716262930381020[[#This Row],[累计净值]]</f>
        <v>1.2947</v>
      </c>
      <c r="G250" s="170">
        <f>表2_36716262930381020[[#This Row],[累计净值]]/$B$21-1</f>
        <v>0.30619451170298628</v>
      </c>
      <c r="H250" s="170">
        <f>表2_36716262930381020[[#This Row],[累计净值]]/$B$156-1</f>
        <v>9.0406047852857885E-3</v>
      </c>
    </row>
    <row r="251" spans="1:8" x14ac:dyDescent="0.2">
      <c r="A251" s="161">
        <v>44124</v>
      </c>
      <c r="B251" s="162">
        <v>1.2962</v>
      </c>
      <c r="C251" s="171">
        <f t="shared" si="34"/>
        <v>1.5000000000000568E-3</v>
      </c>
      <c r="D251" s="168" t="str">
        <f t="shared" si="35"/>
        <v>/</v>
      </c>
      <c r="E251" s="168">
        <f ca="1">IF(表2_36716262930381020[[#This Row],[累计净值]]/MAX(INDIRECT("B21:B" &amp; ROW()))-1&lt;E250,表2_36716262930381020[[#This Row],[累计净值]]/MAX(INDIRECT("B21:B" &amp; ROW()))-1,E250)</f>
        <v>-7.1594921493501551E-2</v>
      </c>
      <c r="F251" s="169">
        <f>表2_36716262930381020[[#This Row],[累计净值]]</f>
        <v>1.2962</v>
      </c>
      <c r="G251" s="170">
        <f>表2_36716262930381020[[#This Row],[累计净值]]/$B$21-1</f>
        <v>0.30770782889426962</v>
      </c>
      <c r="H251" s="170">
        <f>表2_36716262930381020[[#This Row],[累计净值]]/$B$156-1</f>
        <v>1.020964850752093E-2</v>
      </c>
    </row>
    <row r="252" spans="1:8" x14ac:dyDescent="0.2">
      <c r="A252" s="161">
        <v>44125</v>
      </c>
      <c r="B252" s="162">
        <v>1.2883</v>
      </c>
      <c r="C252" s="171">
        <f t="shared" ref="C252:C257" si="36">IFERROR(B252-B251,0)</f>
        <v>-7.9000000000000181E-3</v>
      </c>
      <c r="D252" s="168">
        <f t="shared" ref="D252:D257" si="37">IF(C252&lt;0,C252,"/")</f>
        <v>-7.9000000000000181E-3</v>
      </c>
      <c r="E252" s="168">
        <f ca="1">IF(表2_36716262930381020[[#This Row],[累计净值]]/MAX(INDIRECT("B21:B" &amp; ROW()))-1&lt;E251,表2_36716262930381020[[#This Row],[累计净值]]/MAX(INDIRECT("B21:B" &amp; ROW()))-1,E251)</f>
        <v>-7.1594921493501551E-2</v>
      </c>
      <c r="F252" s="169">
        <f>表2_36716262930381020[[#This Row],[累计净值]]</f>
        <v>1.2883</v>
      </c>
      <c r="G252" s="170">
        <f>表2_36716262930381020[[#This Row],[累计净值]]/$B$21-1</f>
        <v>0.29973769168684417</v>
      </c>
      <c r="H252" s="170">
        <f>表2_36716262930381020[[#This Row],[累计净值]]/$B$156-1</f>
        <v>4.0526849037487711E-3</v>
      </c>
    </row>
    <row r="253" spans="1:8" x14ac:dyDescent="0.2">
      <c r="A253" s="161">
        <v>44126</v>
      </c>
      <c r="B253" s="162">
        <v>1.2882</v>
      </c>
      <c r="C253" s="171">
        <f t="shared" si="36"/>
        <v>-9.9999999999988987E-5</v>
      </c>
      <c r="D253" s="168">
        <f t="shared" si="37"/>
        <v>-9.9999999999988987E-5</v>
      </c>
      <c r="E253" s="168">
        <f ca="1">IF(表2_36716262930381020[[#This Row],[累计净值]]/MAX(INDIRECT("B21:B" &amp; ROW()))-1&lt;E252,表2_36716262930381020[[#This Row],[累计净值]]/MAX(INDIRECT("B21:B" &amp; ROW()))-1,E252)</f>
        <v>-7.1594921493501551E-2</v>
      </c>
      <c r="F253" s="169">
        <f>表2_36716262930381020[[#This Row],[累计净值]]</f>
        <v>1.2882</v>
      </c>
      <c r="G253" s="170">
        <f>表2_36716262930381020[[#This Row],[累计净值]]/$B$21-1</f>
        <v>0.29963680387409197</v>
      </c>
      <c r="H253" s="170">
        <f>表2_36716262930381020[[#This Row],[累计净值]]/$B$156-1</f>
        <v>3.9747486555998801E-3</v>
      </c>
    </row>
    <row r="254" spans="1:8" x14ac:dyDescent="0.2">
      <c r="A254" s="161">
        <v>44127</v>
      </c>
      <c r="B254" s="162">
        <v>1.2841</v>
      </c>
      <c r="C254" s="171">
        <f t="shared" si="36"/>
        <v>-4.0999999999999925E-3</v>
      </c>
      <c r="D254" s="168">
        <f t="shared" si="37"/>
        <v>-4.0999999999999925E-3</v>
      </c>
      <c r="E254" s="168">
        <f ca="1">IF(表2_36716262930381020[[#This Row],[累计净值]]/MAX(INDIRECT("B21:B" &amp; ROW()))-1&lt;E253,表2_36716262930381020[[#This Row],[累计净值]]/MAX(INDIRECT("B21:B" &amp; ROW()))-1,E253)</f>
        <v>-7.1594921493501551E-2</v>
      </c>
      <c r="F254" s="169">
        <f>表2_36716262930381020[[#This Row],[累计净值]]</f>
        <v>1.2841</v>
      </c>
      <c r="G254" s="170">
        <f>表2_36716262930381020[[#This Row],[累计净值]]/$B$21-1</f>
        <v>0.29550040355125118</v>
      </c>
      <c r="H254" s="170">
        <f>表2_36716262930381020[[#This Row],[累计净值]]/$B$156-1</f>
        <v>7.7936248149024223E-4</v>
      </c>
    </row>
    <row r="255" spans="1:8" x14ac:dyDescent="0.2">
      <c r="A255" s="161">
        <v>44130</v>
      </c>
      <c r="B255" s="162">
        <v>1.2859</v>
      </c>
      <c r="C255" s="171">
        <f t="shared" si="36"/>
        <v>1.8000000000000238E-3</v>
      </c>
      <c r="D255" s="168" t="str">
        <f t="shared" si="37"/>
        <v>/</v>
      </c>
      <c r="E255" s="168">
        <f ca="1">IF(表2_36716262930381020[[#This Row],[累计净值]]/MAX(INDIRECT("B21:B" &amp; ROW()))-1&lt;E254,表2_36716262930381020[[#This Row],[累计净值]]/MAX(INDIRECT("B21:B" &amp; ROW()))-1,E254)</f>
        <v>-7.1594921493501551E-2</v>
      </c>
      <c r="F255" s="169">
        <f>表2_36716262930381020[[#This Row],[累计净值]]</f>
        <v>1.2859</v>
      </c>
      <c r="G255" s="170">
        <f>表2_36716262930381020[[#This Row],[累计净值]]/$B$21-1</f>
        <v>0.29731638418079109</v>
      </c>
      <c r="H255" s="170">
        <f>表2_36716262930381020[[#This Row],[累计净值]]/$B$156-1</f>
        <v>2.1822149481725006E-3</v>
      </c>
    </row>
    <row r="256" spans="1:8" x14ac:dyDescent="0.2">
      <c r="A256" s="161">
        <v>44131</v>
      </c>
      <c r="B256" s="162">
        <v>1.2924</v>
      </c>
      <c r="C256" s="171">
        <f t="shared" si="36"/>
        <v>6.4999999999999503E-3</v>
      </c>
      <c r="D256" s="168" t="str">
        <f t="shared" si="37"/>
        <v>/</v>
      </c>
      <c r="E256" s="168">
        <f ca="1">IF(表2_36716262930381020[[#This Row],[累计净值]]/MAX(INDIRECT("B21:B" &amp; ROW()))-1&lt;E255,表2_36716262930381020[[#This Row],[累计净值]]/MAX(INDIRECT("B21:B" &amp; ROW()))-1,E255)</f>
        <v>-7.1594921493501551E-2</v>
      </c>
      <c r="F256" s="169">
        <f>表2_36716262930381020[[#This Row],[累计净值]]</f>
        <v>1.2924</v>
      </c>
      <c r="G256" s="170">
        <f>表2_36716262930381020[[#This Row],[累计净值]]/$B$21-1</f>
        <v>0.30387409200968518</v>
      </c>
      <c r="H256" s="170">
        <f>表2_36716262930381020[[#This Row],[累计净值]]/$B$156-1</f>
        <v>7.248071077858409E-3</v>
      </c>
    </row>
    <row r="257" spans="1:8" x14ac:dyDescent="0.2">
      <c r="A257" s="161">
        <v>44132</v>
      </c>
      <c r="B257" s="162">
        <v>1.3041</v>
      </c>
      <c r="C257" s="171">
        <f t="shared" si="36"/>
        <v>1.1700000000000044E-2</v>
      </c>
      <c r="D257" s="168" t="str">
        <f t="shared" si="37"/>
        <v>/</v>
      </c>
      <c r="E257" s="168">
        <f ca="1">IF(表2_36716262930381020[[#This Row],[累计净值]]/MAX(INDIRECT("B21:B" &amp; ROW()))-1&lt;E256,表2_36716262930381020[[#This Row],[累计净值]]/MAX(INDIRECT("B21:B" &amp; ROW()))-1,E256)</f>
        <v>-7.1594921493501551E-2</v>
      </c>
      <c r="F257" s="169">
        <f>表2_36716262930381020[[#This Row],[累计净值]]</f>
        <v>1.3041</v>
      </c>
      <c r="G257" s="170">
        <f>表2_36716262930381020[[#This Row],[累计净值]]/$B$21-1</f>
        <v>0.31567796610169507</v>
      </c>
      <c r="H257" s="170">
        <f>表2_36716262930381020[[#This Row],[累计净值]]/$B$156-1</f>
        <v>1.6366612111293088E-2</v>
      </c>
    </row>
    <row r="258" spans="1:8" x14ac:dyDescent="0.2">
      <c r="A258" s="161">
        <v>44133</v>
      </c>
      <c r="B258" s="162">
        <v>1.3145</v>
      </c>
      <c r="C258" s="171">
        <f>IFERROR(B258-B257,0)</f>
        <v>1.0399999999999965E-2</v>
      </c>
      <c r="D258" s="168" t="str">
        <f>IF(C258&lt;0,C258,"/")</f>
        <v>/</v>
      </c>
      <c r="E258" s="168">
        <f ca="1">IF(表2_36716262930381020[[#This Row],[累计净值]]/MAX(INDIRECT("B21:B" &amp; ROW()))-1&lt;E257,表2_36716262930381020[[#This Row],[累计净值]]/MAX(INDIRECT("B21:B" &amp; ROW()))-1,E257)</f>
        <v>-7.1594921493501551E-2</v>
      </c>
      <c r="F258" s="169">
        <f>表2_36716262930381020[[#This Row],[累计净值]]</f>
        <v>1.3145</v>
      </c>
      <c r="G258" s="170">
        <f>表2_36716262930381020[[#This Row],[累计净值]]/$B$21-1</f>
        <v>0.32617029862792579</v>
      </c>
      <c r="H258" s="170">
        <f>表2_36716262930381020[[#This Row],[累计净值]]/$B$156-1</f>
        <v>2.4471981918790409E-2</v>
      </c>
    </row>
    <row r="259" spans="1:8" x14ac:dyDescent="0.2">
      <c r="A259" s="161">
        <v>44134</v>
      </c>
      <c r="B259" s="162">
        <v>1.3226</v>
      </c>
      <c r="C259" s="171">
        <f t="shared" ref="C259:C261" si="38">IFERROR(B259-B258,0)</f>
        <v>8.0999999999999961E-3</v>
      </c>
      <c r="D259" s="168" t="str">
        <f t="shared" ref="D259:D261" si="39">IF(C259&lt;0,C259,"/")</f>
        <v>/</v>
      </c>
      <c r="E259" s="168">
        <f ca="1">IF(表2_36716262930381020[[#This Row],[累计净值]]/MAX(INDIRECT("B21:B" &amp; ROW()))-1&lt;E258,表2_36716262930381020[[#This Row],[累计净值]]/MAX(INDIRECT("B21:B" &amp; ROW()))-1,E258)</f>
        <v>-7.1594921493501551E-2</v>
      </c>
      <c r="F259" s="169">
        <f>表2_36716262930381020[[#This Row],[累计净值]]</f>
        <v>1.3226</v>
      </c>
      <c r="G259" s="170">
        <f>表2_36716262930381020[[#This Row],[累计净值]]/$B$21-1</f>
        <v>0.33434221146085563</v>
      </c>
      <c r="H259" s="170">
        <f>表2_36716262930381020[[#This Row],[累计净值]]/$B$156-1</f>
        <v>3.0784818018860571E-2</v>
      </c>
    </row>
    <row r="260" spans="1:8" x14ac:dyDescent="0.2">
      <c r="A260" s="161">
        <v>44137</v>
      </c>
      <c r="B260" s="162">
        <v>1.3232999999999999</v>
      </c>
      <c r="C260" s="171">
        <f t="shared" si="38"/>
        <v>6.9999999999992291E-4</v>
      </c>
      <c r="D260" s="168" t="str">
        <f t="shared" si="39"/>
        <v>/</v>
      </c>
      <c r="E260" s="168">
        <f ca="1">IF(表2_36716262930381020[[#This Row],[累计净值]]/MAX(INDIRECT("B21:B" &amp; ROW()))-1&lt;E259,表2_36716262930381020[[#This Row],[累计净值]]/MAX(INDIRECT("B21:B" &amp; ROW()))-1,E259)</f>
        <v>-7.1594921493501551E-2</v>
      </c>
      <c r="F260" s="169">
        <f>表2_36716262930381020[[#This Row],[累计净值]]</f>
        <v>1.3232999999999999</v>
      </c>
      <c r="G260" s="170">
        <f>表2_36716262930381020[[#This Row],[累计净值]]/$B$21-1</f>
        <v>0.33504842615012098</v>
      </c>
      <c r="H260" s="170">
        <f>表2_36716262930381020[[#This Row],[累计净值]]/$B$156-1</f>
        <v>3.1330371755903696E-2</v>
      </c>
    </row>
    <row r="261" spans="1:8" x14ac:dyDescent="0.2">
      <c r="A261" s="161">
        <v>44138</v>
      </c>
      <c r="B261" s="162">
        <v>1.3107</v>
      </c>
      <c r="C261" s="171">
        <f t="shared" si="38"/>
        <v>-1.2599999999999945E-2</v>
      </c>
      <c r="D261" s="168">
        <f t="shared" si="39"/>
        <v>-1.2599999999999945E-2</v>
      </c>
      <c r="E261" s="168">
        <f ca="1">IF(表2_36716262930381020[[#This Row],[累计净值]]/MAX(INDIRECT("B21:B" &amp; ROW()))-1&lt;E260,表2_36716262930381020[[#This Row],[累计净值]]/MAX(INDIRECT("B21:B" &amp; ROW()))-1,E260)</f>
        <v>-7.1594921493501551E-2</v>
      </c>
      <c r="F261" s="169">
        <f>表2_36716262930381020[[#This Row],[累计净值]]</f>
        <v>1.3107</v>
      </c>
      <c r="G261" s="170">
        <f>表2_36716262930381020[[#This Row],[累计净值]]/$B$21-1</f>
        <v>0.32233656174334135</v>
      </c>
      <c r="H261" s="170">
        <f>表2_36716262930381020[[#This Row],[累计净值]]/$B$156-1</f>
        <v>2.1510404489127888E-2</v>
      </c>
    </row>
    <row r="262" spans="1:8" x14ac:dyDescent="0.2">
      <c r="A262" s="161">
        <v>44139</v>
      </c>
      <c r="B262" s="162">
        <v>1.3105</v>
      </c>
      <c r="C262" s="171">
        <f t="shared" ref="C262:C267" si="40">IFERROR(B262-B261,0)</f>
        <v>-1.9999999999997797E-4</v>
      </c>
      <c r="D262" s="168">
        <f t="shared" ref="D262:D267" si="41">IF(C262&lt;0,C262,"/")</f>
        <v>-1.9999999999997797E-4</v>
      </c>
      <c r="E262" s="168">
        <f ca="1">IF(表2_36716262930381020[[#This Row],[累计净值]]/MAX(INDIRECT("B21:B" &amp; ROW()))-1&lt;E261,表2_36716262930381020[[#This Row],[累计净值]]/MAX(INDIRECT("B21:B" &amp; ROW()))-1,E261)</f>
        <v>-7.1594921493501551E-2</v>
      </c>
      <c r="F262" s="169">
        <f>表2_36716262930381020[[#This Row],[累计净值]]</f>
        <v>1.3105</v>
      </c>
      <c r="G262" s="170">
        <f>表2_36716262930381020[[#This Row],[累计净值]]/$B$21-1</f>
        <v>0.32213478611783697</v>
      </c>
      <c r="H262" s="170">
        <f>表2_36716262930381020[[#This Row],[累计净值]]/$B$156-1</f>
        <v>2.1354531992829884E-2</v>
      </c>
    </row>
    <row r="263" spans="1:8" x14ac:dyDescent="0.2">
      <c r="A263" s="161">
        <v>44140</v>
      </c>
      <c r="B263" s="162">
        <v>1.3119000000000001</v>
      </c>
      <c r="C263" s="171">
        <f t="shared" si="40"/>
        <v>1.4000000000000679E-3</v>
      </c>
      <c r="D263" s="168" t="str">
        <f t="shared" si="41"/>
        <v>/</v>
      </c>
      <c r="E263" s="168">
        <f ca="1">IF(表2_36716262930381020[[#This Row],[累计净值]]/MAX(INDIRECT("B21:B" &amp; ROW()))-1&lt;E262,表2_36716262930381020[[#This Row],[累计净值]]/MAX(INDIRECT("B21:B" &amp; ROW()))-1,E262)</f>
        <v>-7.1594921493501551E-2</v>
      </c>
      <c r="F263" s="169">
        <f>表2_36716262930381020[[#This Row],[累计净值]]</f>
        <v>1.3119000000000001</v>
      </c>
      <c r="G263" s="170">
        <f>表2_36716262930381020[[#This Row],[累计净值]]/$B$21-1</f>
        <v>0.32354721549636811</v>
      </c>
      <c r="H263" s="170">
        <f>表2_36716262930381020[[#This Row],[累计净值]]/$B$156-1</f>
        <v>2.2445639466916134E-2</v>
      </c>
    </row>
    <row r="264" spans="1:8" x14ac:dyDescent="0.2">
      <c r="A264" s="161">
        <v>44141</v>
      </c>
      <c r="B264" s="162">
        <v>1.3204</v>
      </c>
      <c r="C264" s="171">
        <f t="shared" si="40"/>
        <v>8.499999999999952E-3</v>
      </c>
      <c r="D264" s="168" t="str">
        <f t="shared" si="41"/>
        <v>/</v>
      </c>
      <c r="E264" s="168">
        <f ca="1">IF(表2_36716262930381020[[#This Row],[累计净值]]/MAX(INDIRECT("B21:B" &amp; ROW()))-1&lt;E263,表2_36716262930381020[[#This Row],[累计净值]]/MAX(INDIRECT("B21:B" &amp; ROW()))-1,E263)</f>
        <v>-7.1594921493501551E-2</v>
      </c>
      <c r="F264" s="169">
        <f>表2_36716262930381020[[#This Row],[累计净值]]</f>
        <v>1.3204</v>
      </c>
      <c r="G264" s="170">
        <f>表2_36716262930381020[[#This Row],[累计净值]]/$B$21-1</f>
        <v>0.33212267958030672</v>
      </c>
      <c r="H264" s="170">
        <f>表2_36716262930381020[[#This Row],[累计净值]]/$B$156-1</f>
        <v>2.9070220559582305E-2</v>
      </c>
    </row>
    <row r="265" spans="1:8" x14ac:dyDescent="0.2">
      <c r="A265" s="161">
        <v>44144</v>
      </c>
      <c r="B265" s="162">
        <v>1.3144</v>
      </c>
      <c r="C265" s="171">
        <f t="shared" si="40"/>
        <v>-6.0000000000000053E-3</v>
      </c>
      <c r="D265" s="168">
        <f t="shared" si="41"/>
        <v>-6.0000000000000053E-3</v>
      </c>
      <c r="E265" s="168">
        <f ca="1">IF(表2_36716262930381020[[#This Row],[累计净值]]/MAX(INDIRECT("B21:B" &amp; ROW()))-1&lt;E264,表2_36716262930381020[[#This Row],[累计净值]]/MAX(INDIRECT("B21:B" &amp; ROW()))-1,E264)</f>
        <v>-7.1594921493501551E-2</v>
      </c>
      <c r="F265" s="169">
        <f>表2_36716262930381020[[#This Row],[累计净值]]</f>
        <v>1.3144</v>
      </c>
      <c r="G265" s="170">
        <f>表2_36716262930381020[[#This Row],[累计净值]]/$B$21-1</f>
        <v>0.3260694108151736</v>
      </c>
      <c r="H265" s="170">
        <f>表2_36716262930381020[[#This Row],[累计净值]]/$B$156-1</f>
        <v>2.4394045670641518E-2</v>
      </c>
    </row>
    <row r="266" spans="1:8" x14ac:dyDescent="0.2">
      <c r="A266" s="161">
        <v>44145</v>
      </c>
      <c r="B266" s="162">
        <v>1.3178000000000001</v>
      </c>
      <c r="C266" s="171">
        <f t="shared" si="40"/>
        <v>3.4000000000000696E-3</v>
      </c>
      <c r="D266" s="168" t="str">
        <f t="shared" si="41"/>
        <v>/</v>
      </c>
      <c r="E266" s="168">
        <f ca="1">IF(表2_36716262930381020[[#This Row],[累计净值]]/MAX(INDIRECT("B21:B" &amp; ROW()))-1&lt;E265,表2_36716262930381020[[#This Row],[累计净值]]/MAX(INDIRECT("B21:B" &amp; ROW()))-1,E265)</f>
        <v>-7.1594921493501551E-2</v>
      </c>
      <c r="F266" s="169">
        <f>表2_36716262930381020[[#This Row],[累计净值]]</f>
        <v>1.3178000000000001</v>
      </c>
      <c r="G266" s="170">
        <f>表2_36716262930381020[[#This Row],[累计净值]]/$B$21-1</f>
        <v>0.32949959644874904</v>
      </c>
      <c r="H266" s="170">
        <f>表2_36716262930381020[[#This Row],[累计净值]]/$B$156-1</f>
        <v>2.704387810770803E-2</v>
      </c>
    </row>
    <row r="267" spans="1:8" x14ac:dyDescent="0.2">
      <c r="A267" s="161">
        <v>44146</v>
      </c>
      <c r="B267" s="162">
        <v>1.3144</v>
      </c>
      <c r="C267" s="171">
        <f t="shared" si="40"/>
        <v>-3.4000000000000696E-3</v>
      </c>
      <c r="D267" s="168">
        <f t="shared" si="41"/>
        <v>-3.4000000000000696E-3</v>
      </c>
      <c r="E267" s="168">
        <f ca="1">IF(表2_36716262930381020[[#This Row],[累计净值]]/MAX(INDIRECT("B21:B" &amp; ROW()))-1&lt;E266,表2_36716262930381020[[#This Row],[累计净值]]/MAX(INDIRECT("B21:B" &amp; ROW()))-1,E266)</f>
        <v>-7.1594921493501551E-2</v>
      </c>
      <c r="F267" s="169">
        <f>表2_36716262930381020[[#This Row],[累计净值]]</f>
        <v>1.3144</v>
      </c>
      <c r="G267" s="170">
        <f>表2_36716262930381020[[#This Row],[累计净值]]/$B$21-1</f>
        <v>0.3260694108151736</v>
      </c>
      <c r="H267" s="170">
        <f>表2_36716262930381020[[#This Row],[累计净值]]/$B$156-1</f>
        <v>2.4394045670641518E-2</v>
      </c>
    </row>
    <row r="268" spans="1:8" x14ac:dyDescent="0.2">
      <c r="A268" s="161">
        <v>44147</v>
      </c>
      <c r="B268" s="162">
        <v>1.3193999999999999</v>
      </c>
      <c r="C268" s="171">
        <f t="shared" ref="C268:C273" si="42">IFERROR(B268-B267,0)</f>
        <v>4.9999999999998934E-3</v>
      </c>
      <c r="D268" s="168" t="str">
        <f t="shared" ref="D268:D273" si="43">IF(C268&lt;0,C268,"/")</f>
        <v>/</v>
      </c>
      <c r="E268" s="168">
        <f ca="1">IF(表2_36716262930381020[[#This Row],[累计净值]]/MAX(INDIRECT("B21:B" &amp; ROW()))-1&lt;E267,表2_36716262930381020[[#This Row],[累计净值]]/MAX(INDIRECT("B21:B" &amp; ROW()))-1,E267)</f>
        <v>-7.1594921493501551E-2</v>
      </c>
      <c r="F268" s="169">
        <f>表2_36716262930381020[[#This Row],[累计净值]]</f>
        <v>1.3193999999999999</v>
      </c>
      <c r="G268" s="170">
        <f>表2_36716262930381020[[#This Row],[累计净值]]/$B$21-1</f>
        <v>0.33111380145278435</v>
      </c>
      <c r="H268" s="170">
        <f>表2_36716262930381020[[#This Row],[累计净值]]/$B$156-1</f>
        <v>2.8290858078092063E-2</v>
      </c>
    </row>
    <row r="269" spans="1:8" x14ac:dyDescent="0.2">
      <c r="A269" s="161">
        <v>44148</v>
      </c>
      <c r="B269" s="162">
        <v>1.3246</v>
      </c>
      <c r="C269" s="171">
        <f t="shared" si="42"/>
        <v>5.2000000000000934E-3</v>
      </c>
      <c r="D269" s="168" t="str">
        <f t="shared" si="43"/>
        <v>/</v>
      </c>
      <c r="E269" s="168">
        <f ca="1">IF(表2_36716262930381020[[#This Row],[累计净值]]/MAX(INDIRECT("B21:B" &amp; ROW()))-1&lt;E268,表2_36716262930381020[[#This Row],[累计净值]]/MAX(INDIRECT("B21:B" &amp; ROW()))-1,E268)</f>
        <v>-7.1594921493501551E-2</v>
      </c>
      <c r="F269" s="169">
        <f>表2_36716262930381020[[#This Row],[累计净值]]</f>
        <v>1.3246</v>
      </c>
      <c r="G269" s="170">
        <f>表2_36716262930381020[[#This Row],[累计净值]]/$B$21-1</f>
        <v>0.33635996771589993</v>
      </c>
      <c r="H269" s="170">
        <f>表2_36716262930381020[[#This Row],[累计净值]]/$B$156-1</f>
        <v>3.2343542981840834E-2</v>
      </c>
    </row>
    <row r="270" spans="1:8" x14ac:dyDescent="0.2">
      <c r="A270" s="161">
        <v>44151</v>
      </c>
      <c r="B270" s="162">
        <v>1.3205</v>
      </c>
      <c r="C270" s="171">
        <f t="shared" si="42"/>
        <v>-4.0999999999999925E-3</v>
      </c>
      <c r="D270" s="168">
        <f t="shared" si="43"/>
        <v>-4.0999999999999925E-3</v>
      </c>
      <c r="E270" s="168">
        <f ca="1">IF(表2_36716262930381020[[#This Row],[累计净值]]/MAX(INDIRECT("B21:B" &amp; ROW()))-1&lt;E269,表2_36716262930381020[[#This Row],[累计净值]]/MAX(INDIRECT("B21:B" &amp; ROW()))-1,E269)</f>
        <v>-7.1594921493501551E-2</v>
      </c>
      <c r="F270" s="169">
        <f>表2_36716262930381020[[#This Row],[累计净值]]</f>
        <v>1.3205</v>
      </c>
      <c r="G270" s="170">
        <f>表2_36716262930381020[[#This Row],[累计净值]]/$B$21-1</f>
        <v>0.33222356739305892</v>
      </c>
      <c r="H270" s="170">
        <f>表2_36716262930381020[[#This Row],[累计净值]]/$B$156-1</f>
        <v>2.9148156807731418E-2</v>
      </c>
    </row>
    <row r="271" spans="1:8" x14ac:dyDescent="0.2">
      <c r="A271" s="161">
        <v>44152</v>
      </c>
      <c r="B271" s="162">
        <v>1.3193999999999999</v>
      </c>
      <c r="C271" s="171">
        <f t="shared" si="42"/>
        <v>-1.1000000000001009E-3</v>
      </c>
      <c r="D271" s="168">
        <f t="shared" si="43"/>
        <v>-1.1000000000001009E-3</v>
      </c>
      <c r="E271" s="168">
        <f ca="1">IF(表2_36716262930381020[[#This Row],[累计净值]]/MAX(INDIRECT("B21:B" &amp; ROW()))-1&lt;E270,表2_36716262930381020[[#This Row],[累计净值]]/MAX(INDIRECT("B21:B" &amp; ROW()))-1,E270)</f>
        <v>-7.1594921493501551E-2</v>
      </c>
      <c r="F271" s="169">
        <f>表2_36716262930381020[[#This Row],[累计净值]]</f>
        <v>1.3193999999999999</v>
      </c>
      <c r="G271" s="170">
        <f>表2_36716262930381020[[#This Row],[累计净值]]/$B$21-1</f>
        <v>0.33111380145278435</v>
      </c>
      <c r="H271" s="170">
        <f>表2_36716262930381020[[#This Row],[累计净值]]/$B$156-1</f>
        <v>2.8290858078092063E-2</v>
      </c>
    </row>
    <row r="272" spans="1:8" x14ac:dyDescent="0.2">
      <c r="A272" s="161">
        <v>44153</v>
      </c>
      <c r="B272" s="162">
        <v>1.3184</v>
      </c>
      <c r="C272" s="171">
        <f t="shared" si="42"/>
        <v>-9.9999999999988987E-4</v>
      </c>
      <c r="D272" s="168">
        <f t="shared" si="43"/>
        <v>-9.9999999999988987E-4</v>
      </c>
      <c r="E272" s="168">
        <f ca="1">IF(表2_36716262930381020[[#This Row],[累计净值]]/MAX(INDIRECT("B21:B" &amp; ROW()))-1&lt;E271,表2_36716262930381020[[#This Row],[累计净值]]/MAX(INDIRECT("B21:B" &amp; ROW()))-1,E271)</f>
        <v>-7.1594921493501551E-2</v>
      </c>
      <c r="F272" s="169">
        <f>表2_36716262930381020[[#This Row],[累计净值]]</f>
        <v>1.3184</v>
      </c>
      <c r="G272" s="170">
        <f>表2_36716262930381020[[#This Row],[累计净值]]/$B$21-1</f>
        <v>0.33010492332526242</v>
      </c>
      <c r="H272" s="170">
        <f>表2_36716262930381020[[#This Row],[累计净值]]/$B$156-1</f>
        <v>2.7511495596602042E-2</v>
      </c>
    </row>
    <row r="273" spans="1:11" x14ac:dyDescent="0.2">
      <c r="A273" s="161">
        <v>44154</v>
      </c>
      <c r="B273" s="162">
        <v>1.3246</v>
      </c>
      <c r="C273" s="171">
        <f t="shared" si="42"/>
        <v>6.1999999999999833E-3</v>
      </c>
      <c r="D273" s="168" t="str">
        <f t="shared" si="43"/>
        <v>/</v>
      </c>
      <c r="E273" s="168">
        <f ca="1">IF(表2_36716262930381020[[#This Row],[累计净值]]/MAX(INDIRECT("B21:B" &amp; ROW()))-1&lt;E272,表2_36716262930381020[[#This Row],[累计净值]]/MAX(INDIRECT("B21:B" &amp; ROW()))-1,E272)</f>
        <v>-7.1594921493501551E-2</v>
      </c>
      <c r="F273" s="169">
        <f>表2_36716262930381020[[#This Row],[累计净值]]</f>
        <v>1.3246</v>
      </c>
      <c r="G273" s="170">
        <f>表2_36716262930381020[[#This Row],[累计净值]]/$B$21-1</f>
        <v>0.33635996771589993</v>
      </c>
      <c r="H273" s="170">
        <f>表2_36716262930381020[[#This Row],[累计净值]]/$B$156-1</f>
        <v>3.2343542981840834E-2</v>
      </c>
    </row>
    <row r="274" spans="1:11" x14ac:dyDescent="0.2">
      <c r="A274" s="161">
        <v>44155</v>
      </c>
      <c r="B274" s="162">
        <v>1.3268</v>
      </c>
      <c r="C274" s="171">
        <f t="shared" ref="C274:C279" si="44">IFERROR(B274-B273,0)</f>
        <v>2.1999999999999797E-3</v>
      </c>
      <c r="D274" s="168" t="str">
        <f t="shared" ref="D274:D280" si="45">IF(C274&lt;0,C274,"/")</f>
        <v>/</v>
      </c>
      <c r="E274" s="168">
        <f ca="1">IF(表2_36716262930381020[[#This Row],[累计净值]]/MAX(INDIRECT("B21:B" &amp; ROW()))-1&lt;E273,表2_36716262930381020[[#This Row],[累计净值]]/MAX(INDIRECT("B21:B" &amp; ROW()))-1,E273)</f>
        <v>-7.1594921493501551E-2</v>
      </c>
      <c r="F274" s="169">
        <f>表2_36716262930381020[[#This Row],[累计净值]]</f>
        <v>1.3268</v>
      </c>
      <c r="G274" s="170">
        <f>表2_36716262930381020[[#This Row],[累计净值]]/$B$21-1</f>
        <v>0.33857949959644884</v>
      </c>
      <c r="H274" s="170">
        <f>表2_36716262930381020[[#This Row],[累计净值]]/$B$156-1</f>
        <v>3.4058140441119322E-2</v>
      </c>
    </row>
    <row r="275" spans="1:11" x14ac:dyDescent="0.2">
      <c r="A275" s="161">
        <v>44158</v>
      </c>
      <c r="B275" s="162">
        <v>1.3093999999999999</v>
      </c>
      <c r="C275" s="171">
        <f t="shared" si="44"/>
        <v>-1.7400000000000082E-2</v>
      </c>
      <c r="D275" s="168">
        <f t="shared" si="45"/>
        <v>-1.7400000000000082E-2</v>
      </c>
      <c r="E275" s="168">
        <f ca="1">IF(表2_36716262930381020[[#This Row],[累计净值]]/MAX(INDIRECT("B21:B" &amp; ROW()))-1&lt;E274,表2_36716262930381020[[#This Row],[累计净值]]/MAX(INDIRECT("B21:B" &amp; ROW()))-1,E274)</f>
        <v>-7.1594921493501551E-2</v>
      </c>
      <c r="F275" s="169">
        <f>表2_36716262930381020[[#This Row],[累计净值]]</f>
        <v>1.3093999999999999</v>
      </c>
      <c r="G275" s="170">
        <f>表2_36716262930381020[[#This Row],[累计净值]]/$B$21-1</f>
        <v>0.3210250201775624</v>
      </c>
      <c r="H275" s="170">
        <f>表2_36716262930381020[[#This Row],[累计净值]]/$B$156-1</f>
        <v>2.0497233263190751E-2</v>
      </c>
    </row>
    <row r="276" spans="1:11" x14ac:dyDescent="0.2">
      <c r="A276" s="161">
        <v>44159</v>
      </c>
      <c r="B276" s="162">
        <v>1.2997000000000001</v>
      </c>
      <c r="C276" s="171">
        <f t="shared" si="44"/>
        <v>-9.6999999999998199E-3</v>
      </c>
      <c r="D276" s="168">
        <f t="shared" si="45"/>
        <v>-9.6999999999998199E-3</v>
      </c>
      <c r="E276" s="168">
        <f ca="1">IF(表2_36716262930381020[[#This Row],[累计净值]]/MAX(INDIRECT("B21:B" &amp; ROW()))-1&lt;E275,表2_36716262930381020[[#This Row],[累计净值]]/MAX(INDIRECT("B21:B" &amp; ROW()))-1,E275)</f>
        <v>-7.1594921493501551E-2</v>
      </c>
      <c r="F276" s="169">
        <f>表2_36716262930381020[[#This Row],[累计净值]]</f>
        <v>1.2997000000000001</v>
      </c>
      <c r="G276" s="170">
        <f>表2_36716262930381020[[#This Row],[累计净值]]/$B$21-1</f>
        <v>0.31123890234059748</v>
      </c>
      <c r="H276" s="170">
        <f>表2_36716262930381020[[#This Row],[累计净值]]/$B$156-1</f>
        <v>1.2937417192736556E-2</v>
      </c>
    </row>
    <row r="277" spans="1:11" x14ac:dyDescent="0.2">
      <c r="A277" s="161">
        <v>44160</v>
      </c>
      <c r="B277" s="162">
        <v>1.2926</v>
      </c>
      <c r="C277" s="171">
        <f t="shared" si="44"/>
        <v>-7.1000000000001062E-3</v>
      </c>
      <c r="D277" s="168">
        <f t="shared" si="45"/>
        <v>-7.1000000000001062E-3</v>
      </c>
      <c r="E277" s="168">
        <f ca="1">IF(表2_36716262930381020[[#This Row],[累计净值]]/MAX(INDIRECT("B21:B" &amp; ROW()))-1&lt;E276,表2_36716262930381020[[#This Row],[累计净值]]/MAX(INDIRECT("B21:B" &amp; ROW()))-1,E276)</f>
        <v>-7.1594921493501551E-2</v>
      </c>
      <c r="F277" s="169">
        <f>表2_36716262930381020[[#This Row],[累计净值]]</f>
        <v>1.2926</v>
      </c>
      <c r="G277" s="170">
        <f>表2_36716262930381020[[#This Row],[累计净值]]/$B$21-1</f>
        <v>0.30407586763518979</v>
      </c>
      <c r="H277" s="170">
        <f>表2_36716262930381020[[#This Row],[累计净值]]/$B$156-1</f>
        <v>7.403943574156413E-3</v>
      </c>
    </row>
    <row r="278" spans="1:11" x14ac:dyDescent="0.2">
      <c r="A278" s="161">
        <v>44161</v>
      </c>
      <c r="B278" s="162">
        <v>1.2989999999999999</v>
      </c>
      <c r="C278" s="171">
        <f t="shared" si="44"/>
        <v>6.3999999999999613E-3</v>
      </c>
      <c r="D278" s="168" t="str">
        <f t="shared" si="45"/>
        <v>/</v>
      </c>
      <c r="E278" s="168">
        <f ca="1">IF(表2_36716262930381020[[#This Row],[累计净值]]/MAX(INDIRECT("B21:B" &amp; ROW()))-1&lt;E277,表2_36716262930381020[[#This Row],[累计净值]]/MAX(INDIRECT("B21:B" &amp; ROW()))-1,E277)</f>
        <v>-7.1594921493501551E-2</v>
      </c>
      <c r="F278" s="169">
        <f>表2_36716262930381020[[#This Row],[累计净值]]</f>
        <v>1.2989999999999999</v>
      </c>
      <c r="G278" s="170">
        <f>表2_36716262930381020[[#This Row],[累计净值]]/$B$21-1</f>
        <v>0.31053268765133168</v>
      </c>
      <c r="H278" s="170">
        <f>表2_36716262930381020[[#This Row],[累计净值]]/$B$156-1</f>
        <v>1.2391863455693208E-2</v>
      </c>
    </row>
    <row r="279" spans="1:11" x14ac:dyDescent="0.2">
      <c r="A279" s="161">
        <v>44162</v>
      </c>
      <c r="B279" s="162">
        <v>1.3042</v>
      </c>
      <c r="C279" s="171">
        <f t="shared" si="44"/>
        <v>5.2000000000000934E-3</v>
      </c>
      <c r="D279" s="168" t="str">
        <f t="shared" si="45"/>
        <v>/</v>
      </c>
      <c r="E279" s="168">
        <f ca="1">IF(表2_36716262930381020[[#This Row],[累计净值]]/MAX(INDIRECT("B21:B" &amp; ROW()))-1&lt;E278,表2_36716262930381020[[#This Row],[累计净值]]/MAX(INDIRECT("B21:B" &amp; ROW()))-1,E278)</f>
        <v>-7.1594921493501551E-2</v>
      </c>
      <c r="F279" s="169">
        <f>表2_36716262930381020[[#This Row],[累计净值]]</f>
        <v>1.3042</v>
      </c>
      <c r="G279" s="170">
        <f>表2_36716262930381020[[#This Row],[累计净值]]/$B$21-1</f>
        <v>0.31577885391444727</v>
      </c>
      <c r="H279" s="170">
        <f>表2_36716262930381020[[#This Row],[累计净值]]/$B$156-1</f>
        <v>1.6444548359441979E-2</v>
      </c>
    </row>
    <row r="280" spans="1:11" x14ac:dyDescent="0.2">
      <c r="A280" s="161">
        <v>44165</v>
      </c>
      <c r="B280" s="162">
        <v>1.2995000000000001</v>
      </c>
      <c r="C280" s="171">
        <f t="shared" ref="C280:C285" si="46">IFERROR(B280-B279,0)</f>
        <v>-4.6999999999999265E-3</v>
      </c>
      <c r="D280" s="168">
        <f t="shared" si="45"/>
        <v>-4.6999999999999265E-3</v>
      </c>
      <c r="E280" s="168">
        <f ca="1">IF(表2_36716262930381020[[#This Row],[累计净值]]/MAX(INDIRECT("B21:B" &amp; ROW()))-1&lt;E279,表2_36716262930381020[[#This Row],[累计净值]]/MAX(INDIRECT("B21:B" &amp; ROW()))-1,E279)</f>
        <v>-7.1594921493501551E-2</v>
      </c>
      <c r="F280" s="169">
        <f>表2_36716262930381020[[#This Row],[累计净值]]</f>
        <v>1.2995000000000001</v>
      </c>
      <c r="G280" s="170">
        <f>表2_36716262930381020[[#This Row],[累计净值]]/$B$21-1</f>
        <v>0.31103712671509287</v>
      </c>
      <c r="H280" s="170">
        <f>表2_36716262930381020[[#This Row],[累计净值]]/$B$156-1</f>
        <v>1.2781544696438552E-2</v>
      </c>
    </row>
    <row r="281" spans="1:11" x14ac:dyDescent="0.2">
      <c r="A281" s="161">
        <v>44166</v>
      </c>
      <c r="B281" s="162">
        <v>1.3008</v>
      </c>
      <c r="C281" s="171">
        <f t="shared" si="46"/>
        <v>1.2999999999998568E-3</v>
      </c>
      <c r="D281" s="168" t="str">
        <f t="shared" ref="D281:D286" si="47">IF(C281&lt;0,C281,"/")</f>
        <v>/</v>
      </c>
      <c r="E281" s="168">
        <f ca="1">IF(表2_36716262930381020[[#This Row],[累计净值]]/MAX(INDIRECT("B21:B" &amp; ROW()))-1&lt;E280,表2_36716262930381020[[#This Row],[累计净值]]/MAX(INDIRECT("B21:B" &amp; ROW()))-1,E280)</f>
        <v>-7.1594921493501551E-2</v>
      </c>
      <c r="F281" s="169">
        <f>表2_36716262930381020[[#This Row],[累计净值]]</f>
        <v>1.3008</v>
      </c>
      <c r="G281" s="170">
        <f>表2_36716262930381020[[#This Row],[累计净值]]/$B$21-1</f>
        <v>0.3123486682808716</v>
      </c>
      <c r="H281" s="170">
        <f>表2_36716262930381020[[#This Row],[累计净值]]/$B$156-1</f>
        <v>1.3794715922375467E-2</v>
      </c>
    </row>
    <row r="282" spans="1:11" x14ac:dyDescent="0.2">
      <c r="A282" s="161">
        <v>44167</v>
      </c>
      <c r="B282" s="162">
        <v>1.3149</v>
      </c>
      <c r="C282" s="171">
        <f t="shared" si="46"/>
        <v>1.4100000000000001E-2</v>
      </c>
      <c r="D282" s="168" t="str">
        <f t="shared" si="47"/>
        <v>/</v>
      </c>
      <c r="E282" s="168">
        <f ca="1">IF(表2_36716262930381020[[#This Row],[累计净值]]/MAX(INDIRECT("B21:B" &amp; ROW()))-1&lt;E281,表2_36716262930381020[[#This Row],[累计净值]]/MAX(INDIRECT("B21:B" &amp; ROW()))-1,E281)</f>
        <v>-7.1594921493501551E-2</v>
      </c>
      <c r="F282" s="169">
        <f>表2_36716262930381020[[#This Row],[累计净值]]</f>
        <v>1.3149</v>
      </c>
      <c r="G282" s="170">
        <f>表2_36716262930381020[[#This Row],[累计净值]]/$B$21-1</f>
        <v>0.32657384987893456</v>
      </c>
      <c r="H282" s="170">
        <f>表2_36716262930381020[[#This Row],[累计净值]]/$B$156-1</f>
        <v>2.4783726911386417E-2</v>
      </c>
    </row>
    <row r="283" spans="1:11" x14ac:dyDescent="0.2">
      <c r="A283" s="161">
        <v>44168</v>
      </c>
      <c r="B283" s="162">
        <v>1.3163</v>
      </c>
      <c r="C283" s="171">
        <f t="shared" si="46"/>
        <v>1.4000000000000679E-3</v>
      </c>
      <c r="D283" s="168" t="str">
        <f t="shared" si="47"/>
        <v>/</v>
      </c>
      <c r="E283" s="168">
        <f ca="1">IF(表2_36716262930381020[[#This Row],[累计净值]]/MAX(INDIRECT("B21:B" &amp; ROW()))-1&lt;E282,表2_36716262930381020[[#This Row],[累计净值]]/MAX(INDIRECT("B21:B" &amp; ROW()))-1,E282)</f>
        <v>-7.1594921493501551E-2</v>
      </c>
      <c r="F283" s="169">
        <f>表2_36716262930381020[[#This Row],[累计净值]]</f>
        <v>1.3163</v>
      </c>
      <c r="G283" s="170">
        <f>表2_36716262930381020[[#This Row],[累计净值]]/$B$21-1</f>
        <v>0.32798627925746571</v>
      </c>
      <c r="H283" s="170">
        <f>表2_36716262930381020[[#This Row],[累计净值]]/$B$156-1</f>
        <v>2.5874834385472667E-2</v>
      </c>
      <c r="K283" s="120" t="s">
        <v>45</v>
      </c>
    </row>
    <row r="284" spans="1:11" x14ac:dyDescent="0.2">
      <c r="A284" s="161">
        <v>44169</v>
      </c>
      <c r="B284" s="162">
        <v>1.3177000000000001</v>
      </c>
      <c r="C284" s="171">
        <f t="shared" si="46"/>
        <v>1.4000000000000679E-3</v>
      </c>
      <c r="D284" s="168" t="str">
        <f t="shared" si="47"/>
        <v>/</v>
      </c>
      <c r="E284" s="168">
        <f ca="1">IF(表2_36716262930381020[[#This Row],[累计净值]]/MAX(INDIRECT("B21:B" &amp; ROW()))-1&lt;E283,表2_36716262930381020[[#This Row],[累计净值]]/MAX(INDIRECT("B21:B" &amp; ROW()))-1,E283)</f>
        <v>-7.1594921493501551E-2</v>
      </c>
      <c r="F284" s="169">
        <f>表2_36716262930381020[[#This Row],[累计净值]]</f>
        <v>1.3177000000000001</v>
      </c>
      <c r="G284" s="170">
        <f>表2_36716262930381020[[#This Row],[累计净值]]/$B$21-1</f>
        <v>0.32939870863599685</v>
      </c>
      <c r="H284" s="170">
        <f>表2_36716262930381020[[#This Row],[累计净值]]/$B$156-1</f>
        <v>2.6965941859558917E-2</v>
      </c>
    </row>
    <row r="285" spans="1:11" x14ac:dyDescent="0.2">
      <c r="A285" s="161">
        <v>44172</v>
      </c>
      <c r="B285" s="162">
        <v>1.3271999999999999</v>
      </c>
      <c r="C285" s="171">
        <f t="shared" si="46"/>
        <v>9.4999999999998419E-3</v>
      </c>
      <c r="D285" s="168" t="str">
        <f t="shared" si="47"/>
        <v>/</v>
      </c>
      <c r="E285" s="168">
        <f ca="1">IF(表2_36716262930381020[[#This Row],[累计净值]]/MAX(INDIRECT("B21:B" &amp; ROW()))-1&lt;E284,表2_36716262930381020[[#This Row],[累计净值]]/MAX(INDIRECT("B21:B" &amp; ROW()))-1,E284)</f>
        <v>-7.1594921493501551E-2</v>
      </c>
      <c r="F285" s="169">
        <f>表2_36716262930381020[[#This Row],[累计净值]]</f>
        <v>1.3271999999999999</v>
      </c>
      <c r="G285" s="170">
        <f>表2_36716262930381020[[#This Row],[累计净值]]/$B$21-1</f>
        <v>0.33898305084745761</v>
      </c>
      <c r="H285" s="170">
        <f>表2_36716262930381020[[#This Row],[累计净值]]/$B$156-1</f>
        <v>3.436988543371533E-2</v>
      </c>
    </row>
    <row r="286" spans="1:11" x14ac:dyDescent="0.2">
      <c r="A286" s="161">
        <v>44173</v>
      </c>
      <c r="B286" s="162">
        <v>1.3309</v>
      </c>
      <c r="C286" s="171">
        <f t="shared" ref="C286:C291" si="48">IFERROR(B286-B285,0)</f>
        <v>3.7000000000000366E-3</v>
      </c>
      <c r="D286" s="168" t="str">
        <f t="shared" si="47"/>
        <v>/</v>
      </c>
      <c r="E286" s="168">
        <f ca="1">IF(表2_36716262930381020[[#This Row],[累计净值]]/MAX(INDIRECT("B21:B" &amp; ROW()))-1&lt;E285,表2_36716262930381020[[#This Row],[累计净值]]/MAX(INDIRECT("B21:B" &amp; ROW()))-1,E285)</f>
        <v>-7.1594921493501551E-2</v>
      </c>
      <c r="F286" s="169">
        <f>表2_36716262930381020[[#This Row],[累计净值]]</f>
        <v>1.3309</v>
      </c>
      <c r="G286" s="170">
        <f>表2_36716262930381020[[#This Row],[累计净值]]/$B$21-1</f>
        <v>0.34271589991928986</v>
      </c>
      <c r="H286" s="170">
        <f>表2_36716262930381020[[#This Row],[累计净值]]/$B$156-1</f>
        <v>3.7253526615228738E-2</v>
      </c>
    </row>
    <row r="287" spans="1:11" x14ac:dyDescent="0.2">
      <c r="A287" s="161">
        <v>44174</v>
      </c>
      <c r="B287" s="162">
        <v>1.3387</v>
      </c>
      <c r="C287" s="171">
        <f t="shared" si="48"/>
        <v>7.8000000000000291E-3</v>
      </c>
      <c r="D287" s="168" t="str">
        <f t="shared" ref="D287:D292" si="49">IF(C287&lt;0,C287,"/")</f>
        <v>/</v>
      </c>
      <c r="E287" s="168">
        <f ca="1">IF(表2_36716262930381020[[#This Row],[累计净值]]/MAX(INDIRECT("B21:B" &amp; ROW()))-1&lt;E286,表2_36716262930381020[[#This Row],[累计净值]]/MAX(INDIRECT("B21:B" &amp; ROW()))-1,E286)</f>
        <v>-7.1594921493501551E-2</v>
      </c>
      <c r="F287" s="169">
        <f>表2_36716262930381020[[#This Row],[累计净值]]</f>
        <v>1.3387</v>
      </c>
      <c r="G287" s="170">
        <f>表2_36716262930381020[[#This Row],[累计净值]]/$B$21-1</f>
        <v>0.3505851493139629</v>
      </c>
      <c r="H287" s="170">
        <f>表2_36716262930381020[[#This Row],[累计净值]]/$B$156-1</f>
        <v>4.3332553970852006E-2</v>
      </c>
    </row>
    <row r="288" spans="1:11" x14ac:dyDescent="0.2">
      <c r="A288" s="161">
        <v>44175</v>
      </c>
      <c r="B288" s="162">
        <v>1.3531</v>
      </c>
      <c r="C288" s="171">
        <f t="shared" si="48"/>
        <v>1.4399999999999968E-2</v>
      </c>
      <c r="D288" s="168" t="str">
        <f t="shared" si="49"/>
        <v>/</v>
      </c>
      <c r="E288" s="168">
        <f ca="1">IF(表2_36716262930381020[[#This Row],[累计净值]]/MAX(INDIRECT("B21:B" &amp; ROW()))-1&lt;E287,表2_36716262930381020[[#This Row],[累计净值]]/MAX(INDIRECT("B21:B" &amp; ROW()))-1,E287)</f>
        <v>-7.1594921493501551E-2</v>
      </c>
      <c r="F288" s="169">
        <f>表2_36716262930381020[[#This Row],[累计净值]]</f>
        <v>1.3531</v>
      </c>
      <c r="G288" s="170">
        <f>表2_36716262930381020[[#This Row],[累计净值]]/$B$21-1</f>
        <v>0.36511299435028244</v>
      </c>
      <c r="H288" s="170">
        <f>表2_36716262930381020[[#This Row],[累计净值]]/$B$156-1</f>
        <v>5.4555373704309851E-2</v>
      </c>
    </row>
    <row r="289" spans="1:10" x14ac:dyDescent="0.2">
      <c r="A289" s="161">
        <v>44176</v>
      </c>
      <c r="B289" s="178">
        <v>1.3644000000000001</v>
      </c>
      <c r="C289" s="171">
        <f t="shared" si="48"/>
        <v>1.1300000000000088E-2</v>
      </c>
      <c r="D289" s="168" t="str">
        <f t="shared" si="49"/>
        <v>/</v>
      </c>
      <c r="E289" s="168">
        <f ca="1">IF(表2_36716262930381020[[#This Row],[累计净值]]/MAX(INDIRECT("B21:B" &amp; ROW()))-1&lt;E288,表2_36716262930381020[[#This Row],[累计净值]]/MAX(INDIRECT("B21:B" &amp; ROW()))-1,E288)</f>
        <v>-7.1594921493501551E-2</v>
      </c>
      <c r="F289" s="169">
        <f>表2_36716262930381020[[#This Row],[累计净值]]</f>
        <v>1.3644000000000001</v>
      </c>
      <c r="G289" s="170">
        <f>表2_36716262930381020[[#This Row],[累计净值]]/$B$21-1</f>
        <v>0.37651331719128334</v>
      </c>
      <c r="H289" s="170">
        <f>表2_36716262930381020[[#This Row],[累计净值]]/$B$156-1</f>
        <v>6.3362169745148522E-2</v>
      </c>
    </row>
    <row r="290" spans="1:10" x14ac:dyDescent="0.2">
      <c r="A290" s="161">
        <v>44179</v>
      </c>
      <c r="B290" s="162">
        <v>1.3484</v>
      </c>
      <c r="C290" s="171">
        <f t="shared" si="48"/>
        <v>-1.6000000000000014E-2</v>
      </c>
      <c r="D290" s="168">
        <f t="shared" si="49"/>
        <v>-1.6000000000000014E-2</v>
      </c>
      <c r="E290" s="168">
        <f ca="1">IF(表2_36716262930381020[[#This Row],[累计净值]]/MAX(INDIRECT("B21:B" &amp; ROW()))-1&lt;E289,表2_36716262930381020[[#This Row],[累计净值]]/MAX(INDIRECT("B21:B" &amp; ROW()))-1,E289)</f>
        <v>-7.1594921493501551E-2</v>
      </c>
      <c r="F290" s="169">
        <f>表2_36716262930381020[[#This Row],[累计净值]]</f>
        <v>1.3484</v>
      </c>
      <c r="G290" s="170">
        <f>表2_36716262930381020[[#This Row],[累计净值]]/$B$21-1</f>
        <v>0.36037126715092827</v>
      </c>
      <c r="H290" s="170">
        <f>表2_36716262930381020[[#This Row],[累计净值]]/$B$156-1</f>
        <v>5.0892370041306423E-2</v>
      </c>
    </row>
    <row r="291" spans="1:10" x14ac:dyDescent="0.2">
      <c r="A291" s="161">
        <v>44180</v>
      </c>
      <c r="B291" s="162">
        <v>1.3359000000000001</v>
      </c>
      <c r="C291" s="171">
        <f t="shared" si="48"/>
        <v>-1.2499999999999956E-2</v>
      </c>
      <c r="D291" s="168">
        <f t="shared" si="49"/>
        <v>-1.2499999999999956E-2</v>
      </c>
      <c r="E291" s="168">
        <f ca="1">IF(表2_36716262930381020[[#This Row],[累计净值]]/MAX(INDIRECT("B21:B" &amp; ROW()))-1&lt;E290,表2_36716262930381020[[#This Row],[累计净值]]/MAX(INDIRECT("B21:B" &amp; ROW()))-1,E290)</f>
        <v>-7.1594921493501551E-2</v>
      </c>
      <c r="F291" s="169">
        <f>表2_36716262930381020[[#This Row],[累计净值]]</f>
        <v>1.3359000000000001</v>
      </c>
      <c r="G291" s="170">
        <f>表2_36716262930381020[[#This Row],[累计净值]]/$B$21-1</f>
        <v>0.34776029055690083</v>
      </c>
      <c r="H291" s="170">
        <f>表2_36716262930381020[[#This Row],[累计净值]]/$B$156-1</f>
        <v>4.1150339022679505E-2</v>
      </c>
    </row>
    <row r="292" spans="1:10" x14ac:dyDescent="0.2">
      <c r="A292" s="161">
        <v>44181</v>
      </c>
      <c r="B292" s="162">
        <v>1.3392999999999999</v>
      </c>
      <c r="C292" s="171">
        <f t="shared" ref="C292:C298" si="50">IFERROR(B292-B291,0)</f>
        <v>3.3999999999998476E-3</v>
      </c>
      <c r="D292" s="168" t="str">
        <f t="shared" si="49"/>
        <v>/</v>
      </c>
      <c r="E292" s="168">
        <f ca="1">IF(表2_36716262930381020[[#This Row],[累计净值]]/MAX(INDIRECT("B21:B" &amp; ROW()))-1&lt;E291,表2_36716262930381020[[#This Row],[累计净值]]/MAX(INDIRECT("B21:B" &amp; ROW()))-1,E291)</f>
        <v>-7.1594921493501551E-2</v>
      </c>
      <c r="F292" s="169">
        <f>表2_36716262930381020[[#This Row],[累计净值]]</f>
        <v>1.3392999999999999</v>
      </c>
      <c r="G292" s="170">
        <f>表2_36716262930381020[[#This Row],[累计净值]]/$B$21-1</f>
        <v>0.35119047619047628</v>
      </c>
      <c r="H292" s="170">
        <f>表2_36716262930381020[[#This Row],[累计净值]]/$B$156-1</f>
        <v>4.3800171459746018E-2</v>
      </c>
    </row>
    <row r="293" spans="1:10" x14ac:dyDescent="0.2">
      <c r="A293" s="161">
        <v>44182</v>
      </c>
      <c r="B293" s="162">
        <v>1.3303</v>
      </c>
      <c r="C293" s="171">
        <f t="shared" si="50"/>
        <v>-8.999999999999897E-3</v>
      </c>
      <c r="D293" s="168">
        <f t="shared" ref="D293:D298" si="51">IF(C293&lt;0,C293,"/")</f>
        <v>-8.999999999999897E-3</v>
      </c>
      <c r="E293" s="168">
        <f ca="1">IF(表2_36716262930381020[[#This Row],[累计净值]]/MAX(INDIRECT("B21:B" &amp; ROW()))-1&lt;E292,表2_36716262930381020[[#This Row],[累计净值]]/MAX(INDIRECT("B21:B" &amp; ROW()))-1,E292)</f>
        <v>-7.1594921493501551E-2</v>
      </c>
      <c r="F293" s="169">
        <f>表2_36716262930381020[[#This Row],[累计净值]]</f>
        <v>1.3303</v>
      </c>
      <c r="G293" s="170">
        <f>表2_36716262930381020[[#This Row],[累计净值]]/$B$21-1</f>
        <v>0.34211057304277648</v>
      </c>
      <c r="H293" s="170">
        <f>表2_36716262930381020[[#This Row],[累计净值]]/$B$156-1</f>
        <v>3.6785909126334726E-2</v>
      </c>
    </row>
    <row r="294" spans="1:10" x14ac:dyDescent="0.2">
      <c r="A294" s="161">
        <v>44183</v>
      </c>
      <c r="B294" s="162">
        <v>1.3312999999999999</v>
      </c>
      <c r="C294" s="171">
        <f t="shared" si="50"/>
        <v>9.9999999999988987E-4</v>
      </c>
      <c r="D294" s="168" t="str">
        <f t="shared" si="51"/>
        <v>/</v>
      </c>
      <c r="E294" s="168">
        <f ca="1">IF(表2_36716262930381020[[#This Row],[累计净值]]/MAX(INDIRECT("B21:B" &amp; ROW()))-1&lt;E293,表2_36716262930381020[[#This Row],[累计净值]]/MAX(INDIRECT("B21:B" &amp; ROW()))-1,E293)</f>
        <v>-7.1594921493501551E-2</v>
      </c>
      <c r="F294" s="169">
        <f>表2_36716262930381020[[#This Row],[累计净值]]</f>
        <v>1.3312999999999999</v>
      </c>
      <c r="G294" s="170">
        <f>表2_36716262930381020[[#This Row],[累计净值]]/$B$21-1</f>
        <v>0.34311945117029863</v>
      </c>
      <c r="H294" s="170">
        <f>表2_36716262930381020[[#This Row],[累计净值]]/$B$156-1</f>
        <v>3.7565271607824746E-2</v>
      </c>
    </row>
    <row r="295" spans="1:10" x14ac:dyDescent="0.2">
      <c r="A295" s="161">
        <v>44186</v>
      </c>
      <c r="B295" s="162">
        <v>1.3595999999999999</v>
      </c>
      <c r="C295" s="171">
        <f t="shared" si="50"/>
        <v>2.8299999999999992E-2</v>
      </c>
      <c r="D295" s="168" t="str">
        <f t="shared" si="51"/>
        <v>/</v>
      </c>
      <c r="E295" s="168">
        <f ca="1">IF(表2_36716262930381020[[#This Row],[累计净值]]/MAX(INDIRECT("B21:B" &amp; ROW()))-1&lt;E294,表2_36716262930381020[[#This Row],[累计净值]]/MAX(INDIRECT("B21:B" &amp; ROW()))-1,E294)</f>
        <v>-7.1594921493501551E-2</v>
      </c>
      <c r="F295" s="169">
        <f>表2_36716262930381020[[#This Row],[累计净值]]</f>
        <v>1.3595999999999999</v>
      </c>
      <c r="G295" s="170">
        <f>表2_36716262930381020[[#This Row],[累计净值]]/$B$21-1</f>
        <v>0.37167070217917675</v>
      </c>
      <c r="H295" s="170">
        <f>表2_36716262930381020[[#This Row],[累计净值]]/$B$156-1</f>
        <v>5.9621229833995759E-2</v>
      </c>
    </row>
    <row r="296" spans="1:10" x14ac:dyDescent="0.2">
      <c r="A296" s="161">
        <v>44187</v>
      </c>
      <c r="B296" s="162">
        <v>1.3634999999999999</v>
      </c>
      <c r="C296" s="171">
        <f t="shared" si="50"/>
        <v>3.9000000000000146E-3</v>
      </c>
      <c r="D296" s="168" t="str">
        <f t="shared" si="51"/>
        <v>/</v>
      </c>
      <c r="E296" s="168">
        <f ca="1">IF(表2_36716262930381020[[#This Row],[累计净值]]/MAX(INDIRECT("B21:B" &amp; ROW()))-1&lt;E295,表2_36716262930381020[[#This Row],[累计净值]]/MAX(INDIRECT("B21:B" &amp; ROW()))-1,E295)</f>
        <v>-7.1594921493501551E-2</v>
      </c>
      <c r="F296" s="169">
        <f>表2_36716262930381020[[#This Row],[累计净值]]</f>
        <v>1.3634999999999999</v>
      </c>
      <c r="G296" s="170">
        <f>表2_36716262930381020[[#This Row],[累计净值]]/$B$21-1</f>
        <v>0.37560532687651338</v>
      </c>
      <c r="H296" s="170">
        <f>表2_36716262930381020[[#This Row],[累计净值]]/$B$156-1</f>
        <v>6.2660743511807393E-2</v>
      </c>
    </row>
    <row r="297" spans="1:10" x14ac:dyDescent="0.2">
      <c r="A297" s="161">
        <v>44188</v>
      </c>
      <c r="B297" s="162">
        <v>1.3532</v>
      </c>
      <c r="C297" s="171">
        <f t="shared" si="50"/>
        <v>-1.0299999999999976E-2</v>
      </c>
      <c r="D297" s="168">
        <f t="shared" si="51"/>
        <v>-1.0299999999999976E-2</v>
      </c>
      <c r="E297" s="168">
        <f ca="1">IF(表2_36716262930381020[[#This Row],[累计净值]]/MAX(INDIRECT("B21:B" &amp; ROW()))-1&lt;E296,表2_36716262930381020[[#This Row],[累计净值]]/MAX(INDIRECT("B21:B" &amp; ROW()))-1,E296)</f>
        <v>-7.1594921493501551E-2</v>
      </c>
      <c r="F297" s="169">
        <f>表2_36716262930381020[[#This Row],[累计净值]]</f>
        <v>1.3532</v>
      </c>
      <c r="G297" s="170">
        <f>表2_36716262930381020[[#This Row],[累计净值]]/$B$21-1</f>
        <v>0.36521388216303463</v>
      </c>
      <c r="H297" s="170">
        <f>表2_36716262930381020[[#This Row],[累计净值]]/$B$156-1</f>
        <v>5.4633309952458964E-2</v>
      </c>
    </row>
    <row r="298" spans="1:10" x14ac:dyDescent="0.2">
      <c r="A298" s="161">
        <v>44189</v>
      </c>
      <c r="B298" s="162">
        <v>1.3474999999999999</v>
      </c>
      <c r="C298" s="171">
        <f t="shared" si="50"/>
        <v>-5.7000000000000384E-3</v>
      </c>
      <c r="D298" s="168">
        <f t="shared" si="51"/>
        <v>-5.7000000000000384E-3</v>
      </c>
      <c r="E298" s="168">
        <f ca="1">IF(表2_36716262930381020[[#This Row],[累计净值]]/MAX(INDIRECT("B21:B" &amp; ROW()))-1&lt;E297,表2_36716262930381020[[#This Row],[累计净值]]/MAX(INDIRECT("B21:B" &amp; ROW()))-1,E297)</f>
        <v>-7.1594921493501551E-2</v>
      </c>
      <c r="F298" s="169">
        <f>表2_36716262930381020[[#This Row],[累计净值]]</f>
        <v>1.3474999999999999</v>
      </c>
      <c r="G298" s="170">
        <f>表2_36716262930381020[[#This Row],[累计净值]]/$B$21-1</f>
        <v>0.35946327683615809</v>
      </c>
      <c r="H298" s="170">
        <f>表2_36716262930381020[[#This Row],[累计净值]]/$B$156-1</f>
        <v>5.0190943807965072E-2</v>
      </c>
      <c r="J298" s="207"/>
    </row>
    <row r="299" spans="1:10" x14ac:dyDescent="0.2">
      <c r="A299" s="161">
        <v>44190</v>
      </c>
      <c r="B299" s="162">
        <v>1.3447</v>
      </c>
      <c r="C299" s="171">
        <f t="shared" ref="C299:C304" si="52">IFERROR(B299-B298,0)</f>
        <v>-2.7999999999999137E-3</v>
      </c>
      <c r="D299" s="168">
        <f t="shared" ref="D299:D304" si="53">IF(C299&lt;0,C299,"/")</f>
        <v>-2.7999999999999137E-3</v>
      </c>
      <c r="E299" s="168">
        <f ca="1">IF(表2_36716262930381020[[#This Row],[累计净值]]/MAX(INDIRECT("B21:B" &amp; ROW()))-1&lt;E298,表2_36716262930381020[[#This Row],[累计净值]]/MAX(INDIRECT("B21:B" &amp; ROW()))-1,E298)</f>
        <v>-7.1594921493501551E-2</v>
      </c>
      <c r="F299" s="169">
        <f>表2_36716262930381020[[#This Row],[累计净值]]</f>
        <v>1.3447</v>
      </c>
      <c r="G299" s="170">
        <f>表2_36716262930381020[[#This Row],[累计净值]]/$B$21-1</f>
        <v>0.35663841807909602</v>
      </c>
      <c r="H299" s="170">
        <f>表2_36716262930381020[[#This Row],[累计净值]]/$B$156-1</f>
        <v>4.8008728859792793E-2</v>
      </c>
    </row>
    <row r="300" spans="1:10" x14ac:dyDescent="0.2">
      <c r="A300" s="161">
        <v>44193</v>
      </c>
      <c r="B300" s="162">
        <v>1.3517999999999999</v>
      </c>
      <c r="C300" s="171">
        <f t="shared" si="52"/>
        <v>7.0999999999998842E-3</v>
      </c>
      <c r="D300" s="168" t="str">
        <f t="shared" si="53"/>
        <v>/</v>
      </c>
      <c r="E300" s="168">
        <f ca="1">IF(表2_36716262930381020[[#This Row],[累计净值]]/MAX(INDIRECT("B21:B" &amp; ROW()))-1&lt;E299,表2_36716262930381020[[#This Row],[累计净值]]/MAX(INDIRECT("B21:B" &amp; ROW()))-1,E299)</f>
        <v>-7.1594921493501551E-2</v>
      </c>
      <c r="F300" s="169">
        <f>表2_36716262930381020[[#This Row],[累计净值]]</f>
        <v>1.3517999999999999</v>
      </c>
      <c r="G300" s="170">
        <f>表2_36716262930381020[[#This Row],[累计净值]]/$B$21-1</f>
        <v>0.36380145278450349</v>
      </c>
      <c r="H300" s="170">
        <f>表2_36716262930381020[[#This Row],[累计净值]]/$B$156-1</f>
        <v>5.3542202478372714E-2</v>
      </c>
    </row>
    <row r="301" spans="1:10" x14ac:dyDescent="0.2">
      <c r="A301" s="161">
        <v>44194</v>
      </c>
      <c r="B301" s="162">
        <v>1.3469</v>
      </c>
      <c r="C301" s="171">
        <f t="shared" si="52"/>
        <v>-4.8999999999999044E-3</v>
      </c>
      <c r="D301" s="168">
        <f t="shared" si="53"/>
        <v>-4.8999999999999044E-3</v>
      </c>
      <c r="E301" s="168">
        <f ca="1">IF(表2_36716262930381020[[#This Row],[累计净值]]/MAX(INDIRECT("B21:B" &amp; ROW()))-1&lt;E300,表2_36716262930381020[[#This Row],[累计净值]]/MAX(INDIRECT("B21:B" &amp; ROW()))-1,E300)</f>
        <v>-7.1594921493501551E-2</v>
      </c>
      <c r="F301" s="169">
        <f>表2_36716262930381020[[#This Row],[累计净值]]</f>
        <v>1.3469</v>
      </c>
      <c r="G301" s="170">
        <f>表2_36716262930381020[[#This Row],[累计净值]]/$B$21-1</f>
        <v>0.35885794995964493</v>
      </c>
      <c r="H301" s="170">
        <f>表2_36716262930381020[[#This Row],[累计净值]]/$B$156-1</f>
        <v>4.9723326319071059E-2</v>
      </c>
    </row>
    <row r="302" spans="1:10" x14ac:dyDescent="0.2">
      <c r="A302" s="161">
        <v>44195</v>
      </c>
      <c r="B302" s="162">
        <v>1.3403</v>
      </c>
      <c r="C302" s="171">
        <f t="shared" si="52"/>
        <v>-6.5999999999999392E-3</v>
      </c>
      <c r="D302" s="168">
        <f t="shared" si="53"/>
        <v>-6.5999999999999392E-3</v>
      </c>
      <c r="E302" s="168">
        <f ca="1">IF(表2_36716262930381020[[#This Row],[累计净值]]/MAX(INDIRECT("B21:B" &amp; ROW()))-1&lt;E301,表2_36716262930381020[[#This Row],[累计净值]]/MAX(INDIRECT("B21:B" &amp; ROW()))-1,E301)</f>
        <v>-7.1594921493501551E-2</v>
      </c>
      <c r="F302" s="169">
        <f>表2_36716262930381020[[#This Row],[累计净值]]</f>
        <v>1.3403</v>
      </c>
      <c r="G302" s="170">
        <f>表2_36716262930381020[[#This Row],[累计净值]]/$B$21-1</f>
        <v>0.35219935431799843</v>
      </c>
      <c r="H302" s="170">
        <f>表2_36716262930381020[[#This Row],[累计净值]]/$B$156-1</f>
        <v>4.457953394123626E-2</v>
      </c>
    </row>
    <row r="303" spans="1:10" x14ac:dyDescent="0.2">
      <c r="A303" s="161">
        <v>44196</v>
      </c>
      <c r="B303" s="162">
        <v>1.3460000000000001</v>
      </c>
      <c r="C303" s="171">
        <f t="shared" si="52"/>
        <v>5.7000000000000384E-3</v>
      </c>
      <c r="D303" s="168" t="str">
        <f t="shared" si="53"/>
        <v>/</v>
      </c>
      <c r="E303" s="168">
        <f ca="1">IF(表2_36716262930381020[[#This Row],[累计净值]]/MAX(INDIRECT("B21:B" &amp; ROW()))-1&lt;E302,表2_36716262930381020[[#This Row],[累计净值]]/MAX(INDIRECT("B21:B" &amp; ROW()))-1,E302)</f>
        <v>-7.1594921493501551E-2</v>
      </c>
      <c r="F303" s="169">
        <f>表2_36716262930381020[[#This Row],[累计净值]]</f>
        <v>1.3460000000000001</v>
      </c>
      <c r="G303" s="170">
        <f>表2_36716262930381020[[#This Row],[累计净值]]/$B$21-1</f>
        <v>0.35794995964487497</v>
      </c>
      <c r="H303" s="170">
        <f>表2_36716262930381020[[#This Row],[累计净值]]/$B$156-1</f>
        <v>4.902190008572993E-2</v>
      </c>
    </row>
    <row r="304" spans="1:10" x14ac:dyDescent="0.2">
      <c r="A304" s="161">
        <v>44200</v>
      </c>
      <c r="B304" s="162">
        <v>1.3305</v>
      </c>
      <c r="C304" s="171">
        <f t="shared" si="52"/>
        <v>-1.5500000000000069E-2</v>
      </c>
      <c r="D304" s="168">
        <f t="shared" si="53"/>
        <v>-1.5500000000000069E-2</v>
      </c>
      <c r="E304" s="168">
        <f ca="1">IF(表2_36716262930381020[[#This Row],[累计净值]]/MAX(INDIRECT("B21:B" &amp; ROW()))-1&lt;E303,表2_36716262930381020[[#This Row],[累计净值]]/MAX(INDIRECT("B21:B" &amp; ROW()))-1,E303)</f>
        <v>-7.1594921493501551E-2</v>
      </c>
      <c r="F304" s="169">
        <f>表2_36716262930381020[[#This Row],[累计净值]]</f>
        <v>1.3305</v>
      </c>
      <c r="G304" s="170">
        <f>表2_36716262930381020[[#This Row],[累计净值]]/$B$21-1</f>
        <v>0.34231234866828086</v>
      </c>
      <c r="H304" s="170">
        <f>表2_36716262930381020[[#This Row],[累计净值]]/$B$156-1</f>
        <v>3.694178162263273E-2</v>
      </c>
    </row>
    <row r="305" spans="1:8" x14ac:dyDescent="0.2">
      <c r="A305" s="161">
        <v>44201</v>
      </c>
      <c r="B305" s="162">
        <v>1.3436999999999999</v>
      </c>
      <c r="C305" s="171">
        <f t="shared" ref="C305:C310" si="54">IFERROR(B305-B304,0)</f>
        <v>1.3199999999999878E-2</v>
      </c>
      <c r="D305" s="168" t="str">
        <f t="shared" ref="D305:D310" si="55">IF(C305&lt;0,C305,"/")</f>
        <v>/</v>
      </c>
      <c r="E305" s="168">
        <f ca="1">IF(表2_36716262930381020[[#This Row],[累计净值]]/MAX(INDIRECT("B21:B" &amp; ROW()))-1&lt;E304,表2_36716262930381020[[#This Row],[累计净值]]/MAX(INDIRECT("B21:B" &amp; ROW()))-1,E304)</f>
        <v>-7.1594921493501551E-2</v>
      </c>
      <c r="F305" s="169">
        <f>表2_36716262930381020[[#This Row],[累计净值]]</f>
        <v>1.3436999999999999</v>
      </c>
      <c r="G305" s="170">
        <f>表2_36716262930381020[[#This Row],[累计净值]]/$B$21-1</f>
        <v>0.35562953995157387</v>
      </c>
      <c r="H305" s="170">
        <f>表2_36716262930381020[[#This Row],[累计净值]]/$B$156-1</f>
        <v>4.7229366378302551E-2</v>
      </c>
    </row>
    <row r="306" spans="1:8" x14ac:dyDescent="0.2">
      <c r="A306" s="161">
        <v>44202</v>
      </c>
      <c r="B306" s="162">
        <v>1.3359000000000001</v>
      </c>
      <c r="C306" s="171">
        <f t="shared" si="54"/>
        <v>-7.7999999999998071E-3</v>
      </c>
      <c r="D306" s="168">
        <f t="shared" si="55"/>
        <v>-7.7999999999998071E-3</v>
      </c>
      <c r="E306" s="168">
        <f ca="1">IF(表2_36716262930381020[[#This Row],[累计净值]]/MAX(INDIRECT("B21:B" &amp; ROW()))-1&lt;E305,表2_36716262930381020[[#This Row],[累计净值]]/MAX(INDIRECT("B21:B" &amp; ROW()))-1,E305)</f>
        <v>-7.1594921493501551E-2</v>
      </c>
      <c r="F306" s="169">
        <f>表2_36716262930381020[[#This Row],[累计净值]]</f>
        <v>1.3359000000000001</v>
      </c>
      <c r="G306" s="170">
        <f>表2_36716262930381020[[#This Row],[累计净值]]/$B$21-1</f>
        <v>0.34776029055690083</v>
      </c>
      <c r="H306" s="170">
        <f>表2_36716262930381020[[#This Row],[累计净值]]/$B$156-1</f>
        <v>4.1150339022679505E-2</v>
      </c>
    </row>
    <row r="307" spans="1:8" x14ac:dyDescent="0.2">
      <c r="A307" s="161">
        <v>44203</v>
      </c>
      <c r="B307" s="162">
        <v>1.3266</v>
      </c>
      <c r="C307" s="171">
        <f t="shared" si="54"/>
        <v>-9.300000000000086E-3</v>
      </c>
      <c r="D307" s="168">
        <f t="shared" si="55"/>
        <v>-9.300000000000086E-3</v>
      </c>
      <c r="E307" s="168">
        <f ca="1">IF(表2_36716262930381020[[#This Row],[累计净值]]/MAX(INDIRECT("B21:B" &amp; ROW()))-1&lt;E306,表2_36716262930381020[[#This Row],[累计净值]]/MAX(INDIRECT("B21:B" &amp; ROW()))-1,E306)</f>
        <v>-7.1594921493501551E-2</v>
      </c>
      <c r="F307" s="169">
        <f>表2_36716262930381020[[#This Row],[累计净值]]</f>
        <v>1.3266</v>
      </c>
      <c r="G307" s="170">
        <f>表2_36716262930381020[[#This Row],[累计净值]]/$B$21-1</f>
        <v>0.33837772397094446</v>
      </c>
      <c r="H307" s="170">
        <f>表2_36716262930381020[[#This Row],[累计净值]]/$B$156-1</f>
        <v>3.3902267944821318E-2</v>
      </c>
    </row>
    <row r="308" spans="1:8" x14ac:dyDescent="0.2">
      <c r="A308" s="161">
        <v>44204</v>
      </c>
      <c r="B308" s="162">
        <v>1.3298000000000001</v>
      </c>
      <c r="C308" s="171">
        <f t="shared" si="54"/>
        <v>3.2000000000000917E-3</v>
      </c>
      <c r="D308" s="168" t="str">
        <f t="shared" si="55"/>
        <v>/</v>
      </c>
      <c r="E308" s="168">
        <f ca="1">IF(表2_36716262930381020[[#This Row],[累计净值]]/MAX(INDIRECT("B21:B" &amp; ROW()))-1&lt;E307,表2_36716262930381020[[#This Row],[累计净值]]/MAX(INDIRECT("B21:B" &amp; ROW()))-1,E307)</f>
        <v>-7.1594921493501551E-2</v>
      </c>
      <c r="F308" s="169">
        <f>表2_36716262930381020[[#This Row],[累计净值]]</f>
        <v>1.3298000000000001</v>
      </c>
      <c r="G308" s="170">
        <f>表2_36716262930381020[[#This Row],[累计净值]]/$B$21-1</f>
        <v>0.34160613397901551</v>
      </c>
      <c r="H308" s="170">
        <f>表2_36716262930381020[[#This Row],[累计净值]]/$B$156-1</f>
        <v>3.6396227885589827E-2</v>
      </c>
    </row>
    <row r="309" spans="1:8" x14ac:dyDescent="0.2">
      <c r="A309" s="161">
        <v>44207</v>
      </c>
      <c r="B309" s="162">
        <v>1.3347</v>
      </c>
      <c r="C309" s="171">
        <f t="shared" si="54"/>
        <v>4.8999999999999044E-3</v>
      </c>
      <c r="D309" s="168" t="str">
        <f t="shared" si="55"/>
        <v>/</v>
      </c>
      <c r="E309" s="168">
        <f ca="1">IF(表2_36716262930381020[[#This Row],[累计净值]]/MAX(INDIRECT("B21:B" &amp; ROW()))-1&lt;E308,表2_36716262930381020[[#This Row],[累计净值]]/MAX(INDIRECT("B21:B" &amp; ROW()))-1,E308)</f>
        <v>-7.1594921493501551E-2</v>
      </c>
      <c r="F309" s="169">
        <f>表2_36716262930381020[[#This Row],[累计净值]]</f>
        <v>1.3347</v>
      </c>
      <c r="G309" s="170">
        <f>表2_36716262930381020[[#This Row],[累计净值]]/$B$21-1</f>
        <v>0.34654963680387407</v>
      </c>
      <c r="H309" s="170">
        <f>表2_36716262930381020[[#This Row],[累计净值]]/$B$156-1</f>
        <v>4.0215104044891259E-2</v>
      </c>
    </row>
    <row r="310" spans="1:8" x14ac:dyDescent="0.2">
      <c r="A310" s="161">
        <v>44208</v>
      </c>
      <c r="B310" s="162">
        <v>1.3442000000000001</v>
      </c>
      <c r="C310" s="171">
        <f t="shared" si="54"/>
        <v>9.5000000000000639E-3</v>
      </c>
      <c r="D310" s="168" t="str">
        <f t="shared" si="55"/>
        <v>/</v>
      </c>
      <c r="E310" s="168">
        <f ca="1">IF(表2_36716262930381020[[#This Row],[累计净值]]/MAX(INDIRECT("B21:B" &amp; ROW()))-1&lt;E309,表2_36716262930381020[[#This Row],[累计净值]]/MAX(INDIRECT("B21:B" &amp; ROW()))-1,E309)</f>
        <v>-7.1594921493501551E-2</v>
      </c>
      <c r="F310" s="169">
        <f>表2_36716262930381020[[#This Row],[累计净值]]</f>
        <v>1.3442000000000001</v>
      </c>
      <c r="G310" s="170">
        <f>表2_36716262930381020[[#This Row],[累计净值]]/$B$21-1</f>
        <v>0.35613397901533506</v>
      </c>
      <c r="H310" s="170">
        <f>表2_36716262930381020[[#This Row],[累计净值]]/$B$156-1</f>
        <v>4.7619047619047672E-2</v>
      </c>
    </row>
    <row r="311" spans="1:8" x14ac:dyDescent="0.2">
      <c r="A311" s="161">
        <v>44209</v>
      </c>
      <c r="B311" s="162">
        <v>1.3245</v>
      </c>
      <c r="C311" s="171">
        <f t="shared" ref="C311:C316" si="56">IFERROR(B311-B310,0)</f>
        <v>-1.9700000000000051E-2</v>
      </c>
      <c r="D311" s="168">
        <f t="shared" ref="D311:D316" si="57">IF(C311&lt;0,C311,"/")</f>
        <v>-1.9700000000000051E-2</v>
      </c>
      <c r="E311" s="168">
        <f ca="1">IF(表2_36716262930381020[[#This Row],[累计净值]]/MAX(INDIRECT("B21:B" &amp; ROW()))-1&lt;E310,表2_36716262930381020[[#This Row],[累计净值]]/MAX(INDIRECT("B21:B" &amp; ROW()))-1,E310)</f>
        <v>-7.1594921493501551E-2</v>
      </c>
      <c r="F311" s="169">
        <f>表2_36716262930381020[[#This Row],[累计净值]]</f>
        <v>1.3245</v>
      </c>
      <c r="G311" s="170">
        <f>表2_36716262930381020[[#This Row],[累计净值]]/$B$21-1</f>
        <v>0.33625907990314774</v>
      </c>
      <c r="H311" s="170">
        <f>表2_36716262930381020[[#This Row],[累计净值]]/$B$156-1</f>
        <v>3.2265606733691943E-2</v>
      </c>
    </row>
    <row r="312" spans="1:8" x14ac:dyDescent="0.2">
      <c r="A312" s="161">
        <v>44210</v>
      </c>
      <c r="B312" s="162">
        <v>1.325</v>
      </c>
      <c r="C312" s="171">
        <f t="shared" si="56"/>
        <v>4.9999999999994493E-4</v>
      </c>
      <c r="D312" s="168" t="str">
        <f t="shared" si="57"/>
        <v>/</v>
      </c>
      <c r="E312" s="168">
        <f ca="1">IF(表2_36716262930381020[[#This Row],[累计净值]]/MAX(INDIRECT("B21:B" &amp; ROW()))-1&lt;E311,表2_36716262930381020[[#This Row],[累计净值]]/MAX(INDIRECT("B21:B" &amp; ROW()))-1,E311)</f>
        <v>-7.1594921493501551E-2</v>
      </c>
      <c r="F312" s="169">
        <f>表2_36716262930381020[[#This Row],[累计净值]]</f>
        <v>1.325</v>
      </c>
      <c r="G312" s="170">
        <f>表2_36716262930381020[[#This Row],[累计净值]]/$B$21-1</f>
        <v>0.3367635189669087</v>
      </c>
      <c r="H312" s="170">
        <f>表2_36716262930381020[[#This Row],[累计净值]]/$B$156-1</f>
        <v>3.2655287974436842E-2</v>
      </c>
    </row>
    <row r="313" spans="1:8" x14ac:dyDescent="0.2">
      <c r="A313" s="161">
        <v>44211</v>
      </c>
      <c r="B313" s="162">
        <v>1.3381000000000001</v>
      </c>
      <c r="C313" s="171">
        <f t="shared" si="56"/>
        <v>1.3100000000000112E-2</v>
      </c>
      <c r="D313" s="168" t="str">
        <f t="shared" si="57"/>
        <v>/</v>
      </c>
      <c r="E313" s="168">
        <f ca="1">IF(表2_36716262930381020[[#This Row],[累计净值]]/MAX(INDIRECT("B21:B" &amp; ROW()))-1&lt;E312,表2_36716262930381020[[#This Row],[累计净值]]/MAX(INDIRECT("B21:B" &amp; ROW()))-1,E312)</f>
        <v>-7.1594921493501551E-2</v>
      </c>
      <c r="F313" s="169">
        <f>表2_36716262930381020[[#This Row],[累计净值]]</f>
        <v>1.3381000000000001</v>
      </c>
      <c r="G313" s="170">
        <f>表2_36716262930381020[[#This Row],[累计净值]]/$B$21-1</f>
        <v>0.34997982243744974</v>
      </c>
      <c r="H313" s="170">
        <f>表2_36716262930381020[[#This Row],[累计净值]]/$B$156-1</f>
        <v>4.2864936481957994E-2</v>
      </c>
    </row>
    <row r="314" spans="1:8" x14ac:dyDescent="0.2">
      <c r="A314" s="161">
        <v>44214</v>
      </c>
      <c r="B314" s="162">
        <v>1.3472999999999999</v>
      </c>
      <c r="C314" s="171">
        <f t="shared" si="56"/>
        <v>9.1999999999998749E-3</v>
      </c>
      <c r="D314" s="168" t="str">
        <f t="shared" si="57"/>
        <v>/</v>
      </c>
      <c r="E314" s="168">
        <f ca="1">IF(表2_36716262930381020[[#This Row],[累计净值]]/MAX(INDIRECT("B21:B" &amp; ROW()))-1&lt;E313,表2_36716262930381020[[#This Row],[累计净值]]/MAX(INDIRECT("B21:B" &amp; ROW()))-1,E313)</f>
        <v>-7.1594921493501551E-2</v>
      </c>
      <c r="F314" s="169">
        <f>表2_36716262930381020[[#This Row],[累计净值]]</f>
        <v>1.3472999999999999</v>
      </c>
      <c r="G314" s="170">
        <f>表2_36716262930381020[[#This Row],[累计净值]]/$B$21-1</f>
        <v>0.3592615012106537</v>
      </c>
      <c r="H314" s="170">
        <f>表2_36716262930381020[[#This Row],[累计净值]]/$B$156-1</f>
        <v>5.0035071311667068E-2</v>
      </c>
    </row>
    <row r="315" spans="1:8" x14ac:dyDescent="0.2">
      <c r="A315" s="161">
        <v>44215</v>
      </c>
      <c r="B315" s="216">
        <v>1.3328</v>
      </c>
      <c r="C315" s="171">
        <f t="shared" si="56"/>
        <v>-1.4499999999999957E-2</v>
      </c>
      <c r="D315" s="168">
        <f t="shared" si="57"/>
        <v>-1.4499999999999957E-2</v>
      </c>
      <c r="E315" s="168">
        <f ca="1">IF(表2_36716262930381020[[#This Row],[累计净值]]/MAX(INDIRECT("B21:B" &amp; ROW()))-1&lt;E314,表2_36716262930381020[[#This Row],[累计净值]]/MAX(INDIRECT("B21:B" &amp; ROW()))-1,E314)</f>
        <v>-7.1594921493501551E-2</v>
      </c>
      <c r="F315" s="169">
        <f>表2_36716262930381020[[#This Row],[累计净值]]</f>
        <v>1.3328</v>
      </c>
      <c r="G315" s="170">
        <f>表2_36716262930381020[[#This Row],[累计净值]]/$B$21-1</f>
        <v>0.34463276836158196</v>
      </c>
      <c r="H315" s="170">
        <f>表2_36716262930381020[[#This Row],[累计净值]]/$B$156-1</f>
        <v>3.873431533006011E-2</v>
      </c>
    </row>
    <row r="316" spans="1:8" x14ac:dyDescent="0.2">
      <c r="A316" s="161">
        <v>44216</v>
      </c>
      <c r="B316" s="216">
        <v>1.3244</v>
      </c>
      <c r="C316" s="171">
        <f t="shared" si="56"/>
        <v>-8.3999999999999631E-3</v>
      </c>
      <c r="D316" s="168">
        <f t="shared" si="57"/>
        <v>-8.3999999999999631E-3</v>
      </c>
      <c r="E316" s="168">
        <f ca="1">IF(表2_36716262930381020[[#This Row],[累计净值]]/MAX(INDIRECT("B21:B" &amp; ROW()))-1&lt;E315,表2_36716262930381020[[#This Row],[累计净值]]/MAX(INDIRECT("B21:B" &amp; ROW()))-1,E315)</f>
        <v>-7.1594921493501551E-2</v>
      </c>
      <c r="F316" s="169">
        <f>表2_36716262930381020[[#This Row],[累计净值]]</f>
        <v>1.3244</v>
      </c>
      <c r="G316" s="170">
        <f>表2_36716262930381020[[#This Row],[累计净值]]/$B$21-1</f>
        <v>0.33615819209039555</v>
      </c>
      <c r="H316" s="170">
        <f>表2_36716262930381020[[#This Row],[累计净值]]/$B$156-1</f>
        <v>3.218767048554283E-2</v>
      </c>
    </row>
    <row r="317" spans="1:8" x14ac:dyDescent="0.2">
      <c r="A317" s="161">
        <v>44217</v>
      </c>
      <c r="B317" s="216">
        <v>1.3259000000000001</v>
      </c>
      <c r="C317" s="171">
        <f t="shared" ref="C317:C322" si="58">IFERROR(B317-B316,0)</f>
        <v>1.5000000000000568E-3</v>
      </c>
      <c r="D317" s="168" t="str">
        <f t="shared" ref="D317:D322" si="59">IF(C317&lt;0,C317,"/")</f>
        <v>/</v>
      </c>
      <c r="E317" s="168">
        <f ca="1">IF(表2_36716262930381020[[#This Row],[累计净值]]/MAX(INDIRECT("B21:B" &amp; ROW()))-1&lt;E316,表2_36716262930381020[[#This Row],[累计净值]]/MAX(INDIRECT("B21:B" &amp; ROW()))-1,E316)</f>
        <v>-7.1594921493501551E-2</v>
      </c>
      <c r="F317" s="169">
        <f>表2_36716262930381020[[#This Row],[累计净值]]</f>
        <v>1.3259000000000001</v>
      </c>
      <c r="G317" s="170">
        <f>表2_36716262930381020[[#This Row],[累计净值]]/$B$21-1</f>
        <v>0.33767150928167888</v>
      </c>
      <c r="H317" s="170">
        <f>表2_36716262930381020[[#This Row],[累计净值]]/$B$156-1</f>
        <v>3.3356714207778193E-2</v>
      </c>
    </row>
    <row r="318" spans="1:8" x14ac:dyDescent="0.2">
      <c r="A318" s="161">
        <v>44218</v>
      </c>
      <c r="B318" s="216">
        <v>1.3374999999999999</v>
      </c>
      <c r="C318" s="171">
        <f t="shared" si="58"/>
        <v>1.1599999999999833E-2</v>
      </c>
      <c r="D318" s="168" t="str">
        <f t="shared" si="59"/>
        <v>/</v>
      </c>
      <c r="E318" s="168">
        <f ca="1">IF(表2_36716262930381020[[#This Row],[累计净值]]/MAX(INDIRECT("B21:B" &amp; ROW()))-1&lt;E317,表2_36716262930381020[[#This Row],[累计净值]]/MAX(INDIRECT("B21:B" &amp; ROW()))-1,E317)</f>
        <v>-7.1594921493501551E-2</v>
      </c>
      <c r="F318" s="169">
        <f>表2_36716262930381020[[#This Row],[累计净值]]</f>
        <v>1.3374999999999999</v>
      </c>
      <c r="G318" s="170">
        <f>表2_36716262930381020[[#This Row],[累计净值]]/$B$21-1</f>
        <v>0.34937449556093614</v>
      </c>
      <c r="H318" s="170">
        <f>表2_36716262930381020[[#This Row],[累计净值]]/$B$156-1</f>
        <v>4.239731899306376E-2</v>
      </c>
    </row>
    <row r="319" spans="1:8" x14ac:dyDescent="0.2">
      <c r="A319" s="161">
        <v>44221</v>
      </c>
      <c r="B319" s="216">
        <v>1.3403</v>
      </c>
      <c r="C319" s="171">
        <f t="shared" si="58"/>
        <v>2.8000000000001357E-3</v>
      </c>
      <c r="D319" s="168" t="str">
        <f t="shared" si="59"/>
        <v>/</v>
      </c>
      <c r="E319" s="168">
        <f ca="1">IF(表2_36716262930381020[[#This Row],[累计净值]]/MAX(INDIRECT("B21:B" &amp; ROW()))-1&lt;E318,表2_36716262930381020[[#This Row],[累计净值]]/MAX(INDIRECT("B21:B" &amp; ROW()))-1,E318)</f>
        <v>-7.1594921493501551E-2</v>
      </c>
      <c r="F319" s="169">
        <f>表2_36716262930381020[[#This Row],[累计净值]]</f>
        <v>1.3403</v>
      </c>
      <c r="G319" s="170">
        <f>表2_36716262930381020[[#This Row],[累计净值]]/$B$21-1</f>
        <v>0.35219935431799843</v>
      </c>
      <c r="H319" s="170">
        <f>表2_36716262930381020[[#This Row],[累计净值]]/$B$156-1</f>
        <v>4.457953394123626E-2</v>
      </c>
    </row>
    <row r="320" spans="1:8" x14ac:dyDescent="0.2">
      <c r="A320" s="161">
        <v>44222</v>
      </c>
      <c r="B320" s="162">
        <v>1.3368</v>
      </c>
      <c r="C320" s="171">
        <f t="shared" si="58"/>
        <v>-3.5000000000000586E-3</v>
      </c>
      <c r="D320" s="168">
        <f t="shared" si="59"/>
        <v>-3.5000000000000586E-3</v>
      </c>
      <c r="E320" s="168">
        <f ca="1">IF(表2_36716262930381020[[#This Row],[累计净值]]/MAX(INDIRECT("B21:B" &amp; ROW()))-1&lt;E319,表2_36716262930381020[[#This Row],[累计净值]]/MAX(INDIRECT("B21:B" &amp; ROW()))-1,E319)</f>
        <v>-7.1594921493501551E-2</v>
      </c>
      <c r="F320" s="169">
        <f>表2_36716262930381020[[#This Row],[累计净值]]</f>
        <v>1.3368</v>
      </c>
      <c r="G320" s="170">
        <f>表2_36716262930381020[[#This Row],[累计净值]]/$B$21-1</f>
        <v>0.34866828087167079</v>
      </c>
      <c r="H320" s="170">
        <f>表2_36716262930381020[[#This Row],[累计净值]]/$B$156-1</f>
        <v>4.1851765256020634E-2</v>
      </c>
    </row>
    <row r="321" spans="1:8" x14ac:dyDescent="0.2">
      <c r="A321" s="161">
        <v>44223</v>
      </c>
      <c r="B321" s="162">
        <v>1.3386</v>
      </c>
      <c r="C321" s="171">
        <f t="shared" si="58"/>
        <v>1.8000000000000238E-3</v>
      </c>
      <c r="D321" s="168" t="str">
        <f t="shared" si="59"/>
        <v>/</v>
      </c>
      <c r="E321" s="168">
        <f ca="1">IF(表2_36716262930381020[[#This Row],[累计净值]]/MAX(INDIRECT("B21:B" &amp; ROW()))-1&lt;E320,表2_36716262930381020[[#This Row],[累计净值]]/MAX(INDIRECT("B21:B" &amp; ROW()))-1,E320)</f>
        <v>-7.1594921493501551E-2</v>
      </c>
      <c r="F321" s="169">
        <f>表2_36716262930381020[[#This Row],[累计净值]]</f>
        <v>1.3386</v>
      </c>
      <c r="G321" s="170">
        <f>表2_36716262930381020[[#This Row],[累计净值]]/$B$21-1</f>
        <v>0.3504842615012107</v>
      </c>
      <c r="H321" s="170">
        <f>表2_36716262930381020[[#This Row],[累计净值]]/$B$156-1</f>
        <v>4.3254617722702893E-2</v>
      </c>
    </row>
    <row r="322" spans="1:8" x14ac:dyDescent="0.2">
      <c r="A322" s="161">
        <v>44224</v>
      </c>
      <c r="B322" s="162">
        <v>1.3177000000000001</v>
      </c>
      <c r="C322" s="171">
        <f t="shared" si="58"/>
        <v>-2.0899999999999919E-2</v>
      </c>
      <c r="D322" s="168">
        <f t="shared" si="59"/>
        <v>-2.0899999999999919E-2</v>
      </c>
      <c r="E322" s="168">
        <f ca="1">IF(表2_36716262930381020[[#This Row],[累计净值]]/MAX(INDIRECT("B21:B" &amp; ROW()))-1&lt;E321,表2_36716262930381020[[#This Row],[累计净值]]/MAX(INDIRECT("B21:B" &amp; ROW()))-1,E321)</f>
        <v>-7.1594921493501551E-2</v>
      </c>
      <c r="F322" s="169">
        <f>表2_36716262930381020[[#This Row],[累计净值]]</f>
        <v>1.3177000000000001</v>
      </c>
      <c r="G322" s="170">
        <f>表2_36716262930381020[[#This Row],[累计净值]]/$B$21-1</f>
        <v>0.32939870863599685</v>
      </c>
      <c r="H322" s="170">
        <f>表2_36716262930381020[[#This Row],[累计净值]]/$B$156-1</f>
        <v>2.6965941859558917E-2</v>
      </c>
    </row>
    <row r="323" spans="1:8" x14ac:dyDescent="0.2">
      <c r="A323" s="161">
        <v>44225</v>
      </c>
      <c r="B323" s="162">
        <v>1.2964</v>
      </c>
      <c r="C323" s="171">
        <f t="shared" ref="C323:C328" si="60">IFERROR(B323-B322,0)</f>
        <v>-2.1300000000000097E-2</v>
      </c>
      <c r="D323" s="168">
        <f t="shared" ref="D323:D328" si="61">IF(C323&lt;0,C323,"/")</f>
        <v>-2.1300000000000097E-2</v>
      </c>
      <c r="E323" s="168">
        <f ca="1">IF(表2_36716262930381020[[#This Row],[累计净值]]/MAX(INDIRECT("B21:B" &amp; ROW()))-1&lt;E322,表2_36716262930381020[[#This Row],[累计净值]]/MAX(INDIRECT("B21:B" &amp; ROW()))-1,E322)</f>
        <v>-7.1594921493501551E-2</v>
      </c>
      <c r="F323" s="169">
        <f>表2_36716262930381020[[#This Row],[累计净值]]</f>
        <v>1.2964</v>
      </c>
      <c r="G323" s="170">
        <f>表2_36716262930381020[[#This Row],[累计净值]]/$B$21-1</f>
        <v>0.30790960451977401</v>
      </c>
      <c r="H323" s="170">
        <f>表2_36716262930381020[[#This Row],[累计净值]]/$B$156-1</f>
        <v>1.0365521003818934E-2</v>
      </c>
    </row>
    <row r="324" spans="1:8" x14ac:dyDescent="0.2">
      <c r="A324" s="161">
        <v>44228</v>
      </c>
      <c r="B324" s="162">
        <v>1.3011999999999999</v>
      </c>
      <c r="C324" s="171">
        <f t="shared" si="60"/>
        <v>4.7999999999999154E-3</v>
      </c>
      <c r="D324" s="168" t="str">
        <f t="shared" si="61"/>
        <v>/</v>
      </c>
      <c r="E324" s="168">
        <f ca="1">IF(表2_36716262930381020[[#This Row],[累计净值]]/MAX(INDIRECT("B21:B" &amp; ROW()))-1&lt;E323,表2_36716262930381020[[#This Row],[累计净值]]/MAX(INDIRECT("B21:B" &amp; ROW()))-1,E323)</f>
        <v>-7.1594921493501551E-2</v>
      </c>
      <c r="F324" s="169">
        <f>表2_36716262930381020[[#This Row],[累计净值]]</f>
        <v>1.3011999999999999</v>
      </c>
      <c r="G324" s="170">
        <f>表2_36716262930381020[[#This Row],[累计净值]]/$B$21-1</f>
        <v>0.31275221953188059</v>
      </c>
      <c r="H324" s="170">
        <f>表2_36716262930381020[[#This Row],[累计净值]]/$B$156-1</f>
        <v>1.4106460914971475E-2</v>
      </c>
    </row>
    <row r="325" spans="1:8" x14ac:dyDescent="0.2">
      <c r="A325" s="161">
        <v>44229</v>
      </c>
      <c r="B325" s="162">
        <v>1.2954000000000001</v>
      </c>
      <c r="C325" s="171">
        <f t="shared" si="60"/>
        <v>-5.7999999999998053E-3</v>
      </c>
      <c r="D325" s="168">
        <f t="shared" si="61"/>
        <v>-5.7999999999998053E-3</v>
      </c>
      <c r="E325" s="168">
        <f ca="1">IF(表2_36716262930381020[[#This Row],[累计净值]]/MAX(INDIRECT("B21:B" &amp; ROW()))-1&lt;E324,表2_36716262930381020[[#This Row],[累计净值]]/MAX(INDIRECT("B21:B" &amp; ROW()))-1,E324)</f>
        <v>-7.1594921493501551E-2</v>
      </c>
      <c r="F325" s="169">
        <f>表2_36716262930381020[[#This Row],[累计净值]]</f>
        <v>1.2954000000000001</v>
      </c>
      <c r="G325" s="170">
        <f>表2_36716262930381020[[#This Row],[累计净值]]/$B$21-1</f>
        <v>0.30690072639225185</v>
      </c>
      <c r="H325" s="170">
        <f>表2_36716262930381020[[#This Row],[累计净值]]/$B$156-1</f>
        <v>9.5861585223289136E-3</v>
      </c>
    </row>
    <row r="326" spans="1:8" x14ac:dyDescent="0.2">
      <c r="A326" s="161">
        <v>44230</v>
      </c>
      <c r="B326" s="162">
        <v>1.2874000000000001</v>
      </c>
      <c r="C326" s="171">
        <f t="shared" si="60"/>
        <v>-8.0000000000000071E-3</v>
      </c>
      <c r="D326" s="168">
        <f t="shared" si="61"/>
        <v>-8.0000000000000071E-3</v>
      </c>
      <c r="E326" s="168">
        <f ca="1">IF(表2_36716262930381020[[#This Row],[累计净值]]/MAX(INDIRECT("B21:B" &amp; ROW()))-1&lt;E325,表2_36716262930381020[[#This Row],[累计净值]]/MAX(INDIRECT("B21:B" &amp; ROW()))-1,E325)</f>
        <v>-7.1594921493501551E-2</v>
      </c>
      <c r="F326" s="169">
        <f>表2_36716262930381020[[#This Row],[累计净值]]</f>
        <v>1.2874000000000001</v>
      </c>
      <c r="G326" s="170">
        <f>表2_36716262930381020[[#This Row],[累计净值]]/$B$21-1</f>
        <v>0.29882970137207443</v>
      </c>
      <c r="H326" s="170">
        <f>表2_36716262930381020[[#This Row],[累计净值]]/$B$156-1</f>
        <v>3.351258670407864E-3</v>
      </c>
    </row>
    <row r="327" spans="1:8" x14ac:dyDescent="0.2">
      <c r="A327" s="161">
        <v>44231</v>
      </c>
      <c r="B327" s="162">
        <v>1.2858000000000001</v>
      </c>
      <c r="C327" s="171">
        <f t="shared" si="60"/>
        <v>-1.6000000000000458E-3</v>
      </c>
      <c r="D327" s="168">
        <f t="shared" si="61"/>
        <v>-1.6000000000000458E-3</v>
      </c>
      <c r="E327" s="168">
        <f ca="1">IF(表2_36716262930381020[[#This Row],[累计净值]]/MAX(INDIRECT("B21:B" &amp; ROW()))-1&lt;E326,表2_36716262930381020[[#This Row],[累计净值]]/MAX(INDIRECT("B21:B" &amp; ROW()))-1,E326)</f>
        <v>-7.1594921493501551E-2</v>
      </c>
      <c r="F327" s="169">
        <f>表2_36716262930381020[[#This Row],[累计净值]]</f>
        <v>1.2858000000000001</v>
      </c>
      <c r="G327" s="170">
        <f>表2_36716262930381020[[#This Row],[累计净值]]/$B$21-1</f>
        <v>0.2972154963680389</v>
      </c>
      <c r="H327" s="170">
        <f>表2_36716262930381020[[#This Row],[累计净值]]/$B$156-1</f>
        <v>2.1042787000233876E-3</v>
      </c>
    </row>
    <row r="328" spans="1:8" x14ac:dyDescent="0.2">
      <c r="A328" s="161">
        <v>44232</v>
      </c>
      <c r="B328" s="162">
        <v>1.29</v>
      </c>
      <c r="C328" s="171">
        <f t="shared" si="60"/>
        <v>4.1999999999999815E-3</v>
      </c>
      <c r="D328" s="168" t="str">
        <f t="shared" si="61"/>
        <v>/</v>
      </c>
      <c r="E328" s="168">
        <f ca="1">IF(表2_36716262930381020[[#This Row],[累计净值]]/MAX(INDIRECT("B21:B" &amp; ROW()))-1&lt;E327,表2_36716262930381020[[#This Row],[累计净值]]/MAX(INDIRECT("B21:B" &amp; ROW()))-1,E327)</f>
        <v>-7.1594921493501551E-2</v>
      </c>
      <c r="F328" s="169">
        <f>表2_36716262930381020[[#This Row],[累计净值]]</f>
        <v>1.29</v>
      </c>
      <c r="G328" s="170">
        <f>表2_36716262930381020[[#This Row],[累计净值]]/$B$21-1</f>
        <v>0.30145278450363211</v>
      </c>
      <c r="H328" s="170">
        <f>表2_36716262930381020[[#This Row],[累计净值]]/$B$156-1</f>
        <v>5.3776011222821385E-3</v>
      </c>
    </row>
    <row r="329" spans="1:8" x14ac:dyDescent="0.2">
      <c r="A329" s="161">
        <v>44235</v>
      </c>
      <c r="B329" s="162">
        <v>1.2928999999999999</v>
      </c>
      <c r="C329" s="171">
        <f>IFERROR(B329-B328,0)</f>
        <v>2.8999999999999027E-3</v>
      </c>
      <c r="D329" s="168" t="str">
        <f>IF(C329&lt;0,C329,"/")</f>
        <v>/</v>
      </c>
      <c r="E329" s="168">
        <f ca="1">IF(表2_36716262930381020[[#This Row],[累计净值]]/MAX(INDIRECT("B21:B" &amp; ROW()))-1&lt;E328,表2_36716262930381020[[#This Row],[累计净值]]/MAX(INDIRECT("B21:B" &amp; ROW()))-1,E328)</f>
        <v>-7.1594921493501551E-2</v>
      </c>
      <c r="F329" s="169">
        <f>表2_36716262930381020[[#This Row],[累计净值]]</f>
        <v>1.2928999999999999</v>
      </c>
      <c r="G329" s="170">
        <f>表2_36716262930381020[[#This Row],[累计净值]]/$B$21-1</f>
        <v>0.30437853107344637</v>
      </c>
      <c r="H329" s="170">
        <f>表2_36716262930381020[[#This Row],[累计净值]]/$B$156-1</f>
        <v>7.6377523186033081E-3</v>
      </c>
    </row>
    <row r="330" spans="1:8" x14ac:dyDescent="0.2">
      <c r="A330" s="161">
        <v>44236</v>
      </c>
      <c r="B330" s="162">
        <v>1.3001</v>
      </c>
      <c r="C330" s="171">
        <f>IFERROR(B330-B329,0)</f>
        <v>7.2000000000000952E-3</v>
      </c>
      <c r="D330" s="168" t="str">
        <f>IF(C330&lt;0,C330,"/")</f>
        <v>/</v>
      </c>
      <c r="E330" s="168">
        <f ca="1">IF(表2_36716262930381020[[#This Row],[累计净值]]/MAX(INDIRECT("B21:B" &amp; ROW()))-1&lt;E329,表2_36716262930381020[[#This Row],[累计净值]]/MAX(INDIRECT("B21:B" &amp; ROW()))-1,E329)</f>
        <v>-7.1594921493501551E-2</v>
      </c>
      <c r="F330" s="169">
        <f>表2_36716262930381020[[#This Row],[累计净值]]</f>
        <v>1.3001</v>
      </c>
      <c r="G330" s="170">
        <f>表2_36716262930381020[[#This Row],[累计净值]]/$B$21-1</f>
        <v>0.31164245359160625</v>
      </c>
      <c r="H330" s="170">
        <f>表2_36716262930381020[[#This Row],[累计净值]]/$B$156-1</f>
        <v>1.3249162185332564E-2</v>
      </c>
    </row>
    <row r="331" spans="1:8" x14ac:dyDescent="0.2">
      <c r="A331" s="161">
        <v>44237</v>
      </c>
      <c r="B331" s="162">
        <v>1.3015000000000001</v>
      </c>
      <c r="C331" s="171">
        <f t="shared" ref="C331:C332" si="62">IFERROR(B331-B330,0)</f>
        <v>1.4000000000000679E-3</v>
      </c>
      <c r="D331" s="168" t="str">
        <f t="shared" ref="D331:D332" si="63">IF(C331&lt;0,C331,"/")</f>
        <v>/</v>
      </c>
      <c r="E331" s="168">
        <f ca="1">IF(表2_36716262930381020[[#This Row],[累计净值]]/MAX(INDIRECT("B21:B" &amp; ROW()))-1&lt;E330,表2_36716262930381020[[#This Row],[累计净值]]/MAX(INDIRECT("B21:B" &amp; ROW()))-1,E330)</f>
        <v>-7.1594921493501551E-2</v>
      </c>
      <c r="F331" s="169">
        <f>表2_36716262930381020[[#This Row],[累计净值]]</f>
        <v>1.3015000000000001</v>
      </c>
      <c r="G331" s="170">
        <f>表2_36716262930381020[[#This Row],[累计净值]]/$B$21-1</f>
        <v>0.31305488297013739</v>
      </c>
      <c r="H331" s="170">
        <f>表2_36716262930381020[[#This Row],[累计净值]]/$B$156-1</f>
        <v>1.4340269659418814E-2</v>
      </c>
    </row>
    <row r="332" spans="1:8" x14ac:dyDescent="0.2">
      <c r="A332" s="161">
        <v>44245</v>
      </c>
      <c r="B332" s="162">
        <v>1.3218000000000001</v>
      </c>
      <c r="C332" s="171">
        <f t="shared" si="62"/>
        <v>2.0299999999999985E-2</v>
      </c>
      <c r="D332" s="168" t="str">
        <f t="shared" si="63"/>
        <v>/</v>
      </c>
      <c r="E332" s="168">
        <f ca="1">IF(表2_36716262930381020[[#This Row],[累计净值]]/MAX(INDIRECT("B21:B" &amp; ROW()))-1&lt;E331,表2_36716262930381020[[#This Row],[累计净值]]/MAX(INDIRECT("B21:B" &amp; ROW()))-1,E331)</f>
        <v>-7.1594921493501551E-2</v>
      </c>
      <c r="F332" s="169">
        <f>表2_36716262930381020[[#This Row],[累计净值]]</f>
        <v>1.3218000000000001</v>
      </c>
      <c r="G332" s="170">
        <f>表2_36716262930381020[[#This Row],[累计净值]]/$B$21-1</f>
        <v>0.33353510895883787</v>
      </c>
      <c r="H332" s="170">
        <f>表2_36716262930381020[[#This Row],[累计净值]]/$B$156-1</f>
        <v>3.0161328033668555E-2</v>
      </c>
    </row>
    <row r="333" spans="1:8" x14ac:dyDescent="0.2">
      <c r="A333" s="161">
        <v>44246</v>
      </c>
      <c r="B333" s="162">
        <v>1.3324</v>
      </c>
      <c r="C333" s="171">
        <f>IFERROR(B333-B332,0)</f>
        <v>1.0599999999999943E-2</v>
      </c>
      <c r="D333" s="168" t="str">
        <f>IF(C333&lt;0,C333,"/")</f>
        <v>/</v>
      </c>
      <c r="E333" s="168">
        <f ca="1">IF(表2_36716262930381020[[#This Row],[累计净值]]/MAX(INDIRECT("B21:B" &amp; ROW()))-1&lt;E332,表2_36716262930381020[[#This Row],[累计净值]]/MAX(INDIRECT("B21:B" &amp; ROW()))-1,E332)</f>
        <v>-7.1594921493501551E-2</v>
      </c>
      <c r="F333" s="169">
        <f>表2_36716262930381020[[#This Row],[累计净值]]</f>
        <v>1.3324</v>
      </c>
      <c r="G333" s="170">
        <f>表2_36716262930381020[[#This Row],[累计净值]]/$B$21-1</f>
        <v>0.34422921711057319</v>
      </c>
      <c r="H333" s="170">
        <f>表2_36716262930381020[[#This Row],[累计净值]]/$B$156-1</f>
        <v>3.8422570337464101E-2</v>
      </c>
    </row>
    <row r="334" spans="1:8" x14ac:dyDescent="0.2">
      <c r="A334" s="161">
        <v>44249</v>
      </c>
      <c r="B334" s="162">
        <v>1.3440000000000001</v>
      </c>
      <c r="C334" s="171">
        <f>IFERROR(B334-B333,0)</f>
        <v>1.1600000000000055E-2</v>
      </c>
      <c r="D334" s="168" t="str">
        <f>IF(C334&lt;0,C334,"/")</f>
        <v>/</v>
      </c>
      <c r="E334" s="168">
        <f ca="1">IF(表2_36716262930381020[[#This Row],[累计净值]]/MAX(INDIRECT("B21:B" &amp; ROW()))-1&lt;E333,表2_36716262930381020[[#This Row],[累计净值]]/MAX(INDIRECT("B21:B" &amp; ROW()))-1,E333)</f>
        <v>-7.1594921493501551E-2</v>
      </c>
      <c r="F334" s="169">
        <f>表2_36716262930381020[[#This Row],[累计净值]]</f>
        <v>1.3440000000000001</v>
      </c>
      <c r="G334" s="170">
        <f>表2_36716262930381020[[#This Row],[累计净值]]/$B$21-1</f>
        <v>0.35593220338983067</v>
      </c>
      <c r="H334" s="170">
        <f>表2_36716262930381020[[#This Row],[累计净值]]/$B$156-1</f>
        <v>4.7463175122749668E-2</v>
      </c>
    </row>
    <row r="335" spans="1:8" x14ac:dyDescent="0.2">
      <c r="A335" s="161">
        <v>44250</v>
      </c>
      <c r="B335" s="162">
        <v>1.3363</v>
      </c>
      <c r="C335" s="171">
        <f>IFERROR(B335-B334,0)</f>
        <v>-7.7000000000000401E-3</v>
      </c>
      <c r="D335" s="168">
        <f>IF(C335&lt;0,C335,"/")</f>
        <v>-7.7000000000000401E-3</v>
      </c>
      <c r="E335" s="168">
        <f ca="1">IF(表2_36716262930381020[[#This Row],[累计净值]]/MAX(INDIRECT("B21:B" &amp; ROW()))-1&lt;E334,表2_36716262930381020[[#This Row],[累计净值]]/MAX(INDIRECT("B21:B" &amp; ROW()))-1,E334)</f>
        <v>-7.1594921493501551E-2</v>
      </c>
      <c r="F335" s="169">
        <f>表2_36716262930381020[[#This Row],[累计净值]]</f>
        <v>1.3363</v>
      </c>
      <c r="G335" s="170">
        <f>表2_36716262930381020[[#This Row],[累计净值]]/$B$21-1</f>
        <v>0.3481638418079096</v>
      </c>
      <c r="H335" s="170">
        <f>表2_36716262930381020[[#This Row],[累计净值]]/$B$156-1</f>
        <v>4.1462084015275513E-2</v>
      </c>
    </row>
    <row r="336" spans="1:8" x14ac:dyDescent="0.2">
      <c r="A336" s="161">
        <v>44251</v>
      </c>
      <c r="B336" s="162">
        <v>1.3286</v>
      </c>
      <c r="C336" s="171">
        <f t="shared" ref="C336:C338" si="64">IFERROR(B336-B335,0)</f>
        <v>-7.7000000000000401E-3</v>
      </c>
      <c r="D336" s="168">
        <f t="shared" ref="D336:D338" si="65">IF(C336&lt;0,C336,"/")</f>
        <v>-7.7000000000000401E-3</v>
      </c>
      <c r="E336" s="168">
        <f ca="1">IF(表2_36716262930381020[[#This Row],[累计净值]]/MAX(INDIRECT("B21:B" &amp; ROW()))-1&lt;E335,表2_36716262930381020[[#This Row],[累计净值]]/MAX(INDIRECT("B21:B" &amp; ROW()))-1,E335)</f>
        <v>-7.1594921493501551E-2</v>
      </c>
      <c r="F336" s="169">
        <f>表2_36716262930381020[[#This Row],[累计净值]]</f>
        <v>1.3286</v>
      </c>
      <c r="G336" s="170">
        <f>表2_36716262930381020[[#This Row],[累计净值]]/$B$21-1</f>
        <v>0.34039548022598876</v>
      </c>
      <c r="H336" s="170">
        <f>表2_36716262930381020[[#This Row],[累计净值]]/$B$156-1</f>
        <v>3.5460992907801581E-2</v>
      </c>
    </row>
    <row r="337" spans="1:8" x14ac:dyDescent="0.2">
      <c r="A337" s="161">
        <v>44252</v>
      </c>
      <c r="B337" s="162">
        <v>1.3360000000000001</v>
      </c>
      <c r="C337" s="171">
        <f t="shared" si="64"/>
        <v>7.4000000000000732E-3</v>
      </c>
      <c r="D337" s="168" t="str">
        <f t="shared" si="65"/>
        <v>/</v>
      </c>
      <c r="E337" s="168">
        <f ca="1">IF(表2_36716262930381020[[#This Row],[累计净值]]/MAX(INDIRECT("B21:B" &amp; ROW()))-1&lt;E336,表2_36716262930381020[[#This Row],[累计净值]]/MAX(INDIRECT("B21:B" &amp; ROW()))-1,E336)</f>
        <v>-7.1594921493501551E-2</v>
      </c>
      <c r="F337" s="169">
        <f>表2_36716262930381020[[#This Row],[累计净值]]</f>
        <v>1.3360000000000001</v>
      </c>
      <c r="G337" s="170">
        <f>表2_36716262930381020[[#This Row],[累计净值]]/$B$21-1</f>
        <v>0.34786117836965302</v>
      </c>
      <c r="H337" s="170">
        <f>表2_36716262930381020[[#This Row],[累计净值]]/$B$156-1</f>
        <v>4.1228275270828618E-2</v>
      </c>
    </row>
    <row r="338" spans="1:8" x14ac:dyDescent="0.2">
      <c r="A338" s="161">
        <v>44253</v>
      </c>
      <c r="B338" s="162">
        <v>1.3409</v>
      </c>
      <c r="C338" s="171">
        <f t="shared" si="64"/>
        <v>4.8999999999999044E-3</v>
      </c>
      <c r="D338" s="168" t="str">
        <f t="shared" si="65"/>
        <v>/</v>
      </c>
      <c r="E338" s="168">
        <f ca="1">IF(表2_36716262930381020[[#This Row],[累计净值]]/MAX(INDIRECT("B21:B" &amp; ROW()))-1&lt;E337,表2_36716262930381020[[#This Row],[累计净值]]/MAX(INDIRECT("B21:B" &amp; ROW()))-1,E337)</f>
        <v>-7.1594921493501551E-2</v>
      </c>
      <c r="F338" s="169">
        <f>表2_36716262930381020[[#This Row],[累计净值]]</f>
        <v>1.3409</v>
      </c>
      <c r="G338" s="170">
        <f>表2_36716262930381020[[#This Row],[累计净值]]/$B$21-1</f>
        <v>0.3528046811945118</v>
      </c>
      <c r="H338" s="170">
        <f>表2_36716262930381020[[#This Row],[累计净值]]/$B$156-1</f>
        <v>4.5047151430130272E-2</v>
      </c>
    </row>
    <row r="339" spans="1:8" x14ac:dyDescent="0.2">
      <c r="A339" s="161">
        <v>44256</v>
      </c>
      <c r="B339" s="162">
        <v>1.3402000000000001</v>
      </c>
      <c r="C339" s="171">
        <f>IFERROR(B339-B338,0)</f>
        <v>-6.9999999999992291E-4</v>
      </c>
      <c r="D339" s="168">
        <f>IF(C339&lt;0,C339,"/")</f>
        <v>-6.9999999999992291E-4</v>
      </c>
      <c r="E339" s="168">
        <f ca="1">IF(表2_36716262930381020[[#This Row],[累计净值]]/MAX(INDIRECT("B21:B" &amp; ROW()))-1&lt;E338,表2_36716262930381020[[#This Row],[累计净值]]/MAX(INDIRECT("B21:B" &amp; ROW()))-1,E338)</f>
        <v>-7.1594921493501551E-2</v>
      </c>
      <c r="F339" s="169">
        <f>表2_36716262930381020[[#This Row],[累计净值]]</f>
        <v>1.3402000000000001</v>
      </c>
      <c r="G339" s="170">
        <f>表2_36716262930381020[[#This Row],[累计净值]]/$B$21-1</f>
        <v>0.35209846650524623</v>
      </c>
      <c r="H339" s="170">
        <f>表2_36716262930381020[[#This Row],[累计净值]]/$B$156-1</f>
        <v>4.4501597693087147E-2</v>
      </c>
    </row>
    <row r="340" spans="1:8" x14ac:dyDescent="0.2">
      <c r="A340" s="161">
        <v>44257</v>
      </c>
      <c r="B340" s="162">
        <v>1.3337000000000001</v>
      </c>
      <c r="C340" s="171">
        <f>IFERROR(B340-B339,0)</f>
        <v>-6.4999999999999503E-3</v>
      </c>
      <c r="D340" s="168">
        <f>IF(C340&lt;0,C340,"/")</f>
        <v>-6.4999999999999503E-3</v>
      </c>
      <c r="E340" s="168">
        <f ca="1">IF(表2_36716262930381020[[#This Row],[累计净值]]/MAX(INDIRECT("B21:B" &amp; ROW()))-1&lt;E339,表2_36716262930381020[[#This Row],[累计净值]]/MAX(INDIRECT("B21:B" &amp; ROW()))-1,E339)</f>
        <v>-7.1594921493501551E-2</v>
      </c>
      <c r="F340" s="169">
        <f>表2_36716262930381020[[#This Row],[累计净值]]</f>
        <v>1.3337000000000001</v>
      </c>
      <c r="G340" s="170">
        <f>表2_36716262930381020[[#This Row],[累计净值]]/$B$21-1</f>
        <v>0.34554075867635214</v>
      </c>
      <c r="H340" s="170">
        <f>表2_36716262930381020[[#This Row],[累计净值]]/$B$156-1</f>
        <v>3.9435741563401239E-2</v>
      </c>
    </row>
    <row r="341" spans="1:8" x14ac:dyDescent="0.2">
      <c r="A341" s="161">
        <v>44258</v>
      </c>
      <c r="B341" s="162">
        <v>1.3452</v>
      </c>
      <c r="C341" s="171">
        <f>IFERROR(B341-B340,0)</f>
        <v>1.1499999999999844E-2</v>
      </c>
      <c r="D341" s="168" t="str">
        <f>IF(C341&lt;0,C341,"/")</f>
        <v>/</v>
      </c>
      <c r="E341" s="168">
        <f ca="1">IF(表2_36716262930381020[[#This Row],[累计净值]]/MAX(INDIRECT("B21:B" &amp; ROW()))-1&lt;E340,表2_36716262930381020[[#This Row],[累计净值]]/MAX(INDIRECT("B21:B" &amp; ROW()))-1,E340)</f>
        <v>-7.1594921493501551E-2</v>
      </c>
      <c r="F341" s="169">
        <f>表2_36716262930381020[[#This Row],[累计净值]]</f>
        <v>1.3452</v>
      </c>
      <c r="G341" s="170">
        <f>表2_36716262930381020[[#This Row],[累计净值]]/$B$21-1</f>
        <v>0.35714285714285721</v>
      </c>
      <c r="H341" s="170">
        <f>表2_36716262930381020[[#This Row],[累计净值]]/$B$156-1</f>
        <v>4.8398410100537692E-2</v>
      </c>
    </row>
    <row r="342" spans="1:8" x14ac:dyDescent="0.2">
      <c r="A342" s="161">
        <v>44259</v>
      </c>
      <c r="B342" s="162">
        <v>1.3380000000000001</v>
      </c>
      <c r="C342" s="171">
        <f>IFERROR(B342-B341,0)</f>
        <v>-7.1999999999998732E-3</v>
      </c>
      <c r="D342" s="168">
        <f>IF(C342&lt;0,C342,"/")</f>
        <v>-7.1999999999998732E-3</v>
      </c>
      <c r="E342" s="168">
        <f ca="1">IF(表2_36716262930381020[[#This Row],[累计净值]]/MAX(INDIRECT("B21:B" &amp; ROW()))-1&lt;E341,表2_36716262930381020[[#This Row],[累计净值]]/MAX(INDIRECT("B21:B" &amp; ROW()))-1,E341)</f>
        <v>-7.1594921493501551E-2</v>
      </c>
      <c r="F342" s="169">
        <f>表2_36716262930381020[[#This Row],[累计净值]]</f>
        <v>1.3380000000000001</v>
      </c>
      <c r="G342" s="170">
        <f>表2_36716262930381020[[#This Row],[累计净值]]/$B$21-1</f>
        <v>0.34987893462469755</v>
      </c>
      <c r="H342" s="170">
        <f>表2_36716262930381020[[#This Row],[累计净值]]/$B$156-1</f>
        <v>4.2787000233808881E-2</v>
      </c>
    </row>
    <row r="343" spans="1:8" x14ac:dyDescent="0.2">
      <c r="A343" s="161">
        <v>44260</v>
      </c>
      <c r="B343" s="162">
        <v>1.3345</v>
      </c>
      <c r="C343" s="171">
        <f t="shared" ref="C343:C348" si="66">IFERROR(B343-B342,0)</f>
        <v>-3.5000000000000586E-3</v>
      </c>
      <c r="D343" s="168">
        <f t="shared" ref="D343:D348" si="67">IF(C343&lt;0,C343,"/")</f>
        <v>-3.5000000000000586E-3</v>
      </c>
      <c r="E343" s="168">
        <f ca="1">IF(表2_36716262930381020[[#This Row],[累计净值]]/MAX(INDIRECT("B21:B" &amp; ROW()))-1&lt;E342,表2_36716262930381020[[#This Row],[累计净值]]/MAX(INDIRECT("B21:B" &amp; ROW()))-1,E342)</f>
        <v>-7.1594921493501551E-2</v>
      </c>
      <c r="F343" s="169">
        <f>表2_36716262930381020[[#This Row],[累计净值]]</f>
        <v>1.3345</v>
      </c>
      <c r="G343" s="170">
        <f>表2_36716262930381020[[#This Row],[累计净值]]/$B$21-1</f>
        <v>0.34634786117836969</v>
      </c>
      <c r="H343" s="170">
        <f>表2_36716262930381020[[#This Row],[累计净值]]/$B$156-1</f>
        <v>4.0059231548593255E-2</v>
      </c>
    </row>
    <row r="344" spans="1:8" x14ac:dyDescent="0.2">
      <c r="A344" s="161">
        <v>44263</v>
      </c>
      <c r="B344" s="162">
        <v>1.3412999999999999</v>
      </c>
      <c r="C344" s="171">
        <f t="shared" si="66"/>
        <v>6.7999999999999172E-3</v>
      </c>
      <c r="D344" s="168" t="str">
        <f t="shared" si="67"/>
        <v>/</v>
      </c>
      <c r="E344" s="168">
        <f ca="1">IF(表2_36716262930381020[[#This Row],[累计净值]]/MAX(INDIRECT("B21:B" &amp; ROW()))-1&lt;E343,表2_36716262930381020[[#This Row],[累计净值]]/MAX(INDIRECT("B21:B" &amp; ROW()))-1,E343)</f>
        <v>-7.1594921493501551E-2</v>
      </c>
      <c r="F344" s="169">
        <f>表2_36716262930381020[[#This Row],[累计净值]]</f>
        <v>1.3412999999999999</v>
      </c>
      <c r="G344" s="170">
        <f>表2_36716262930381020[[#This Row],[累计净值]]/$B$21-1</f>
        <v>0.35320823244552058</v>
      </c>
      <c r="H344" s="170">
        <f>表2_36716262930381020[[#This Row],[累计净值]]/$B$156-1</f>
        <v>4.535889642272628E-2</v>
      </c>
    </row>
    <row r="345" spans="1:8" x14ac:dyDescent="0.2">
      <c r="A345" s="161">
        <v>44264</v>
      </c>
      <c r="B345" s="162">
        <v>1.3232999999999999</v>
      </c>
      <c r="C345" s="171">
        <f t="shared" si="66"/>
        <v>-1.8000000000000016E-2</v>
      </c>
      <c r="D345" s="168">
        <f t="shared" si="67"/>
        <v>-1.8000000000000016E-2</v>
      </c>
      <c r="E345" s="168">
        <f ca="1">IF(表2_36716262930381020[[#This Row],[累计净值]]/MAX(INDIRECT("B21:B" &amp; ROW()))-1&lt;E344,表2_36716262930381020[[#This Row],[累计净值]]/MAX(INDIRECT("B21:B" &amp; ROW()))-1,E344)</f>
        <v>-7.1594921493501551E-2</v>
      </c>
      <c r="F345" s="169">
        <f>表2_36716262930381020[[#This Row],[累计净值]]</f>
        <v>1.3232999999999999</v>
      </c>
      <c r="G345" s="170">
        <f>表2_36716262930381020[[#This Row],[累计净值]]/$B$21-1</f>
        <v>0.33504842615012098</v>
      </c>
      <c r="H345" s="170">
        <f>表2_36716262930381020[[#This Row],[累计净值]]/$B$156-1</f>
        <v>3.1330371755903696E-2</v>
      </c>
    </row>
    <row r="346" spans="1:8" x14ac:dyDescent="0.2">
      <c r="A346" s="161">
        <v>44265</v>
      </c>
      <c r="B346" s="162">
        <v>1.3183</v>
      </c>
      <c r="C346" s="171">
        <f t="shared" si="66"/>
        <v>-4.9999999999998934E-3</v>
      </c>
      <c r="D346" s="168">
        <f t="shared" si="67"/>
        <v>-4.9999999999998934E-3</v>
      </c>
      <c r="E346" s="168">
        <f ca="1">IF(表2_36716262930381020[[#This Row],[累计净值]]/MAX(INDIRECT("B21:B" &amp; ROW()))-1&lt;E345,表2_36716262930381020[[#This Row],[累计净值]]/MAX(INDIRECT("B21:B" &amp; ROW()))-1,E345)</f>
        <v>-7.1594921493501551E-2</v>
      </c>
      <c r="F346" s="169">
        <f>表2_36716262930381020[[#This Row],[累计净值]]</f>
        <v>1.3183</v>
      </c>
      <c r="G346" s="170">
        <f>表2_36716262930381020[[#This Row],[累计净值]]/$B$21-1</f>
        <v>0.33000403551251023</v>
      </c>
      <c r="H346" s="170">
        <f>表2_36716262930381020[[#This Row],[累计净值]]/$B$156-1</f>
        <v>2.7433559348453151E-2</v>
      </c>
    </row>
    <row r="347" spans="1:8" x14ac:dyDescent="0.2">
      <c r="A347" s="161">
        <v>44266</v>
      </c>
      <c r="B347" s="162">
        <v>1.3303</v>
      </c>
      <c r="C347" s="171">
        <f t="shared" si="66"/>
        <v>1.2000000000000011E-2</v>
      </c>
      <c r="D347" s="168" t="str">
        <f t="shared" si="67"/>
        <v>/</v>
      </c>
      <c r="E347" s="168">
        <f ca="1">IF(表2_36716262930381020[[#This Row],[累计净值]]/MAX(INDIRECT("B21:B" &amp; ROW()))-1&lt;E346,表2_36716262930381020[[#This Row],[累计净值]]/MAX(INDIRECT("B21:B" &amp; ROW()))-1,E346)</f>
        <v>-7.1594921493501551E-2</v>
      </c>
      <c r="F347" s="169">
        <f>表2_36716262930381020[[#This Row],[累计净值]]</f>
        <v>1.3303</v>
      </c>
      <c r="G347" s="170">
        <f>表2_36716262930381020[[#This Row],[累计净值]]/$B$21-1</f>
        <v>0.34211057304277648</v>
      </c>
      <c r="H347" s="170">
        <f>表2_36716262930381020[[#This Row],[累计净值]]/$B$156-1</f>
        <v>3.6785909126334726E-2</v>
      </c>
    </row>
    <row r="348" spans="1:8" x14ac:dyDescent="0.2">
      <c r="A348" s="161">
        <v>44267</v>
      </c>
      <c r="B348" s="162">
        <v>1.3404</v>
      </c>
      <c r="C348" s="171">
        <f t="shared" si="66"/>
        <v>1.0099999999999998E-2</v>
      </c>
      <c r="D348" s="168" t="str">
        <f t="shared" si="67"/>
        <v>/</v>
      </c>
      <c r="E348" s="168">
        <f ca="1">IF(表2_36716262930381020[[#This Row],[累计净值]]/MAX(INDIRECT("B21:B" &amp; ROW()))-1&lt;E347,表2_36716262930381020[[#This Row],[累计净值]]/MAX(INDIRECT("B21:B" &amp; ROW()))-1,E347)</f>
        <v>-7.1594921493501551E-2</v>
      </c>
      <c r="F348" s="169">
        <f>表2_36716262930381020[[#This Row],[累计净值]]</f>
        <v>1.3404</v>
      </c>
      <c r="G348" s="170">
        <f>表2_36716262930381020[[#This Row],[累计净值]]/$B$21-1</f>
        <v>0.35230024213075062</v>
      </c>
      <c r="H348" s="170">
        <f>表2_36716262930381020[[#This Row],[累计净值]]/$B$156-1</f>
        <v>4.4657470189385151E-2</v>
      </c>
    </row>
    <row r="349" spans="1:8" x14ac:dyDescent="0.2">
      <c r="A349" s="161">
        <v>44270</v>
      </c>
      <c r="B349" s="162">
        <v>1.3250999999999999</v>
      </c>
      <c r="C349" s="171">
        <f t="shared" ref="C349:C354" si="68">IFERROR(B349-B348,0)</f>
        <v>-1.5300000000000091E-2</v>
      </c>
      <c r="D349" s="168">
        <f t="shared" ref="D349:D354" si="69">IF(C349&lt;0,C349,"/")</f>
        <v>-1.5300000000000091E-2</v>
      </c>
      <c r="E349" s="168">
        <f ca="1">IF(表2_36716262930381020[[#This Row],[累计净值]]/MAX(INDIRECT("B21:B" &amp; ROW()))-1&lt;E348,表2_36716262930381020[[#This Row],[累计净值]]/MAX(INDIRECT("B21:B" &amp; ROW()))-1,E348)</f>
        <v>-7.1594921493501551E-2</v>
      </c>
      <c r="F349" s="169">
        <f>表2_36716262930381020[[#This Row],[累计净值]]</f>
        <v>1.3250999999999999</v>
      </c>
      <c r="G349" s="170">
        <f>表2_36716262930381020[[#This Row],[累计净值]]/$B$21-1</f>
        <v>0.3368644067796609</v>
      </c>
      <c r="H349" s="170">
        <f>表2_36716262930381020[[#This Row],[累计净值]]/$B$156-1</f>
        <v>3.2733224222585955E-2</v>
      </c>
    </row>
    <row r="350" spans="1:8" x14ac:dyDescent="0.2">
      <c r="A350" s="161">
        <v>44271</v>
      </c>
      <c r="B350" s="162">
        <v>1.3411</v>
      </c>
      <c r="C350" s="171">
        <f t="shared" si="68"/>
        <v>1.6000000000000014E-2</v>
      </c>
      <c r="D350" s="168" t="str">
        <f t="shared" si="69"/>
        <v>/</v>
      </c>
      <c r="E350" s="168">
        <f ca="1">IF(表2_36716262930381020[[#This Row],[累计净值]]/MAX(INDIRECT("B21:B" &amp; ROW()))-1&lt;E349,表2_36716262930381020[[#This Row],[累计净值]]/MAX(INDIRECT("B21:B" &amp; ROW()))-1,E349)</f>
        <v>-7.1594921493501551E-2</v>
      </c>
      <c r="F350" s="169">
        <f>表2_36716262930381020[[#This Row],[累计净值]]</f>
        <v>1.3411</v>
      </c>
      <c r="G350" s="170">
        <f>表2_36716262930381020[[#This Row],[累计净值]]/$B$21-1</f>
        <v>0.35300645682001619</v>
      </c>
      <c r="H350" s="170">
        <f>表2_36716262930381020[[#This Row],[累计净值]]/$B$156-1</f>
        <v>4.5203023926428276E-2</v>
      </c>
    </row>
    <row r="351" spans="1:8" x14ac:dyDescent="0.2">
      <c r="A351" s="161">
        <v>44272</v>
      </c>
      <c r="B351" s="162">
        <v>1.3284</v>
      </c>
      <c r="C351" s="171">
        <f t="shared" si="68"/>
        <v>-1.2699999999999934E-2</v>
      </c>
      <c r="D351" s="168">
        <f t="shared" si="69"/>
        <v>-1.2699999999999934E-2</v>
      </c>
      <c r="E351" s="168">
        <f ca="1">IF(表2_36716262930381020[[#This Row],[累计净值]]/MAX(INDIRECT("B21:B" &amp; ROW()))-1&lt;E350,表2_36716262930381020[[#This Row],[累计净值]]/MAX(INDIRECT("B21:B" &amp; ROW()))-1,E350)</f>
        <v>-7.1594921493501551E-2</v>
      </c>
      <c r="F351" s="169">
        <f>表2_36716262930381020[[#This Row],[累计净值]]</f>
        <v>1.3284</v>
      </c>
      <c r="G351" s="170">
        <f>表2_36716262930381020[[#This Row],[累计净值]]/$B$21-1</f>
        <v>0.34019370460048437</v>
      </c>
      <c r="H351" s="170">
        <f>表2_36716262930381020[[#This Row],[累计净值]]/$B$156-1</f>
        <v>3.5305120411503577E-2</v>
      </c>
    </row>
    <row r="352" spans="1:8" x14ac:dyDescent="0.2">
      <c r="A352" s="161">
        <v>44273</v>
      </c>
      <c r="B352" s="162">
        <v>1.3411</v>
      </c>
      <c r="C352" s="171">
        <f t="shared" si="68"/>
        <v>1.2699999999999934E-2</v>
      </c>
      <c r="D352" s="168" t="str">
        <f t="shared" si="69"/>
        <v>/</v>
      </c>
      <c r="E352" s="168">
        <f ca="1">IF(表2_36716262930381020[[#This Row],[累计净值]]/MAX(INDIRECT("B21:B" &amp; ROW()))-1&lt;E351,表2_36716262930381020[[#This Row],[累计净值]]/MAX(INDIRECT("B21:B" &amp; ROW()))-1,E351)</f>
        <v>-7.1594921493501551E-2</v>
      </c>
      <c r="F352" s="169">
        <f>表2_36716262930381020[[#This Row],[累计净值]]</f>
        <v>1.3411</v>
      </c>
      <c r="G352" s="170">
        <f>表2_36716262930381020[[#This Row],[累计净值]]/$B$21-1</f>
        <v>0.35300645682001619</v>
      </c>
      <c r="H352" s="170">
        <f>表2_36716262930381020[[#This Row],[累计净值]]/$B$156-1</f>
        <v>4.5203023926428276E-2</v>
      </c>
    </row>
    <row r="353" spans="1:8" x14ac:dyDescent="0.2">
      <c r="A353" s="161">
        <v>44274</v>
      </c>
      <c r="B353" s="162">
        <v>1.33</v>
      </c>
      <c r="C353" s="171">
        <f t="shared" si="68"/>
        <v>-1.1099999999999888E-2</v>
      </c>
      <c r="D353" s="168">
        <f t="shared" si="69"/>
        <v>-1.1099999999999888E-2</v>
      </c>
      <c r="E353" s="168">
        <f ca="1">IF(表2_36716262930381020[[#This Row],[累计净值]]/MAX(INDIRECT("B21:B" &amp; ROW()))-1&lt;E352,表2_36716262930381020[[#This Row],[累计净值]]/MAX(INDIRECT("B21:B" &amp; ROW()))-1,E352)</f>
        <v>-7.1594921493501551E-2</v>
      </c>
      <c r="F353" s="169">
        <f>表2_36716262930381020[[#This Row],[累计净值]]</f>
        <v>1.33</v>
      </c>
      <c r="G353" s="170">
        <f>表2_36716262930381020[[#This Row],[累计净值]]/$B$21-1</f>
        <v>0.3418079096045199</v>
      </c>
      <c r="H353" s="170">
        <f>表2_36716262930381020[[#This Row],[累计净值]]/$B$156-1</f>
        <v>3.6552100381887831E-2</v>
      </c>
    </row>
    <row r="354" spans="1:8" x14ac:dyDescent="0.2">
      <c r="A354" s="161">
        <v>44277</v>
      </c>
      <c r="B354" s="162">
        <v>1.3199000000000001</v>
      </c>
      <c r="C354" s="171">
        <f t="shared" si="68"/>
        <v>-1.0099999999999998E-2</v>
      </c>
      <c r="D354" s="168">
        <f t="shared" si="69"/>
        <v>-1.0099999999999998E-2</v>
      </c>
      <c r="E354" s="168">
        <f ca="1">IF(表2_36716262930381020[[#This Row],[累计净值]]/MAX(INDIRECT("B21:B" &amp; ROW()))-1&lt;E353,表2_36716262930381020[[#This Row],[累计净值]]/MAX(INDIRECT("B21:B" &amp; ROW()))-1,E353)</f>
        <v>-7.1594921493501551E-2</v>
      </c>
      <c r="F354" s="169">
        <f>表2_36716262930381020[[#This Row],[累计净值]]</f>
        <v>1.3199000000000001</v>
      </c>
      <c r="G354" s="170">
        <f>表2_36716262930381020[[#This Row],[累计净值]]/$B$21-1</f>
        <v>0.33161824051654576</v>
      </c>
      <c r="H354" s="170">
        <f>表2_36716262930381020[[#This Row],[累计净值]]/$B$156-1</f>
        <v>2.8680539318837406E-2</v>
      </c>
    </row>
    <row r="355" spans="1:8" x14ac:dyDescent="0.2">
      <c r="A355" s="161">
        <v>44278</v>
      </c>
      <c r="B355" s="162">
        <v>1.3280000000000001</v>
      </c>
      <c r="C355" s="171">
        <f t="shared" ref="C355:C358" si="70">IFERROR(B355-B354,0)</f>
        <v>8.0999999999999961E-3</v>
      </c>
      <c r="D355" s="168" t="str">
        <f t="shared" ref="D355:D358" si="71">IF(C355&lt;0,C355,"/")</f>
        <v>/</v>
      </c>
      <c r="E355" s="168">
        <f ca="1">IF(表2_36716262930381020[[#This Row],[累计净值]]/MAX(INDIRECT("B21:B" &amp; ROW()))-1&lt;E354,表2_36716262930381020[[#This Row],[累计净值]]/MAX(INDIRECT("B21:B" &amp; ROW()))-1,E354)</f>
        <v>-7.1594921493501551E-2</v>
      </c>
      <c r="F355" s="169">
        <f>表2_36716262930381020[[#This Row],[累计净值]]</f>
        <v>1.3280000000000001</v>
      </c>
      <c r="G355" s="170">
        <f>表2_36716262930381020[[#This Row],[累计净值]]/$B$21-1</f>
        <v>0.3397901533494756</v>
      </c>
      <c r="H355" s="170">
        <f>表2_36716262930381020[[#This Row],[累计净值]]/$B$156-1</f>
        <v>3.4993375418907569E-2</v>
      </c>
    </row>
    <row r="356" spans="1:8" x14ac:dyDescent="0.2">
      <c r="A356" s="161">
        <v>44279</v>
      </c>
      <c r="B356" s="162">
        <v>1.3284</v>
      </c>
      <c r="C356" s="171">
        <f t="shared" si="70"/>
        <v>3.9999999999995595E-4</v>
      </c>
      <c r="D356" s="168" t="str">
        <f t="shared" si="71"/>
        <v>/</v>
      </c>
      <c r="E356" s="168">
        <f ca="1">IF(表2_36716262930381020[[#This Row],[累计净值]]/MAX(INDIRECT("B21:B" &amp; ROW()))-1&lt;E355,表2_36716262930381020[[#This Row],[累计净值]]/MAX(INDIRECT("B21:B" &amp; ROW()))-1,E355)</f>
        <v>-7.1594921493501551E-2</v>
      </c>
      <c r="F356" s="169">
        <f>表2_36716262930381020[[#This Row],[累计净值]]</f>
        <v>1.3284</v>
      </c>
      <c r="G356" s="170">
        <f>表2_36716262930381020[[#This Row],[累计净值]]/$B$21-1</f>
        <v>0.34019370460048437</v>
      </c>
      <c r="H356" s="170">
        <f>表2_36716262930381020[[#This Row],[累计净值]]/$B$156-1</f>
        <v>3.5305120411503577E-2</v>
      </c>
    </row>
    <row r="357" spans="1:8" x14ac:dyDescent="0.2">
      <c r="A357" s="161">
        <v>44280</v>
      </c>
      <c r="B357" s="162">
        <v>1.3318000000000001</v>
      </c>
      <c r="C357" s="171">
        <f t="shared" si="70"/>
        <v>3.4000000000000696E-3</v>
      </c>
      <c r="D357" s="168" t="str">
        <f t="shared" si="71"/>
        <v>/</v>
      </c>
      <c r="E357" s="168">
        <f ca="1">IF(表2_36716262930381020[[#This Row],[累计净值]]/MAX(INDIRECT("B21:B" &amp; ROW()))-1&lt;E356,表2_36716262930381020[[#This Row],[累计净值]]/MAX(INDIRECT("B21:B" &amp; ROW()))-1,E356)</f>
        <v>-7.1594921493501551E-2</v>
      </c>
      <c r="F357" s="169">
        <f>表2_36716262930381020[[#This Row],[累计净值]]</f>
        <v>1.3318000000000001</v>
      </c>
      <c r="G357" s="170">
        <f>表2_36716262930381020[[#This Row],[累计净值]]/$B$21-1</f>
        <v>0.34362389023405981</v>
      </c>
      <c r="H357" s="170">
        <f>表2_36716262930381020[[#This Row],[累计净值]]/$B$156-1</f>
        <v>3.7954952848570089E-2</v>
      </c>
    </row>
    <row r="358" spans="1:8" x14ac:dyDescent="0.2">
      <c r="A358" s="161">
        <v>44281</v>
      </c>
      <c r="B358" s="162">
        <v>1.3363</v>
      </c>
      <c r="C358" s="171">
        <f t="shared" si="70"/>
        <v>4.4999999999999485E-3</v>
      </c>
      <c r="D358" s="168" t="str">
        <f t="shared" si="71"/>
        <v>/</v>
      </c>
      <c r="E358" s="168">
        <f ca="1">IF(表2_36716262930381020[[#This Row],[累计净值]]/MAX(INDIRECT("B21:B" &amp; ROW()))-1&lt;E357,表2_36716262930381020[[#This Row],[累计净值]]/MAX(INDIRECT("B21:B" &amp; ROW()))-1,E357)</f>
        <v>-7.1594921493501551E-2</v>
      </c>
      <c r="F358" s="169">
        <f>表2_36716262930381020[[#This Row],[累计净值]]</f>
        <v>1.3363</v>
      </c>
      <c r="G358" s="170">
        <f>表2_36716262930381020[[#This Row],[累计净值]]/$B$21-1</f>
        <v>0.3481638418079096</v>
      </c>
      <c r="H358" s="170">
        <f>表2_36716262930381020[[#This Row],[累计净值]]/$B$156-1</f>
        <v>4.1462084015275513E-2</v>
      </c>
    </row>
    <row r="359" spans="1:8" x14ac:dyDescent="0.2">
      <c r="A359" s="161">
        <v>44284</v>
      </c>
      <c r="B359" s="162">
        <v>1.3474999999999999</v>
      </c>
      <c r="C359" s="171">
        <f t="shared" ref="C359:C364" si="72">IFERROR(B359-B358,0)</f>
        <v>1.1199999999999877E-2</v>
      </c>
      <c r="D359" s="168" t="str">
        <f t="shared" ref="D359:D364" si="73">IF(C359&lt;0,C359,"/")</f>
        <v>/</v>
      </c>
      <c r="E359" s="168">
        <f ca="1">IF(表2_36716262930381020[[#This Row],[累计净值]]/MAX(INDIRECT("B21:B" &amp; ROW()))-1&lt;E358,表2_36716262930381020[[#This Row],[累计净值]]/MAX(INDIRECT("B21:B" &amp; ROW()))-1,E358)</f>
        <v>-7.1594921493501551E-2</v>
      </c>
      <c r="F359" s="169">
        <f>表2_36716262930381020[[#This Row],[累计净值]]</f>
        <v>1.3474999999999999</v>
      </c>
      <c r="G359" s="170">
        <f>表2_36716262930381020[[#This Row],[累计净值]]/$B$21-1</f>
        <v>0.35946327683615809</v>
      </c>
      <c r="H359" s="170">
        <f>表2_36716262930381020[[#This Row],[累计净值]]/$B$156-1</f>
        <v>5.0190943807965072E-2</v>
      </c>
    </row>
    <row r="360" spans="1:8" x14ac:dyDescent="0.2">
      <c r="A360" s="161">
        <v>44285</v>
      </c>
      <c r="B360" s="162">
        <v>1.3501000000000001</v>
      </c>
      <c r="C360" s="171">
        <f t="shared" si="72"/>
        <v>2.6000000000001577E-3</v>
      </c>
      <c r="D360" s="168" t="str">
        <f t="shared" si="73"/>
        <v>/</v>
      </c>
      <c r="E360" s="168">
        <f ca="1">IF(表2_36716262930381020[[#This Row],[累计净值]]/MAX(INDIRECT("B21:B" &amp; ROW()))-1&lt;E359,表2_36716262930381020[[#This Row],[累计净值]]/MAX(INDIRECT("B21:B" &amp; ROW()))-1,E359)</f>
        <v>-7.1594921493501551E-2</v>
      </c>
      <c r="F360" s="169">
        <f>表2_36716262930381020[[#This Row],[累计净值]]</f>
        <v>1.3501000000000001</v>
      </c>
      <c r="G360" s="170">
        <f>表2_36716262930381020[[#This Row],[累计净值]]/$B$21-1</f>
        <v>0.36208635996771599</v>
      </c>
      <c r="H360" s="170">
        <f>表2_36716262930381020[[#This Row],[累计净值]]/$B$156-1</f>
        <v>5.2217286259839568E-2</v>
      </c>
    </row>
    <row r="361" spans="1:8" x14ac:dyDescent="0.2">
      <c r="A361" s="161">
        <v>44286</v>
      </c>
      <c r="B361" s="162">
        <v>1.3409</v>
      </c>
      <c r="C361" s="171">
        <f t="shared" si="72"/>
        <v>-9.200000000000097E-3</v>
      </c>
      <c r="D361" s="168">
        <f t="shared" si="73"/>
        <v>-9.200000000000097E-3</v>
      </c>
      <c r="E361" s="168">
        <f ca="1">IF(表2_36716262930381020[[#This Row],[累计净值]]/MAX(INDIRECT("B21:B" &amp; ROW()))-1&lt;E360,表2_36716262930381020[[#This Row],[累计净值]]/MAX(INDIRECT("B21:B" &amp; ROW()))-1,E360)</f>
        <v>-7.1594921493501551E-2</v>
      </c>
      <c r="F361" s="169">
        <f>表2_36716262930381020[[#This Row],[累计净值]]</f>
        <v>1.3409</v>
      </c>
      <c r="G361" s="170">
        <f>表2_36716262930381020[[#This Row],[累计净值]]/$B$21-1</f>
        <v>0.3528046811945118</v>
      </c>
      <c r="H361" s="170">
        <f>表2_36716262930381020[[#This Row],[累计净值]]/$B$156-1</f>
        <v>4.5047151430130272E-2</v>
      </c>
    </row>
    <row r="362" spans="1:8" x14ac:dyDescent="0.2">
      <c r="A362" s="161">
        <v>44287</v>
      </c>
      <c r="B362" s="162">
        <v>1.3496999999999999</v>
      </c>
      <c r="C362" s="171">
        <f t="shared" si="72"/>
        <v>8.799999999999919E-3</v>
      </c>
      <c r="D362" s="168" t="str">
        <f t="shared" si="73"/>
        <v>/</v>
      </c>
      <c r="E362" s="168">
        <f ca="1">IF(表2_36716262930381020[[#This Row],[累计净值]]/MAX(INDIRECT("B21:B" &amp; ROW()))-1&lt;E361,表2_36716262930381020[[#This Row],[累计净值]]/MAX(INDIRECT("B21:B" &amp; ROW()))-1,E361)</f>
        <v>-7.1594921493501551E-2</v>
      </c>
      <c r="F362" s="169">
        <f>表2_36716262930381020[[#This Row],[累计净值]]</f>
        <v>1.3496999999999999</v>
      </c>
      <c r="G362" s="170">
        <f>表2_36716262930381020[[#This Row],[累计净值]]/$B$21-1</f>
        <v>0.36168280871670699</v>
      </c>
      <c r="H362" s="170">
        <f>表2_36716262930381020[[#This Row],[累计净值]]/$B$156-1</f>
        <v>5.1905541267243338E-2</v>
      </c>
    </row>
    <row r="363" spans="1:8" x14ac:dyDescent="0.2">
      <c r="A363" s="161">
        <v>44288</v>
      </c>
      <c r="B363" s="162">
        <v>1.3534999999999999</v>
      </c>
      <c r="C363" s="171">
        <f t="shared" si="72"/>
        <v>3.8000000000000256E-3</v>
      </c>
      <c r="D363" s="168" t="str">
        <f t="shared" si="73"/>
        <v>/</v>
      </c>
      <c r="E363" s="168">
        <f ca="1">IF(表2_36716262930381020[[#This Row],[累计净值]]/MAX(INDIRECT("B21:B" &amp; ROW()))-1&lt;E362,表2_36716262930381020[[#This Row],[累计净值]]/MAX(INDIRECT("B21:B" &amp; ROW()))-1,E362)</f>
        <v>-7.1594921493501551E-2</v>
      </c>
      <c r="F363" s="169">
        <f>表2_36716262930381020[[#This Row],[累计净值]]</f>
        <v>1.3534999999999999</v>
      </c>
      <c r="G363" s="170">
        <f>表2_36716262930381020[[#This Row],[累计净值]]/$B$21-1</f>
        <v>0.36551654560129143</v>
      </c>
      <c r="H363" s="170">
        <f>表2_36716262930381020[[#This Row],[累计净值]]/$B$156-1</f>
        <v>5.4867118696905859E-2</v>
      </c>
    </row>
    <row r="364" spans="1:8" x14ac:dyDescent="0.2">
      <c r="A364" s="161">
        <v>44292</v>
      </c>
      <c r="B364" s="162">
        <v>1.3584000000000001</v>
      </c>
      <c r="C364" s="171">
        <f t="shared" si="72"/>
        <v>4.9000000000001265E-3</v>
      </c>
      <c r="D364" s="168" t="str">
        <f t="shared" si="73"/>
        <v>/</v>
      </c>
      <c r="E364" s="168">
        <f ca="1">IF(表2_36716262930381020[[#This Row],[累计净值]]/MAX(INDIRECT("B21:B" &amp; ROW()))-1&lt;E363,表2_36716262930381020[[#This Row],[累计净值]]/MAX(INDIRECT("B21:B" &amp; ROW()))-1,E363)</f>
        <v>-7.1594921493501551E-2</v>
      </c>
      <c r="F364" s="169">
        <f>表2_36716262930381020[[#This Row],[累计净值]]</f>
        <v>1.3584000000000001</v>
      </c>
      <c r="G364" s="170">
        <f>表2_36716262930381020[[#This Row],[累计净值]]/$B$21-1</f>
        <v>0.37046004842615021</v>
      </c>
      <c r="H364" s="170">
        <f>表2_36716262930381020[[#This Row],[累计净值]]/$B$156-1</f>
        <v>5.8685994856207735E-2</v>
      </c>
    </row>
    <row r="365" spans="1:8" x14ac:dyDescent="0.2">
      <c r="A365" s="161">
        <v>44293</v>
      </c>
      <c r="B365" s="162">
        <v>1.3485</v>
      </c>
      <c r="C365" s="171">
        <f t="shared" ref="C365:C370" si="74">IFERROR(B365-B364,0)</f>
        <v>-9.9000000000000199E-3</v>
      </c>
      <c r="D365" s="168">
        <f t="shared" ref="D365:D370" si="75">IF(C365&lt;0,C365,"/")</f>
        <v>-9.9000000000000199E-3</v>
      </c>
      <c r="E365" s="168">
        <f ca="1">IF(表2_36716262930381020[[#This Row],[累计净值]]/MAX(INDIRECT("B21:B" &amp; ROW()))-1&lt;E364,表2_36716262930381020[[#This Row],[累计净值]]/MAX(INDIRECT("B21:B" &amp; ROW()))-1,E364)</f>
        <v>-7.1594921493501551E-2</v>
      </c>
      <c r="F365" s="169">
        <f>表2_36716262930381020[[#This Row],[累计净值]]</f>
        <v>1.3485</v>
      </c>
      <c r="G365" s="170">
        <f>表2_36716262930381020[[#This Row],[累计净值]]/$B$21-1</f>
        <v>0.36047215496368046</v>
      </c>
      <c r="H365" s="170">
        <f>表2_36716262930381020[[#This Row],[累计净值]]/$B$156-1</f>
        <v>5.0970306289455314E-2</v>
      </c>
    </row>
    <row r="366" spans="1:8" x14ac:dyDescent="0.2">
      <c r="A366" s="161">
        <v>44294</v>
      </c>
      <c r="B366" s="162">
        <v>1.3482000000000001</v>
      </c>
      <c r="C366" s="171">
        <f t="shared" si="74"/>
        <v>-2.9999999999996696E-4</v>
      </c>
      <c r="D366" s="168">
        <f t="shared" si="75"/>
        <v>-2.9999999999996696E-4</v>
      </c>
      <c r="E366" s="168">
        <f ca="1">IF(表2_36716262930381020[[#This Row],[累计净值]]/MAX(INDIRECT("B21:B" &amp; ROW()))-1&lt;E365,表2_36716262930381020[[#This Row],[累计净值]]/MAX(INDIRECT("B21:B" &amp; ROW()))-1,E365)</f>
        <v>-7.1594921493501551E-2</v>
      </c>
      <c r="F366" s="169">
        <f>表2_36716262930381020[[#This Row],[累计净值]]</f>
        <v>1.3482000000000001</v>
      </c>
      <c r="G366" s="170">
        <f>表2_36716262930381020[[#This Row],[累计净值]]/$B$21-1</f>
        <v>0.36016949152542388</v>
      </c>
      <c r="H366" s="170">
        <f>表2_36716262930381020[[#This Row],[累计净值]]/$B$156-1</f>
        <v>5.0736497545008419E-2</v>
      </c>
    </row>
    <row r="367" spans="1:8" x14ac:dyDescent="0.2">
      <c r="A367" s="161">
        <v>44295</v>
      </c>
      <c r="B367" s="162">
        <v>1.3486</v>
      </c>
      <c r="C367" s="171">
        <f t="shared" si="74"/>
        <v>3.9999999999995595E-4</v>
      </c>
      <c r="D367" s="168" t="str">
        <f t="shared" si="75"/>
        <v>/</v>
      </c>
      <c r="E367" s="168">
        <f ca="1">IF(表2_36716262930381020[[#This Row],[累计净值]]/MAX(INDIRECT("B21:B" &amp; ROW()))-1&lt;E366,表2_36716262930381020[[#This Row],[累计净值]]/MAX(INDIRECT("B21:B" &amp; ROW()))-1,E366)</f>
        <v>-7.1594921493501551E-2</v>
      </c>
      <c r="F367" s="169">
        <f>表2_36716262930381020[[#This Row],[累计净值]]</f>
        <v>1.3486</v>
      </c>
      <c r="G367" s="170">
        <f>表2_36716262930381020[[#This Row],[累计净值]]/$B$21-1</f>
        <v>0.36057304277643265</v>
      </c>
      <c r="H367" s="170">
        <f>表2_36716262930381020[[#This Row],[累计净值]]/$B$156-1</f>
        <v>5.1048242537604427E-2</v>
      </c>
    </row>
    <row r="368" spans="1:8" x14ac:dyDescent="0.2">
      <c r="A368" s="161">
        <v>44298</v>
      </c>
      <c r="B368" s="162">
        <v>1.3319000000000001</v>
      </c>
      <c r="C368" s="171">
        <f t="shared" si="74"/>
        <v>-1.6699999999999937E-2</v>
      </c>
      <c r="D368" s="168">
        <f t="shared" si="75"/>
        <v>-1.6699999999999937E-2</v>
      </c>
      <c r="E368" s="168">
        <f ca="1">IF(表2_36716262930381020[[#This Row],[累计净值]]/MAX(INDIRECT("B21:B" &amp; ROW()))-1&lt;E367,表2_36716262930381020[[#This Row],[累计净值]]/MAX(INDIRECT("B21:B" &amp; ROW()))-1,E367)</f>
        <v>-7.1594921493501551E-2</v>
      </c>
      <c r="F368" s="169">
        <f>表2_36716262930381020[[#This Row],[累计净值]]</f>
        <v>1.3319000000000001</v>
      </c>
      <c r="G368" s="170">
        <f>表2_36716262930381020[[#This Row],[累计净值]]/$B$21-1</f>
        <v>0.34372477804681201</v>
      </c>
      <c r="H368" s="170">
        <f>表2_36716262930381020[[#This Row],[累计净值]]/$B$156-1</f>
        <v>3.803288909671898E-2</v>
      </c>
    </row>
    <row r="369" spans="1:8" x14ac:dyDescent="0.2">
      <c r="A369" s="161">
        <v>44299</v>
      </c>
      <c r="B369" s="162">
        <v>1.3403</v>
      </c>
      <c r="C369" s="171">
        <f t="shared" si="74"/>
        <v>8.3999999999999631E-3</v>
      </c>
      <c r="D369" s="168" t="str">
        <f t="shared" si="75"/>
        <v>/</v>
      </c>
      <c r="E369" s="168">
        <f ca="1">IF(表2_36716262930381020[[#This Row],[累计净值]]/MAX(INDIRECT("B21:B" &amp; ROW()))-1&lt;E368,表2_36716262930381020[[#This Row],[累计净值]]/MAX(INDIRECT("B21:B" &amp; ROW()))-1,E368)</f>
        <v>-7.1594921493501551E-2</v>
      </c>
      <c r="F369" s="169">
        <f>表2_36716262930381020[[#This Row],[累计净值]]</f>
        <v>1.3403</v>
      </c>
      <c r="G369" s="170">
        <f>表2_36716262930381020[[#This Row],[累计净值]]/$B$21-1</f>
        <v>0.35219935431799843</v>
      </c>
      <c r="H369" s="170">
        <f>表2_36716262930381020[[#This Row],[累计净值]]/$B$156-1</f>
        <v>4.457953394123626E-2</v>
      </c>
    </row>
    <row r="370" spans="1:8" x14ac:dyDescent="0.2">
      <c r="A370" s="161">
        <v>44300</v>
      </c>
      <c r="B370" s="162">
        <v>1.3513999999999999</v>
      </c>
      <c r="C370" s="171">
        <f t="shared" si="74"/>
        <v>1.1099999999999888E-2</v>
      </c>
      <c r="D370" s="168" t="str">
        <f t="shared" si="75"/>
        <v>/</v>
      </c>
      <c r="E370" s="168">
        <f ca="1">IF(表2_36716262930381020[[#This Row],[累计净值]]/MAX(INDIRECT("B21:B" &amp; ROW()))-1&lt;E369,表2_36716262930381020[[#This Row],[累计净值]]/MAX(INDIRECT("B21:B" &amp; ROW()))-1,E369)</f>
        <v>-7.1594921493501551E-2</v>
      </c>
      <c r="F370" s="169">
        <f>表2_36716262930381020[[#This Row],[累计净值]]</f>
        <v>1.3513999999999999</v>
      </c>
      <c r="G370" s="170">
        <f>表2_36716262930381020[[#This Row],[累计净值]]/$B$21-1</f>
        <v>0.36339790153349472</v>
      </c>
      <c r="H370" s="170">
        <f>表2_36716262930381020[[#This Row],[累计净值]]/$B$156-1</f>
        <v>5.3230457485776705E-2</v>
      </c>
    </row>
    <row r="371" spans="1:8" x14ac:dyDescent="0.2">
      <c r="A371" s="161">
        <v>44301</v>
      </c>
      <c r="B371" s="162">
        <v>1.3465</v>
      </c>
      <c r="C371" s="171">
        <f t="shared" ref="C371:C376" si="76">IFERROR(B371-B370,0)</f>
        <v>-4.8999999999999044E-3</v>
      </c>
      <c r="D371" s="168">
        <f t="shared" ref="D371:D376" si="77">IF(C371&lt;0,C371,"/")</f>
        <v>-4.8999999999999044E-3</v>
      </c>
      <c r="E371" s="168">
        <f ca="1">IF(表2_36716262930381020[[#This Row],[累计净值]]/MAX(INDIRECT("B21:B" &amp; ROW()))-1&lt;E370,表2_36716262930381020[[#This Row],[累计净值]]/MAX(INDIRECT("B21:B" &amp; ROW()))-1,E370)</f>
        <v>-7.1594921493501551E-2</v>
      </c>
      <c r="F371" s="169">
        <f>表2_36716262930381020[[#This Row],[累计净值]]</f>
        <v>1.3465</v>
      </c>
      <c r="G371" s="170">
        <f>表2_36716262930381020[[#This Row],[累计净值]]/$B$21-1</f>
        <v>0.35845439870863616</v>
      </c>
      <c r="H371" s="170">
        <f>表2_36716262930381020[[#This Row],[累计净值]]/$B$156-1</f>
        <v>4.9411581326475051E-2</v>
      </c>
    </row>
    <row r="372" spans="1:8" x14ac:dyDescent="0.2">
      <c r="A372" s="161">
        <v>44302</v>
      </c>
      <c r="B372" s="162">
        <v>1.3478000000000001</v>
      </c>
      <c r="C372" s="171">
        <f t="shared" si="76"/>
        <v>1.3000000000000789E-3</v>
      </c>
      <c r="D372" s="168" t="str">
        <f t="shared" si="77"/>
        <v>/</v>
      </c>
      <c r="E372" s="168">
        <f ca="1">IF(表2_36716262930381020[[#This Row],[累计净值]]/MAX(INDIRECT("B21:B" &amp; ROW()))-1&lt;E371,表2_36716262930381020[[#This Row],[累计净值]]/MAX(INDIRECT("B21:B" &amp; ROW()))-1,E371)</f>
        <v>-7.1594921493501551E-2</v>
      </c>
      <c r="F372" s="169">
        <f>表2_36716262930381020[[#This Row],[累计净值]]</f>
        <v>1.3478000000000001</v>
      </c>
      <c r="G372" s="170">
        <f>表2_36716262930381020[[#This Row],[累计净值]]/$B$21-1</f>
        <v>0.35976594027441511</v>
      </c>
      <c r="H372" s="170">
        <f>表2_36716262930381020[[#This Row],[累计净值]]/$B$156-1</f>
        <v>5.0424752552412189E-2</v>
      </c>
    </row>
    <row r="373" spans="1:8" x14ac:dyDescent="0.2">
      <c r="A373" s="161">
        <v>44305</v>
      </c>
      <c r="B373" s="162">
        <v>1.3596999999999999</v>
      </c>
      <c r="C373" s="171">
        <f t="shared" si="76"/>
        <v>1.18999999999998E-2</v>
      </c>
      <c r="D373" s="168" t="str">
        <f t="shared" si="77"/>
        <v>/</v>
      </c>
      <c r="E373" s="168">
        <f ca="1">IF(表2_36716262930381020[[#This Row],[累计净值]]/MAX(INDIRECT("B21:B" &amp; ROW()))-1&lt;E372,表2_36716262930381020[[#This Row],[累计净值]]/MAX(INDIRECT("B21:B" &amp; ROW()))-1,E372)</f>
        <v>-7.1594921493501551E-2</v>
      </c>
      <c r="F373" s="169">
        <f>表2_36716262930381020[[#This Row],[累计净值]]</f>
        <v>1.3596999999999999</v>
      </c>
      <c r="G373" s="170">
        <f>表2_36716262930381020[[#This Row],[累计净值]]/$B$21-1</f>
        <v>0.37177158999192894</v>
      </c>
      <c r="H373" s="170">
        <f>表2_36716262930381020[[#This Row],[累计净值]]/$B$156-1</f>
        <v>5.9699166082144872E-2</v>
      </c>
    </row>
    <row r="374" spans="1:8" x14ac:dyDescent="0.2">
      <c r="A374" s="161">
        <v>44306</v>
      </c>
      <c r="B374" s="162">
        <v>1.3580000000000001</v>
      </c>
      <c r="C374" s="171">
        <f t="shared" si="76"/>
        <v>-1.6999999999998128E-3</v>
      </c>
      <c r="D374" s="168">
        <f t="shared" si="77"/>
        <v>-1.6999999999998128E-3</v>
      </c>
      <c r="E374" s="168">
        <f ca="1">IF(表2_36716262930381020[[#This Row],[累计净值]]/MAX(INDIRECT("B21:B" &amp; ROW()))-1&lt;E373,表2_36716262930381020[[#This Row],[累计净值]]/MAX(INDIRECT("B21:B" &amp; ROW()))-1,E373)</f>
        <v>-7.1594921493501551E-2</v>
      </c>
      <c r="F374" s="169">
        <f>表2_36716262930381020[[#This Row],[累计净值]]</f>
        <v>1.3580000000000001</v>
      </c>
      <c r="G374" s="170">
        <f>表2_36716262930381020[[#This Row],[累计净值]]/$B$21-1</f>
        <v>0.37005649717514144</v>
      </c>
      <c r="H374" s="170">
        <f>表2_36716262930381020[[#This Row],[累计净值]]/$B$156-1</f>
        <v>5.8374249863611727E-2</v>
      </c>
    </row>
    <row r="375" spans="1:8" x14ac:dyDescent="0.2">
      <c r="A375" s="161">
        <v>44307</v>
      </c>
      <c r="B375" s="162">
        <v>1.3667</v>
      </c>
      <c r="C375" s="171">
        <f t="shared" si="76"/>
        <v>8.69999999999993E-3</v>
      </c>
      <c r="D375" s="168" t="str">
        <f t="shared" si="77"/>
        <v>/</v>
      </c>
      <c r="E375" s="168">
        <f ca="1">IF(表2_36716262930381020[[#This Row],[累计净值]]/MAX(INDIRECT("B21:B" &amp; ROW()))-1&lt;E374,表2_36716262930381020[[#This Row],[累计净值]]/MAX(INDIRECT("B21:B" &amp; ROW()))-1,E374)</f>
        <v>-7.1594921493501551E-2</v>
      </c>
      <c r="F375" s="169">
        <f>表2_36716262930381020[[#This Row],[累计净值]]</f>
        <v>1.3667</v>
      </c>
      <c r="G375" s="170">
        <f>表2_36716262930381020[[#This Row],[累计净值]]/$B$21-1</f>
        <v>0.37883373688458444</v>
      </c>
      <c r="H375" s="170">
        <f>表2_36716262930381020[[#This Row],[累计净值]]/$B$156-1</f>
        <v>6.5154703452575902E-2</v>
      </c>
    </row>
    <row r="376" spans="1:8" x14ac:dyDescent="0.2">
      <c r="A376" s="161">
        <v>44308</v>
      </c>
      <c r="B376" s="162">
        <v>1.3683000000000001</v>
      </c>
      <c r="C376" s="171">
        <f t="shared" si="76"/>
        <v>1.6000000000000458E-3</v>
      </c>
      <c r="D376" s="168" t="str">
        <f t="shared" si="77"/>
        <v>/</v>
      </c>
      <c r="E376" s="168">
        <f ca="1">IF(表2_36716262930381020[[#This Row],[累计净值]]/MAX(INDIRECT("B21:B" &amp; ROW()))-1&lt;E375,表2_36716262930381020[[#This Row],[累计净值]]/MAX(INDIRECT("B21:B" &amp; ROW()))-1,E375)</f>
        <v>-7.1594921493501551E-2</v>
      </c>
      <c r="F376" s="169">
        <f>表2_36716262930381020[[#This Row],[累计净值]]</f>
        <v>1.3683000000000001</v>
      </c>
      <c r="G376" s="170">
        <f>表2_36716262930381020[[#This Row],[累计净值]]/$B$21-1</f>
        <v>0.38044794188861997</v>
      </c>
      <c r="H376" s="170">
        <f>表2_36716262930381020[[#This Row],[累计净值]]/$B$156-1</f>
        <v>6.6401683422960156E-2</v>
      </c>
    </row>
    <row r="377" spans="1:8" x14ac:dyDescent="0.2">
      <c r="A377" s="161">
        <v>44309</v>
      </c>
      <c r="B377" s="162">
        <v>1.3686</v>
      </c>
      <c r="C377" s="171">
        <f>IFERROR(B377-B376,0)</f>
        <v>2.9999999999996696E-4</v>
      </c>
      <c r="D377" s="168" t="str">
        <f>IF(C377&lt;0,C377,"/")</f>
        <v>/</v>
      </c>
      <c r="E377" s="168">
        <f ca="1">IF(表2_36716262930381020[[#This Row],[累计净值]]/MAX(INDIRECT("B21:B" &amp; ROW()))-1&lt;E376,表2_36716262930381020[[#This Row],[累计净值]]/MAX(INDIRECT("B21:B" &amp; ROW()))-1,E376)</f>
        <v>-7.1594921493501551E-2</v>
      </c>
      <c r="F377" s="169">
        <f>表2_36716262930381020[[#This Row],[累计净值]]</f>
        <v>1.3686</v>
      </c>
      <c r="G377" s="170">
        <f>表2_36716262930381020[[#This Row],[累计净值]]/$B$21-1</f>
        <v>0.38075060532687655</v>
      </c>
      <c r="H377" s="170">
        <f>表2_36716262930381020[[#This Row],[累计净值]]/$B$156-1</f>
        <v>6.6635492167407273E-2</v>
      </c>
    </row>
    <row r="378" spans="1:8" x14ac:dyDescent="0.2">
      <c r="A378" s="161">
        <v>44312</v>
      </c>
      <c r="B378" s="162">
        <v>1.377</v>
      </c>
      <c r="C378" s="171">
        <f>IFERROR(B378-B377,0)</f>
        <v>8.3999999999999631E-3</v>
      </c>
      <c r="D378" s="168" t="str">
        <f>IF(C378&lt;0,C378,"/")</f>
        <v>/</v>
      </c>
      <c r="E378" s="168">
        <f ca="1">IF(表2_36716262930381020[[#This Row],[累计净值]]/MAX(INDIRECT("B21:B" &amp; ROW()))-1&lt;E377,表2_36716262930381020[[#This Row],[累计净值]]/MAX(INDIRECT("B21:B" &amp; ROW()))-1,E377)</f>
        <v>-7.1594921493501551E-2</v>
      </c>
      <c r="F378" s="169">
        <f>表2_36716262930381020[[#This Row],[累计净值]]</f>
        <v>1.377</v>
      </c>
      <c r="G378" s="170">
        <f>表2_36716262930381020[[#This Row],[累计净值]]/$B$21-1</f>
        <v>0.38922518159806296</v>
      </c>
      <c r="H378" s="170">
        <f>表2_36716262930381020[[#This Row],[累计净值]]/$B$156-1</f>
        <v>7.3182137011924331E-2</v>
      </c>
    </row>
    <row r="379" spans="1:8" x14ac:dyDescent="0.2">
      <c r="A379" s="161">
        <v>44313</v>
      </c>
      <c r="B379" s="162">
        <v>1.383</v>
      </c>
      <c r="C379" s="171">
        <f>IFERROR(B379-B378,0)</f>
        <v>6.0000000000000053E-3</v>
      </c>
      <c r="D379" s="168" t="str">
        <f>IF(C379&lt;0,C379,"/")</f>
        <v>/</v>
      </c>
      <c r="E379" s="168">
        <f ca="1">IF(表2_36716262930381020[[#This Row],[累计净值]]/MAX(INDIRECT("B21:B" &amp; ROW()))-1&lt;E378,表2_36716262930381020[[#This Row],[累计净值]]/MAX(INDIRECT("B21:B" &amp; ROW()))-1,E378)</f>
        <v>-7.1594921493501551E-2</v>
      </c>
      <c r="F379" s="169">
        <f>表2_36716262930381020[[#This Row],[累计净值]]</f>
        <v>1.383</v>
      </c>
      <c r="G379" s="170">
        <f>表2_36716262930381020[[#This Row],[累计净值]]/$B$21-1</f>
        <v>0.39527845036319609</v>
      </c>
      <c r="H379" s="170">
        <f>表2_36716262930381020[[#This Row],[累计净值]]/$B$156-1</f>
        <v>7.7858311900865118E-2</v>
      </c>
    </row>
    <row r="380" spans="1:8" x14ac:dyDescent="0.2">
      <c r="A380" s="161">
        <v>44314</v>
      </c>
      <c r="B380" s="162">
        <v>1.385</v>
      </c>
      <c r="C380" s="171">
        <f>IFERROR(B380-B379,0)</f>
        <v>2.0000000000000018E-3</v>
      </c>
      <c r="D380" s="168" t="str">
        <f>IF(C380&lt;0,C380,"/")</f>
        <v>/</v>
      </c>
      <c r="E380" s="168">
        <f ca="1">IF(表2_36716262930381020[[#This Row],[累计净值]]/MAX(INDIRECT("B21:B" &amp; ROW()))-1&lt;E379,表2_36716262930381020[[#This Row],[累计净值]]/MAX(INDIRECT("B21:B" &amp; ROW()))-1,E379)</f>
        <v>-7.1594921493501551E-2</v>
      </c>
      <c r="F380" s="169">
        <f>表2_36716262930381020[[#This Row],[累计净值]]</f>
        <v>1.385</v>
      </c>
      <c r="G380" s="170">
        <f>表2_36716262930381020[[#This Row],[累计净值]]/$B$21-1</f>
        <v>0.39729620661824061</v>
      </c>
      <c r="H380" s="170">
        <f>表2_36716262930381020[[#This Row],[累计净值]]/$B$156-1</f>
        <v>7.9417036863845381E-2</v>
      </c>
    </row>
    <row r="381" spans="1:8" x14ac:dyDescent="0.2">
      <c r="A381" s="161">
        <v>44315</v>
      </c>
      <c r="B381" s="162">
        <v>1.3834</v>
      </c>
      <c r="C381" s="171">
        <f>IFERROR(B381-B380,0)</f>
        <v>-1.6000000000000458E-3</v>
      </c>
      <c r="D381" s="168">
        <f>IF(C381&lt;0,C381,"/")</f>
        <v>-1.6000000000000458E-3</v>
      </c>
      <c r="E381" s="168">
        <f ca="1">IF(表2_36716262930381020[[#This Row],[累计净值]]/MAX(INDIRECT("B21:B" &amp; ROW()))-1&lt;E380,表2_36716262930381020[[#This Row],[累计净值]]/MAX(INDIRECT("B21:B" &amp; ROW()))-1,E380)</f>
        <v>-7.1594921493501551E-2</v>
      </c>
      <c r="F381" s="169">
        <f>表2_36716262930381020[[#This Row],[累计净值]]</f>
        <v>1.3834</v>
      </c>
      <c r="G381" s="170">
        <f>表2_36716262930381020[[#This Row],[累计净值]]/$B$21-1</f>
        <v>0.39568200161420508</v>
      </c>
      <c r="H381" s="170">
        <f>表2_36716262930381020[[#This Row],[累计净值]]/$B$156-1</f>
        <v>7.8170056893461126E-2</v>
      </c>
    </row>
    <row r="382" spans="1:8" x14ac:dyDescent="0.2">
      <c r="A382" s="161">
        <v>44316</v>
      </c>
      <c r="B382" s="162">
        <v>1.3868</v>
      </c>
      <c r="C382" s="171">
        <f t="shared" ref="C382:C383" si="78">IFERROR(B382-B381,0)</f>
        <v>3.4000000000000696E-3</v>
      </c>
      <c r="D382" s="168" t="str">
        <f t="shared" ref="D382:D383" si="79">IF(C382&lt;0,C382,"/")</f>
        <v>/</v>
      </c>
      <c r="E382" s="168">
        <f ca="1">IF(表2_36716262930381020[[#This Row],[累计净值]]/MAX(INDIRECT("B21:B" &amp; ROW()))-1&lt;E381,表2_36716262930381020[[#This Row],[累计净值]]/MAX(INDIRECT("B21:B" &amp; ROW()))-1,E381)</f>
        <v>-7.1594921493501551E-2</v>
      </c>
      <c r="F382" s="169">
        <f>表2_36716262930381020[[#This Row],[累计净值]]</f>
        <v>1.3868</v>
      </c>
      <c r="G382" s="170">
        <f>表2_36716262930381020[[#This Row],[累计净值]]/$B$21-1</f>
        <v>0.39911218724778053</v>
      </c>
      <c r="H382" s="170">
        <f>表2_36716262930381020[[#This Row],[累计净值]]/$B$156-1</f>
        <v>8.0819889330527639E-2</v>
      </c>
    </row>
    <row r="383" spans="1:8" x14ac:dyDescent="0.2">
      <c r="A383" s="161">
        <v>44322</v>
      </c>
      <c r="B383" s="162">
        <v>1.4149</v>
      </c>
      <c r="C383" s="171">
        <f t="shared" si="78"/>
        <v>2.8100000000000014E-2</v>
      </c>
      <c r="D383" s="168" t="str">
        <f t="shared" si="79"/>
        <v>/</v>
      </c>
      <c r="E383" s="168">
        <f ca="1">IF(表2_36716262930381020[[#This Row],[累计净值]]/MAX(INDIRECT("B21:B" &amp; ROW()))-1&lt;E382,表2_36716262930381020[[#This Row],[累计净值]]/MAX(INDIRECT("B21:B" &amp; ROW()))-1,E382)</f>
        <v>-7.1594921493501551E-2</v>
      </c>
      <c r="F383" s="169">
        <f>表2_36716262930381020[[#This Row],[累计净值]]</f>
        <v>1.4149</v>
      </c>
      <c r="G383" s="170">
        <f>表2_36716262930381020[[#This Row],[累计净值]]/$B$21-1</f>
        <v>0.42746166263115426</v>
      </c>
      <c r="H383" s="170">
        <f>表2_36716262930381020[[#This Row],[累计净值]]/$B$156-1</f>
        <v>0.10271997506040065</v>
      </c>
    </row>
    <row r="384" spans="1:8" x14ac:dyDescent="0.2">
      <c r="A384" s="161">
        <v>44323</v>
      </c>
      <c r="B384" s="162">
        <v>1.4166000000000001</v>
      </c>
      <c r="C384" s="171">
        <f t="shared" ref="C384:C389" si="80">IFERROR(B384-B383,0)</f>
        <v>1.7000000000000348E-3</v>
      </c>
      <c r="D384" s="168" t="str">
        <f t="shared" ref="D384:D389" si="81">IF(C384&lt;0,C384,"/")</f>
        <v>/</v>
      </c>
      <c r="E384" s="168">
        <f ca="1">IF(表2_36716262930381020[[#This Row],[累计净值]]/MAX(INDIRECT("B21:B" &amp; ROW()))-1&lt;E383,表2_36716262930381020[[#This Row],[累计净值]]/MAX(INDIRECT("B21:B" &amp; ROW()))-1,E383)</f>
        <v>-7.1594921493501551E-2</v>
      </c>
      <c r="F384" s="169">
        <f>表2_36716262930381020[[#This Row],[累计净值]]</f>
        <v>1.4166000000000001</v>
      </c>
      <c r="G384" s="170">
        <f>表2_36716262930381020[[#This Row],[累计净值]]/$B$21-1</f>
        <v>0.42917675544794198</v>
      </c>
      <c r="H384" s="170">
        <f>表2_36716262930381020[[#This Row],[累计净值]]/$B$156-1</f>
        <v>0.10404489127893402</v>
      </c>
    </row>
    <row r="385" spans="1:8" x14ac:dyDescent="0.2">
      <c r="A385" s="161">
        <v>44326</v>
      </c>
      <c r="B385" s="162">
        <v>1.4419</v>
      </c>
      <c r="C385" s="171">
        <f t="shared" si="80"/>
        <v>2.5299999999999878E-2</v>
      </c>
      <c r="D385" s="168" t="str">
        <f t="shared" si="81"/>
        <v>/</v>
      </c>
      <c r="E385" s="168">
        <f ca="1">IF(表2_36716262930381020[[#This Row],[累计净值]]/MAX(INDIRECT("B21:B" &amp; ROW()))-1&lt;E384,表2_36716262930381020[[#This Row],[累计净值]]/MAX(INDIRECT("B21:B" &amp; ROW()))-1,E384)</f>
        <v>-7.1594921493501551E-2</v>
      </c>
      <c r="F385" s="169">
        <f>表2_36716262930381020[[#This Row],[累计净值]]</f>
        <v>1.4419</v>
      </c>
      <c r="G385" s="170">
        <f>表2_36716262930381020[[#This Row],[累计净值]]/$B$21-1</f>
        <v>0.45470137207425343</v>
      </c>
      <c r="H385" s="170">
        <f>表2_36716262930381020[[#This Row],[累计净值]]/$B$156-1</f>
        <v>0.12376276206063452</v>
      </c>
    </row>
    <row r="386" spans="1:8" x14ac:dyDescent="0.2">
      <c r="A386" s="161">
        <v>44327</v>
      </c>
      <c r="B386" s="178">
        <v>1.4537</v>
      </c>
      <c r="C386" s="171">
        <f t="shared" si="80"/>
        <v>1.1800000000000033E-2</v>
      </c>
      <c r="D386" s="168" t="str">
        <f t="shared" si="81"/>
        <v>/</v>
      </c>
      <c r="E386" s="168">
        <f ca="1">IF(表2_36716262930381020[[#This Row],[累计净值]]/MAX(INDIRECT("B21:B" &amp; ROW()))-1&lt;E385,表2_36716262930381020[[#This Row],[累计净值]]/MAX(INDIRECT("B21:B" &amp; ROW()))-1,E385)</f>
        <v>-7.1594921493501551E-2</v>
      </c>
      <c r="F386" s="169">
        <f>表2_36716262930381020[[#This Row],[累计净值]]</f>
        <v>1.4537</v>
      </c>
      <c r="G386" s="170">
        <f>表2_36716262930381020[[#This Row],[累计净值]]/$B$21-1</f>
        <v>0.46660613397901529</v>
      </c>
      <c r="H386" s="170">
        <f>表2_36716262930381020[[#This Row],[累计净值]]/$B$156-1</f>
        <v>0.13295923934221809</v>
      </c>
    </row>
    <row r="387" spans="1:8" x14ac:dyDescent="0.2">
      <c r="A387" s="161">
        <v>44328</v>
      </c>
      <c r="B387" s="162">
        <v>1.4537</v>
      </c>
      <c r="C387" s="171">
        <f t="shared" si="80"/>
        <v>0</v>
      </c>
      <c r="D387" s="168" t="str">
        <f t="shared" si="81"/>
        <v>/</v>
      </c>
      <c r="E387" s="168">
        <f ca="1">IF(表2_36716262930381020[[#This Row],[累计净值]]/MAX(INDIRECT("B21:B" &amp; ROW()))-1&lt;E386,表2_36716262930381020[[#This Row],[累计净值]]/MAX(INDIRECT("B21:B" &amp; ROW()))-1,E386)</f>
        <v>-7.1594921493501551E-2</v>
      </c>
      <c r="F387" s="169">
        <f>表2_36716262930381020[[#This Row],[累计净值]]</f>
        <v>1.4537</v>
      </c>
      <c r="G387" s="170">
        <f>表2_36716262930381020[[#This Row],[累计净值]]/$B$21-1</f>
        <v>0.46660613397901529</v>
      </c>
      <c r="H387" s="170">
        <f>表2_36716262930381020[[#This Row],[累计净值]]/$B$156-1</f>
        <v>0.13295923934221809</v>
      </c>
    </row>
    <row r="388" spans="1:8" x14ac:dyDescent="0.2">
      <c r="A388" s="161">
        <v>44329</v>
      </c>
      <c r="B388" s="162">
        <v>1.4503999999999999</v>
      </c>
      <c r="C388" s="171">
        <f t="shared" si="80"/>
        <v>-3.3000000000000806E-3</v>
      </c>
      <c r="D388" s="168">
        <f t="shared" si="81"/>
        <v>-3.3000000000000806E-3</v>
      </c>
      <c r="E388" s="168">
        <f ca="1">IF(表2_36716262930381020[[#This Row],[累计净值]]/MAX(INDIRECT("B21:B" &amp; ROW()))-1&lt;E387,表2_36716262930381020[[#This Row],[累计净值]]/MAX(INDIRECT("B21:B" &amp; ROW()))-1,E387)</f>
        <v>-7.1594921493501551E-2</v>
      </c>
      <c r="F388" s="169">
        <f>表2_36716262930381020[[#This Row],[累计净值]]</f>
        <v>1.4503999999999999</v>
      </c>
      <c r="G388" s="170">
        <f>表2_36716262930381020[[#This Row],[累计净值]]/$B$21-1</f>
        <v>0.46327683615819204</v>
      </c>
      <c r="H388" s="170">
        <f>表2_36716262930381020[[#This Row],[累计净值]]/$B$156-1</f>
        <v>0.13038734315330069</v>
      </c>
    </row>
    <row r="389" spans="1:8" x14ac:dyDescent="0.2">
      <c r="A389" s="161">
        <v>44330</v>
      </c>
      <c r="B389" s="162">
        <v>1.4459</v>
      </c>
      <c r="C389" s="171">
        <f t="shared" si="80"/>
        <v>-4.4999999999999485E-3</v>
      </c>
      <c r="D389" s="168">
        <f t="shared" si="81"/>
        <v>-4.4999999999999485E-3</v>
      </c>
      <c r="E389" s="168">
        <f ca="1">IF(表2_36716262930381020[[#This Row],[累计净值]]/MAX(INDIRECT("B21:B" &amp; ROW()))-1&lt;E388,表2_36716262930381020[[#This Row],[累计净值]]/MAX(INDIRECT("B21:B" &amp; ROW()))-1,E388)</f>
        <v>-7.1594921493501551E-2</v>
      </c>
      <c r="F389" s="169">
        <f>表2_36716262930381020[[#This Row],[累计净值]]</f>
        <v>1.4459</v>
      </c>
      <c r="G389" s="170">
        <f>表2_36716262930381020[[#This Row],[累计净值]]/$B$21-1</f>
        <v>0.45873688458434225</v>
      </c>
      <c r="H389" s="170">
        <f>表2_36716262930381020[[#This Row],[累计净值]]/$B$156-1</f>
        <v>0.12688021198659505</v>
      </c>
    </row>
    <row r="390" spans="1:8" x14ac:dyDescent="0.2">
      <c r="A390" s="161">
        <v>44333</v>
      </c>
      <c r="B390" s="162">
        <v>1.4478</v>
      </c>
      <c r="C390" s="171">
        <f>IFERROR(B390-B389,0)</f>
        <v>1.9000000000000128E-3</v>
      </c>
      <c r="D390" s="168" t="str">
        <f>IF(C390&lt;0,C390,"/")</f>
        <v>/</v>
      </c>
      <c r="E390" s="168">
        <f ca="1">IF(表2_36716262930381020[[#This Row],[累计净值]]/MAX(INDIRECT("B21:B" &amp; ROW()))-1&lt;E389,表2_36716262930381020[[#This Row],[累计净值]]/MAX(INDIRECT("B21:B" &amp; ROW()))-1,E389)</f>
        <v>-7.1594921493501551E-2</v>
      </c>
      <c r="F390" s="169">
        <f>表2_36716262930381020[[#This Row],[累计净值]]</f>
        <v>1.4478</v>
      </c>
      <c r="G390" s="170">
        <f>表2_36716262930381020[[#This Row],[累计净值]]/$B$21-1</f>
        <v>0.46065375302663436</v>
      </c>
      <c r="H390" s="170">
        <f>表2_36716262930381020[[#This Row],[累计净值]]/$B$156-1</f>
        <v>0.1283610007014262</v>
      </c>
    </row>
  </sheetData>
  <mergeCells count="1">
    <mergeCell ref="G2:G3"/>
  </mergeCells>
  <phoneticPr fontId="24" type="noConversion"/>
  <pageMargins left="0.7" right="0.7" top="0.75" bottom="0.75" header="0.3" footer="0.3"/>
  <pageSetup paperSize="9" orientation="portrait" horizontalDpi="200" verticalDpi="200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J371"/>
  <sheetViews>
    <sheetView workbookViewId="0">
      <pane xSplit="1" ySplit="20" topLeftCell="B354" activePane="bottomRight" state="frozen"/>
      <selection pane="topRight" activeCell="B1" sqref="B1"/>
      <selection pane="bottomLeft" activeCell="A21" sqref="A21"/>
      <selection pane="bottomRight" activeCell="I369" sqref="I369"/>
    </sheetView>
  </sheetViews>
  <sheetFormatPr defaultColWidth="9" defaultRowHeight="14.25" x14ac:dyDescent="0.2"/>
  <cols>
    <col min="1" max="1" width="11.625" style="1" bestFit="1" customWidth="1"/>
    <col min="2" max="2" width="13" style="1" customWidth="1"/>
    <col min="3" max="4" width="13.5" style="1" bestFit="1" customWidth="1"/>
    <col min="5" max="5" width="10.75" style="1" customWidth="1"/>
    <col min="6" max="6" width="11.125" style="1" customWidth="1"/>
    <col min="7" max="7" width="18.875" style="2" customWidth="1"/>
    <col min="8" max="8" width="9" style="1"/>
    <col min="9" max="9" width="14.25" style="1" customWidth="1"/>
    <col min="10" max="10" width="12" style="1" bestFit="1" customWidth="1"/>
    <col min="11" max="16384" width="9" style="1"/>
  </cols>
  <sheetData>
    <row r="1" spans="1:7" ht="15" thickBot="1" x14ac:dyDescent="0.25"/>
    <row r="2" spans="1:7" ht="15" thickBot="1" x14ac:dyDescent="0.25">
      <c r="A2" s="23" t="s">
        <v>0</v>
      </c>
      <c r="B2" s="24">
        <f>COUNT(表2_3671626293038912[每日盈亏])</f>
        <v>351</v>
      </c>
      <c r="C2" s="27"/>
      <c r="D2" s="3" t="s">
        <v>1</v>
      </c>
      <c r="E2" s="28"/>
      <c r="F2" s="1" t="s">
        <v>2</v>
      </c>
      <c r="G2" s="394" t="s">
        <v>3</v>
      </c>
    </row>
    <row r="3" spans="1:7" x14ac:dyDescent="0.2">
      <c r="A3" s="25" t="s">
        <v>4</v>
      </c>
      <c r="B3" s="26">
        <f>COUNTIF(表2_3671626293038912[每日盈亏],"&gt;0")</f>
        <v>158</v>
      </c>
      <c r="C3" s="29"/>
      <c r="D3" s="30" t="s">
        <v>5</v>
      </c>
      <c r="E3" s="31">
        <f>245^0.5*(B10-0.025/365)/E10</f>
        <v>0.80101809909492849</v>
      </c>
      <c r="G3" s="394"/>
    </row>
    <row r="4" spans="1:7" x14ac:dyDescent="0.2">
      <c r="A4" s="25" t="s">
        <v>6</v>
      </c>
      <c r="B4" s="26">
        <f>COUNTIF(表2_3671626293038912[每日盈亏],"&lt;0")</f>
        <v>172</v>
      </c>
      <c r="C4" s="29"/>
      <c r="D4" s="32" t="s">
        <v>7</v>
      </c>
      <c r="E4" s="31">
        <f ca="1">-B9/E8</f>
        <v>2.1184123368284187</v>
      </c>
      <c r="G4" s="2">
        <f>LOOKUP(999^10,表2_3671626293038912[累计净值])</f>
        <v>1.1181000000000001</v>
      </c>
    </row>
    <row r="5" spans="1:7" x14ac:dyDescent="0.2">
      <c r="A5" s="25" t="s">
        <v>8</v>
      </c>
      <c r="B5" s="26">
        <f>B2-B3-B4</f>
        <v>21</v>
      </c>
      <c r="C5" s="29"/>
      <c r="D5" s="33" t="s">
        <v>9</v>
      </c>
      <c r="E5" s="4">
        <f>245^0.5*(B10-0.025/365)/E9</f>
        <v>1.3492858675176638</v>
      </c>
    </row>
    <row r="6" spans="1:7" ht="15" thickBot="1" x14ac:dyDescent="0.25">
      <c r="A6" s="34"/>
      <c r="B6" s="35"/>
      <c r="C6" s="35"/>
      <c r="D6" s="35"/>
      <c r="E6" s="36"/>
    </row>
    <row r="7" spans="1:7" ht="15" thickBot="1" x14ac:dyDescent="0.25">
      <c r="A7" s="5" t="s">
        <v>10</v>
      </c>
      <c r="B7" s="35"/>
      <c r="C7" s="35"/>
      <c r="D7" s="3" t="s">
        <v>11</v>
      </c>
      <c r="E7" s="37"/>
    </row>
    <row r="8" spans="1:7" x14ac:dyDescent="0.2">
      <c r="A8" s="38" t="s">
        <v>12</v>
      </c>
      <c r="B8" s="39">
        <f>LOOKUP(999^10,表2_3671626293038912[累计净值])/$B$21-1</f>
        <v>0.11731787748576017</v>
      </c>
      <c r="C8" s="40"/>
      <c r="D8" s="30" t="s">
        <v>13</v>
      </c>
      <c r="E8" s="41">
        <f ca="1">MIN(表2_3671626293038912[最大回撤])</f>
        <v>-3.8655622203179973E-2</v>
      </c>
    </row>
    <row r="9" spans="1:7" x14ac:dyDescent="0.2">
      <c r="A9" s="25" t="s">
        <v>14</v>
      </c>
      <c r="B9" s="32">
        <f>B8*245/B2</f>
        <v>8.1888546962994996E-2</v>
      </c>
      <c r="C9" s="40"/>
      <c r="D9" s="33" t="s">
        <v>15</v>
      </c>
      <c r="E9" s="6">
        <f>STDEV(表2_3671626293038912[下跌幅度])</f>
        <v>3.0855152644516993E-3</v>
      </c>
    </row>
    <row r="10" spans="1:7" x14ac:dyDescent="0.2">
      <c r="A10" s="42" t="s">
        <v>16</v>
      </c>
      <c r="B10" s="43">
        <f>AVERAGE(表2_3671626293038912[每日盈亏])</f>
        <v>3.3447293447293495E-4</v>
      </c>
      <c r="C10" s="44"/>
      <c r="D10" s="33" t="s">
        <v>17</v>
      </c>
      <c r="E10" s="6">
        <f>STDEV(表2_3671626293038912[每日盈亏])</f>
        <v>5.1974382913928642E-3</v>
      </c>
    </row>
    <row r="11" spans="1:7" x14ac:dyDescent="0.2">
      <c r="A11" s="7" t="s">
        <v>18</v>
      </c>
      <c r="B11" s="32">
        <f>B3/B2</f>
        <v>0.45014245014245013</v>
      </c>
      <c r="C11" s="40"/>
      <c r="D11" s="32" t="s">
        <v>19</v>
      </c>
      <c r="E11" s="41">
        <f>245^0.5*E10</f>
        <v>8.1352777298903639E-2</v>
      </c>
    </row>
    <row r="12" spans="1:7" ht="15" thickBot="1" x14ac:dyDescent="0.25">
      <c r="A12" s="45" t="s">
        <v>20</v>
      </c>
      <c r="B12" s="46">
        <f>-(SUMIF(表2_3671626293038912[每日盈亏],"&gt;=0")/B3)/(SUMIF(表2_3671626293038912[每日盈亏],"&lt;0")/B4)</f>
        <v>1.365056938751483</v>
      </c>
      <c r="C12" s="47"/>
      <c r="D12" s="48"/>
      <c r="E12" s="49"/>
    </row>
    <row r="14" spans="1:7" ht="28.5" x14ac:dyDescent="0.2">
      <c r="A14" s="50" t="s">
        <v>21</v>
      </c>
      <c r="B14" s="50" t="s">
        <v>14</v>
      </c>
      <c r="C14" s="51" t="s">
        <v>19</v>
      </c>
      <c r="D14" s="51" t="s">
        <v>13</v>
      </c>
      <c r="E14" s="51" t="s">
        <v>5</v>
      </c>
      <c r="F14" s="51" t="s">
        <v>7</v>
      </c>
    </row>
    <row r="15" spans="1:7" x14ac:dyDescent="0.2">
      <c r="A15" s="78">
        <f>B2</f>
        <v>351</v>
      </c>
      <c r="B15" s="53">
        <f>B9</f>
        <v>8.1888546962994996E-2</v>
      </c>
      <c r="C15" s="53">
        <f>E11</f>
        <v>8.1352777298903639E-2</v>
      </c>
      <c r="D15" s="53">
        <f ca="1">E8</f>
        <v>-3.8655622203179973E-2</v>
      </c>
      <c r="E15" s="54">
        <f>E3</f>
        <v>0.80101809909492849</v>
      </c>
      <c r="F15" s="54">
        <f ca="1">E4</f>
        <v>2.1184123368284187</v>
      </c>
    </row>
    <row r="19" spans="1:7" x14ac:dyDescent="0.2">
      <c r="A19" s="8"/>
      <c r="B19" s="1" t="s">
        <v>22</v>
      </c>
    </row>
    <row r="20" spans="1:7" ht="15.75" x14ac:dyDescent="0.2">
      <c r="A20" s="22" t="s">
        <v>23</v>
      </c>
      <c r="B20" s="22" t="s">
        <v>24</v>
      </c>
      <c r="C20" s="22" t="s">
        <v>25</v>
      </c>
      <c r="D20" s="22" t="s">
        <v>26</v>
      </c>
      <c r="E20" s="22" t="s">
        <v>27</v>
      </c>
      <c r="F20" s="22" t="s">
        <v>28</v>
      </c>
      <c r="G20" s="22" t="s">
        <v>29</v>
      </c>
    </row>
    <row r="21" spans="1:7" x14ac:dyDescent="0.2">
      <c r="A21" s="15">
        <v>43801</v>
      </c>
      <c r="B21" s="16">
        <v>1.0006999999999999</v>
      </c>
      <c r="C21" s="11">
        <f>IFERROR(B21-B20,0)</f>
        <v>0</v>
      </c>
      <c r="D21" s="12" t="str">
        <f>IF(C21&lt;0,C21,"/")</f>
        <v>/</v>
      </c>
      <c r="E21" s="12">
        <f ca="1">IF(表2_3671626293038912[[#This Row],[累计净值]]/MAX(INDIRECT("B21:B" &amp; ROW()))-1&lt;E20,表2_3671626293038912[[#This Row],[累计净值]]/MAX(INDIRECT("B21:B" &amp; ROW()))-1,E20)</f>
        <v>0</v>
      </c>
      <c r="F21" s="13">
        <f>表2_3671626293038912[[#This Row],[累计净值]]</f>
        <v>1.0006999999999999</v>
      </c>
      <c r="G21" s="14" t="s">
        <v>30</v>
      </c>
    </row>
    <row r="22" spans="1:7" x14ac:dyDescent="0.2">
      <c r="A22" s="15">
        <v>43802</v>
      </c>
      <c r="B22" s="16">
        <v>1.0006999999999999</v>
      </c>
      <c r="C22" s="17">
        <f>IFERROR(B22-B21,0)</f>
        <v>0</v>
      </c>
      <c r="D22" s="18" t="str">
        <f>IF(C22&lt;0,C22,"/")</f>
        <v>/</v>
      </c>
      <c r="E22" s="18">
        <f ca="1">IF(表2_3671626293038912[[#This Row],[累计净值]]/MAX(INDIRECT("B21:B" &amp; ROW()))-1&lt;E21,表2_3671626293038912[[#This Row],[累计净值]]/MAX(INDIRECT("B21:B" &amp; ROW()))-1,E21)</f>
        <v>0</v>
      </c>
      <c r="F22" s="19">
        <f>表2_3671626293038912[[#This Row],[累计净值]]</f>
        <v>1.0006999999999999</v>
      </c>
      <c r="G22" s="20">
        <f>表2_3671626293038912[[#This Row],[累计净值]]/$B$21-1</f>
        <v>0</v>
      </c>
    </row>
    <row r="23" spans="1:7" x14ac:dyDescent="0.2">
      <c r="A23" s="15">
        <v>43803</v>
      </c>
      <c r="B23" s="16">
        <v>1.0007999999999999</v>
      </c>
      <c r="C23" s="73">
        <f t="shared" ref="C23:C28" si="0">IFERROR(B23-B22,0)</f>
        <v>9.9999999999988987E-5</v>
      </c>
      <c r="D23" s="18" t="str">
        <f t="shared" ref="D23:D28" si="1">IF(C23&lt;0,C23,"/")</f>
        <v>/</v>
      </c>
      <c r="E23" s="18">
        <f ca="1">IF(表2_3671626293038912[[#This Row],[累计净值]]/MAX(INDIRECT("B21:B" &amp; ROW()))-1&lt;E22,表2_3671626293038912[[#This Row],[累计净值]]/MAX(INDIRECT("B21:B" &amp; ROW()))-1,E22)</f>
        <v>0</v>
      </c>
      <c r="F23" s="62">
        <f>表2_3671626293038912[[#This Row],[累计净值]]</f>
        <v>1.0007999999999999</v>
      </c>
      <c r="G23" s="20">
        <f>表2_3671626293038912[[#This Row],[累计净值]]/$B$21-1</f>
        <v>9.9930048965690688E-5</v>
      </c>
    </row>
    <row r="24" spans="1:7" x14ac:dyDescent="0.2">
      <c r="A24" s="15">
        <v>43804</v>
      </c>
      <c r="B24" s="16">
        <v>1.0006999999999999</v>
      </c>
      <c r="C24" s="73">
        <f t="shared" si="0"/>
        <v>-9.9999999999988987E-5</v>
      </c>
      <c r="D24" s="18">
        <f t="shared" si="1"/>
        <v>-9.9999999999988987E-5</v>
      </c>
      <c r="E24" s="18">
        <f ca="1">IF(表2_3671626293038912[[#This Row],[累计净值]]/MAX(INDIRECT("B21:B" &amp; ROW()))-1&lt;E23,表2_3671626293038912[[#This Row],[累计净值]]/MAX(INDIRECT("B21:B" &amp; ROW()))-1,E23)</f>
        <v>-9.9920063948877313E-5</v>
      </c>
      <c r="F24" s="62">
        <f>表2_3671626293038912[[#This Row],[累计净值]]</f>
        <v>1.0006999999999999</v>
      </c>
      <c r="G24" s="20">
        <f>表2_3671626293038912[[#This Row],[累计净值]]/$B$21-1</f>
        <v>0</v>
      </c>
    </row>
    <row r="25" spans="1:7" x14ac:dyDescent="0.2">
      <c r="A25" s="15">
        <v>43805</v>
      </c>
      <c r="B25" s="16">
        <v>0.99960000000000004</v>
      </c>
      <c r="C25" s="73">
        <f t="shared" si="0"/>
        <v>-1.0999999999998789E-3</v>
      </c>
      <c r="D25" s="18">
        <f t="shared" si="1"/>
        <v>-1.0999999999998789E-3</v>
      </c>
      <c r="E25" s="18">
        <f ca="1">IF(表2_3671626293038912[[#This Row],[累计净值]]/MAX(INDIRECT("B21:B" &amp; ROW()))-1&lt;E24,表2_3671626293038912[[#This Row],[累计净值]]/MAX(INDIRECT("B21:B" &amp; ROW()))-1,E24)</f>
        <v>-1.1990407673859727E-3</v>
      </c>
      <c r="F25" s="62">
        <f>表2_3671626293038912[[#This Row],[累计净值]]</f>
        <v>0.99960000000000004</v>
      </c>
      <c r="G25" s="20">
        <f>表2_3671626293038912[[#This Row],[累计净值]]/$B$21-1</f>
        <v>-1.0992305386228196E-3</v>
      </c>
    </row>
    <row r="26" spans="1:7" x14ac:dyDescent="0.2">
      <c r="A26" s="15">
        <v>43808</v>
      </c>
      <c r="B26" s="16">
        <v>1.0031000000000001</v>
      </c>
      <c r="C26" s="73">
        <f t="shared" si="0"/>
        <v>3.5000000000000586E-3</v>
      </c>
      <c r="D26" s="18" t="str">
        <f t="shared" si="1"/>
        <v>/</v>
      </c>
      <c r="E26" s="18">
        <f ca="1">IF(表2_3671626293038912[[#This Row],[累计净值]]/MAX(INDIRECT("B21:B" &amp; ROW()))-1&lt;E25,表2_3671626293038912[[#This Row],[累计净值]]/MAX(INDIRECT("B21:B" &amp; ROW()))-1,E25)</f>
        <v>-1.1990407673859727E-3</v>
      </c>
      <c r="F26" s="62">
        <f>表2_3671626293038912[[#This Row],[累计净值]]</f>
        <v>1.0031000000000001</v>
      </c>
      <c r="G26" s="20">
        <f>表2_3671626293038912[[#This Row],[累计净值]]/$B$21-1</f>
        <v>2.3983211751774647E-3</v>
      </c>
    </row>
    <row r="27" spans="1:7" x14ac:dyDescent="0.2">
      <c r="A27" s="15">
        <v>43809</v>
      </c>
      <c r="B27" s="16">
        <v>1.0055000000000001</v>
      </c>
      <c r="C27" s="73">
        <f t="shared" si="0"/>
        <v>2.3999999999999577E-3</v>
      </c>
      <c r="D27" s="18" t="str">
        <f t="shared" si="1"/>
        <v>/</v>
      </c>
      <c r="E27" s="18">
        <f ca="1">IF(表2_3671626293038912[[#This Row],[累计净值]]/MAX(INDIRECT("B21:B" &amp; ROW()))-1&lt;E26,表2_3671626293038912[[#This Row],[累计净值]]/MAX(INDIRECT("B21:B" &amp; ROW()))-1,E26)</f>
        <v>-1.1990407673859727E-3</v>
      </c>
      <c r="F27" s="62">
        <f>表2_3671626293038912[[#This Row],[累计净值]]</f>
        <v>1.0055000000000001</v>
      </c>
      <c r="G27" s="20">
        <f>表2_3671626293038912[[#This Row],[累计净值]]/$B$21-1</f>
        <v>4.7966423503549294E-3</v>
      </c>
    </row>
    <row r="28" spans="1:7" x14ac:dyDescent="0.2">
      <c r="A28" s="15">
        <v>43810</v>
      </c>
      <c r="B28" s="76">
        <v>1.0067999999999999</v>
      </c>
      <c r="C28" s="73">
        <f t="shared" si="0"/>
        <v>1.2999999999998568E-3</v>
      </c>
      <c r="D28" s="18" t="str">
        <f t="shared" si="1"/>
        <v>/</v>
      </c>
      <c r="E28" s="18">
        <f ca="1">IF(表2_3671626293038912[[#This Row],[累计净值]]/MAX(INDIRECT("B21:B" &amp; ROW()))-1&lt;E27,表2_3671626293038912[[#This Row],[累计净值]]/MAX(INDIRECT("B21:B" &amp; ROW()))-1,E27)</f>
        <v>-1.1990407673859727E-3</v>
      </c>
      <c r="F28" s="62">
        <f>表2_3671626293038912[[#This Row],[累计净值]]</f>
        <v>1.0067999999999999</v>
      </c>
      <c r="G28" s="20">
        <f>表2_3671626293038912[[#This Row],[累计净值]]/$B$21-1</f>
        <v>6.0957329869091303E-3</v>
      </c>
    </row>
    <row r="29" spans="1:7" x14ac:dyDescent="0.2">
      <c r="A29" s="15">
        <v>43811</v>
      </c>
      <c r="B29" s="16">
        <v>1.0061</v>
      </c>
      <c r="C29" s="73">
        <f t="shared" ref="C29:C35" si="2">IFERROR(B29-B28,0)</f>
        <v>-6.9999999999992291E-4</v>
      </c>
      <c r="D29" s="18">
        <f t="shared" ref="D29:D35" si="3">IF(C29&lt;0,C29,"/")</f>
        <v>-6.9999999999992291E-4</v>
      </c>
      <c r="E29" s="18">
        <f ca="1">IF(表2_3671626293038912[[#This Row],[累计净值]]/MAX(INDIRECT("B21:B" &amp; ROW()))-1&lt;E28,表2_3671626293038912[[#This Row],[累计净值]]/MAX(INDIRECT("B21:B" &amp; ROW()))-1,E28)</f>
        <v>-1.1990407673859727E-3</v>
      </c>
      <c r="F29" s="62">
        <f>表2_3671626293038912[[#This Row],[累计净值]]</f>
        <v>1.0061</v>
      </c>
      <c r="G29" s="20">
        <f>表2_3671626293038912[[#This Row],[累计净值]]/$B$21-1</f>
        <v>5.3962226441490735E-3</v>
      </c>
    </row>
    <row r="30" spans="1:7" x14ac:dyDescent="0.2">
      <c r="A30" s="15">
        <v>43812</v>
      </c>
      <c r="B30" s="16">
        <v>1.0052000000000001</v>
      </c>
      <c r="C30" s="73">
        <f t="shared" si="2"/>
        <v>-8.9999999999990088E-4</v>
      </c>
      <c r="D30" s="18">
        <f t="shared" si="3"/>
        <v>-8.9999999999990088E-4</v>
      </c>
      <c r="E30" s="18">
        <f ca="1">IF(表2_3671626293038912[[#This Row],[累计净值]]/MAX(INDIRECT("B21:B" &amp; ROW()))-1&lt;E29,表2_3671626293038912[[#This Row],[累计净值]]/MAX(INDIRECT("B21:B" &amp; ROW()))-1,E29)</f>
        <v>-1.5891934843065281E-3</v>
      </c>
      <c r="F30" s="62">
        <f>表2_3671626293038912[[#This Row],[累计净值]]</f>
        <v>1.0052000000000001</v>
      </c>
      <c r="G30" s="20">
        <f>表2_3671626293038912[[#This Row],[累计净值]]/$B$21-1</f>
        <v>4.4968522034578573E-3</v>
      </c>
    </row>
    <row r="31" spans="1:7" x14ac:dyDescent="0.2">
      <c r="A31" s="15">
        <v>43815</v>
      </c>
      <c r="B31" s="16">
        <v>1.0044</v>
      </c>
      <c r="C31" s="73">
        <f t="shared" si="2"/>
        <v>-8.0000000000013394E-4</v>
      </c>
      <c r="D31" s="18">
        <f t="shared" si="3"/>
        <v>-8.0000000000013394E-4</v>
      </c>
      <c r="E31" s="18">
        <f ca="1">IF(表2_3671626293038912[[#This Row],[累计净值]]/MAX(INDIRECT("B21:B" &amp; ROW()))-1&lt;E30,表2_3671626293038912[[#This Row],[累计净值]]/MAX(INDIRECT("B21:B" &amp; ROW()))-1,E30)</f>
        <v>-2.3837902264600697E-3</v>
      </c>
      <c r="F31" s="62">
        <f>表2_3671626293038912[[#This Row],[累计净值]]</f>
        <v>1.0044</v>
      </c>
      <c r="G31" s="20">
        <f>表2_3671626293038912[[#This Row],[累计净值]]/$B$21-1</f>
        <v>3.6974118117318877E-3</v>
      </c>
    </row>
    <row r="32" spans="1:7" x14ac:dyDescent="0.2">
      <c r="A32" s="15">
        <v>43816</v>
      </c>
      <c r="B32" s="16">
        <v>1.0044999999999999</v>
      </c>
      <c r="C32" s="73">
        <f t="shared" si="2"/>
        <v>9.9999999999988987E-5</v>
      </c>
      <c r="D32" s="18" t="str">
        <f t="shared" si="3"/>
        <v>/</v>
      </c>
      <c r="E32" s="18">
        <f ca="1">IF(表2_3671626293038912[[#This Row],[累计净值]]/MAX(INDIRECT("B21:B" &amp; ROW()))-1&lt;E31,表2_3671626293038912[[#This Row],[累计净值]]/MAX(INDIRECT("B21:B" &amp; ROW()))-1,E31)</f>
        <v>-2.3837902264600697E-3</v>
      </c>
      <c r="F32" s="62">
        <f>表2_3671626293038912[[#This Row],[累计净值]]</f>
        <v>1.0044999999999999</v>
      </c>
      <c r="G32" s="20">
        <f>表2_3671626293038912[[#This Row],[累计净值]]/$B$21-1</f>
        <v>3.7973418606975784E-3</v>
      </c>
    </row>
    <row r="33" spans="1:7" x14ac:dyDescent="0.2">
      <c r="A33" s="15">
        <v>43817</v>
      </c>
      <c r="B33" s="16">
        <v>1.0039</v>
      </c>
      <c r="C33" s="73">
        <f t="shared" si="2"/>
        <v>-5.9999999999993392E-4</v>
      </c>
      <c r="D33" s="18">
        <f t="shared" si="3"/>
        <v>-5.9999999999993392E-4</v>
      </c>
      <c r="E33" s="18">
        <f ca="1">IF(表2_3671626293038912[[#This Row],[累计净值]]/MAX(INDIRECT("B21:B" &amp; ROW()))-1&lt;E32,表2_3671626293038912[[#This Row],[累计净值]]/MAX(INDIRECT("B21:B" &amp; ROW()))-1,E32)</f>
        <v>-2.8804131903058527E-3</v>
      </c>
      <c r="F33" s="62">
        <f>表2_3671626293038912[[#This Row],[累计净值]]</f>
        <v>1.0039</v>
      </c>
      <c r="G33" s="20">
        <f>表2_3671626293038912[[#This Row],[累计净值]]/$B$21-1</f>
        <v>3.1977615669032122E-3</v>
      </c>
    </row>
    <row r="34" spans="1:7" x14ac:dyDescent="0.2">
      <c r="A34" s="15">
        <v>43818</v>
      </c>
      <c r="B34" s="16">
        <v>1.0032000000000001</v>
      </c>
      <c r="C34" s="73">
        <f t="shared" si="2"/>
        <v>-6.9999999999992291E-4</v>
      </c>
      <c r="D34" s="18">
        <f t="shared" si="3"/>
        <v>-6.9999999999992291E-4</v>
      </c>
      <c r="E34" s="18">
        <f ca="1">IF(表2_3671626293038912[[#This Row],[累计净值]]/MAX(INDIRECT("B21:B" &amp; ROW()))-1&lt;E33,表2_3671626293038912[[#This Row],[累计净值]]/MAX(INDIRECT("B21:B" &amp; ROW()))-1,E33)</f>
        <v>-3.5756853396898824E-3</v>
      </c>
      <c r="F34" s="62">
        <f>表2_3671626293038912[[#This Row],[累计净值]]</f>
        <v>1.0032000000000001</v>
      </c>
      <c r="G34" s="20">
        <f>表2_3671626293038912[[#This Row],[累计净值]]/$B$21-1</f>
        <v>2.4982512241433774E-3</v>
      </c>
    </row>
    <row r="35" spans="1:7" x14ac:dyDescent="0.2">
      <c r="A35" s="15">
        <v>43819</v>
      </c>
      <c r="B35" s="16">
        <v>1.0013000000000001</v>
      </c>
      <c r="C35" s="73">
        <f t="shared" si="2"/>
        <v>-1.9000000000000128E-3</v>
      </c>
      <c r="D35" s="18">
        <f t="shared" si="3"/>
        <v>-1.9000000000000128E-3</v>
      </c>
      <c r="E35" s="18">
        <f ca="1">IF(表2_3671626293038912[[#This Row],[累计净值]]/MAX(INDIRECT("B21:B" &amp; ROW()))-1&lt;E34,表2_3671626293038912[[#This Row],[累计净值]]/MAX(INDIRECT("B21:B" &amp; ROW()))-1,E34)</f>
        <v>-5.462852602304169E-3</v>
      </c>
      <c r="F35" s="62">
        <f>表2_3671626293038912[[#This Row],[累计净值]]</f>
        <v>1.0013000000000001</v>
      </c>
      <c r="G35" s="20">
        <f>表2_3671626293038912[[#This Row],[累计净值]]/$B$21-1</f>
        <v>5.9958029379458821E-4</v>
      </c>
    </row>
    <row r="36" spans="1:7" x14ac:dyDescent="0.2">
      <c r="A36" s="15">
        <v>43822</v>
      </c>
      <c r="B36" s="16">
        <v>1.0022</v>
      </c>
      <c r="C36" s="73">
        <f t="shared" ref="C36:C41" si="4">IFERROR(B36-B35,0)</f>
        <v>8.9999999999990088E-4</v>
      </c>
      <c r="D36" s="18" t="str">
        <f t="shared" ref="D36:D41" si="5">IF(C36&lt;0,C36,"/")</f>
        <v>/</v>
      </c>
      <c r="E36" s="18">
        <f ca="1">IF(表2_3671626293038912[[#This Row],[累计净值]]/MAX(INDIRECT("B21:B" &amp; ROW()))-1&lt;E35,表2_3671626293038912[[#This Row],[累计净值]]/MAX(INDIRECT("B21:B" &amp; ROW()))-1,E35)</f>
        <v>-5.462852602304169E-3</v>
      </c>
      <c r="F36" s="62">
        <f>表2_3671626293038912[[#This Row],[累计净值]]</f>
        <v>1.0022</v>
      </c>
      <c r="G36" s="20">
        <f>表2_3671626293038912[[#This Row],[累计净值]]/$B$21-1</f>
        <v>1.4989507344860264E-3</v>
      </c>
    </row>
    <row r="37" spans="1:7" x14ac:dyDescent="0.2">
      <c r="A37" s="15">
        <v>43823</v>
      </c>
      <c r="B37" s="16">
        <v>1.0021</v>
      </c>
      <c r="C37" s="73">
        <f t="shared" si="4"/>
        <v>-9.9999999999988987E-5</v>
      </c>
      <c r="D37" s="18">
        <f t="shared" si="5"/>
        <v>-9.9999999999988987E-5</v>
      </c>
      <c r="E37" s="18">
        <f ca="1">IF(表2_3671626293038912[[#This Row],[累计净值]]/MAX(INDIRECT("B21:B" &amp; ROW()))-1&lt;E36,表2_3671626293038912[[#This Row],[累计净值]]/MAX(INDIRECT("B21:B" &amp; ROW()))-1,E36)</f>
        <v>-5.462852602304169E-3</v>
      </c>
      <c r="F37" s="62">
        <f>表2_3671626293038912[[#This Row],[累计净值]]</f>
        <v>1.0021</v>
      </c>
      <c r="G37" s="20">
        <f>表2_3671626293038912[[#This Row],[累计净值]]/$B$21-1</f>
        <v>1.3990206855201137E-3</v>
      </c>
    </row>
    <row r="38" spans="1:7" x14ac:dyDescent="0.2">
      <c r="A38" s="15">
        <v>43824</v>
      </c>
      <c r="B38" s="16">
        <v>1.0025999999999999</v>
      </c>
      <c r="C38" s="73">
        <f t="shared" si="4"/>
        <v>4.9999999999994493E-4</v>
      </c>
      <c r="D38" s="18" t="str">
        <f t="shared" si="5"/>
        <v>/</v>
      </c>
      <c r="E38" s="18">
        <f ca="1">IF(表2_3671626293038912[[#This Row],[累计净值]]/MAX(INDIRECT("B21:B" &amp; ROW()))-1&lt;E37,表2_3671626293038912[[#This Row],[累计净值]]/MAX(INDIRECT("B21:B" &amp; ROW()))-1,E37)</f>
        <v>-5.462852602304169E-3</v>
      </c>
      <c r="F38" s="62">
        <f>表2_3671626293038912[[#This Row],[累计净值]]</f>
        <v>1.0025999999999999</v>
      </c>
      <c r="G38" s="20">
        <f>表2_3671626293038912[[#This Row],[累计净值]]/$B$21-1</f>
        <v>1.8986709303487892E-3</v>
      </c>
    </row>
    <row r="39" spans="1:7" x14ac:dyDescent="0.2">
      <c r="A39" s="15">
        <v>43825</v>
      </c>
      <c r="B39" s="16">
        <v>1.0024</v>
      </c>
      <c r="C39" s="73">
        <f t="shared" si="4"/>
        <v>-1.9999999999997797E-4</v>
      </c>
      <c r="D39" s="18">
        <f t="shared" si="5"/>
        <v>-1.9999999999997797E-4</v>
      </c>
      <c r="E39" s="18">
        <f ca="1">IF(表2_3671626293038912[[#This Row],[累计净值]]/MAX(INDIRECT("B21:B" &amp; ROW()))-1&lt;E38,表2_3671626293038912[[#This Row],[累计净值]]/MAX(INDIRECT("B21:B" &amp; ROW()))-1,E38)</f>
        <v>-5.462852602304169E-3</v>
      </c>
      <c r="F39" s="62">
        <f>表2_3671626293038912[[#This Row],[累计净值]]</f>
        <v>1.0024</v>
      </c>
      <c r="G39" s="20">
        <f>表2_3671626293038912[[#This Row],[累计净值]]/$B$21-1</f>
        <v>1.6988108324174078E-3</v>
      </c>
    </row>
    <row r="40" spans="1:7" x14ac:dyDescent="0.2">
      <c r="A40" s="15">
        <v>43826</v>
      </c>
      <c r="B40" s="16">
        <v>1.0027999999999999</v>
      </c>
      <c r="C40" s="73">
        <f t="shared" si="4"/>
        <v>3.9999999999995595E-4</v>
      </c>
      <c r="D40" s="18" t="str">
        <f t="shared" si="5"/>
        <v>/</v>
      </c>
      <c r="E40" s="18">
        <f ca="1">IF(表2_3671626293038912[[#This Row],[累计净值]]/MAX(INDIRECT("B21:B" &amp; ROW()))-1&lt;E39,表2_3671626293038912[[#This Row],[累计净值]]/MAX(INDIRECT("B21:B" &amp; ROW()))-1,E39)</f>
        <v>-5.462852602304169E-3</v>
      </c>
      <c r="F40" s="62">
        <f>表2_3671626293038912[[#This Row],[累计净值]]</f>
        <v>1.0027999999999999</v>
      </c>
      <c r="G40" s="20">
        <f>表2_3671626293038912[[#This Row],[累计净值]]/$B$21-1</f>
        <v>2.0985310282801706E-3</v>
      </c>
    </row>
    <row r="41" spans="1:7" x14ac:dyDescent="0.2">
      <c r="A41" s="15">
        <v>43829</v>
      </c>
      <c r="B41" s="16">
        <v>1.0028999999999999</v>
      </c>
      <c r="C41" s="73">
        <f t="shared" si="4"/>
        <v>9.9999999999988987E-5</v>
      </c>
      <c r="D41" s="18" t="str">
        <f t="shared" si="5"/>
        <v>/</v>
      </c>
      <c r="E41" s="18">
        <f ca="1">IF(表2_3671626293038912[[#This Row],[累计净值]]/MAX(INDIRECT("B21:B" &amp; ROW()))-1&lt;E40,表2_3671626293038912[[#This Row],[累计净值]]/MAX(INDIRECT("B21:B" &amp; ROW()))-1,E40)</f>
        <v>-5.462852602304169E-3</v>
      </c>
      <c r="F41" s="62">
        <f>表2_3671626293038912[[#This Row],[累计净值]]</f>
        <v>1.0028999999999999</v>
      </c>
      <c r="G41" s="20">
        <f>表2_3671626293038912[[#This Row],[累计净值]]/$B$21-1</f>
        <v>2.1984610772458613E-3</v>
      </c>
    </row>
    <row r="42" spans="1:7" x14ac:dyDescent="0.2">
      <c r="A42" s="15">
        <v>43830</v>
      </c>
      <c r="B42" s="16">
        <v>1.0029999999999999</v>
      </c>
      <c r="C42" s="73">
        <f t="shared" ref="C42:C47" si="6">IFERROR(B42-B41,0)</f>
        <v>9.9999999999988987E-5</v>
      </c>
      <c r="D42" s="18" t="str">
        <f t="shared" ref="D42:D47" si="7">IF(C42&lt;0,C42,"/")</f>
        <v>/</v>
      </c>
      <c r="E42" s="18">
        <f ca="1">IF(表2_3671626293038912[[#This Row],[累计净值]]/MAX(INDIRECT("B21:B" &amp; ROW()))-1&lt;E41,表2_3671626293038912[[#This Row],[累计净值]]/MAX(INDIRECT("B21:B" &amp; ROW()))-1,E41)</f>
        <v>-5.462852602304169E-3</v>
      </c>
      <c r="F42" s="62">
        <f>表2_3671626293038912[[#This Row],[累计净值]]</f>
        <v>1.0029999999999999</v>
      </c>
      <c r="G42" s="20">
        <f>表2_3671626293038912[[#This Row],[累计净值]]/$B$21-1</f>
        <v>2.2983911262115519E-3</v>
      </c>
    </row>
    <row r="43" spans="1:7" x14ac:dyDescent="0.2">
      <c r="A43" s="15">
        <v>43832</v>
      </c>
      <c r="B43" s="16">
        <v>1.0007999999999999</v>
      </c>
      <c r="C43" s="73">
        <f t="shared" si="6"/>
        <v>-2.1999999999999797E-3</v>
      </c>
      <c r="D43" s="18">
        <f t="shared" si="7"/>
        <v>-2.1999999999999797E-3</v>
      </c>
      <c r="E43" s="18">
        <f ca="1">IF(表2_3671626293038912[[#This Row],[累计净值]]/MAX(INDIRECT("B21:B" &amp; ROW()))-1&lt;E42,表2_3671626293038912[[#This Row],[累计净值]]/MAX(INDIRECT("B21:B" &amp; ROW()))-1,E42)</f>
        <v>-5.9594755661501742E-3</v>
      </c>
      <c r="F43" s="62">
        <f>表2_3671626293038912[[#This Row],[累计净值]]</f>
        <v>1.0007999999999999</v>
      </c>
      <c r="G43" s="20">
        <f>表2_3671626293038912[[#This Row],[累计净值]]/$B$21-1</f>
        <v>9.9930048965690688E-5</v>
      </c>
    </row>
    <row r="44" spans="1:7" x14ac:dyDescent="0.2">
      <c r="A44" s="15">
        <v>43833</v>
      </c>
      <c r="B44" s="16">
        <v>0.99909999999999999</v>
      </c>
      <c r="C44" s="73">
        <f t="shared" si="6"/>
        <v>-1.6999999999999238E-3</v>
      </c>
      <c r="D44" s="18">
        <f t="shared" si="7"/>
        <v>-1.6999999999999238E-3</v>
      </c>
      <c r="E44" s="18">
        <f ca="1">IF(表2_3671626293038912[[#This Row],[累计净值]]/MAX(INDIRECT("B21:B" &amp; ROW()))-1&lt;E43,表2_3671626293038912[[#This Row],[累计净值]]/MAX(INDIRECT("B21:B" &amp; ROW()))-1,E43)</f>
        <v>-7.6479936432259921E-3</v>
      </c>
      <c r="F44" s="62">
        <f>表2_3671626293038912[[#This Row],[累计净值]]</f>
        <v>0.99909999999999999</v>
      </c>
      <c r="G44" s="20">
        <f>表2_3671626293038912[[#This Row],[累计净值]]/$B$21-1</f>
        <v>-1.5988807834514951E-3</v>
      </c>
    </row>
    <row r="45" spans="1:7" x14ac:dyDescent="0.2">
      <c r="A45" s="15">
        <v>43836</v>
      </c>
      <c r="B45" s="16">
        <v>1.0004999999999999</v>
      </c>
      <c r="C45" s="73">
        <f t="shared" si="6"/>
        <v>1.3999999999999568E-3</v>
      </c>
      <c r="D45" s="18" t="str">
        <f t="shared" si="7"/>
        <v>/</v>
      </c>
      <c r="E45" s="18">
        <f ca="1">IF(表2_3671626293038912[[#This Row],[累计净值]]/MAX(INDIRECT("B21:B" &amp; ROW()))-1&lt;E44,表2_3671626293038912[[#This Row],[累计净值]]/MAX(INDIRECT("B21:B" &amp; ROW()))-1,E44)</f>
        <v>-7.6479936432259921E-3</v>
      </c>
      <c r="F45" s="62">
        <f>表2_3671626293038912[[#This Row],[累计净值]]</f>
        <v>1.0004999999999999</v>
      </c>
      <c r="G45" s="20">
        <f>表2_3671626293038912[[#This Row],[累计净值]]/$B$21-1</f>
        <v>-1.9986009793138138E-4</v>
      </c>
    </row>
    <row r="46" spans="1:7" x14ac:dyDescent="0.2">
      <c r="A46" s="15">
        <v>43837</v>
      </c>
      <c r="B46" s="16">
        <v>0.99950000000000006</v>
      </c>
      <c r="C46" s="73">
        <f t="shared" si="6"/>
        <v>-9.9999999999988987E-4</v>
      </c>
      <c r="D46" s="18">
        <f t="shared" si="7"/>
        <v>-9.9999999999988987E-4</v>
      </c>
      <c r="E46" s="18">
        <f ca="1">IF(表2_3671626293038912[[#This Row],[累计净值]]/MAX(INDIRECT("B21:B" &amp; ROW()))-1&lt;E45,表2_3671626293038912[[#This Row],[累计净值]]/MAX(INDIRECT("B21:B" &amp; ROW()))-1,E45)</f>
        <v>-7.6479936432259921E-3</v>
      </c>
      <c r="F46" s="62">
        <f>表2_3671626293038912[[#This Row],[累计净值]]</f>
        <v>0.99950000000000006</v>
      </c>
      <c r="G46" s="20">
        <f>表2_3671626293038912[[#This Row],[累计净值]]/$B$21-1</f>
        <v>-1.1991605875885103E-3</v>
      </c>
    </row>
    <row r="47" spans="1:7" x14ac:dyDescent="0.2">
      <c r="A47" s="15">
        <v>43838</v>
      </c>
      <c r="B47" s="16">
        <v>0.99970000000000003</v>
      </c>
      <c r="C47" s="73">
        <f t="shared" si="6"/>
        <v>1.9999999999997797E-4</v>
      </c>
      <c r="D47" s="18" t="str">
        <f t="shared" si="7"/>
        <v>/</v>
      </c>
      <c r="E47" s="18">
        <f ca="1">IF(表2_3671626293038912[[#This Row],[累计净值]]/MAX(INDIRECT("B21:B" &amp; ROW()))-1&lt;E46,表2_3671626293038912[[#This Row],[累计净值]]/MAX(INDIRECT("B21:B" &amp; ROW()))-1,E46)</f>
        <v>-7.6479936432259921E-3</v>
      </c>
      <c r="F47" s="62">
        <f>表2_3671626293038912[[#This Row],[累计净值]]</f>
        <v>0.99970000000000003</v>
      </c>
      <c r="G47" s="20">
        <f>表2_3671626293038912[[#This Row],[累计净值]]/$B$21-1</f>
        <v>-9.9930048965712892E-4</v>
      </c>
    </row>
    <row r="48" spans="1:7" x14ac:dyDescent="0.2">
      <c r="A48" s="15">
        <v>43839</v>
      </c>
      <c r="B48" s="16">
        <v>0.99150000000000005</v>
      </c>
      <c r="C48" s="73">
        <f t="shared" ref="C48:C58" si="8">IFERROR(B48-B47,0)</f>
        <v>-8.1999999999999851E-3</v>
      </c>
      <c r="D48" s="18">
        <f t="shared" ref="D48:D58" si="9">IF(C48&lt;0,C48,"/")</f>
        <v>-8.1999999999999851E-3</v>
      </c>
      <c r="E48" s="18">
        <f ca="1">IF(表2_3671626293038912[[#This Row],[累计净值]]/MAX(INDIRECT("B21:B" &amp; ROW()))-1&lt;E47,表2_3671626293038912[[#This Row],[累计净值]]/MAX(INDIRECT("B21:B" &amp; ROW()))-1,E47)</f>
        <v>-1.5196662693682805E-2</v>
      </c>
      <c r="F48" s="62">
        <f>表2_3671626293038912[[#This Row],[累计净值]]</f>
        <v>0.99150000000000005</v>
      </c>
      <c r="G48" s="20">
        <f>表2_3671626293038912[[#This Row],[累计净值]]/$B$21-1</f>
        <v>-9.1935645048464298E-3</v>
      </c>
    </row>
    <row r="49" spans="1:7" x14ac:dyDescent="0.2">
      <c r="A49" s="15">
        <v>43840</v>
      </c>
      <c r="B49" s="16">
        <v>0.99490000000000001</v>
      </c>
      <c r="C49" s="73">
        <f t="shared" si="8"/>
        <v>3.3999999999999586E-3</v>
      </c>
      <c r="D49" s="18" t="str">
        <f t="shared" si="9"/>
        <v>/</v>
      </c>
      <c r="E49" s="18">
        <f ca="1">IF(表2_3671626293038912[[#This Row],[累计净值]]/MAX(INDIRECT("B21:B" &amp; ROW()))-1&lt;E48,表2_3671626293038912[[#This Row],[累计净值]]/MAX(INDIRECT("B21:B" &amp; ROW()))-1,E48)</f>
        <v>-1.5196662693682805E-2</v>
      </c>
      <c r="F49" s="62">
        <f>表2_3671626293038912[[#This Row],[累计净值]]</f>
        <v>0.99490000000000001</v>
      </c>
      <c r="G49" s="20">
        <f>表2_3671626293038912[[#This Row],[累计净值]]/$B$21-1</f>
        <v>-5.7959428400119473E-3</v>
      </c>
    </row>
    <row r="50" spans="1:7" x14ac:dyDescent="0.2">
      <c r="A50" s="15">
        <v>43843</v>
      </c>
      <c r="B50" s="16">
        <v>0.99470000000000003</v>
      </c>
      <c r="C50" s="73">
        <f t="shared" si="8"/>
        <v>-1.9999999999997797E-4</v>
      </c>
      <c r="D50" s="18">
        <f t="shared" si="9"/>
        <v>-1.9999999999997797E-4</v>
      </c>
      <c r="E50" s="18">
        <f ca="1">IF(表2_3671626293038912[[#This Row],[累计净值]]/MAX(INDIRECT("B21:B" &amp; ROW()))-1&lt;E49,表2_3671626293038912[[#This Row],[累计净值]]/MAX(INDIRECT("B21:B" &amp; ROW()))-1,E49)</f>
        <v>-1.5196662693682805E-2</v>
      </c>
      <c r="F50" s="62">
        <f>表2_3671626293038912[[#This Row],[累计净值]]</f>
        <v>0.99470000000000003</v>
      </c>
      <c r="G50" s="20">
        <f>表2_3671626293038912[[#This Row],[累计净值]]/$B$21-1</f>
        <v>-5.9958029379433286E-3</v>
      </c>
    </row>
    <row r="51" spans="1:7" x14ac:dyDescent="0.2">
      <c r="A51" s="15">
        <v>43844</v>
      </c>
      <c r="B51" s="16">
        <v>0.99439999999999995</v>
      </c>
      <c r="C51" s="73">
        <f t="shared" si="8"/>
        <v>-3.0000000000007798E-4</v>
      </c>
      <c r="D51" s="18">
        <f t="shared" si="9"/>
        <v>-3.0000000000007798E-4</v>
      </c>
      <c r="E51" s="18">
        <f ca="1">IF(表2_3671626293038912[[#This Row],[累计净值]]/MAX(INDIRECT("B21:B" &amp; ROW()))-1&lt;E50,表2_3671626293038912[[#This Row],[累计净值]]/MAX(INDIRECT("B21:B" &amp; ROW()))-1,E50)</f>
        <v>-1.5196662693682805E-2</v>
      </c>
      <c r="F51" s="62">
        <f>表2_3671626293038912[[#This Row],[累计净值]]</f>
        <v>0.99439999999999995</v>
      </c>
      <c r="G51" s="20">
        <f>表2_3671626293038912[[#This Row],[累计净值]]/$B$21-1</f>
        <v>-6.2955930848406227E-3</v>
      </c>
    </row>
    <row r="52" spans="1:7" x14ac:dyDescent="0.2">
      <c r="A52" s="15">
        <v>43845</v>
      </c>
      <c r="B52" s="16">
        <v>0.99519999999999997</v>
      </c>
      <c r="C52" s="73">
        <f t="shared" si="8"/>
        <v>8.0000000000002292E-4</v>
      </c>
      <c r="D52" s="18" t="str">
        <f t="shared" si="9"/>
        <v>/</v>
      </c>
      <c r="E52" s="18">
        <f ca="1">IF(表2_3671626293038912[[#This Row],[累计净值]]/MAX(INDIRECT("B21:B" &amp; ROW()))-1&lt;E51,表2_3671626293038912[[#This Row],[累计净值]]/MAX(INDIRECT("B21:B" &amp; ROW()))-1,E51)</f>
        <v>-1.5196662693682805E-2</v>
      </c>
      <c r="F52" s="62">
        <f>表2_3671626293038912[[#This Row],[累计净值]]</f>
        <v>0.99519999999999997</v>
      </c>
      <c r="G52" s="20">
        <f>表2_3671626293038912[[#This Row],[累计净值]]/$B$21-1</f>
        <v>-5.4961526931147642E-3</v>
      </c>
    </row>
    <row r="53" spans="1:7" x14ac:dyDescent="0.2">
      <c r="A53" s="15">
        <v>43846</v>
      </c>
      <c r="B53" s="16">
        <v>0.99419999999999997</v>
      </c>
      <c r="C53" s="73">
        <f t="shared" si="8"/>
        <v>-1.0000000000000009E-3</v>
      </c>
      <c r="D53" s="18">
        <f t="shared" si="9"/>
        <v>-1.0000000000000009E-3</v>
      </c>
      <c r="E53" s="18">
        <f ca="1">IF(表2_3671626293038912[[#This Row],[累计净值]]/MAX(INDIRECT("B21:B" &amp; ROW()))-1&lt;E52,表2_3671626293038912[[#This Row],[累计净值]]/MAX(INDIRECT("B21:B" &amp; ROW()))-1,E52)</f>
        <v>-1.5196662693682805E-2</v>
      </c>
      <c r="F53" s="62">
        <f>表2_3671626293038912[[#This Row],[累计净值]]</f>
        <v>0.99419999999999997</v>
      </c>
      <c r="G53" s="20">
        <f>表2_3671626293038912[[#This Row],[累计净值]]/$B$21-1</f>
        <v>-6.4954531827720041E-3</v>
      </c>
    </row>
    <row r="54" spans="1:7" x14ac:dyDescent="0.2">
      <c r="A54" s="15">
        <v>43847</v>
      </c>
      <c r="B54" s="16">
        <v>0.99429999999999996</v>
      </c>
      <c r="C54" s="73">
        <f t="shared" si="8"/>
        <v>9.9999999999988987E-5</v>
      </c>
      <c r="D54" s="18" t="str">
        <f t="shared" si="9"/>
        <v>/</v>
      </c>
      <c r="E54" s="18">
        <f ca="1">IF(表2_3671626293038912[[#This Row],[累计净值]]/MAX(INDIRECT("B21:B" &amp; ROW()))-1&lt;E53,表2_3671626293038912[[#This Row],[累计净值]]/MAX(INDIRECT("B21:B" &amp; ROW()))-1,E53)</f>
        <v>-1.5196662693682805E-2</v>
      </c>
      <c r="F54" s="62">
        <f>表2_3671626293038912[[#This Row],[累计净值]]</f>
        <v>0.99429999999999996</v>
      </c>
      <c r="G54" s="20">
        <f>表2_3671626293038912[[#This Row],[累计净值]]/$B$21-1</f>
        <v>-6.3955231338063134E-3</v>
      </c>
    </row>
    <row r="55" spans="1:7" x14ac:dyDescent="0.2">
      <c r="A55" s="15">
        <v>43850</v>
      </c>
      <c r="B55" s="16">
        <v>0.99429999999999996</v>
      </c>
      <c r="C55" s="73">
        <f t="shared" si="8"/>
        <v>0</v>
      </c>
      <c r="D55" s="18" t="str">
        <f t="shared" si="9"/>
        <v>/</v>
      </c>
      <c r="E55" s="18">
        <f ca="1">IF(表2_3671626293038912[[#This Row],[累计净值]]/MAX(INDIRECT("B21:B" &amp; ROW()))-1&lt;E54,表2_3671626293038912[[#This Row],[累计净值]]/MAX(INDIRECT("B21:B" &amp; ROW()))-1,E54)</f>
        <v>-1.5196662693682805E-2</v>
      </c>
      <c r="F55" s="62">
        <f>表2_3671626293038912[[#This Row],[累计净值]]</f>
        <v>0.99429999999999996</v>
      </c>
      <c r="G55" s="20">
        <f>表2_3671626293038912[[#This Row],[累计净值]]/$B$21-1</f>
        <v>-6.3955231338063134E-3</v>
      </c>
    </row>
    <row r="56" spans="1:7" x14ac:dyDescent="0.2">
      <c r="A56" s="15">
        <v>43851</v>
      </c>
      <c r="B56" s="16">
        <v>0.99429999999999996</v>
      </c>
      <c r="C56" s="73">
        <f t="shared" si="8"/>
        <v>0</v>
      </c>
      <c r="D56" s="18" t="str">
        <f t="shared" si="9"/>
        <v>/</v>
      </c>
      <c r="E56" s="18">
        <f ca="1">IF(表2_3671626293038912[[#This Row],[累计净值]]/MAX(INDIRECT("B21:B" &amp; ROW()))-1&lt;E55,表2_3671626293038912[[#This Row],[累计净值]]/MAX(INDIRECT("B21:B" &amp; ROW()))-1,E55)</f>
        <v>-1.5196662693682805E-2</v>
      </c>
      <c r="F56" s="62">
        <f>表2_3671626293038912[[#This Row],[累计净值]]</f>
        <v>0.99429999999999996</v>
      </c>
      <c r="G56" s="20">
        <f>表2_3671626293038912[[#This Row],[累计净值]]/$B$21-1</f>
        <v>-6.3955231338063134E-3</v>
      </c>
    </row>
    <row r="57" spans="1:7" x14ac:dyDescent="0.2">
      <c r="A57" s="15">
        <v>43852</v>
      </c>
      <c r="B57" s="16">
        <v>0.99429999999999996</v>
      </c>
      <c r="C57" s="73">
        <f t="shared" si="8"/>
        <v>0</v>
      </c>
      <c r="D57" s="18" t="str">
        <f t="shared" si="9"/>
        <v>/</v>
      </c>
      <c r="E57" s="18">
        <f ca="1">IF(表2_3671626293038912[[#This Row],[累计净值]]/MAX(INDIRECT("B21:B" &amp; ROW()))-1&lt;E56,表2_3671626293038912[[#This Row],[累计净值]]/MAX(INDIRECT("B21:B" &amp; ROW()))-1,E56)</f>
        <v>-1.5196662693682805E-2</v>
      </c>
      <c r="F57" s="62">
        <f>表2_3671626293038912[[#This Row],[累计净值]]</f>
        <v>0.99429999999999996</v>
      </c>
      <c r="G57" s="20">
        <f>表2_3671626293038912[[#This Row],[累计净值]]/$B$21-1</f>
        <v>-6.3955231338063134E-3</v>
      </c>
    </row>
    <row r="58" spans="1:7" x14ac:dyDescent="0.2">
      <c r="A58" s="15">
        <v>43853</v>
      </c>
      <c r="B58" s="16">
        <v>0.99429999999999996</v>
      </c>
      <c r="C58" s="73">
        <f t="shared" si="8"/>
        <v>0</v>
      </c>
      <c r="D58" s="18" t="str">
        <f t="shared" si="9"/>
        <v>/</v>
      </c>
      <c r="E58" s="18">
        <f ca="1">IF(表2_3671626293038912[[#This Row],[累计净值]]/MAX(INDIRECT("B21:B" &amp; ROW()))-1&lt;E57,表2_3671626293038912[[#This Row],[累计净值]]/MAX(INDIRECT("B21:B" &amp; ROW()))-1,E57)</f>
        <v>-1.5196662693682805E-2</v>
      </c>
      <c r="F58" s="62">
        <f>表2_3671626293038912[[#This Row],[累计净值]]</f>
        <v>0.99429999999999996</v>
      </c>
      <c r="G58" s="20">
        <f>表2_3671626293038912[[#This Row],[累计净值]]/$B$21-1</f>
        <v>-6.3955231338063134E-3</v>
      </c>
    </row>
    <row r="59" spans="1:7" x14ac:dyDescent="0.2">
      <c r="A59" s="15">
        <v>43864</v>
      </c>
      <c r="B59" s="16">
        <v>0.99450000000000005</v>
      </c>
      <c r="C59" s="73">
        <f t="shared" ref="C59:C64" si="10">IFERROR(B59-B58,0)</f>
        <v>2.00000000000089E-4</v>
      </c>
      <c r="D59" s="18" t="str">
        <f t="shared" ref="D59:D64" si="11">IF(C59&lt;0,C59,"/")</f>
        <v>/</v>
      </c>
      <c r="E59" s="18">
        <f ca="1">IF(表2_3671626293038912[[#This Row],[累计净值]]/MAX(INDIRECT("B21:B" &amp; ROW()))-1&lt;E58,表2_3671626293038912[[#This Row],[累计净值]]/MAX(INDIRECT("B21:B" &amp; ROW()))-1,E58)</f>
        <v>-1.5196662693682805E-2</v>
      </c>
      <c r="F59" s="62">
        <f>表2_3671626293038912[[#This Row],[累计净值]]</f>
        <v>0.99450000000000005</v>
      </c>
      <c r="G59" s="20">
        <f>表2_3671626293038912[[#This Row],[累计净值]]/$B$21-1</f>
        <v>-6.19566303587471E-3</v>
      </c>
    </row>
    <row r="60" spans="1:7" x14ac:dyDescent="0.2">
      <c r="A60" s="15">
        <v>43865</v>
      </c>
      <c r="B60" s="16">
        <v>0.99460000000000004</v>
      </c>
      <c r="C60" s="73">
        <f t="shared" si="10"/>
        <v>9.9999999999988987E-5</v>
      </c>
      <c r="D60" s="18" t="str">
        <f t="shared" si="11"/>
        <v>/</v>
      </c>
      <c r="E60" s="18">
        <f ca="1">IF(表2_3671626293038912[[#This Row],[累计净值]]/MAX(INDIRECT("B21:B" &amp; ROW()))-1&lt;E59,表2_3671626293038912[[#This Row],[累计净值]]/MAX(INDIRECT("B21:B" &amp; ROW()))-1,E59)</f>
        <v>-1.5196662693682805E-2</v>
      </c>
      <c r="F60" s="62">
        <f>表2_3671626293038912[[#This Row],[累计净值]]</f>
        <v>0.99460000000000004</v>
      </c>
      <c r="G60" s="20">
        <f>表2_3671626293038912[[#This Row],[累计净值]]/$B$21-1</f>
        <v>-6.0957329869090193E-3</v>
      </c>
    </row>
    <row r="61" spans="1:7" x14ac:dyDescent="0.2">
      <c r="A61" s="15">
        <v>43866</v>
      </c>
      <c r="B61" s="16">
        <v>0.99460000000000004</v>
      </c>
      <c r="C61" s="73">
        <f t="shared" si="10"/>
        <v>0</v>
      </c>
      <c r="D61" s="18" t="str">
        <f t="shared" si="11"/>
        <v>/</v>
      </c>
      <c r="E61" s="18">
        <f ca="1">IF(表2_3671626293038912[[#This Row],[累计净值]]/MAX(INDIRECT("B21:B" &amp; ROW()))-1&lt;E60,表2_3671626293038912[[#This Row],[累计净值]]/MAX(INDIRECT("B21:B" &amp; ROW()))-1,E60)</f>
        <v>-1.5196662693682805E-2</v>
      </c>
      <c r="F61" s="62">
        <f>表2_3671626293038912[[#This Row],[累计净值]]</f>
        <v>0.99460000000000004</v>
      </c>
      <c r="G61" s="20">
        <f>表2_3671626293038912[[#This Row],[累计净值]]/$B$21-1</f>
        <v>-6.0957329869090193E-3</v>
      </c>
    </row>
    <row r="62" spans="1:7" x14ac:dyDescent="0.2">
      <c r="A62" s="15">
        <v>43867</v>
      </c>
      <c r="B62" s="16">
        <v>0.99470000000000003</v>
      </c>
      <c r="C62" s="73">
        <f t="shared" si="10"/>
        <v>9.9999999999988987E-5</v>
      </c>
      <c r="D62" s="18" t="str">
        <f t="shared" si="11"/>
        <v>/</v>
      </c>
      <c r="E62" s="18">
        <f ca="1">IF(表2_3671626293038912[[#This Row],[累计净值]]/MAX(INDIRECT("B21:B" &amp; ROW()))-1&lt;E61,表2_3671626293038912[[#This Row],[累计净值]]/MAX(INDIRECT("B21:B" &amp; ROW()))-1,E61)</f>
        <v>-1.5196662693682805E-2</v>
      </c>
      <c r="F62" s="62">
        <f>表2_3671626293038912[[#This Row],[累计净值]]</f>
        <v>0.99470000000000003</v>
      </c>
      <c r="G62" s="20">
        <f>表2_3671626293038912[[#This Row],[累计净值]]/$B$21-1</f>
        <v>-5.9958029379433286E-3</v>
      </c>
    </row>
    <row r="63" spans="1:7" x14ac:dyDescent="0.2">
      <c r="A63" s="15">
        <v>43868</v>
      </c>
      <c r="B63" s="16">
        <v>0.99470000000000003</v>
      </c>
      <c r="C63" s="73">
        <f t="shared" si="10"/>
        <v>0</v>
      </c>
      <c r="D63" s="18" t="str">
        <f t="shared" si="11"/>
        <v>/</v>
      </c>
      <c r="E63" s="18">
        <f ca="1">IF(表2_3671626293038912[[#This Row],[累计净值]]/MAX(INDIRECT("B21:B" &amp; ROW()))-1&lt;E62,表2_3671626293038912[[#This Row],[累计净值]]/MAX(INDIRECT("B21:B" &amp; ROW()))-1,E62)</f>
        <v>-1.5196662693682805E-2</v>
      </c>
      <c r="F63" s="62">
        <f>表2_3671626293038912[[#This Row],[累计净值]]</f>
        <v>0.99470000000000003</v>
      </c>
      <c r="G63" s="20">
        <f>表2_3671626293038912[[#This Row],[累计净值]]/$B$21-1</f>
        <v>-5.9958029379433286E-3</v>
      </c>
    </row>
    <row r="64" spans="1:7" x14ac:dyDescent="0.2">
      <c r="A64" s="15">
        <v>43871</v>
      </c>
      <c r="B64" s="16">
        <v>0.99460000000000004</v>
      </c>
      <c r="C64" s="73">
        <f t="shared" si="10"/>
        <v>-9.9999999999988987E-5</v>
      </c>
      <c r="D64" s="18">
        <f t="shared" si="11"/>
        <v>-9.9999999999988987E-5</v>
      </c>
      <c r="E64" s="18">
        <f ca="1">IF(表2_3671626293038912[[#This Row],[累计净值]]/MAX(INDIRECT("B21:B" &amp; ROW()))-1&lt;E63,表2_3671626293038912[[#This Row],[累计净值]]/MAX(INDIRECT("B21:B" &amp; ROW()))-1,E63)</f>
        <v>-1.5196662693682805E-2</v>
      </c>
      <c r="F64" s="62">
        <f>表2_3671626293038912[[#This Row],[累计净值]]</f>
        <v>0.99460000000000004</v>
      </c>
      <c r="G64" s="20">
        <f>表2_3671626293038912[[#This Row],[累计净值]]/$B$21-1</f>
        <v>-6.0957329869090193E-3</v>
      </c>
    </row>
    <row r="65" spans="1:7" x14ac:dyDescent="0.2">
      <c r="A65" s="15">
        <v>43872</v>
      </c>
      <c r="B65" s="16">
        <v>0.99470000000000003</v>
      </c>
      <c r="C65" s="73">
        <f t="shared" ref="C65:C70" si="12">IFERROR(B65-B64,0)</f>
        <v>9.9999999999988987E-5</v>
      </c>
      <c r="D65" s="18" t="str">
        <f t="shared" ref="D65:D70" si="13">IF(C65&lt;0,C65,"/")</f>
        <v>/</v>
      </c>
      <c r="E65" s="18">
        <f ca="1">IF(表2_3671626293038912[[#This Row],[累计净值]]/MAX(INDIRECT("B21:B" &amp; ROW()))-1&lt;E64,表2_3671626293038912[[#This Row],[累计净值]]/MAX(INDIRECT("B21:B" &amp; ROW()))-1,E64)</f>
        <v>-1.5196662693682805E-2</v>
      </c>
      <c r="F65" s="62">
        <f>表2_3671626293038912[[#This Row],[累计净值]]</f>
        <v>0.99470000000000003</v>
      </c>
      <c r="G65" s="20">
        <f>表2_3671626293038912[[#This Row],[累计净值]]/$B$21-1</f>
        <v>-5.9958029379433286E-3</v>
      </c>
    </row>
    <row r="66" spans="1:7" x14ac:dyDescent="0.2">
      <c r="A66" s="15">
        <v>43873</v>
      </c>
      <c r="B66" s="16">
        <v>0.99480000000000002</v>
      </c>
      <c r="C66" s="73">
        <f t="shared" si="12"/>
        <v>9.9999999999988987E-5</v>
      </c>
      <c r="D66" s="18" t="str">
        <f t="shared" si="13"/>
        <v>/</v>
      </c>
      <c r="E66" s="18">
        <f ca="1">IF(表2_3671626293038912[[#This Row],[累计净值]]/MAX(INDIRECT("B21:B" &amp; ROW()))-1&lt;E65,表2_3671626293038912[[#This Row],[累计净值]]/MAX(INDIRECT("B21:B" &amp; ROW()))-1,E65)</f>
        <v>-1.5196662693682805E-2</v>
      </c>
      <c r="F66" s="62">
        <f>表2_3671626293038912[[#This Row],[累计净值]]</f>
        <v>0.99480000000000002</v>
      </c>
      <c r="G66" s="20">
        <f>表2_3671626293038912[[#This Row],[累计净值]]/$B$21-1</f>
        <v>-5.8958728889776379E-3</v>
      </c>
    </row>
    <row r="67" spans="1:7" x14ac:dyDescent="0.2">
      <c r="A67" s="15">
        <v>43874</v>
      </c>
      <c r="B67" s="16">
        <v>0.99419999999999997</v>
      </c>
      <c r="C67" s="73">
        <f t="shared" si="12"/>
        <v>-6.0000000000004494E-4</v>
      </c>
      <c r="D67" s="18">
        <f t="shared" si="13"/>
        <v>-6.0000000000004494E-4</v>
      </c>
      <c r="E67" s="18">
        <f ca="1">IF(表2_3671626293038912[[#This Row],[累计净值]]/MAX(INDIRECT("B21:B" &amp; ROW()))-1&lt;E66,表2_3671626293038912[[#This Row],[累计净值]]/MAX(INDIRECT("B21:B" &amp; ROW()))-1,E66)</f>
        <v>-1.5196662693682805E-2</v>
      </c>
      <c r="F67" s="62">
        <f>表2_3671626293038912[[#This Row],[累计净值]]</f>
        <v>0.99419999999999997</v>
      </c>
      <c r="G67" s="20">
        <f>表2_3671626293038912[[#This Row],[累计净值]]/$B$21-1</f>
        <v>-6.4954531827720041E-3</v>
      </c>
    </row>
    <row r="68" spans="1:7" x14ac:dyDescent="0.2">
      <c r="A68" s="15">
        <v>43875</v>
      </c>
      <c r="B68" s="16">
        <v>0.99309999999999998</v>
      </c>
      <c r="C68" s="73">
        <f t="shared" si="12"/>
        <v>-1.0999999999999899E-3</v>
      </c>
      <c r="D68" s="18">
        <f t="shared" si="13"/>
        <v>-1.0999999999999899E-3</v>
      </c>
      <c r="E68" s="18">
        <f ca="1">IF(表2_3671626293038912[[#This Row],[累计净值]]/MAX(INDIRECT("B21:B" &amp; ROW()))-1&lt;E67,表2_3671626293038912[[#This Row],[累计净值]]/MAX(INDIRECT("B21:B" &amp; ROW()))-1,E67)</f>
        <v>-1.5196662693682805E-2</v>
      </c>
      <c r="F68" s="62">
        <f>表2_3671626293038912[[#This Row],[累计净值]]</f>
        <v>0.99309999999999998</v>
      </c>
      <c r="G68" s="20">
        <f>表2_3671626293038912[[#This Row],[累计净值]]/$B$21-1</f>
        <v>-7.5946837213949348E-3</v>
      </c>
    </row>
    <row r="69" spans="1:7" x14ac:dyDescent="0.2">
      <c r="A69" s="15">
        <v>43878</v>
      </c>
      <c r="B69" s="16">
        <v>0.99280000000000002</v>
      </c>
      <c r="C69" s="73">
        <f t="shared" si="12"/>
        <v>-2.9999999999996696E-4</v>
      </c>
      <c r="D69" s="18">
        <f t="shared" si="13"/>
        <v>-2.9999999999996696E-4</v>
      </c>
      <c r="E69" s="18">
        <f ca="1">IF(表2_3671626293038912[[#This Row],[累计净值]]/MAX(INDIRECT("B21:B" &amp; ROW()))-1&lt;E68,表2_3671626293038912[[#This Row],[累计净值]]/MAX(INDIRECT("B21:B" &amp; ROW()))-1,E68)</f>
        <v>-1.5196662693682805E-2</v>
      </c>
      <c r="F69" s="62">
        <f>表2_3671626293038912[[#This Row],[累计净值]]</f>
        <v>0.99280000000000002</v>
      </c>
      <c r="G69" s="20">
        <f>表2_3671626293038912[[#This Row],[累计净值]]/$B$21-1</f>
        <v>-7.8944738682921178E-3</v>
      </c>
    </row>
    <row r="70" spans="1:7" x14ac:dyDescent="0.2">
      <c r="A70" s="15">
        <v>43879</v>
      </c>
      <c r="B70" s="16">
        <v>0.99080000000000001</v>
      </c>
      <c r="C70" s="73">
        <f t="shared" si="12"/>
        <v>-2.0000000000000018E-3</v>
      </c>
      <c r="D70" s="18">
        <f t="shared" si="13"/>
        <v>-2.0000000000000018E-3</v>
      </c>
      <c r="E70" s="18">
        <f ca="1">IF(表2_3671626293038912[[#This Row],[累计净值]]/MAX(INDIRECT("B21:B" &amp; ROW()))-1&lt;E69,表2_3671626293038912[[#This Row],[累计净值]]/MAX(INDIRECT("B21:B" &amp; ROW()))-1,E69)</f>
        <v>-1.5891934843067057E-2</v>
      </c>
      <c r="F70" s="62">
        <f>表2_3671626293038912[[#This Row],[累计净值]]</f>
        <v>0.99080000000000001</v>
      </c>
      <c r="G70" s="20">
        <f>表2_3671626293038912[[#This Row],[累计净值]]/$B$21-1</f>
        <v>-9.8930748476065977E-3</v>
      </c>
    </row>
    <row r="71" spans="1:7" x14ac:dyDescent="0.2">
      <c r="A71" s="15">
        <v>43880</v>
      </c>
      <c r="B71" s="16">
        <v>0.99080000000000001</v>
      </c>
      <c r="C71" s="73">
        <f t="shared" ref="C71:C77" si="14">IFERROR(B71-B70,0)</f>
        <v>0</v>
      </c>
      <c r="D71" s="18" t="str">
        <f t="shared" ref="D71:D77" si="15">IF(C71&lt;0,C71,"/")</f>
        <v>/</v>
      </c>
      <c r="E71" s="18">
        <f ca="1">IF(表2_3671626293038912[[#This Row],[累计净值]]/MAX(INDIRECT("B21:B" &amp; ROW()))-1&lt;E70,表2_3671626293038912[[#This Row],[累计净值]]/MAX(INDIRECT("B21:B" &amp; ROW()))-1,E70)</f>
        <v>-1.5891934843067057E-2</v>
      </c>
      <c r="F71" s="62">
        <f>表2_3671626293038912[[#This Row],[累计净值]]</f>
        <v>0.99080000000000001</v>
      </c>
      <c r="G71" s="20">
        <f>表2_3671626293038912[[#This Row],[累计净值]]/$B$21-1</f>
        <v>-9.8930748476065977E-3</v>
      </c>
    </row>
    <row r="72" spans="1:7" x14ac:dyDescent="0.2">
      <c r="A72" s="15">
        <v>43881</v>
      </c>
      <c r="B72" s="16">
        <v>0.98970000000000002</v>
      </c>
      <c r="C72" s="73">
        <f t="shared" si="14"/>
        <v>-1.0999999999999899E-3</v>
      </c>
      <c r="D72" s="18">
        <f t="shared" si="15"/>
        <v>-1.0999999999999899E-3</v>
      </c>
      <c r="E72" s="18">
        <f ca="1">IF(表2_3671626293038912[[#This Row],[累计净值]]/MAX(INDIRECT("B21:B" &amp; ROW()))-1&lt;E71,表2_3671626293038912[[#This Row],[累计净值]]/MAX(INDIRECT("B21:B" &amp; ROW()))-1,E71)</f>
        <v>-1.6984505363527913E-2</v>
      </c>
      <c r="F72" s="62">
        <f>表2_3671626293038912[[#This Row],[累计净值]]</f>
        <v>0.98970000000000002</v>
      </c>
      <c r="G72" s="20">
        <f>表2_3671626293038912[[#This Row],[累计净值]]/$B$21-1</f>
        <v>-1.0992305386229528E-2</v>
      </c>
    </row>
    <row r="73" spans="1:7" x14ac:dyDescent="0.2">
      <c r="A73" s="15">
        <v>43882</v>
      </c>
      <c r="B73" s="16">
        <v>0.99150000000000005</v>
      </c>
      <c r="C73" s="73">
        <f t="shared" si="14"/>
        <v>1.8000000000000238E-3</v>
      </c>
      <c r="D73" s="18" t="str">
        <f t="shared" si="15"/>
        <v>/</v>
      </c>
      <c r="E73" s="18">
        <f ca="1">IF(表2_3671626293038912[[#This Row],[累计净值]]/MAX(INDIRECT("B21:B" &amp; ROW()))-1&lt;E72,表2_3671626293038912[[#This Row],[累计净值]]/MAX(INDIRECT("B21:B" &amp; ROW()))-1,E72)</f>
        <v>-1.6984505363527913E-2</v>
      </c>
      <c r="F73" s="62">
        <f>表2_3671626293038912[[#This Row],[累计净值]]</f>
        <v>0.99150000000000005</v>
      </c>
      <c r="G73" s="20">
        <f>表2_3671626293038912[[#This Row],[累计净值]]/$B$21-1</f>
        <v>-9.1935645048464298E-3</v>
      </c>
    </row>
    <row r="74" spans="1:7" x14ac:dyDescent="0.2">
      <c r="A74" s="15">
        <v>43885</v>
      </c>
      <c r="B74" s="16">
        <v>0.99209999999999998</v>
      </c>
      <c r="C74" s="73">
        <f t="shared" si="14"/>
        <v>5.9999999999993392E-4</v>
      </c>
      <c r="D74" s="18" t="str">
        <f t="shared" si="15"/>
        <v>/</v>
      </c>
      <c r="E74" s="18">
        <f ca="1">IF(表2_3671626293038912[[#This Row],[累计净值]]/MAX(INDIRECT("B21:B" &amp; ROW()))-1&lt;E73,表2_3671626293038912[[#This Row],[累计净值]]/MAX(INDIRECT("B21:B" &amp; ROW()))-1,E73)</f>
        <v>-1.6984505363527913E-2</v>
      </c>
      <c r="F74" s="62">
        <f>表2_3671626293038912[[#This Row],[累计净值]]</f>
        <v>0.99209999999999998</v>
      </c>
      <c r="G74" s="20">
        <f>表2_3671626293038912[[#This Row],[累计净值]]/$B$21-1</f>
        <v>-8.5939842110521747E-3</v>
      </c>
    </row>
    <row r="75" spans="1:7" x14ac:dyDescent="0.2">
      <c r="A75" s="15">
        <v>43886</v>
      </c>
      <c r="B75" s="16">
        <v>0.98950000000000005</v>
      </c>
      <c r="C75" s="73">
        <f t="shared" si="14"/>
        <v>-2.5999999999999357E-3</v>
      </c>
      <c r="D75" s="18">
        <f t="shared" si="15"/>
        <v>-2.5999999999999357E-3</v>
      </c>
      <c r="E75" s="18">
        <f ca="1">IF(表2_3671626293038912[[#This Row],[累计净值]]/MAX(INDIRECT("B21:B" &amp; ROW()))-1&lt;E74,表2_3671626293038912[[#This Row],[累计净值]]/MAX(INDIRECT("B21:B" &amp; ROW()))-1,E74)</f>
        <v>-1.7183154549066271E-2</v>
      </c>
      <c r="F75" s="62">
        <f>表2_3671626293038912[[#This Row],[累计净值]]</f>
        <v>0.98950000000000005</v>
      </c>
      <c r="G75" s="20">
        <f>表2_3671626293038912[[#This Row],[累计净值]]/$B$21-1</f>
        <v>-1.119216548416091E-2</v>
      </c>
    </row>
    <row r="76" spans="1:7" x14ac:dyDescent="0.2">
      <c r="A76" s="15">
        <v>43887</v>
      </c>
      <c r="B76" s="16">
        <v>0.98960000000000004</v>
      </c>
      <c r="C76" s="73">
        <f t="shared" si="14"/>
        <v>9.9999999999988987E-5</v>
      </c>
      <c r="D76" s="18" t="str">
        <f t="shared" si="15"/>
        <v>/</v>
      </c>
      <c r="E76" s="18">
        <f ca="1">IF(表2_3671626293038912[[#This Row],[累计净值]]/MAX(INDIRECT("B21:B" &amp; ROW()))-1&lt;E75,表2_3671626293038912[[#This Row],[累计净值]]/MAX(INDIRECT("B21:B" &amp; ROW()))-1,E75)</f>
        <v>-1.7183154549066271E-2</v>
      </c>
      <c r="F76" s="62">
        <f>表2_3671626293038912[[#This Row],[累计净值]]</f>
        <v>0.98960000000000004</v>
      </c>
      <c r="G76" s="20">
        <f>表2_3671626293038912[[#This Row],[累计净值]]/$B$21-1</f>
        <v>-1.1092235435195219E-2</v>
      </c>
    </row>
    <row r="77" spans="1:7" x14ac:dyDescent="0.2">
      <c r="A77" s="15">
        <v>43888</v>
      </c>
      <c r="B77" s="16">
        <v>0.99439999999999995</v>
      </c>
      <c r="C77" s="73">
        <f t="shared" si="14"/>
        <v>4.7999999999999154E-3</v>
      </c>
      <c r="D77" s="18" t="str">
        <f t="shared" si="15"/>
        <v>/</v>
      </c>
      <c r="E77" s="18">
        <f ca="1">IF(表2_3671626293038912[[#This Row],[累计净值]]/MAX(INDIRECT("B21:B" &amp; ROW()))-1&lt;E76,表2_3671626293038912[[#This Row],[累计净值]]/MAX(INDIRECT("B21:B" &amp; ROW()))-1,E76)</f>
        <v>-1.7183154549066271E-2</v>
      </c>
      <c r="F77" s="62">
        <f>表2_3671626293038912[[#This Row],[累计净值]]</f>
        <v>0.99439999999999995</v>
      </c>
      <c r="G77" s="20">
        <f>表2_3671626293038912[[#This Row],[累计净值]]/$B$21-1</f>
        <v>-6.2955930848406227E-3</v>
      </c>
    </row>
    <row r="78" spans="1:7" x14ac:dyDescent="0.2">
      <c r="A78" s="15">
        <v>43889</v>
      </c>
      <c r="B78" s="16">
        <v>1.0056</v>
      </c>
      <c r="C78" s="73">
        <f t="shared" ref="C78:C83" si="16">IFERROR(B78-B77,0)</f>
        <v>1.1200000000000099E-2</v>
      </c>
      <c r="D78" s="18" t="str">
        <f t="shared" ref="D78:D83" si="17">IF(C78&lt;0,C78,"/")</f>
        <v>/</v>
      </c>
      <c r="E78" s="18">
        <f ca="1">IF(表2_3671626293038912[[#This Row],[累计净值]]/MAX(INDIRECT("B21:B" &amp; ROW()))-1&lt;E77,表2_3671626293038912[[#This Row],[累计净值]]/MAX(INDIRECT("B21:B" &amp; ROW()))-1,E77)</f>
        <v>-1.7183154549066271E-2</v>
      </c>
      <c r="F78" s="62">
        <f>表2_3671626293038912[[#This Row],[累计净值]]</f>
        <v>1.0056</v>
      </c>
      <c r="G78" s="20">
        <f>表2_3671626293038912[[#This Row],[累计净值]]/$B$21-1</f>
        <v>4.8965723993206201E-3</v>
      </c>
    </row>
    <row r="79" spans="1:7" x14ac:dyDescent="0.2">
      <c r="A79" s="15">
        <v>43892</v>
      </c>
      <c r="B79" s="16">
        <v>1.0002</v>
      </c>
      <c r="C79" s="73">
        <f t="shared" si="16"/>
        <v>-5.4000000000000714E-3</v>
      </c>
      <c r="D79" s="18">
        <f t="shared" si="17"/>
        <v>-5.4000000000000714E-3</v>
      </c>
      <c r="E79" s="18">
        <f ca="1">IF(表2_3671626293038912[[#This Row],[累计净值]]/MAX(INDIRECT("B21:B" &amp; ROW()))-1&lt;E78,表2_3671626293038912[[#This Row],[累计净值]]/MAX(INDIRECT("B21:B" &amp; ROW()))-1,E78)</f>
        <v>-1.7183154549066271E-2</v>
      </c>
      <c r="F79" s="62">
        <f>表2_3671626293038912[[#This Row],[累计净值]]</f>
        <v>1.0002</v>
      </c>
      <c r="G79" s="20">
        <f>表2_3671626293038912[[#This Row],[累计净值]]/$B$21-1</f>
        <v>-4.9965024482856446E-4</v>
      </c>
    </row>
    <row r="80" spans="1:7" x14ac:dyDescent="0.2">
      <c r="A80" s="15">
        <v>43893</v>
      </c>
      <c r="B80" s="16">
        <v>0.99109999999999998</v>
      </c>
      <c r="C80" s="73">
        <f t="shared" si="16"/>
        <v>-9.099999999999997E-3</v>
      </c>
      <c r="D80" s="18">
        <f t="shared" si="17"/>
        <v>-9.099999999999997E-3</v>
      </c>
      <c r="E80" s="18">
        <f ca="1">IF(表2_3671626293038912[[#This Row],[累计净值]]/MAX(INDIRECT("B21:B" &amp; ROW()))-1&lt;E79,表2_3671626293038912[[#This Row],[累计净值]]/MAX(INDIRECT("B21:B" &amp; ROW()))-1,E79)</f>
        <v>-1.7183154549066271E-2</v>
      </c>
      <c r="F80" s="62">
        <f>表2_3671626293038912[[#This Row],[累计净值]]</f>
        <v>0.99109999999999998</v>
      </c>
      <c r="G80" s="20">
        <f>表2_3671626293038912[[#This Row],[累计净值]]/$B$21-1</f>
        <v>-9.5932847007094146E-3</v>
      </c>
    </row>
    <row r="81" spans="1:7" x14ac:dyDescent="0.2">
      <c r="A81" s="15">
        <v>43894</v>
      </c>
      <c r="B81" s="16">
        <v>0.99099999999999999</v>
      </c>
      <c r="C81" s="73">
        <f t="shared" si="16"/>
        <v>-9.9999999999988987E-5</v>
      </c>
      <c r="D81" s="18">
        <f t="shared" si="17"/>
        <v>-9.9999999999988987E-5</v>
      </c>
      <c r="E81" s="18">
        <f ca="1">IF(表2_3671626293038912[[#This Row],[累计净值]]/MAX(INDIRECT("B21:B" &amp; ROW()))-1&lt;E80,表2_3671626293038912[[#This Row],[累计净值]]/MAX(INDIRECT("B21:B" &amp; ROW()))-1,E80)</f>
        <v>-1.7183154549066271E-2</v>
      </c>
      <c r="F81" s="62">
        <f>表2_3671626293038912[[#This Row],[累计净值]]</f>
        <v>0.99099999999999999</v>
      </c>
      <c r="G81" s="20">
        <f>表2_3671626293038912[[#This Row],[累计净值]]/$B$21-1</f>
        <v>-9.6932147496751053E-3</v>
      </c>
    </row>
    <row r="82" spans="1:7" x14ac:dyDescent="0.2">
      <c r="A82" s="15">
        <v>43895</v>
      </c>
      <c r="B82" s="16">
        <v>0.99099999999999999</v>
      </c>
      <c r="C82" s="73">
        <f t="shared" si="16"/>
        <v>0</v>
      </c>
      <c r="D82" s="18" t="str">
        <f t="shared" si="17"/>
        <v>/</v>
      </c>
      <c r="E82" s="18">
        <f ca="1">IF(表2_3671626293038912[[#This Row],[累计净值]]/MAX(INDIRECT("B21:B" &amp; ROW()))-1&lt;E81,表2_3671626293038912[[#This Row],[累计净值]]/MAX(INDIRECT("B21:B" &amp; ROW()))-1,E81)</f>
        <v>-1.7183154549066271E-2</v>
      </c>
      <c r="F82" s="62">
        <f>表2_3671626293038912[[#This Row],[累计净值]]</f>
        <v>0.99099999999999999</v>
      </c>
      <c r="G82" s="20">
        <f>表2_3671626293038912[[#This Row],[累计净值]]/$B$21-1</f>
        <v>-9.6932147496751053E-3</v>
      </c>
    </row>
    <row r="83" spans="1:7" x14ac:dyDescent="0.2">
      <c r="A83" s="15">
        <v>43896</v>
      </c>
      <c r="B83" s="16">
        <v>0.99019999999999997</v>
      </c>
      <c r="C83" s="73">
        <f t="shared" si="16"/>
        <v>-8.0000000000002292E-4</v>
      </c>
      <c r="D83" s="18">
        <f t="shared" si="17"/>
        <v>-8.0000000000002292E-4</v>
      </c>
      <c r="E83" s="18">
        <f ca="1">IF(表2_3671626293038912[[#This Row],[累计净值]]/MAX(INDIRECT("B21:B" &amp; ROW()))-1&lt;E82,表2_3671626293038912[[#This Row],[累计净值]]/MAX(INDIRECT("B21:B" &amp; ROW()))-1,E82)</f>
        <v>-1.7183154549066271E-2</v>
      </c>
      <c r="F83" s="62">
        <f>表2_3671626293038912[[#This Row],[累计净值]]</f>
        <v>0.99019999999999997</v>
      </c>
      <c r="G83" s="20">
        <f>表2_3671626293038912[[#This Row],[累计净值]]/$B$21-1</f>
        <v>-1.0492655141400964E-2</v>
      </c>
    </row>
    <row r="84" spans="1:7" x14ac:dyDescent="0.2">
      <c r="A84" s="15">
        <v>43899</v>
      </c>
      <c r="B84" s="16">
        <v>0.98839999999999995</v>
      </c>
      <c r="C84" s="73">
        <f t="shared" ref="C84:C89" si="18">IFERROR(B84-B83,0)</f>
        <v>-1.8000000000000238E-3</v>
      </c>
      <c r="D84" s="18">
        <f t="shared" ref="D84:D89" si="19">IF(C84&lt;0,C84,"/")</f>
        <v>-1.8000000000000238E-3</v>
      </c>
      <c r="E84" s="18">
        <f ca="1">IF(表2_3671626293038912[[#This Row],[累计净值]]/MAX(INDIRECT("B21:B" &amp; ROW()))-1&lt;E83,表2_3671626293038912[[#This Row],[累计净值]]/MAX(INDIRECT("B21:B" &amp; ROW()))-1,E83)</f>
        <v>-1.8275725069527238E-2</v>
      </c>
      <c r="F84" s="62">
        <f>表2_3671626293038912[[#This Row],[累计净值]]</f>
        <v>0.98839999999999995</v>
      </c>
      <c r="G84" s="20">
        <f>表2_3671626293038912[[#This Row],[累计净值]]/$B$21-1</f>
        <v>-1.2291396022784062E-2</v>
      </c>
    </row>
    <row r="85" spans="1:7" x14ac:dyDescent="0.2">
      <c r="A85" s="15">
        <v>43900</v>
      </c>
      <c r="B85" s="16">
        <v>0.9829</v>
      </c>
      <c r="C85" s="73">
        <f t="shared" si="18"/>
        <v>-5.4999999999999494E-3</v>
      </c>
      <c r="D85" s="18">
        <f t="shared" si="19"/>
        <v>-5.4999999999999494E-3</v>
      </c>
      <c r="E85" s="18">
        <f ca="1">IF(表2_3671626293038912[[#This Row],[累计净值]]/MAX(INDIRECT("B21:B" &amp; ROW()))-1&lt;E84,表2_3671626293038912[[#This Row],[累计净值]]/MAX(INDIRECT("B21:B" &amp; ROW()))-1,E84)</f>
        <v>-2.3738577671831518E-2</v>
      </c>
      <c r="F85" s="62">
        <f>表2_3671626293038912[[#This Row],[累计净值]]</f>
        <v>0.9829</v>
      </c>
      <c r="G85" s="20">
        <f>表2_3671626293038912[[#This Row],[累计净值]]/$B$21-1</f>
        <v>-1.7787548715898827E-2</v>
      </c>
    </row>
    <row r="86" spans="1:7" x14ac:dyDescent="0.2">
      <c r="A86" s="15">
        <v>43901</v>
      </c>
      <c r="B86" s="16">
        <v>0.9829</v>
      </c>
      <c r="C86" s="73">
        <f t="shared" si="18"/>
        <v>0</v>
      </c>
      <c r="D86" s="18" t="str">
        <f t="shared" si="19"/>
        <v>/</v>
      </c>
      <c r="E86" s="18">
        <f ca="1">IF(表2_3671626293038912[[#This Row],[累计净值]]/MAX(INDIRECT("B21:B" &amp; ROW()))-1&lt;E85,表2_3671626293038912[[#This Row],[累计净值]]/MAX(INDIRECT("B21:B" &amp; ROW()))-1,E85)</f>
        <v>-2.3738577671831518E-2</v>
      </c>
      <c r="F86" s="62">
        <f>表2_3671626293038912[[#This Row],[累计净值]]</f>
        <v>0.9829</v>
      </c>
      <c r="G86" s="20">
        <f>表2_3671626293038912[[#This Row],[累计净值]]/$B$21-1</f>
        <v>-1.7787548715898827E-2</v>
      </c>
    </row>
    <row r="87" spans="1:7" x14ac:dyDescent="0.2">
      <c r="A87" s="15">
        <v>43902</v>
      </c>
      <c r="B87" s="16">
        <v>0.98699999999999999</v>
      </c>
      <c r="C87" s="73">
        <f t="shared" si="18"/>
        <v>4.0999999999999925E-3</v>
      </c>
      <c r="D87" s="18" t="str">
        <f t="shared" si="19"/>
        <v>/</v>
      </c>
      <c r="E87" s="18">
        <f ca="1">IF(表2_3671626293038912[[#This Row],[累计净值]]/MAX(INDIRECT("B21:B" &amp; ROW()))-1&lt;E86,表2_3671626293038912[[#This Row],[累计净值]]/MAX(INDIRECT("B21:B" &amp; ROW()))-1,E86)</f>
        <v>-2.3738577671831518E-2</v>
      </c>
      <c r="F87" s="62">
        <f>表2_3671626293038912[[#This Row],[累计净值]]</f>
        <v>0.98699999999999999</v>
      </c>
      <c r="G87" s="20">
        <f>表2_3671626293038912[[#This Row],[累计净值]]/$B$21-1</f>
        <v>-1.3690416708304176E-2</v>
      </c>
    </row>
    <row r="88" spans="1:7" x14ac:dyDescent="0.2">
      <c r="A88" s="15">
        <v>43903</v>
      </c>
      <c r="B88" s="16">
        <v>0.98640000000000005</v>
      </c>
      <c r="C88" s="73">
        <f t="shared" si="18"/>
        <v>-5.9999999999993392E-4</v>
      </c>
      <c r="D88" s="18">
        <f t="shared" si="19"/>
        <v>-5.9999999999993392E-4</v>
      </c>
      <c r="E88" s="18">
        <f ca="1">IF(表2_3671626293038912[[#This Row],[累计净值]]/MAX(INDIRECT("B21:B" &amp; ROW()))-1&lt;E87,表2_3671626293038912[[#This Row],[累计净值]]/MAX(INDIRECT("B21:B" &amp; ROW()))-1,E87)</f>
        <v>-2.3738577671831518E-2</v>
      </c>
      <c r="F88" s="62">
        <f>表2_3671626293038912[[#This Row],[累计净值]]</f>
        <v>0.98640000000000005</v>
      </c>
      <c r="G88" s="20">
        <f>表2_3671626293038912[[#This Row],[累计净值]]/$B$21-1</f>
        <v>-1.4289997002098431E-2</v>
      </c>
    </row>
    <row r="89" spans="1:7" x14ac:dyDescent="0.2">
      <c r="A89" s="15">
        <v>43906</v>
      </c>
      <c r="B89" s="16">
        <v>0.99039999999999995</v>
      </c>
      <c r="C89" s="73">
        <f t="shared" si="18"/>
        <v>3.9999999999998925E-3</v>
      </c>
      <c r="D89" s="18" t="str">
        <f t="shared" si="19"/>
        <v>/</v>
      </c>
      <c r="E89" s="18">
        <f ca="1">IF(表2_3671626293038912[[#This Row],[累计净值]]/MAX(INDIRECT("B21:B" &amp; ROW()))-1&lt;E88,表2_3671626293038912[[#This Row],[累计净值]]/MAX(INDIRECT("B21:B" &amp; ROW()))-1,E88)</f>
        <v>-2.3738577671831518E-2</v>
      </c>
      <c r="F89" s="62">
        <f>表2_3671626293038912[[#This Row],[累计净值]]</f>
        <v>0.99039999999999995</v>
      </c>
      <c r="G89" s="20">
        <f>表2_3671626293038912[[#This Row],[累计净值]]/$B$21-1</f>
        <v>-1.0292795043469583E-2</v>
      </c>
    </row>
    <row r="90" spans="1:7" x14ac:dyDescent="0.2">
      <c r="A90" s="15">
        <v>43907</v>
      </c>
      <c r="B90" s="16">
        <v>0.99039999999999995</v>
      </c>
      <c r="C90" s="73">
        <f t="shared" ref="C90:C95" si="20">IFERROR(B90-B89,0)</f>
        <v>0</v>
      </c>
      <c r="D90" s="18" t="str">
        <f t="shared" ref="D90:D95" si="21">IF(C90&lt;0,C90,"/")</f>
        <v>/</v>
      </c>
      <c r="E90" s="18">
        <f ca="1">IF(表2_3671626293038912[[#This Row],[累计净值]]/MAX(INDIRECT("B21:B" &amp; ROW()))-1&lt;E89,表2_3671626293038912[[#This Row],[累计净值]]/MAX(INDIRECT("B21:B" &amp; ROW()))-1,E89)</f>
        <v>-2.3738577671831518E-2</v>
      </c>
      <c r="F90" s="62">
        <f>表2_3671626293038912[[#This Row],[累计净值]]</f>
        <v>0.99039999999999995</v>
      </c>
      <c r="G90" s="20">
        <f>表2_3671626293038912[[#This Row],[累计净值]]/$B$21-1</f>
        <v>-1.0292795043469583E-2</v>
      </c>
    </row>
    <row r="91" spans="1:7" x14ac:dyDescent="0.2">
      <c r="A91" s="15">
        <v>43908</v>
      </c>
      <c r="B91" s="16">
        <v>0.99009999999999998</v>
      </c>
      <c r="C91" s="73">
        <f t="shared" si="20"/>
        <v>-2.9999999999996696E-4</v>
      </c>
      <c r="D91" s="18">
        <f t="shared" si="21"/>
        <v>-2.9999999999996696E-4</v>
      </c>
      <c r="E91" s="18">
        <f ca="1">IF(表2_3671626293038912[[#This Row],[累计净值]]/MAX(INDIRECT("B21:B" &amp; ROW()))-1&lt;E90,表2_3671626293038912[[#This Row],[累计净值]]/MAX(INDIRECT("B21:B" &amp; ROW()))-1,E90)</f>
        <v>-2.3738577671831518E-2</v>
      </c>
      <c r="F91" s="62">
        <f>表2_3671626293038912[[#This Row],[累计净值]]</f>
        <v>0.99009999999999998</v>
      </c>
      <c r="G91" s="20">
        <f>表2_3671626293038912[[#This Row],[累计净值]]/$B$21-1</f>
        <v>-1.0592585190366655E-2</v>
      </c>
    </row>
    <row r="92" spans="1:7" x14ac:dyDescent="0.2">
      <c r="A92" s="15">
        <v>43909</v>
      </c>
      <c r="B92" s="16">
        <v>0.98670000000000002</v>
      </c>
      <c r="C92" s="73">
        <f t="shared" si="20"/>
        <v>-3.3999999999999586E-3</v>
      </c>
      <c r="D92" s="18">
        <f t="shared" si="21"/>
        <v>-3.3999999999999586E-3</v>
      </c>
      <c r="E92" s="18">
        <f ca="1">IF(表2_3671626293038912[[#This Row],[累计净值]]/MAX(INDIRECT("B21:B" &amp; ROW()))-1&lt;E91,表2_3671626293038912[[#This Row],[累计净值]]/MAX(INDIRECT("B21:B" &amp; ROW()))-1,E91)</f>
        <v>-2.3738577671831518E-2</v>
      </c>
      <c r="F92" s="62">
        <f>表2_3671626293038912[[#This Row],[累计净值]]</f>
        <v>0.98670000000000002</v>
      </c>
      <c r="G92" s="20">
        <f>表2_3671626293038912[[#This Row],[累计净值]]/$B$21-1</f>
        <v>-1.3990206855201248E-2</v>
      </c>
    </row>
    <row r="93" spans="1:7" x14ac:dyDescent="0.2">
      <c r="A93" s="15">
        <v>43910</v>
      </c>
      <c r="B93" s="16">
        <v>0.98650000000000004</v>
      </c>
      <c r="C93" s="73">
        <f t="shared" si="20"/>
        <v>-1.9999999999997797E-4</v>
      </c>
      <c r="D93" s="18">
        <f t="shared" si="21"/>
        <v>-1.9999999999997797E-4</v>
      </c>
      <c r="E93" s="18">
        <f ca="1">IF(表2_3671626293038912[[#This Row],[累计净值]]/MAX(INDIRECT("B21:B" &amp; ROW()))-1&lt;E92,表2_3671626293038912[[#This Row],[累计净值]]/MAX(INDIRECT("B21:B" &amp; ROW()))-1,E92)</f>
        <v>-2.3738577671831518E-2</v>
      </c>
      <c r="F93" s="62">
        <f>表2_3671626293038912[[#This Row],[累计净值]]</f>
        <v>0.98650000000000004</v>
      </c>
      <c r="G93" s="20">
        <f>表2_3671626293038912[[#This Row],[累计净值]]/$B$21-1</f>
        <v>-1.4190066953132741E-2</v>
      </c>
    </row>
    <row r="94" spans="1:7" x14ac:dyDescent="0.2">
      <c r="A94" s="15">
        <v>43913</v>
      </c>
      <c r="B94" s="16">
        <v>0.98740000000000006</v>
      </c>
      <c r="C94" s="73">
        <f t="shared" si="20"/>
        <v>9.000000000000119E-4</v>
      </c>
      <c r="D94" s="18" t="str">
        <f t="shared" si="21"/>
        <v>/</v>
      </c>
      <c r="E94" s="18">
        <f ca="1">IF(表2_3671626293038912[[#This Row],[累计净值]]/MAX(INDIRECT("B21:B" &amp; ROW()))-1&lt;E93,表2_3671626293038912[[#This Row],[累计净值]]/MAX(INDIRECT("B21:B" &amp; ROW()))-1,E93)</f>
        <v>-2.3738577671831518E-2</v>
      </c>
      <c r="F94" s="62">
        <f>表2_3671626293038912[[#This Row],[累计净值]]</f>
        <v>0.98740000000000006</v>
      </c>
      <c r="G94" s="20">
        <f>表2_3671626293038912[[#This Row],[累计净值]]/$B$21-1</f>
        <v>-1.3290696512441191E-2</v>
      </c>
    </row>
    <row r="95" spans="1:7" x14ac:dyDescent="0.2">
      <c r="A95" s="15">
        <v>43914</v>
      </c>
      <c r="B95" s="16">
        <v>0.9899</v>
      </c>
      <c r="C95" s="73">
        <f t="shared" si="20"/>
        <v>2.4999999999999467E-3</v>
      </c>
      <c r="D95" s="18" t="str">
        <f t="shared" si="21"/>
        <v>/</v>
      </c>
      <c r="E95" s="18">
        <f ca="1">IF(表2_3671626293038912[[#This Row],[累计净值]]/MAX(INDIRECT("B21:B" &amp; ROW()))-1&lt;E94,表2_3671626293038912[[#This Row],[累计净值]]/MAX(INDIRECT("B21:B" &amp; ROW()))-1,E94)</f>
        <v>-2.3738577671831518E-2</v>
      </c>
      <c r="F95" s="62">
        <f>表2_3671626293038912[[#This Row],[累计净值]]</f>
        <v>0.9899</v>
      </c>
      <c r="G95" s="20">
        <f>表2_3671626293038912[[#This Row],[累计净值]]/$B$21-1</f>
        <v>-1.0792445288298147E-2</v>
      </c>
    </row>
    <row r="96" spans="1:7" x14ac:dyDescent="0.2">
      <c r="A96" s="15">
        <v>43915</v>
      </c>
      <c r="B96" s="16">
        <v>0.98980000000000001</v>
      </c>
      <c r="C96" s="73">
        <f t="shared" ref="C96:C101" si="22">IFERROR(B96-B95,0)</f>
        <v>-9.9999999999988987E-5</v>
      </c>
      <c r="D96" s="18">
        <f t="shared" ref="D96:D101" si="23">IF(C96&lt;0,C96,"/")</f>
        <v>-9.9999999999988987E-5</v>
      </c>
      <c r="E96" s="18">
        <f ca="1">IF(表2_3671626293038912[[#This Row],[累计净值]]/MAX(INDIRECT("B21:B" &amp; ROW()))-1&lt;E95,表2_3671626293038912[[#This Row],[累计净值]]/MAX(INDIRECT("B21:B" &amp; ROW()))-1,E95)</f>
        <v>-2.3738577671831518E-2</v>
      </c>
      <c r="F96" s="62">
        <f>表2_3671626293038912[[#This Row],[累计净值]]</f>
        <v>0.98980000000000001</v>
      </c>
      <c r="G96" s="20">
        <f>表2_3671626293038912[[#This Row],[累计净值]]/$B$21-1</f>
        <v>-1.0892375337263838E-2</v>
      </c>
    </row>
    <row r="97" spans="1:7" x14ac:dyDescent="0.2">
      <c r="A97" s="15">
        <v>43916</v>
      </c>
      <c r="B97" s="16">
        <v>0.99060000000000004</v>
      </c>
      <c r="C97" s="73">
        <f t="shared" si="22"/>
        <v>8.0000000000002292E-4</v>
      </c>
      <c r="D97" s="18" t="str">
        <f t="shared" si="23"/>
        <v>/</v>
      </c>
      <c r="E97" s="18">
        <f ca="1">IF(表2_3671626293038912[[#This Row],[累计净值]]/MAX(INDIRECT("B21:B" &amp; ROW()))-1&lt;E96,表2_3671626293038912[[#This Row],[累计净值]]/MAX(INDIRECT("B21:B" &amp; ROW()))-1,E96)</f>
        <v>-2.3738577671831518E-2</v>
      </c>
      <c r="F97" s="62">
        <f>表2_3671626293038912[[#This Row],[累计净值]]</f>
        <v>0.99060000000000004</v>
      </c>
      <c r="G97" s="20">
        <f>表2_3671626293038912[[#This Row],[累计净值]]/$B$21-1</f>
        <v>-1.0092934945537979E-2</v>
      </c>
    </row>
    <row r="98" spans="1:7" x14ac:dyDescent="0.2">
      <c r="A98" s="15">
        <v>43917</v>
      </c>
      <c r="B98" s="16">
        <v>0.99150000000000005</v>
      </c>
      <c r="C98" s="73">
        <f t="shared" si="22"/>
        <v>9.000000000000119E-4</v>
      </c>
      <c r="D98" s="18" t="str">
        <f t="shared" si="23"/>
        <v>/</v>
      </c>
      <c r="E98" s="18">
        <f ca="1">IF(表2_3671626293038912[[#This Row],[累计净值]]/MAX(INDIRECT("B21:B" &amp; ROW()))-1&lt;E97,表2_3671626293038912[[#This Row],[累计净值]]/MAX(INDIRECT("B21:B" &amp; ROW()))-1,E97)</f>
        <v>-2.3738577671831518E-2</v>
      </c>
      <c r="F98" s="62">
        <f>表2_3671626293038912[[#This Row],[累计净值]]</f>
        <v>0.99150000000000005</v>
      </c>
      <c r="G98" s="20">
        <f>表2_3671626293038912[[#This Row],[累计净值]]/$B$21-1</f>
        <v>-9.1935645048464298E-3</v>
      </c>
    </row>
    <row r="99" spans="1:7" x14ac:dyDescent="0.2">
      <c r="A99" s="15">
        <v>43920</v>
      </c>
      <c r="B99" s="16">
        <v>0.9929</v>
      </c>
      <c r="C99" s="73">
        <f t="shared" si="22"/>
        <v>1.3999999999999568E-3</v>
      </c>
      <c r="D99" s="18" t="str">
        <f t="shared" si="23"/>
        <v>/</v>
      </c>
      <c r="E99" s="18">
        <f ca="1">IF(表2_3671626293038912[[#This Row],[累计净值]]/MAX(INDIRECT("B21:B" &amp; ROW()))-1&lt;E98,表2_3671626293038912[[#This Row],[累计净值]]/MAX(INDIRECT("B21:B" &amp; ROW()))-1,E98)</f>
        <v>-2.3738577671831518E-2</v>
      </c>
      <c r="F99" s="62">
        <f>表2_3671626293038912[[#This Row],[累计净值]]</f>
        <v>0.9929</v>
      </c>
      <c r="G99" s="20">
        <f>表2_3671626293038912[[#This Row],[累计净值]]/$B$21-1</f>
        <v>-7.7945438193264271E-3</v>
      </c>
    </row>
    <row r="100" spans="1:7" x14ac:dyDescent="0.2">
      <c r="A100" s="15">
        <v>43921</v>
      </c>
      <c r="B100" s="16">
        <v>0.99139999999999995</v>
      </c>
      <c r="C100" s="73">
        <f t="shared" si="22"/>
        <v>-1.5000000000000568E-3</v>
      </c>
      <c r="D100" s="18">
        <f t="shared" si="23"/>
        <v>-1.5000000000000568E-3</v>
      </c>
      <c r="E100" s="18">
        <f ca="1">IF(表2_3671626293038912[[#This Row],[累计净值]]/MAX(INDIRECT("B21:B" &amp; ROW()))-1&lt;E99,表2_3671626293038912[[#This Row],[累计净值]]/MAX(INDIRECT("B21:B" &amp; ROW()))-1,E99)</f>
        <v>-2.3738577671831518E-2</v>
      </c>
      <c r="F100" s="62">
        <f>表2_3671626293038912[[#This Row],[累计净值]]</f>
        <v>0.99139999999999995</v>
      </c>
      <c r="G100" s="20">
        <f>表2_3671626293038912[[#This Row],[累计净值]]/$B$21-1</f>
        <v>-9.2934945538123426E-3</v>
      </c>
    </row>
    <row r="101" spans="1:7" x14ac:dyDescent="0.2">
      <c r="A101" s="15">
        <v>43922</v>
      </c>
      <c r="B101" s="16">
        <v>0.99219999999999997</v>
      </c>
      <c r="C101" s="73">
        <f t="shared" si="22"/>
        <v>8.0000000000002292E-4</v>
      </c>
      <c r="D101" s="18" t="str">
        <f t="shared" si="23"/>
        <v>/</v>
      </c>
      <c r="E101" s="18">
        <f ca="1">IF(表2_3671626293038912[[#This Row],[累计净值]]/MAX(INDIRECT("B21:B" &amp; ROW()))-1&lt;E100,表2_3671626293038912[[#This Row],[累计净值]]/MAX(INDIRECT("B21:B" &amp; ROW()))-1,E100)</f>
        <v>-2.3738577671831518E-2</v>
      </c>
      <c r="F101" s="62">
        <f>表2_3671626293038912[[#This Row],[累计净值]]</f>
        <v>0.99219999999999997</v>
      </c>
      <c r="G101" s="20">
        <f>表2_3671626293038912[[#This Row],[累计净值]]/$B$21-1</f>
        <v>-8.494054162086484E-3</v>
      </c>
    </row>
    <row r="102" spans="1:7" x14ac:dyDescent="0.2">
      <c r="A102" s="15">
        <v>43923</v>
      </c>
      <c r="B102" s="16">
        <v>0.98950000000000005</v>
      </c>
      <c r="C102" s="73">
        <f t="shared" ref="C102:C107" si="24">IFERROR(B102-B101,0)</f>
        <v>-2.6999999999999247E-3</v>
      </c>
      <c r="D102" s="18">
        <f t="shared" ref="D102:D107" si="25">IF(C102&lt;0,C102,"/")</f>
        <v>-2.6999999999999247E-3</v>
      </c>
      <c r="E102" s="18">
        <f ca="1">IF(表2_3671626293038912[[#This Row],[累计净值]]/MAX(INDIRECT("B21:B" &amp; ROW()))-1&lt;E101,表2_3671626293038912[[#This Row],[累计净值]]/MAX(INDIRECT("B21:B" &amp; ROW()))-1,E101)</f>
        <v>-2.3738577671831518E-2</v>
      </c>
      <c r="F102" s="62">
        <f>表2_3671626293038912[[#This Row],[累计净值]]</f>
        <v>0.98950000000000005</v>
      </c>
      <c r="G102" s="20">
        <f>表2_3671626293038912[[#This Row],[累计净值]]/$B$21-1</f>
        <v>-1.119216548416091E-2</v>
      </c>
    </row>
    <row r="103" spans="1:7" x14ac:dyDescent="0.2">
      <c r="A103" s="15">
        <v>43924</v>
      </c>
      <c r="B103" s="16">
        <v>0.98770000000000002</v>
      </c>
      <c r="C103" s="73">
        <f t="shared" si="24"/>
        <v>-1.8000000000000238E-3</v>
      </c>
      <c r="D103" s="18">
        <f t="shared" si="25"/>
        <v>-1.8000000000000238E-3</v>
      </c>
      <c r="E103" s="18">
        <f ca="1">IF(表2_3671626293038912[[#This Row],[累计净值]]/MAX(INDIRECT("B21:B" &amp; ROW()))-1&lt;E102,表2_3671626293038912[[#This Row],[累计净值]]/MAX(INDIRECT("B21:B" &amp; ROW()))-1,E102)</f>
        <v>-2.3738577671831518E-2</v>
      </c>
      <c r="F103" s="62">
        <f>表2_3671626293038912[[#This Row],[累计净值]]</f>
        <v>0.98770000000000002</v>
      </c>
      <c r="G103" s="20">
        <f>表2_3671626293038912[[#This Row],[累计净值]]/$B$21-1</f>
        <v>-1.2990906365544008E-2</v>
      </c>
    </row>
    <row r="104" spans="1:7" x14ac:dyDescent="0.2">
      <c r="A104" s="15">
        <v>43928</v>
      </c>
      <c r="B104" s="16">
        <v>0.98709999999999998</v>
      </c>
      <c r="C104" s="73">
        <f t="shared" si="24"/>
        <v>-6.0000000000004494E-4</v>
      </c>
      <c r="D104" s="18">
        <f t="shared" si="25"/>
        <v>-6.0000000000004494E-4</v>
      </c>
      <c r="E104" s="18">
        <f ca="1">IF(表2_3671626293038912[[#This Row],[累计净值]]/MAX(INDIRECT("B21:B" &amp; ROW()))-1&lt;E103,表2_3671626293038912[[#This Row],[累计净值]]/MAX(INDIRECT("B21:B" &amp; ROW()))-1,E103)</f>
        <v>-2.3738577671831518E-2</v>
      </c>
      <c r="F104" s="62">
        <f>表2_3671626293038912[[#This Row],[累计净值]]</f>
        <v>0.98709999999999998</v>
      </c>
      <c r="G104" s="20">
        <f>表2_3671626293038912[[#This Row],[累计净值]]/$B$21-1</f>
        <v>-1.3590486659338374E-2</v>
      </c>
    </row>
    <row r="105" spans="1:7" x14ac:dyDescent="0.2">
      <c r="A105" s="15">
        <v>43929</v>
      </c>
      <c r="B105" s="16">
        <v>0.98680000000000001</v>
      </c>
      <c r="C105" s="73">
        <f t="shared" si="24"/>
        <v>-2.9999999999996696E-4</v>
      </c>
      <c r="D105" s="18">
        <f t="shared" si="25"/>
        <v>-2.9999999999996696E-4</v>
      </c>
      <c r="E105" s="18">
        <f ca="1">IF(表2_3671626293038912[[#This Row],[累计净值]]/MAX(INDIRECT("B21:B" &amp; ROW()))-1&lt;E104,表2_3671626293038912[[#This Row],[累计净值]]/MAX(INDIRECT("B21:B" &amp; ROW()))-1,E104)</f>
        <v>-2.3738577671831518E-2</v>
      </c>
      <c r="F105" s="62">
        <f>表2_3671626293038912[[#This Row],[累计净值]]</f>
        <v>0.98680000000000001</v>
      </c>
      <c r="G105" s="20">
        <f>表2_3671626293038912[[#This Row],[累计净值]]/$B$21-1</f>
        <v>-1.3890276806235557E-2</v>
      </c>
    </row>
    <row r="106" spans="1:7" x14ac:dyDescent="0.2">
      <c r="A106" s="15">
        <v>43930</v>
      </c>
      <c r="B106" s="16">
        <v>0.98670000000000002</v>
      </c>
      <c r="C106" s="73">
        <f t="shared" si="24"/>
        <v>-9.9999999999988987E-5</v>
      </c>
      <c r="D106" s="18">
        <f t="shared" si="25"/>
        <v>-9.9999999999988987E-5</v>
      </c>
      <c r="E106" s="18">
        <f ca="1">IF(表2_3671626293038912[[#This Row],[累计净值]]/MAX(INDIRECT("B21:B" &amp; ROW()))-1&lt;E105,表2_3671626293038912[[#This Row],[累计净值]]/MAX(INDIRECT("B21:B" &amp; ROW()))-1,E105)</f>
        <v>-2.3738577671831518E-2</v>
      </c>
      <c r="F106" s="62">
        <f>表2_3671626293038912[[#This Row],[累计净值]]</f>
        <v>0.98670000000000002</v>
      </c>
      <c r="G106" s="20">
        <f>表2_3671626293038912[[#This Row],[累计净值]]/$B$21-1</f>
        <v>-1.3990206855201248E-2</v>
      </c>
    </row>
    <row r="107" spans="1:7" x14ac:dyDescent="0.2">
      <c r="A107" s="15">
        <v>43931</v>
      </c>
      <c r="B107" s="16">
        <v>0.98560000000000003</v>
      </c>
      <c r="C107" s="73">
        <f t="shared" si="24"/>
        <v>-1.0999999999999899E-3</v>
      </c>
      <c r="D107" s="18">
        <f t="shared" si="25"/>
        <v>-1.0999999999999899E-3</v>
      </c>
      <c r="E107" s="18">
        <f ca="1">IF(表2_3671626293038912[[#This Row],[累计净值]]/MAX(INDIRECT("B21:B" &amp; ROW()))-1&lt;E106,表2_3671626293038912[[#This Row],[累计净值]]/MAX(INDIRECT("B21:B" &amp; ROW()))-1,E106)</f>
        <v>-2.3738577671831518E-2</v>
      </c>
      <c r="F107" s="62">
        <f>表2_3671626293038912[[#This Row],[累计净值]]</f>
        <v>0.98560000000000003</v>
      </c>
      <c r="G107" s="20">
        <f>表2_3671626293038912[[#This Row],[累计净值]]/$B$21-1</f>
        <v>-1.5089437393824179E-2</v>
      </c>
    </row>
    <row r="108" spans="1:7" x14ac:dyDescent="0.2">
      <c r="A108" s="15">
        <v>43934</v>
      </c>
      <c r="B108" s="16">
        <v>0.98580000000000001</v>
      </c>
      <c r="C108" s="73">
        <f t="shared" ref="C108:C113" si="26">IFERROR(B108-B107,0)</f>
        <v>1.9999999999997797E-4</v>
      </c>
      <c r="D108" s="18" t="str">
        <f t="shared" ref="D108:D113" si="27">IF(C108&lt;0,C108,"/")</f>
        <v>/</v>
      </c>
      <c r="E108" s="18">
        <f ca="1">IF(表2_3671626293038912[[#This Row],[累计净值]]/MAX(INDIRECT("B21:B" &amp; ROW()))-1&lt;E107,表2_3671626293038912[[#This Row],[累计净值]]/MAX(INDIRECT("B21:B" &amp; ROW()))-1,E107)</f>
        <v>-2.3738577671831518E-2</v>
      </c>
      <c r="F108" s="62">
        <f>表2_3671626293038912[[#This Row],[累计净值]]</f>
        <v>0.98580000000000001</v>
      </c>
      <c r="G108" s="20">
        <f>表2_3671626293038912[[#This Row],[累计净值]]/$B$21-1</f>
        <v>-1.4889577295892797E-2</v>
      </c>
    </row>
    <row r="109" spans="1:7" x14ac:dyDescent="0.2">
      <c r="A109" s="15">
        <v>43935</v>
      </c>
      <c r="B109" s="16">
        <v>0.98540000000000005</v>
      </c>
      <c r="C109" s="73">
        <f t="shared" si="26"/>
        <v>-3.9999999999995595E-4</v>
      </c>
      <c r="D109" s="18">
        <f t="shared" si="27"/>
        <v>-3.9999999999995595E-4</v>
      </c>
      <c r="E109" s="18">
        <f ca="1">IF(表2_3671626293038912[[#This Row],[累计净值]]/MAX(INDIRECT("B21:B" &amp; ROW()))-1&lt;E108,表2_3671626293038912[[#This Row],[累计净值]]/MAX(INDIRECT("B21:B" &amp; ROW()))-1,E108)</f>
        <v>-2.3738577671831518E-2</v>
      </c>
      <c r="F109" s="62">
        <f>表2_3671626293038912[[#This Row],[累计净值]]</f>
        <v>0.98540000000000005</v>
      </c>
      <c r="G109" s="20">
        <f>表2_3671626293038912[[#This Row],[累计净值]]/$B$21-1</f>
        <v>-1.5289297491755671E-2</v>
      </c>
    </row>
    <row r="110" spans="1:7" x14ac:dyDescent="0.2">
      <c r="A110" s="15">
        <v>43936</v>
      </c>
      <c r="B110" s="96">
        <v>0.98350000000000004</v>
      </c>
      <c r="C110" s="94">
        <f t="shared" si="26"/>
        <v>-1.9000000000000128E-3</v>
      </c>
      <c r="D110" s="95">
        <f t="shared" si="27"/>
        <v>-1.9000000000000128E-3</v>
      </c>
      <c r="E110" s="95">
        <f ca="1">IF(表2_3671626293038912[[#This Row],[累计净值]]/MAX(INDIRECT("B21:B" &amp; ROW()))-1&lt;E109,表2_3671626293038912[[#This Row],[累计净值]]/MAX(INDIRECT("B21:B" &amp; ROW()))-1,E109)</f>
        <v>-2.3738577671831518E-2</v>
      </c>
      <c r="F110" s="97">
        <f>表2_3671626293038912[[#This Row],[累计净值]]</f>
        <v>0.98350000000000004</v>
      </c>
      <c r="G110" s="20">
        <f>表2_3671626293038912[[#This Row],[累计净值]]/$B$21-1</f>
        <v>-1.718796842210446E-2</v>
      </c>
    </row>
    <row r="111" spans="1:7" x14ac:dyDescent="0.2">
      <c r="A111" s="15">
        <v>43937</v>
      </c>
      <c r="B111" s="96">
        <v>0.98180000000000001</v>
      </c>
      <c r="C111" s="94">
        <f t="shared" si="26"/>
        <v>-1.7000000000000348E-3</v>
      </c>
      <c r="D111" s="95">
        <f t="shared" si="27"/>
        <v>-1.7000000000000348E-3</v>
      </c>
      <c r="E111" s="95">
        <f ca="1">IF(表2_3671626293038912[[#This Row],[累计净值]]/MAX(INDIRECT("B21:B" &amp; ROW()))-1&lt;E110,表2_3671626293038912[[#This Row],[累计净值]]/MAX(INDIRECT("B21:B" &amp; ROW()))-1,E110)</f>
        <v>-2.4831148192292374E-2</v>
      </c>
      <c r="F111" s="97">
        <f>表2_3671626293038912[[#This Row],[累计净值]]</f>
        <v>0.98180000000000001</v>
      </c>
      <c r="G111" s="20">
        <f>表2_3671626293038912[[#This Row],[累计净值]]/$B$21-1</f>
        <v>-1.8886779254521757E-2</v>
      </c>
    </row>
    <row r="112" spans="1:7" x14ac:dyDescent="0.2">
      <c r="A112" s="15">
        <v>43938</v>
      </c>
      <c r="B112" s="96">
        <v>0.98060000000000003</v>
      </c>
      <c r="C112" s="94">
        <f t="shared" si="26"/>
        <v>-1.1999999999999789E-3</v>
      </c>
      <c r="D112" s="95">
        <f t="shared" si="27"/>
        <v>-1.1999999999999789E-3</v>
      </c>
      <c r="E112" s="95">
        <f ca="1">IF(表2_3671626293038912[[#This Row],[累计净值]]/MAX(INDIRECT("B21:B" &amp; ROW()))-1&lt;E111,表2_3671626293038912[[#This Row],[累计净值]]/MAX(INDIRECT("B21:B" &amp; ROW()))-1,E111)</f>
        <v>-2.6023043305522298E-2</v>
      </c>
      <c r="F112" s="97">
        <f>表2_3671626293038912[[#This Row],[累计净值]]</f>
        <v>0.98060000000000003</v>
      </c>
      <c r="G112" s="20">
        <f>表2_3671626293038912[[#This Row],[累计净值]]/$B$21-1</f>
        <v>-2.0085939842110379E-2</v>
      </c>
    </row>
    <row r="113" spans="1:10" x14ac:dyDescent="0.2">
      <c r="A113" s="15">
        <v>43941</v>
      </c>
      <c r="B113" s="96">
        <v>0.9859</v>
      </c>
      <c r="C113" s="94">
        <f t="shared" si="26"/>
        <v>5.2999999999999714E-3</v>
      </c>
      <c r="D113" s="95" t="str">
        <f t="shared" si="27"/>
        <v>/</v>
      </c>
      <c r="E113" s="95">
        <f ca="1">IF(表2_3671626293038912[[#This Row],[累计净值]]/MAX(INDIRECT("B21:B" &amp; ROW()))-1&lt;E112,表2_3671626293038912[[#This Row],[累计净值]]/MAX(INDIRECT("B21:B" &amp; ROW()))-1,E112)</f>
        <v>-2.6023043305522298E-2</v>
      </c>
      <c r="F113" s="97">
        <f>表2_3671626293038912[[#This Row],[累计净值]]</f>
        <v>0.9859</v>
      </c>
      <c r="G113" s="20">
        <f>表2_3671626293038912[[#This Row],[累计净值]]/$B$21-1</f>
        <v>-1.4789647246927107E-2</v>
      </c>
    </row>
    <row r="114" spans="1:10" x14ac:dyDescent="0.2">
      <c r="A114" s="15">
        <v>43942</v>
      </c>
      <c r="B114" s="96">
        <v>0.98680000000000001</v>
      </c>
      <c r="C114" s="94">
        <f t="shared" ref="C114:C119" si="28">IFERROR(B114-B113,0)</f>
        <v>9.000000000000119E-4</v>
      </c>
      <c r="D114" s="95" t="str">
        <f t="shared" ref="D114:D119" si="29">IF(C114&lt;0,C114,"/")</f>
        <v>/</v>
      </c>
      <c r="E114" s="95">
        <f ca="1">IF(表2_3671626293038912[[#This Row],[累计净值]]/MAX(INDIRECT("B21:B" &amp; ROW()))-1&lt;E113,表2_3671626293038912[[#This Row],[累计净值]]/MAX(INDIRECT("B21:B" &amp; ROW()))-1,E113)</f>
        <v>-2.6023043305522298E-2</v>
      </c>
      <c r="F114" s="97">
        <f>表2_3671626293038912[[#This Row],[累计净值]]</f>
        <v>0.98680000000000001</v>
      </c>
      <c r="G114" s="20">
        <f>表2_3671626293038912[[#This Row],[累计净值]]/$B$21-1</f>
        <v>-1.3890276806235557E-2</v>
      </c>
    </row>
    <row r="115" spans="1:10" x14ac:dyDescent="0.2">
      <c r="A115" s="15">
        <v>43943</v>
      </c>
      <c r="B115" s="96">
        <v>0.98180000000000001</v>
      </c>
      <c r="C115" s="94">
        <f t="shared" si="28"/>
        <v>-5.0000000000000044E-3</v>
      </c>
      <c r="D115" s="95">
        <f t="shared" si="29"/>
        <v>-5.0000000000000044E-3</v>
      </c>
      <c r="E115" s="95">
        <f ca="1">IF(表2_3671626293038912[[#This Row],[累计净值]]/MAX(INDIRECT("B21:B" &amp; ROW()))-1&lt;E114,表2_3671626293038912[[#This Row],[累计净值]]/MAX(INDIRECT("B21:B" &amp; ROW()))-1,E114)</f>
        <v>-2.6023043305522298E-2</v>
      </c>
      <c r="F115" s="97">
        <f>表2_3671626293038912[[#This Row],[累计净值]]</f>
        <v>0.98180000000000001</v>
      </c>
      <c r="G115" s="20">
        <f>表2_3671626293038912[[#This Row],[累计净值]]/$B$21-1</f>
        <v>-1.8886779254521757E-2</v>
      </c>
      <c r="J115" s="1">
        <f>1.25^10</f>
        <v>9.3132257461547852</v>
      </c>
    </row>
    <row r="116" spans="1:10" x14ac:dyDescent="0.2">
      <c r="A116" s="15">
        <v>43944</v>
      </c>
      <c r="B116" s="96">
        <v>0.97970000000000002</v>
      </c>
      <c r="C116" s="94">
        <f t="shared" si="28"/>
        <v>-2.0999999999999908E-3</v>
      </c>
      <c r="D116" s="95">
        <f t="shared" si="29"/>
        <v>-2.0999999999999908E-3</v>
      </c>
      <c r="E116" s="95">
        <f ca="1">IF(表2_3671626293038912[[#This Row],[累计净值]]/MAX(INDIRECT("B21:B" &amp; ROW()))-1&lt;E115,表2_3671626293038912[[#This Row],[累计净值]]/MAX(INDIRECT("B21:B" &amp; ROW()))-1,E115)</f>
        <v>-2.6916964640444907E-2</v>
      </c>
      <c r="F116" s="97">
        <f>表2_3671626293038912[[#This Row],[累计净值]]</f>
        <v>0.97970000000000002</v>
      </c>
      <c r="G116" s="20">
        <f>表2_3671626293038912[[#This Row],[累计净值]]/$B$21-1</f>
        <v>-2.0985310282801928E-2</v>
      </c>
    </row>
    <row r="117" spans="1:10" x14ac:dyDescent="0.2">
      <c r="A117" s="15">
        <v>43945</v>
      </c>
      <c r="B117" s="96">
        <v>0.98089999999999999</v>
      </c>
      <c r="C117" s="94">
        <f t="shared" si="28"/>
        <v>1.1999999999999789E-3</v>
      </c>
      <c r="D117" s="95" t="str">
        <f t="shared" si="29"/>
        <v>/</v>
      </c>
      <c r="E117" s="95">
        <f ca="1">IF(表2_3671626293038912[[#This Row],[累计净值]]/MAX(INDIRECT("B21:B" &amp; ROW()))-1&lt;E116,表2_3671626293038912[[#This Row],[累计净值]]/MAX(INDIRECT("B21:B" &amp; ROW()))-1,E116)</f>
        <v>-2.6916964640444907E-2</v>
      </c>
      <c r="F117" s="97">
        <f>表2_3671626293038912[[#This Row],[累计净值]]</f>
        <v>0.98089999999999999</v>
      </c>
      <c r="G117" s="20">
        <f>表2_3671626293038912[[#This Row],[累计净值]]/$B$21-1</f>
        <v>-1.9786149695213306E-2</v>
      </c>
    </row>
    <row r="118" spans="1:10" x14ac:dyDescent="0.2">
      <c r="A118" s="15">
        <v>43948</v>
      </c>
      <c r="B118" s="96">
        <v>0.97850000000000004</v>
      </c>
      <c r="C118" s="94">
        <f t="shared" si="28"/>
        <v>-2.3999999999999577E-3</v>
      </c>
      <c r="D118" s="95">
        <f t="shared" si="29"/>
        <v>-2.3999999999999577E-3</v>
      </c>
      <c r="E118" s="95">
        <f ca="1">IF(表2_3671626293038912[[#This Row],[累计净值]]/MAX(INDIRECT("B21:B" &amp; ROW()))-1&lt;E117,表2_3671626293038912[[#This Row],[累计净值]]/MAX(INDIRECT("B21:B" &amp; ROW()))-1,E117)</f>
        <v>-2.8108859753674942E-2</v>
      </c>
      <c r="F118" s="97">
        <f>表2_3671626293038912[[#This Row],[累计净值]]</f>
        <v>0.97850000000000004</v>
      </c>
      <c r="G118" s="20">
        <f>表2_3671626293038912[[#This Row],[累计净值]]/$B$21-1</f>
        <v>-2.218447087039066E-2</v>
      </c>
    </row>
    <row r="119" spans="1:10" x14ac:dyDescent="0.2">
      <c r="A119" s="15">
        <v>43949</v>
      </c>
      <c r="B119" s="96">
        <v>0.96989999999999998</v>
      </c>
      <c r="C119" s="94">
        <f t="shared" si="28"/>
        <v>-8.600000000000052E-3</v>
      </c>
      <c r="D119" s="95">
        <f t="shared" si="29"/>
        <v>-8.600000000000052E-3</v>
      </c>
      <c r="E119" s="95">
        <f ca="1">IF(表2_3671626293038912[[#This Row],[累计净值]]/MAX(INDIRECT("B21:B" &amp; ROW()))-1&lt;E118,表2_3671626293038912[[#This Row],[累计净值]]/MAX(INDIRECT("B21:B" &amp; ROW()))-1,E118)</f>
        <v>-3.6650774731823543E-2</v>
      </c>
      <c r="F119" s="97">
        <f>表2_3671626293038912[[#This Row],[累计净值]]</f>
        <v>0.96989999999999998</v>
      </c>
      <c r="G119" s="20">
        <f>表2_3671626293038912[[#This Row],[累计净值]]/$B$21-1</f>
        <v>-3.0778455081442946E-2</v>
      </c>
    </row>
    <row r="120" spans="1:10" x14ac:dyDescent="0.2">
      <c r="A120" s="15">
        <v>43950</v>
      </c>
      <c r="B120" s="99">
        <v>0.97089999999999999</v>
      </c>
      <c r="C120" s="94">
        <f t="shared" ref="C120:C125" si="30">IFERROR(B120-B119,0)</f>
        <v>1.0000000000000009E-3</v>
      </c>
      <c r="D120" s="95" t="str">
        <f t="shared" ref="D120:D125" si="31">IF(C120&lt;0,C120,"/")</f>
        <v>/</v>
      </c>
      <c r="E120" s="95">
        <f ca="1">IF(表2_3671626293038912[[#This Row],[累计净值]]/MAX(INDIRECT("B21:B" &amp; ROW()))-1&lt;E119,表2_3671626293038912[[#This Row],[累计净值]]/MAX(INDIRECT("B21:B" &amp; ROW()))-1,E119)</f>
        <v>-3.6650774731823543E-2</v>
      </c>
      <c r="F120" s="97">
        <f>表2_3671626293038912[[#This Row],[累计净值]]</f>
        <v>0.97089999999999999</v>
      </c>
      <c r="G120" s="20">
        <f>表2_3671626293038912[[#This Row],[累计净值]]/$B$21-1</f>
        <v>-2.9779154591785706E-2</v>
      </c>
    </row>
    <row r="121" spans="1:10" x14ac:dyDescent="0.2">
      <c r="A121" s="15">
        <v>43951</v>
      </c>
      <c r="B121" s="99">
        <v>0.97240000000000004</v>
      </c>
      <c r="C121" s="94">
        <f t="shared" si="30"/>
        <v>1.5000000000000568E-3</v>
      </c>
      <c r="D121" s="95" t="str">
        <f t="shared" si="31"/>
        <v>/</v>
      </c>
      <c r="E121" s="95">
        <f ca="1">IF(表2_3671626293038912[[#This Row],[累计净值]]/MAX(INDIRECT("B21:B" &amp; ROW()))-1&lt;E120,表2_3671626293038912[[#This Row],[累计净值]]/MAX(INDIRECT("B21:B" &amp; ROW()))-1,E120)</f>
        <v>-3.6650774731823543E-2</v>
      </c>
      <c r="F121" s="97">
        <f>表2_3671626293038912[[#This Row],[累计净值]]</f>
        <v>0.97240000000000004</v>
      </c>
      <c r="G121" s="20">
        <f>表2_3671626293038912[[#This Row],[累计净值]]/$B$21-1</f>
        <v>-2.828020385729979E-2</v>
      </c>
    </row>
    <row r="122" spans="1:10" x14ac:dyDescent="0.2">
      <c r="A122" s="15">
        <v>43957</v>
      </c>
      <c r="B122" s="100">
        <v>0.9708</v>
      </c>
      <c r="C122" s="101">
        <f t="shared" si="30"/>
        <v>-1.6000000000000458E-3</v>
      </c>
      <c r="D122" s="102">
        <f t="shared" si="31"/>
        <v>-1.6000000000000458E-3</v>
      </c>
      <c r="E122" s="102">
        <f ca="1">IF(表2_3671626293038912[[#This Row],[累计净值]]/MAX(INDIRECT("B21:B" &amp; ROW()))-1&lt;E121,表2_3671626293038912[[#This Row],[累计净值]]/MAX(INDIRECT("B21:B" &amp; ROW()))-1,E121)</f>
        <v>-3.6650774731823543E-2</v>
      </c>
      <c r="F122" s="103">
        <f>表2_3671626293038912[[#This Row],[累计净值]]</f>
        <v>0.9708</v>
      </c>
      <c r="G122" s="20">
        <f>表2_3671626293038912[[#This Row],[累计净值]]/$B$21-1</f>
        <v>-2.9879084640751397E-2</v>
      </c>
    </row>
    <row r="123" spans="1:10" x14ac:dyDescent="0.2">
      <c r="A123" s="15">
        <v>43958</v>
      </c>
      <c r="B123" s="100">
        <v>0.96830000000000005</v>
      </c>
      <c r="C123" s="101">
        <f t="shared" si="30"/>
        <v>-2.4999999999999467E-3</v>
      </c>
      <c r="D123" s="102">
        <f t="shared" si="31"/>
        <v>-2.4999999999999467E-3</v>
      </c>
      <c r="E123" s="102">
        <f ca="1">IF(表2_3671626293038912[[#This Row],[累计净值]]/MAX(INDIRECT("B21:B" &amp; ROW()))-1&lt;E122,表2_3671626293038912[[#This Row],[累计净值]]/MAX(INDIRECT("B21:B" &amp; ROW()))-1,E122)</f>
        <v>-3.8239968216130182E-2</v>
      </c>
      <c r="F123" s="103">
        <f>表2_3671626293038912[[#This Row],[累计净值]]</f>
        <v>0.96830000000000005</v>
      </c>
      <c r="G123" s="20">
        <f>表2_3671626293038912[[#This Row],[累计净值]]/$B$21-1</f>
        <v>-3.2377335864894441E-2</v>
      </c>
    </row>
    <row r="124" spans="1:10" x14ac:dyDescent="0.2">
      <c r="A124" s="15">
        <v>43959</v>
      </c>
      <c r="B124" s="100">
        <v>0.9768</v>
      </c>
      <c r="C124" s="101">
        <f t="shared" si="30"/>
        <v>8.499999999999952E-3</v>
      </c>
      <c r="D124" s="102" t="str">
        <f t="shared" si="31"/>
        <v>/</v>
      </c>
      <c r="E124" s="102">
        <f ca="1">IF(表2_3671626293038912[[#This Row],[累计净值]]/MAX(INDIRECT("B21:B" &amp; ROW()))-1&lt;E123,表2_3671626293038912[[#This Row],[累计净值]]/MAX(INDIRECT("B21:B" &amp; ROW()))-1,E123)</f>
        <v>-3.8239968216130182E-2</v>
      </c>
      <c r="F124" s="103">
        <f>表2_3671626293038912[[#This Row],[累计净值]]</f>
        <v>0.9768</v>
      </c>
      <c r="G124" s="20">
        <f>表2_3671626293038912[[#This Row],[累计净值]]/$B$21-1</f>
        <v>-2.3883281702807957E-2</v>
      </c>
    </row>
    <row r="125" spans="1:10" x14ac:dyDescent="0.2">
      <c r="A125" s="15">
        <v>43962</v>
      </c>
      <c r="B125" s="100">
        <v>0.9758</v>
      </c>
      <c r="C125" s="101">
        <f t="shared" si="30"/>
        <v>-1.0000000000000009E-3</v>
      </c>
      <c r="D125" s="102">
        <f t="shared" si="31"/>
        <v>-1.0000000000000009E-3</v>
      </c>
      <c r="E125" s="102">
        <f ca="1">IF(表2_3671626293038912[[#This Row],[累计净值]]/MAX(INDIRECT("B21:B" &amp; ROW()))-1&lt;E124,表2_3671626293038912[[#This Row],[累计净值]]/MAX(INDIRECT("B21:B" &amp; ROW()))-1,E124)</f>
        <v>-3.8239968216130182E-2</v>
      </c>
      <c r="F125" s="103">
        <f>表2_3671626293038912[[#This Row],[累计净值]]</f>
        <v>0.9758</v>
      </c>
      <c r="G125" s="20">
        <f>表2_3671626293038912[[#This Row],[累计净值]]/$B$21-1</f>
        <v>-2.4882582192465197E-2</v>
      </c>
    </row>
    <row r="126" spans="1:10" x14ac:dyDescent="0.2">
      <c r="A126" s="15">
        <v>43963</v>
      </c>
      <c r="B126" s="100">
        <v>0.97409999999999997</v>
      </c>
      <c r="C126" s="101">
        <f t="shared" ref="C126:C131" si="32">IFERROR(B126-B125,0)</f>
        <v>-1.7000000000000348E-3</v>
      </c>
      <c r="D126" s="102">
        <f t="shared" ref="D126:D131" si="33">IF(C126&lt;0,C126,"/")</f>
        <v>-1.7000000000000348E-3</v>
      </c>
      <c r="E126" s="102">
        <f ca="1">IF(表2_3671626293038912[[#This Row],[累计净值]]/MAX(INDIRECT("B21:B" &amp; ROW()))-1&lt;E125,表2_3671626293038912[[#This Row],[累计净值]]/MAX(INDIRECT("B21:B" &amp; ROW()))-1,E125)</f>
        <v>-3.8239968216130182E-2</v>
      </c>
      <c r="F126" s="103">
        <f>表2_3671626293038912[[#This Row],[累计净值]]</f>
        <v>0.97409999999999997</v>
      </c>
      <c r="G126" s="20">
        <f>表2_3671626293038912[[#This Row],[累计净值]]/$B$21-1</f>
        <v>-2.6581393024882494E-2</v>
      </c>
    </row>
    <row r="127" spans="1:10" x14ac:dyDescent="0.2">
      <c r="A127" s="15">
        <v>43964</v>
      </c>
      <c r="B127" s="100">
        <v>0.9738</v>
      </c>
      <c r="C127" s="101">
        <f t="shared" si="32"/>
        <v>-2.9999999999996696E-4</v>
      </c>
      <c r="D127" s="102">
        <f t="shared" si="33"/>
        <v>-2.9999999999996696E-4</v>
      </c>
      <c r="E127" s="102">
        <f ca="1">IF(表2_3671626293038912[[#This Row],[累计净值]]/MAX(INDIRECT("B21:B" &amp; ROW()))-1&lt;E126,表2_3671626293038912[[#This Row],[累计净值]]/MAX(INDIRECT("B21:B" &amp; ROW()))-1,E126)</f>
        <v>-3.8239968216130182E-2</v>
      </c>
      <c r="F127" s="103">
        <f>表2_3671626293038912[[#This Row],[累计净值]]</f>
        <v>0.9738</v>
      </c>
      <c r="G127" s="20">
        <f>表2_3671626293038912[[#This Row],[累计净值]]/$B$21-1</f>
        <v>-2.6881183171779677E-2</v>
      </c>
    </row>
    <row r="128" spans="1:10" x14ac:dyDescent="0.2">
      <c r="A128" s="15">
        <v>43965</v>
      </c>
      <c r="B128" s="100">
        <v>0.97060000000000002</v>
      </c>
      <c r="C128" s="101">
        <f t="shared" si="32"/>
        <v>-3.1999999999999806E-3</v>
      </c>
      <c r="D128" s="102">
        <f t="shared" si="33"/>
        <v>-3.1999999999999806E-3</v>
      </c>
      <c r="E128" s="102">
        <f ca="1">IF(表2_3671626293038912[[#This Row],[累计净值]]/MAX(INDIRECT("B21:B" &amp; ROW()))-1&lt;E127,表2_3671626293038912[[#This Row],[累计净值]]/MAX(INDIRECT("B21:B" &amp; ROW()))-1,E127)</f>
        <v>-3.8239968216130182E-2</v>
      </c>
      <c r="F128" s="103">
        <f>表2_3671626293038912[[#This Row],[累计净值]]</f>
        <v>0.97060000000000002</v>
      </c>
      <c r="G128" s="20">
        <f>表2_3671626293038912[[#This Row],[累计净值]]/$B$21-1</f>
        <v>-3.0078944738682778E-2</v>
      </c>
    </row>
    <row r="129" spans="1:7" x14ac:dyDescent="0.2">
      <c r="A129" s="15">
        <v>43966</v>
      </c>
      <c r="B129" s="100">
        <v>0.99180000000000001</v>
      </c>
      <c r="C129" s="101">
        <f t="shared" si="32"/>
        <v>2.1199999999999997E-2</v>
      </c>
      <c r="D129" s="102" t="str">
        <f t="shared" si="33"/>
        <v>/</v>
      </c>
      <c r="E129" s="102">
        <f ca="1">IF(表2_3671626293038912[[#This Row],[累计净值]]/MAX(INDIRECT("B21:B" &amp; ROW()))-1&lt;E128,表2_3671626293038912[[#This Row],[累计净值]]/MAX(INDIRECT("B21:B" &amp; ROW()))-1,E128)</f>
        <v>-3.8239968216130182E-2</v>
      </c>
      <c r="F129" s="103">
        <f>表2_3671626293038912[[#This Row],[累计净值]]</f>
        <v>0.99180000000000001</v>
      </c>
      <c r="G129" s="20">
        <f>表2_3671626293038912[[#This Row],[累计净值]]/$B$21-1</f>
        <v>-8.8937743579493578E-3</v>
      </c>
    </row>
    <row r="130" spans="1:7" x14ac:dyDescent="0.2">
      <c r="A130" s="15">
        <v>43969</v>
      </c>
      <c r="B130" s="100">
        <v>1.0276000000000001</v>
      </c>
      <c r="C130" s="101">
        <f t="shared" si="32"/>
        <v>3.5800000000000054E-2</v>
      </c>
      <c r="D130" s="102" t="str">
        <f t="shared" si="33"/>
        <v>/</v>
      </c>
      <c r="E130" s="102">
        <f ca="1">IF(表2_3671626293038912[[#This Row],[累计净值]]/MAX(INDIRECT("B21:B" &amp; ROW()))-1&lt;E129,表2_3671626293038912[[#This Row],[累计净值]]/MAX(INDIRECT("B21:B" &amp; ROW()))-1,E129)</f>
        <v>-3.8239968216130182E-2</v>
      </c>
      <c r="F130" s="103">
        <f>表2_3671626293038912[[#This Row],[累计净值]]</f>
        <v>1.0276000000000001</v>
      </c>
      <c r="G130" s="20">
        <f>表2_3671626293038912[[#This Row],[累计净值]]/$B$21-1</f>
        <v>2.6881183171779899E-2</v>
      </c>
    </row>
    <row r="131" spans="1:7" x14ac:dyDescent="0.2">
      <c r="A131" s="15">
        <v>43970</v>
      </c>
      <c r="B131" s="100">
        <v>1.0291999999999999</v>
      </c>
      <c r="C131" s="101">
        <f t="shared" si="32"/>
        <v>1.5999999999998238E-3</v>
      </c>
      <c r="D131" s="102" t="str">
        <f t="shared" si="33"/>
        <v>/</v>
      </c>
      <c r="E131" s="102">
        <f ca="1">IF(表2_3671626293038912[[#This Row],[累计净值]]/MAX(INDIRECT("B21:B" &amp; ROW()))-1&lt;E130,表2_3671626293038912[[#This Row],[累计净值]]/MAX(INDIRECT("B21:B" &amp; ROW()))-1,E130)</f>
        <v>-3.8239968216130182E-2</v>
      </c>
      <c r="F131" s="103">
        <f>表2_3671626293038912[[#This Row],[累计净值]]</f>
        <v>1.0291999999999999</v>
      </c>
      <c r="G131" s="20">
        <f>表2_3671626293038912[[#This Row],[累计净值]]/$B$21-1</f>
        <v>2.8480063955231394E-2</v>
      </c>
    </row>
    <row r="132" spans="1:7" x14ac:dyDescent="0.2">
      <c r="A132" s="15">
        <v>43971</v>
      </c>
      <c r="B132" s="100">
        <v>1.0364</v>
      </c>
      <c r="C132" s="101">
        <f t="shared" ref="C132:C137" si="34">IFERROR(B132-B131,0)</f>
        <v>7.2000000000000952E-3</v>
      </c>
      <c r="D132" s="102" t="str">
        <f t="shared" ref="D132:D137" si="35">IF(C132&lt;0,C132,"/")</f>
        <v>/</v>
      </c>
      <c r="E132" s="102">
        <f ca="1">IF(表2_3671626293038912[[#This Row],[累计净值]]/MAX(INDIRECT("B21:B" &amp; ROW()))-1&lt;E131,表2_3671626293038912[[#This Row],[累计净值]]/MAX(INDIRECT("B21:B" &amp; ROW()))-1,E131)</f>
        <v>-3.8239968216130182E-2</v>
      </c>
      <c r="F132" s="103">
        <f>表2_3671626293038912[[#This Row],[累计净值]]</f>
        <v>1.0364</v>
      </c>
      <c r="G132" s="20">
        <f>表2_3671626293038912[[#This Row],[累计净值]]/$B$21-1</f>
        <v>3.5675027480763566E-2</v>
      </c>
    </row>
    <row r="133" spans="1:7" x14ac:dyDescent="0.2">
      <c r="A133" s="15">
        <v>43972</v>
      </c>
      <c r="B133" s="113">
        <v>1.0422</v>
      </c>
      <c r="C133" s="108">
        <f t="shared" si="34"/>
        <v>5.8000000000000274E-3</v>
      </c>
      <c r="D133" s="109" t="str">
        <f t="shared" si="35"/>
        <v>/</v>
      </c>
      <c r="E133" s="109">
        <f ca="1">IF(表2_3671626293038912[[#This Row],[累计净值]]/MAX(INDIRECT("B21:B" &amp; ROW()))-1&lt;E132,表2_3671626293038912[[#This Row],[累计净值]]/MAX(INDIRECT("B21:B" &amp; ROW()))-1,E132)</f>
        <v>-3.8239968216130182E-2</v>
      </c>
      <c r="F133" s="110">
        <f>表2_3671626293038912[[#This Row],[累计净值]]</f>
        <v>1.0422</v>
      </c>
      <c r="G133" s="20">
        <f>表2_3671626293038912[[#This Row],[累计净值]]/$B$21-1</f>
        <v>4.1470970320775624E-2</v>
      </c>
    </row>
    <row r="134" spans="1:7" x14ac:dyDescent="0.2">
      <c r="A134" s="15">
        <v>43973</v>
      </c>
      <c r="B134" s="113">
        <v>1.0223</v>
      </c>
      <c r="C134" s="108">
        <f t="shared" si="34"/>
        <v>-1.9900000000000029E-2</v>
      </c>
      <c r="D134" s="109">
        <f t="shared" si="35"/>
        <v>-1.9900000000000029E-2</v>
      </c>
      <c r="E134" s="109">
        <f ca="1">IF(表2_3671626293038912[[#This Row],[累计净值]]/MAX(INDIRECT("B21:B" &amp; ROW()))-1&lt;E133,表2_3671626293038912[[#This Row],[累计净值]]/MAX(INDIRECT("B21:B" &amp; ROW()))-1,E133)</f>
        <v>-3.8239968216130182E-2</v>
      </c>
      <c r="F134" s="110">
        <f>表2_3671626293038912[[#This Row],[累计净值]]</f>
        <v>1.0223</v>
      </c>
      <c r="G134" s="20">
        <f>表2_3671626293038912[[#This Row],[累计净值]]/$B$21-1</f>
        <v>2.1584890576596516E-2</v>
      </c>
    </row>
    <row r="135" spans="1:7" x14ac:dyDescent="0.2">
      <c r="A135" s="15">
        <v>43976</v>
      </c>
      <c r="B135" s="113">
        <v>1.0250999999999999</v>
      </c>
      <c r="C135" s="108">
        <f t="shared" si="34"/>
        <v>2.7999999999999137E-3</v>
      </c>
      <c r="D135" s="109" t="str">
        <f t="shared" si="35"/>
        <v>/</v>
      </c>
      <c r="E135" s="109">
        <f ca="1">IF(表2_3671626293038912[[#This Row],[累计净值]]/MAX(INDIRECT("B21:B" &amp; ROW()))-1&lt;E134,表2_3671626293038912[[#This Row],[累计净值]]/MAX(INDIRECT("B21:B" &amp; ROW()))-1,E134)</f>
        <v>-3.8239968216130182E-2</v>
      </c>
      <c r="F135" s="110">
        <f>表2_3671626293038912[[#This Row],[累计净值]]</f>
        <v>1.0250999999999999</v>
      </c>
      <c r="G135" s="20">
        <f>表2_3671626293038912[[#This Row],[累计净值]]/$B$21-1</f>
        <v>2.4382931947636743E-2</v>
      </c>
    </row>
    <row r="136" spans="1:7" x14ac:dyDescent="0.2">
      <c r="A136" s="15">
        <v>43977</v>
      </c>
      <c r="B136" s="113">
        <v>1.0251999999999999</v>
      </c>
      <c r="C136" s="108">
        <f t="shared" si="34"/>
        <v>9.9999999999988987E-5</v>
      </c>
      <c r="D136" s="109" t="str">
        <f t="shared" si="35"/>
        <v>/</v>
      </c>
      <c r="E136" s="109">
        <f ca="1">IF(表2_3671626293038912[[#This Row],[累计净值]]/MAX(INDIRECT("B21:B" &amp; ROW()))-1&lt;E135,表2_3671626293038912[[#This Row],[累计净值]]/MAX(INDIRECT("B21:B" &amp; ROW()))-1,E135)</f>
        <v>-3.8239968216130182E-2</v>
      </c>
      <c r="F136" s="110">
        <f>表2_3671626293038912[[#This Row],[累计净值]]</f>
        <v>1.0251999999999999</v>
      </c>
      <c r="G136" s="20">
        <f>表2_3671626293038912[[#This Row],[累计净值]]/$B$21-1</f>
        <v>2.4482861996602434E-2</v>
      </c>
    </row>
    <row r="137" spans="1:7" x14ac:dyDescent="0.2">
      <c r="A137" s="15">
        <v>43978</v>
      </c>
      <c r="B137" s="113">
        <v>1.0241</v>
      </c>
      <c r="C137" s="108">
        <f t="shared" si="34"/>
        <v>-1.0999999999998789E-3</v>
      </c>
      <c r="D137" s="109">
        <f t="shared" si="35"/>
        <v>-1.0999999999998789E-3</v>
      </c>
      <c r="E137" s="109">
        <f ca="1">IF(表2_3671626293038912[[#This Row],[累计净值]]/MAX(INDIRECT("B21:B" &amp; ROW()))-1&lt;E136,表2_3671626293038912[[#This Row],[累计净值]]/MAX(INDIRECT("B21:B" &amp; ROW()))-1,E136)</f>
        <v>-3.8239968216130182E-2</v>
      </c>
      <c r="F137" s="110">
        <f>表2_3671626293038912[[#This Row],[累计净值]]</f>
        <v>1.0241</v>
      </c>
      <c r="G137" s="20">
        <f>表2_3671626293038912[[#This Row],[累计净值]]/$B$21-1</f>
        <v>2.3383631457979615E-2</v>
      </c>
    </row>
    <row r="138" spans="1:7" x14ac:dyDescent="0.2">
      <c r="A138" s="15">
        <v>43979</v>
      </c>
      <c r="B138" s="113">
        <v>1.0242</v>
      </c>
      <c r="C138" s="108">
        <f t="shared" ref="C138:C143" si="36">IFERROR(B138-B137,0)</f>
        <v>9.9999999999988987E-5</v>
      </c>
      <c r="D138" s="109" t="str">
        <f t="shared" ref="D138:D143" si="37">IF(C138&lt;0,C138,"/")</f>
        <v>/</v>
      </c>
      <c r="E138" s="109">
        <f ca="1">IF(表2_3671626293038912[[#This Row],[累计净值]]/MAX(INDIRECT("B21:B" &amp; ROW()))-1&lt;E137,表2_3671626293038912[[#This Row],[累计净值]]/MAX(INDIRECT("B21:B" &amp; ROW()))-1,E137)</f>
        <v>-3.8239968216130182E-2</v>
      </c>
      <c r="F138" s="110">
        <f>表2_3671626293038912[[#This Row],[累计净值]]</f>
        <v>1.0242</v>
      </c>
      <c r="G138" s="20">
        <f>表2_3671626293038912[[#This Row],[累计净值]]/$B$21-1</f>
        <v>2.3483561506945305E-2</v>
      </c>
    </row>
    <row r="139" spans="1:7" x14ac:dyDescent="0.2">
      <c r="A139" s="15">
        <v>43980</v>
      </c>
      <c r="B139" s="113">
        <v>1.0218</v>
      </c>
      <c r="C139" s="108">
        <f t="shared" si="36"/>
        <v>-2.3999999999999577E-3</v>
      </c>
      <c r="D139" s="109">
        <f t="shared" si="37"/>
        <v>-2.3999999999999577E-3</v>
      </c>
      <c r="E139" s="109">
        <f ca="1">IF(表2_3671626293038912[[#This Row],[累计净值]]/MAX(INDIRECT("B21:B" &amp; ROW()))-1&lt;E138,表2_3671626293038912[[#This Row],[累计净值]]/MAX(INDIRECT("B21:B" &amp; ROW()))-1,E138)</f>
        <v>-3.8239968216130182E-2</v>
      </c>
      <c r="F139" s="110">
        <f>表2_3671626293038912[[#This Row],[累计净值]]</f>
        <v>1.0218</v>
      </c>
      <c r="G139" s="20">
        <f>表2_3671626293038912[[#This Row],[累计净值]]/$B$21-1</f>
        <v>2.1085240331767841E-2</v>
      </c>
    </row>
    <row r="140" spans="1:7" x14ac:dyDescent="0.2">
      <c r="A140" s="15">
        <v>43983</v>
      </c>
      <c r="B140" s="113">
        <v>1.0289999999999999</v>
      </c>
      <c r="C140" s="108">
        <f t="shared" si="36"/>
        <v>7.1999999999998732E-3</v>
      </c>
      <c r="D140" s="109" t="str">
        <f t="shared" si="37"/>
        <v>/</v>
      </c>
      <c r="E140" s="109">
        <f ca="1">IF(表2_3671626293038912[[#This Row],[累计净值]]/MAX(INDIRECT("B21:B" &amp; ROW()))-1&lt;E139,表2_3671626293038912[[#This Row],[累计净值]]/MAX(INDIRECT("B21:B" &amp; ROW()))-1,E139)</f>
        <v>-3.8239968216130182E-2</v>
      </c>
      <c r="F140" s="110">
        <f>表2_3671626293038912[[#This Row],[累计净值]]</f>
        <v>1.0289999999999999</v>
      </c>
      <c r="G140" s="20">
        <f>表2_3671626293038912[[#This Row],[累计净值]]/$B$21-1</f>
        <v>2.828020385729979E-2</v>
      </c>
    </row>
    <row r="141" spans="1:7" x14ac:dyDescent="0.2">
      <c r="A141" s="15">
        <v>43984</v>
      </c>
      <c r="B141" s="113">
        <v>1.0383</v>
      </c>
      <c r="C141" s="108">
        <f t="shared" si="36"/>
        <v>9.300000000000086E-3</v>
      </c>
      <c r="D141" s="109" t="str">
        <f t="shared" si="37"/>
        <v>/</v>
      </c>
      <c r="E141" s="109">
        <f ca="1">IF(表2_3671626293038912[[#This Row],[累计净值]]/MAX(INDIRECT("B21:B" &amp; ROW()))-1&lt;E140,表2_3671626293038912[[#This Row],[累计净值]]/MAX(INDIRECT("B21:B" &amp; ROW()))-1,E140)</f>
        <v>-3.8239968216130182E-2</v>
      </c>
      <c r="F141" s="110">
        <f>表2_3671626293038912[[#This Row],[累计净值]]</f>
        <v>1.0383</v>
      </c>
      <c r="G141" s="20">
        <f>表2_3671626293038912[[#This Row],[累计净值]]/$B$21-1</f>
        <v>3.7573698411112355E-2</v>
      </c>
    </row>
    <row r="142" spans="1:7" x14ac:dyDescent="0.2">
      <c r="A142" s="15">
        <v>43985</v>
      </c>
      <c r="B142" s="117">
        <v>1.0503</v>
      </c>
      <c r="C142" s="108">
        <f t="shared" si="36"/>
        <v>1.2000000000000011E-2</v>
      </c>
      <c r="D142" s="109" t="str">
        <f t="shared" si="37"/>
        <v>/</v>
      </c>
      <c r="E142" s="109">
        <f ca="1">IF(表2_3671626293038912[[#This Row],[累计净值]]/MAX(INDIRECT("B21:B" &amp; ROW()))-1&lt;E141,表2_3671626293038912[[#This Row],[累计净值]]/MAX(INDIRECT("B21:B" &amp; ROW()))-1,E141)</f>
        <v>-3.8239968216130182E-2</v>
      </c>
      <c r="F142" s="110">
        <f>表2_3671626293038912[[#This Row],[累计净值]]</f>
        <v>1.0503</v>
      </c>
      <c r="G142" s="20">
        <f>表2_3671626293038912[[#This Row],[累计净值]]/$B$21-1</f>
        <v>4.9565304286999234E-2</v>
      </c>
    </row>
    <row r="143" spans="1:7" x14ac:dyDescent="0.2">
      <c r="A143" s="15">
        <v>43986</v>
      </c>
      <c r="B143" s="113">
        <v>1.0399</v>
      </c>
      <c r="C143" s="108">
        <f t="shared" si="36"/>
        <v>-1.0399999999999965E-2</v>
      </c>
      <c r="D143" s="109">
        <f t="shared" si="37"/>
        <v>-1.0399999999999965E-2</v>
      </c>
      <c r="E143" s="109">
        <f ca="1">IF(表2_3671626293038912[[#This Row],[累计净值]]/MAX(INDIRECT("B21:B" &amp; ROW()))-1&lt;E142,表2_3671626293038912[[#This Row],[累计净值]]/MAX(INDIRECT("B21:B" &amp; ROW()))-1,E142)</f>
        <v>-3.8239968216130182E-2</v>
      </c>
      <c r="F143" s="110">
        <f>表2_3671626293038912[[#This Row],[累计净值]]</f>
        <v>1.0399</v>
      </c>
      <c r="G143" s="20">
        <f>表2_3671626293038912[[#This Row],[累计净值]]/$B$21-1</f>
        <v>3.917257919456385E-2</v>
      </c>
    </row>
    <row r="144" spans="1:7" x14ac:dyDescent="0.2">
      <c r="A144" s="15">
        <v>43987</v>
      </c>
      <c r="B144" s="113">
        <v>1.0427999999999999</v>
      </c>
      <c r="C144" s="108">
        <f t="shared" ref="C144:C149" si="38">IFERROR(B144-B143,0)</f>
        <v>2.8999999999999027E-3</v>
      </c>
      <c r="D144" s="109" t="str">
        <f t="shared" ref="D144:D149" si="39">IF(C144&lt;0,C144,"/")</f>
        <v>/</v>
      </c>
      <c r="E144" s="109">
        <f ca="1">IF(表2_3671626293038912[[#This Row],[累计净值]]/MAX(INDIRECT("B21:B" &amp; ROW()))-1&lt;E143,表2_3671626293038912[[#This Row],[累计净值]]/MAX(INDIRECT("B21:B" &amp; ROW()))-1,E143)</f>
        <v>-3.8239968216130182E-2</v>
      </c>
      <c r="F144" s="110">
        <f>表2_3671626293038912[[#This Row],[累计净值]]</f>
        <v>1.0427999999999999</v>
      </c>
      <c r="G144" s="20">
        <f>表2_3671626293038912[[#This Row],[累计净值]]/$B$21-1</f>
        <v>4.2070550614569768E-2</v>
      </c>
    </row>
    <row r="145" spans="1:7" x14ac:dyDescent="0.2">
      <c r="A145" s="15">
        <v>43990</v>
      </c>
      <c r="B145" s="113">
        <v>1.042</v>
      </c>
      <c r="C145" s="108">
        <f t="shared" si="38"/>
        <v>-7.9999999999991189E-4</v>
      </c>
      <c r="D145" s="109">
        <f t="shared" si="39"/>
        <v>-7.9999999999991189E-4</v>
      </c>
      <c r="E145" s="109">
        <f ca="1">IF(表2_3671626293038912[[#This Row],[累计净值]]/MAX(INDIRECT("B21:B" &amp; ROW()))-1&lt;E144,表2_3671626293038912[[#This Row],[累计净值]]/MAX(INDIRECT("B21:B" &amp; ROW()))-1,E144)</f>
        <v>-3.8239968216130182E-2</v>
      </c>
      <c r="F145" s="110">
        <f>表2_3671626293038912[[#This Row],[累计净值]]</f>
        <v>1.042</v>
      </c>
      <c r="G145" s="20">
        <f>表2_3671626293038912[[#This Row],[累计净值]]/$B$21-1</f>
        <v>4.1271110222844021E-2</v>
      </c>
    </row>
    <row r="146" spans="1:7" x14ac:dyDescent="0.2">
      <c r="A146" s="15">
        <v>43991</v>
      </c>
      <c r="B146" s="113">
        <v>1.0294000000000001</v>
      </c>
      <c r="C146" s="108">
        <f t="shared" si="38"/>
        <v>-1.2599999999999945E-2</v>
      </c>
      <c r="D146" s="109">
        <f t="shared" si="39"/>
        <v>-1.2599999999999945E-2</v>
      </c>
      <c r="E146" s="109">
        <f ca="1">IF(表2_3671626293038912[[#This Row],[累计净值]]/MAX(INDIRECT("B21:B" &amp; ROW()))-1&lt;E145,表2_3671626293038912[[#This Row],[累计净值]]/MAX(INDIRECT("B21:B" &amp; ROW()))-1,E145)</f>
        <v>-3.8239968216130182E-2</v>
      </c>
      <c r="F146" s="110">
        <f>表2_3671626293038912[[#This Row],[累计净值]]</f>
        <v>1.0294000000000001</v>
      </c>
      <c r="G146" s="20">
        <f>表2_3671626293038912[[#This Row],[累计净值]]/$B$21-1</f>
        <v>2.8679924053162997E-2</v>
      </c>
    </row>
    <row r="147" spans="1:7" x14ac:dyDescent="0.2">
      <c r="A147" s="15">
        <v>43992</v>
      </c>
      <c r="B147" s="113">
        <v>1.0219</v>
      </c>
      <c r="C147" s="108">
        <f t="shared" si="38"/>
        <v>-7.5000000000000622E-3</v>
      </c>
      <c r="D147" s="109">
        <f t="shared" si="39"/>
        <v>-7.5000000000000622E-3</v>
      </c>
      <c r="E147" s="109">
        <f ca="1">IF(表2_3671626293038912[[#This Row],[累计净值]]/MAX(INDIRECT("B21:B" &amp; ROW()))-1&lt;E146,表2_3671626293038912[[#This Row],[累计净值]]/MAX(INDIRECT("B21:B" &amp; ROW()))-1,E146)</f>
        <v>-3.8239968216130182E-2</v>
      </c>
      <c r="F147" s="110">
        <f>表2_3671626293038912[[#This Row],[累计净值]]</f>
        <v>1.0219</v>
      </c>
      <c r="G147" s="20">
        <f>表2_3671626293038912[[#This Row],[累计净值]]/$B$21-1</f>
        <v>2.1185170380733531E-2</v>
      </c>
    </row>
    <row r="148" spans="1:7" x14ac:dyDescent="0.2">
      <c r="A148" s="15">
        <v>43993</v>
      </c>
      <c r="B148" s="113">
        <v>1.0218</v>
      </c>
      <c r="C148" s="108">
        <f t="shared" si="38"/>
        <v>-9.9999999999988987E-5</v>
      </c>
      <c r="D148" s="109">
        <f t="shared" si="39"/>
        <v>-9.9999999999988987E-5</v>
      </c>
      <c r="E148" s="109">
        <f ca="1">IF(表2_3671626293038912[[#This Row],[累计净值]]/MAX(INDIRECT("B21:B" &amp; ROW()))-1&lt;E147,表2_3671626293038912[[#This Row],[累计净值]]/MAX(INDIRECT("B21:B" &amp; ROW()))-1,E147)</f>
        <v>-3.8239968216130182E-2</v>
      </c>
      <c r="F148" s="110">
        <f>表2_3671626293038912[[#This Row],[累计净值]]</f>
        <v>1.0218</v>
      </c>
      <c r="G148" s="20">
        <f>表2_3671626293038912[[#This Row],[累计净值]]/$B$21-1</f>
        <v>2.1085240331767841E-2</v>
      </c>
    </row>
    <row r="149" spans="1:7" x14ac:dyDescent="0.2">
      <c r="A149" s="15">
        <v>43994</v>
      </c>
      <c r="B149" s="113">
        <v>1.0216000000000001</v>
      </c>
      <c r="C149" s="108">
        <f t="shared" si="38"/>
        <v>-1.9999999999997797E-4</v>
      </c>
      <c r="D149" s="109">
        <f t="shared" si="39"/>
        <v>-1.9999999999997797E-4</v>
      </c>
      <c r="E149" s="109">
        <f ca="1">IF(表2_3671626293038912[[#This Row],[累计净值]]/MAX(INDIRECT("B21:B" &amp; ROW()))-1&lt;E148,表2_3671626293038912[[#This Row],[累计净值]]/MAX(INDIRECT("B21:B" &amp; ROW()))-1,E148)</f>
        <v>-3.8239968216130182E-2</v>
      </c>
      <c r="F149" s="110">
        <f>表2_3671626293038912[[#This Row],[累计净值]]</f>
        <v>1.0216000000000001</v>
      </c>
      <c r="G149" s="20">
        <f>表2_3671626293038912[[#This Row],[累计净值]]/$B$21-1</f>
        <v>2.0885380233836459E-2</v>
      </c>
    </row>
    <row r="150" spans="1:7" x14ac:dyDescent="0.2">
      <c r="A150" s="15">
        <v>43997</v>
      </c>
      <c r="B150" s="113">
        <v>1.0188999999999999</v>
      </c>
      <c r="C150" s="108">
        <f t="shared" ref="C150:C155" si="40">IFERROR(B150-B149,0)</f>
        <v>-2.7000000000001467E-3</v>
      </c>
      <c r="D150" s="109">
        <f t="shared" ref="D150:D155" si="41">IF(C150&lt;0,C150,"/")</f>
        <v>-2.7000000000001467E-3</v>
      </c>
      <c r="E150" s="109">
        <f ca="1">IF(表2_3671626293038912[[#This Row],[累计净值]]/MAX(INDIRECT("B21:B" &amp; ROW()))-1&lt;E149,表2_3671626293038912[[#This Row],[累计净值]]/MAX(INDIRECT("B21:B" &amp; ROW()))-1,E149)</f>
        <v>-3.8239968216130182E-2</v>
      </c>
      <c r="F150" s="110">
        <f>表2_3671626293038912[[#This Row],[累计净值]]</f>
        <v>1.0188999999999999</v>
      </c>
      <c r="G150" s="20">
        <f>表2_3671626293038912[[#This Row],[累计净值]]/$B$21-1</f>
        <v>1.81872689117617E-2</v>
      </c>
    </row>
    <row r="151" spans="1:7" x14ac:dyDescent="0.2">
      <c r="A151" s="15">
        <v>43998</v>
      </c>
      <c r="B151" s="113">
        <v>1.0233000000000001</v>
      </c>
      <c r="C151" s="108">
        <f t="shared" si="40"/>
        <v>4.4000000000001815E-3</v>
      </c>
      <c r="D151" s="109" t="str">
        <f t="shared" si="41"/>
        <v>/</v>
      </c>
      <c r="E151" s="109">
        <f ca="1">IF(表2_3671626293038912[[#This Row],[累计净值]]/MAX(INDIRECT("B21:B" &amp; ROW()))-1&lt;E150,表2_3671626293038912[[#This Row],[累计净值]]/MAX(INDIRECT("B21:B" &amp; ROW()))-1,E150)</f>
        <v>-3.8239968216130182E-2</v>
      </c>
      <c r="F151" s="110">
        <f>表2_3671626293038912[[#This Row],[累计净值]]</f>
        <v>1.0233000000000001</v>
      </c>
      <c r="G151" s="20">
        <f>表2_3671626293038912[[#This Row],[累计净值]]/$B$21-1</f>
        <v>2.2584191066253867E-2</v>
      </c>
    </row>
    <row r="152" spans="1:7" x14ac:dyDescent="0.2">
      <c r="A152" s="15">
        <v>43999</v>
      </c>
      <c r="B152" s="113">
        <v>1.0187999999999999</v>
      </c>
      <c r="C152" s="108">
        <f t="shared" si="40"/>
        <v>-4.5000000000001705E-3</v>
      </c>
      <c r="D152" s="109">
        <f t="shared" si="41"/>
        <v>-4.5000000000001705E-3</v>
      </c>
      <c r="E152" s="109">
        <f ca="1">IF(表2_3671626293038912[[#This Row],[累计净值]]/MAX(INDIRECT("B21:B" &amp; ROW()))-1&lt;E151,表2_3671626293038912[[#This Row],[累计净值]]/MAX(INDIRECT("B21:B" &amp; ROW()))-1,E151)</f>
        <v>-3.8239968216130182E-2</v>
      </c>
      <c r="F152" s="110">
        <f>表2_3671626293038912[[#This Row],[累计净值]]</f>
        <v>1.0187999999999999</v>
      </c>
      <c r="G152" s="20">
        <f>表2_3671626293038912[[#This Row],[累计净值]]/$B$21-1</f>
        <v>1.808733886279601E-2</v>
      </c>
    </row>
    <row r="153" spans="1:7" x14ac:dyDescent="0.2">
      <c r="A153" s="15">
        <v>44000</v>
      </c>
      <c r="B153" s="113">
        <v>1.0185999999999999</v>
      </c>
      <c r="C153" s="108">
        <f t="shared" si="40"/>
        <v>-1.9999999999997797E-4</v>
      </c>
      <c r="D153" s="109">
        <f t="shared" si="41"/>
        <v>-1.9999999999997797E-4</v>
      </c>
      <c r="E153" s="109">
        <f ca="1">IF(表2_3671626293038912[[#This Row],[累计净值]]/MAX(INDIRECT("B21:B" &amp; ROW()))-1&lt;E152,表2_3671626293038912[[#This Row],[累计净值]]/MAX(INDIRECT("B21:B" &amp; ROW()))-1,E152)</f>
        <v>-3.8239968216130182E-2</v>
      </c>
      <c r="F153" s="110">
        <f>表2_3671626293038912[[#This Row],[累计净值]]</f>
        <v>1.0185999999999999</v>
      </c>
      <c r="G153" s="20">
        <f>表2_3671626293038912[[#This Row],[累计净值]]/$B$21-1</f>
        <v>1.7887478764864628E-2</v>
      </c>
    </row>
    <row r="154" spans="1:7" x14ac:dyDescent="0.2">
      <c r="A154" s="15">
        <v>44001</v>
      </c>
      <c r="B154" s="113">
        <v>1.0142</v>
      </c>
      <c r="C154" s="108">
        <f t="shared" si="40"/>
        <v>-4.3999999999999595E-3</v>
      </c>
      <c r="D154" s="109">
        <f t="shared" si="41"/>
        <v>-4.3999999999999595E-3</v>
      </c>
      <c r="E154" s="109">
        <f ca="1">IF(表2_3671626293038912[[#This Row],[累计净值]]/MAX(INDIRECT("B21:B" &amp; ROW()))-1&lt;E153,表2_3671626293038912[[#This Row],[累计净值]]/MAX(INDIRECT("B21:B" &amp; ROW()))-1,E153)</f>
        <v>-3.8239968216130182E-2</v>
      </c>
      <c r="F154" s="110">
        <f>表2_3671626293038912[[#This Row],[累计净值]]</f>
        <v>1.0142</v>
      </c>
      <c r="G154" s="20">
        <f>表2_3671626293038912[[#This Row],[累计净值]]/$B$21-1</f>
        <v>1.3490556610372906E-2</v>
      </c>
    </row>
    <row r="155" spans="1:7" x14ac:dyDescent="0.2">
      <c r="A155" s="15">
        <v>44004</v>
      </c>
      <c r="B155" s="112">
        <v>1.0185999999999999</v>
      </c>
      <c r="C155" s="108">
        <f t="shared" si="40"/>
        <v>4.3999999999999595E-3</v>
      </c>
      <c r="D155" s="109" t="str">
        <f t="shared" si="41"/>
        <v>/</v>
      </c>
      <c r="E155" s="109">
        <f ca="1">IF(表2_3671626293038912[[#This Row],[累计净值]]/MAX(INDIRECT("B21:B" &amp; ROW()))-1&lt;E154,表2_3671626293038912[[#This Row],[累计净值]]/MAX(INDIRECT("B21:B" &amp; ROW()))-1,E154)</f>
        <v>-3.8239968216130182E-2</v>
      </c>
      <c r="F155" s="110">
        <f>表2_3671626293038912[[#This Row],[累计净值]]</f>
        <v>1.0185999999999999</v>
      </c>
      <c r="G155" s="20">
        <f>表2_3671626293038912[[#This Row],[累计净值]]/$B$21-1</f>
        <v>1.7887478764864628E-2</v>
      </c>
    </row>
    <row r="156" spans="1:7" x14ac:dyDescent="0.2">
      <c r="A156" s="15">
        <v>44005</v>
      </c>
      <c r="B156" s="112">
        <v>1.0123</v>
      </c>
      <c r="C156" s="108">
        <f t="shared" ref="C156:C162" si="42">IFERROR(B156-B155,0)</f>
        <v>-6.2999999999999723E-3</v>
      </c>
      <c r="D156" s="109">
        <f t="shared" ref="D156:D162" si="43">IF(C156&lt;0,C156,"/")</f>
        <v>-6.2999999999999723E-3</v>
      </c>
      <c r="E156" s="109">
        <f ca="1">IF(表2_3671626293038912[[#This Row],[累计净值]]/MAX(INDIRECT("B21:B" &amp; ROW()))-1&lt;E155,表2_3671626293038912[[#This Row],[累计净值]]/MAX(INDIRECT("B21:B" &amp; ROW()))-1,E155)</f>
        <v>-3.8239968216130182E-2</v>
      </c>
      <c r="F156" s="110">
        <f>表2_3671626293038912[[#This Row],[累计净值]]</f>
        <v>1.0123</v>
      </c>
      <c r="G156" s="20">
        <f>表2_3671626293038912[[#This Row],[累计净值]]/$B$21-1</f>
        <v>1.1591885680024117E-2</v>
      </c>
    </row>
    <row r="157" spans="1:7" x14ac:dyDescent="0.2">
      <c r="A157" s="15">
        <v>44006</v>
      </c>
      <c r="B157" s="112">
        <v>1.0176000000000001</v>
      </c>
      <c r="C157" s="108">
        <f t="shared" si="42"/>
        <v>5.3000000000000824E-3</v>
      </c>
      <c r="D157" s="109" t="str">
        <f t="shared" si="43"/>
        <v>/</v>
      </c>
      <c r="E157" s="109">
        <f ca="1">IF(表2_3671626293038912[[#This Row],[累计净值]]/MAX(INDIRECT("B21:B" &amp; ROW()))-1&lt;E156,表2_3671626293038912[[#This Row],[累计净值]]/MAX(INDIRECT("B21:B" &amp; ROW()))-1,E156)</f>
        <v>-3.8239968216130182E-2</v>
      </c>
      <c r="F157" s="110">
        <f>表2_3671626293038912[[#This Row],[累计净值]]</f>
        <v>1.0176000000000001</v>
      </c>
      <c r="G157" s="20">
        <f>表2_3671626293038912[[#This Row],[累计净值]]/$B$21-1</f>
        <v>1.6888178275207499E-2</v>
      </c>
    </row>
    <row r="158" spans="1:7" x14ac:dyDescent="0.2">
      <c r="A158" s="15">
        <v>44011</v>
      </c>
      <c r="B158" s="112">
        <v>1.0175000000000001</v>
      </c>
      <c r="C158" s="108">
        <f t="shared" si="42"/>
        <v>-9.9999999999988987E-5</v>
      </c>
      <c r="D158" s="109">
        <f t="shared" si="43"/>
        <v>-9.9999999999988987E-5</v>
      </c>
      <c r="E158" s="109">
        <f ca="1">IF(表2_3671626293038912[[#This Row],[累计净值]]/MAX(INDIRECT("B21:B" &amp; ROW()))-1&lt;E157,表2_3671626293038912[[#This Row],[累计净值]]/MAX(INDIRECT("B21:B" &amp; ROW()))-1,E157)</f>
        <v>-3.8239968216130182E-2</v>
      </c>
      <c r="F158" s="110">
        <f>表2_3671626293038912[[#This Row],[累计净值]]</f>
        <v>1.0175000000000001</v>
      </c>
      <c r="G158" s="20">
        <f>表2_3671626293038912[[#This Row],[累计净值]]/$B$21-1</f>
        <v>1.6788248226241809E-2</v>
      </c>
    </row>
    <row r="159" spans="1:7" x14ac:dyDescent="0.2">
      <c r="A159" s="15">
        <v>44012</v>
      </c>
      <c r="B159" s="112">
        <v>1.018</v>
      </c>
      <c r="C159" s="108">
        <f t="shared" si="42"/>
        <v>4.9999999999994493E-4</v>
      </c>
      <c r="D159" s="109" t="str">
        <f t="shared" si="43"/>
        <v>/</v>
      </c>
      <c r="E159" s="109">
        <f ca="1">IF(表2_3671626293038912[[#This Row],[累计净值]]/MAX(INDIRECT("B21:B" &amp; ROW()))-1&lt;E158,表2_3671626293038912[[#This Row],[累计净值]]/MAX(INDIRECT("B21:B" &amp; ROW()))-1,E158)</f>
        <v>-3.8239968216130182E-2</v>
      </c>
      <c r="F159" s="110">
        <f>表2_3671626293038912[[#This Row],[累计净值]]</f>
        <v>1.018</v>
      </c>
      <c r="G159" s="20">
        <f>表2_3671626293038912[[#This Row],[累计净值]]/$B$21-1</f>
        <v>1.7287898471070262E-2</v>
      </c>
    </row>
    <row r="160" spans="1:7" x14ac:dyDescent="0.2">
      <c r="A160" s="15">
        <v>44013</v>
      </c>
      <c r="B160" s="112">
        <v>1.0249999999999999</v>
      </c>
      <c r="C160" s="108">
        <f t="shared" si="42"/>
        <v>6.9999999999998952E-3</v>
      </c>
      <c r="D160" s="109" t="str">
        <f t="shared" si="43"/>
        <v>/</v>
      </c>
      <c r="E160" s="109">
        <f ca="1">IF(表2_3671626293038912[[#This Row],[累计净值]]/MAX(INDIRECT("B21:B" &amp; ROW()))-1&lt;E159,表2_3671626293038912[[#This Row],[累计净值]]/MAX(INDIRECT("B21:B" &amp; ROW()))-1,E159)</f>
        <v>-3.8239968216130182E-2</v>
      </c>
      <c r="F160" s="110">
        <f>表2_3671626293038912[[#This Row],[累计净值]]</f>
        <v>1.0249999999999999</v>
      </c>
      <c r="G160" s="20">
        <f>表2_3671626293038912[[#This Row],[累计净值]]/$B$21-1</f>
        <v>2.4283001898670831E-2</v>
      </c>
    </row>
    <row r="161" spans="1:7" x14ac:dyDescent="0.2">
      <c r="A161" s="15">
        <v>44014</v>
      </c>
      <c r="B161" s="112">
        <v>1.0173000000000001</v>
      </c>
      <c r="C161" s="108">
        <f t="shared" si="42"/>
        <v>-7.6999999999998181E-3</v>
      </c>
      <c r="D161" s="109">
        <f t="shared" si="43"/>
        <v>-7.6999999999998181E-3</v>
      </c>
      <c r="E161" s="109">
        <f ca="1">IF(表2_3671626293038912[[#This Row],[累计净值]]/MAX(INDIRECT("B21:B" &amp; ROW()))-1&lt;E160,表2_3671626293038912[[#This Row],[累计净值]]/MAX(INDIRECT("B21:B" &amp; ROW()))-1,E160)</f>
        <v>-3.8239968216130182E-2</v>
      </c>
      <c r="F161" s="110">
        <f>表2_3671626293038912[[#This Row],[累计净值]]</f>
        <v>1.0173000000000001</v>
      </c>
      <c r="G161" s="20">
        <f>表2_3671626293038912[[#This Row],[累计净值]]/$B$21-1</f>
        <v>1.6588388128310427E-2</v>
      </c>
    </row>
    <row r="162" spans="1:7" x14ac:dyDescent="0.2">
      <c r="A162" s="15">
        <v>44015</v>
      </c>
      <c r="B162" s="112">
        <v>1.0198</v>
      </c>
      <c r="C162" s="108">
        <f t="shared" si="42"/>
        <v>2.4999999999999467E-3</v>
      </c>
      <c r="D162" s="109" t="str">
        <f t="shared" si="43"/>
        <v>/</v>
      </c>
      <c r="E162" s="109">
        <f ca="1">IF(表2_3671626293038912[[#This Row],[累计净值]]/MAX(INDIRECT("B21:B" &amp; ROW()))-1&lt;E161,表2_3671626293038912[[#This Row],[累计净值]]/MAX(INDIRECT("B21:B" &amp; ROW()))-1,E161)</f>
        <v>-3.8239968216130182E-2</v>
      </c>
      <c r="F162" s="110">
        <f>表2_3671626293038912[[#This Row],[累计净值]]</f>
        <v>1.0198</v>
      </c>
      <c r="G162" s="20">
        <f>表2_3671626293038912[[#This Row],[累计净值]]/$B$21-1</f>
        <v>1.9086639352453361E-2</v>
      </c>
    </row>
    <row r="163" spans="1:7" x14ac:dyDescent="0.2">
      <c r="A163" s="15">
        <v>44018</v>
      </c>
      <c r="B163" s="112">
        <v>1.0174000000000001</v>
      </c>
      <c r="C163" s="108">
        <f t="shared" ref="C163:C168" si="44">IFERROR(B163-B162,0)</f>
        <v>-2.3999999999999577E-3</v>
      </c>
      <c r="D163" s="109">
        <f t="shared" ref="D163:D168" si="45">IF(C163&lt;0,C163,"/")</f>
        <v>-2.3999999999999577E-3</v>
      </c>
      <c r="E163" s="109">
        <f ca="1">IF(表2_3671626293038912[[#This Row],[累计净值]]/MAX(INDIRECT("B21:B" &amp; ROW()))-1&lt;E162,表2_3671626293038912[[#This Row],[累计净值]]/MAX(INDIRECT("B21:B" &amp; ROW()))-1,E162)</f>
        <v>-3.8239968216130182E-2</v>
      </c>
      <c r="F163" s="110">
        <f>表2_3671626293038912[[#This Row],[累计净值]]</f>
        <v>1.0174000000000001</v>
      </c>
      <c r="G163" s="20">
        <f>表2_3671626293038912[[#This Row],[累计净值]]/$B$21-1</f>
        <v>1.6688318177276118E-2</v>
      </c>
    </row>
    <row r="164" spans="1:7" x14ac:dyDescent="0.2">
      <c r="A164" s="15">
        <v>44019</v>
      </c>
      <c r="B164" s="112">
        <v>1.0121</v>
      </c>
      <c r="C164" s="108">
        <f t="shared" si="44"/>
        <v>-5.3000000000000824E-3</v>
      </c>
      <c r="D164" s="109">
        <f t="shared" si="45"/>
        <v>-5.3000000000000824E-3</v>
      </c>
      <c r="E164" s="109">
        <f ca="1">IF(表2_3671626293038912[[#This Row],[累计净值]]/MAX(INDIRECT("B21:B" &amp; ROW()))-1&lt;E163,表2_3671626293038912[[#This Row],[累计净值]]/MAX(INDIRECT("B21:B" &amp; ROW()))-1,E163)</f>
        <v>-3.8239968216130182E-2</v>
      </c>
      <c r="F164" s="110">
        <f>表2_3671626293038912[[#This Row],[累计净值]]</f>
        <v>1.0121</v>
      </c>
      <c r="G164" s="20">
        <f>表2_3671626293038912[[#This Row],[累计净值]]/$B$21-1</f>
        <v>1.1392025582092513E-2</v>
      </c>
    </row>
    <row r="165" spans="1:7" x14ac:dyDescent="0.2">
      <c r="A165" s="15">
        <v>44020</v>
      </c>
      <c r="B165" s="112">
        <v>1.014</v>
      </c>
      <c r="C165" s="108">
        <f t="shared" si="44"/>
        <v>1.9000000000000128E-3</v>
      </c>
      <c r="D165" s="109" t="str">
        <f t="shared" si="45"/>
        <v>/</v>
      </c>
      <c r="E165" s="109">
        <f ca="1">IF(表2_3671626293038912[[#This Row],[累计净值]]/MAX(INDIRECT("B21:B" &amp; ROW()))-1&lt;E164,表2_3671626293038912[[#This Row],[累计净值]]/MAX(INDIRECT("B21:B" &amp; ROW()))-1,E164)</f>
        <v>-3.8239968216130182E-2</v>
      </c>
      <c r="F165" s="110">
        <f>表2_3671626293038912[[#This Row],[累计净值]]</f>
        <v>1.014</v>
      </c>
      <c r="G165" s="20">
        <f>表2_3671626293038912[[#This Row],[累计净值]]/$B$21-1</f>
        <v>1.3290696512441302E-2</v>
      </c>
    </row>
    <row r="166" spans="1:7" x14ac:dyDescent="0.2">
      <c r="A166" s="15">
        <v>44021</v>
      </c>
      <c r="B166" s="112">
        <v>1.0245</v>
      </c>
      <c r="C166" s="108">
        <f t="shared" si="44"/>
        <v>1.0499999999999954E-2</v>
      </c>
      <c r="D166" s="109" t="str">
        <f t="shared" si="45"/>
        <v>/</v>
      </c>
      <c r="E166" s="109">
        <f ca="1">IF(表2_3671626293038912[[#This Row],[累计净值]]/MAX(INDIRECT("B21:B" &amp; ROW()))-1&lt;E165,表2_3671626293038912[[#This Row],[累计净值]]/MAX(INDIRECT("B21:B" &amp; ROW()))-1,E165)</f>
        <v>-3.8239968216130182E-2</v>
      </c>
      <c r="F166" s="110">
        <f>表2_3671626293038912[[#This Row],[累计净值]]</f>
        <v>1.0245</v>
      </c>
      <c r="G166" s="20">
        <f>表2_3671626293038912[[#This Row],[累计净值]]/$B$21-1</f>
        <v>2.3783351653842377E-2</v>
      </c>
    </row>
    <row r="167" spans="1:7" x14ac:dyDescent="0.2">
      <c r="A167" s="15">
        <v>44022</v>
      </c>
      <c r="B167" s="112">
        <v>1.0135000000000001</v>
      </c>
      <c r="C167" s="108">
        <f t="shared" si="44"/>
        <v>-1.0999999999999899E-2</v>
      </c>
      <c r="D167" s="109">
        <f t="shared" si="45"/>
        <v>-1.0999999999999899E-2</v>
      </c>
      <c r="E167" s="109">
        <f ca="1">IF(表2_3671626293038912[[#This Row],[累计净值]]/MAX(INDIRECT("B21:B" &amp; ROW()))-1&lt;E166,表2_3671626293038912[[#This Row],[累计净值]]/MAX(INDIRECT("B21:B" &amp; ROW()))-1,E166)</f>
        <v>-3.8239968216130182E-2</v>
      </c>
      <c r="F167" s="110">
        <f>表2_3671626293038912[[#This Row],[累计净值]]</f>
        <v>1.0135000000000001</v>
      </c>
      <c r="G167" s="20">
        <f>表2_3671626293038912[[#This Row],[累计净值]]/$B$21-1</f>
        <v>1.2791046267612849E-2</v>
      </c>
    </row>
    <row r="168" spans="1:7" x14ac:dyDescent="0.2">
      <c r="A168" s="15">
        <v>44025</v>
      </c>
      <c r="B168" s="112">
        <v>1.0206</v>
      </c>
      <c r="C168" s="108">
        <f t="shared" si="44"/>
        <v>7.0999999999998842E-3</v>
      </c>
      <c r="D168" s="109" t="str">
        <f t="shared" si="45"/>
        <v>/</v>
      </c>
      <c r="E168" s="109">
        <f ca="1">IF(表2_3671626293038912[[#This Row],[累计净值]]/MAX(INDIRECT("B21:B" &amp; ROW()))-1&lt;E167,表2_3671626293038912[[#This Row],[累计净值]]/MAX(INDIRECT("B21:B" &amp; ROW()))-1,E167)</f>
        <v>-3.8239968216130182E-2</v>
      </c>
      <c r="F168" s="110">
        <f>表2_3671626293038912[[#This Row],[累计净值]]</f>
        <v>1.0206</v>
      </c>
      <c r="G168" s="20">
        <f>表2_3671626293038912[[#This Row],[累计净值]]/$B$21-1</f>
        <v>1.9886079744179108E-2</v>
      </c>
    </row>
    <row r="169" spans="1:7" x14ac:dyDescent="0.2">
      <c r="A169" s="15">
        <v>44026</v>
      </c>
      <c r="B169" s="112">
        <v>1.0194000000000001</v>
      </c>
      <c r="C169" s="108">
        <f t="shared" ref="C169:C174" si="46">IFERROR(B169-B168,0)</f>
        <v>-1.1999999999998678E-3</v>
      </c>
      <c r="D169" s="109">
        <f t="shared" ref="D169:D174" si="47">IF(C169&lt;0,C169,"/")</f>
        <v>-1.1999999999998678E-3</v>
      </c>
      <c r="E169" s="109">
        <f ca="1">IF(表2_3671626293038912[[#This Row],[累计净值]]/MAX(INDIRECT("B21:B" &amp; ROW()))-1&lt;E168,表2_3671626293038912[[#This Row],[累计净值]]/MAX(INDIRECT("B21:B" &amp; ROW()))-1,E168)</f>
        <v>-3.8239968216130182E-2</v>
      </c>
      <c r="F169" s="110">
        <f>表2_3671626293038912[[#This Row],[累计净值]]</f>
        <v>1.0194000000000001</v>
      </c>
      <c r="G169" s="20">
        <f>表2_3671626293038912[[#This Row],[累计净值]]/$B$21-1</f>
        <v>1.8686919156590598E-2</v>
      </c>
    </row>
    <row r="170" spans="1:7" x14ac:dyDescent="0.2">
      <c r="A170" s="15">
        <v>44027</v>
      </c>
      <c r="B170" s="112">
        <v>1.0172000000000001</v>
      </c>
      <c r="C170" s="108">
        <f t="shared" si="46"/>
        <v>-2.1999999999999797E-3</v>
      </c>
      <c r="D170" s="109">
        <f t="shared" si="47"/>
        <v>-2.1999999999999797E-3</v>
      </c>
      <c r="E170" s="109">
        <f ca="1">IF(表2_3671626293038912[[#This Row],[累计净值]]/MAX(INDIRECT("B21:B" &amp; ROW()))-1&lt;E169,表2_3671626293038912[[#This Row],[累计净值]]/MAX(INDIRECT("B21:B" &amp; ROW()))-1,E169)</f>
        <v>-3.8239968216130182E-2</v>
      </c>
      <c r="F170" s="110">
        <f>表2_3671626293038912[[#This Row],[累计净值]]</f>
        <v>1.0172000000000001</v>
      </c>
      <c r="G170" s="20">
        <f>表2_3671626293038912[[#This Row],[累计净值]]/$B$21-1</f>
        <v>1.6488458079344737E-2</v>
      </c>
    </row>
    <row r="171" spans="1:7" x14ac:dyDescent="0.2">
      <c r="A171" s="15">
        <v>44028</v>
      </c>
      <c r="B171" s="112">
        <v>1.0133000000000001</v>
      </c>
      <c r="C171" s="108">
        <f t="shared" si="46"/>
        <v>-3.9000000000000146E-3</v>
      </c>
      <c r="D171" s="109">
        <f t="shared" si="47"/>
        <v>-3.9000000000000146E-3</v>
      </c>
      <c r="E171" s="109">
        <f ca="1">IF(表2_3671626293038912[[#This Row],[累计净值]]/MAX(INDIRECT("B21:B" &amp; ROW()))-1&lt;E170,表2_3671626293038912[[#This Row],[累计净值]]/MAX(INDIRECT("B21:B" &amp; ROW()))-1,E170)</f>
        <v>-3.8239968216130182E-2</v>
      </c>
      <c r="F171" s="110">
        <f>表2_3671626293038912[[#This Row],[累计净值]]</f>
        <v>1.0133000000000001</v>
      </c>
      <c r="G171" s="20">
        <f>表2_3671626293038912[[#This Row],[累计净值]]/$B$21-1</f>
        <v>1.2591186169681468E-2</v>
      </c>
    </row>
    <row r="172" spans="1:7" x14ac:dyDescent="0.2">
      <c r="A172" s="15">
        <v>44029</v>
      </c>
      <c r="B172" s="112">
        <v>1.0097</v>
      </c>
      <c r="C172" s="108">
        <f t="shared" si="46"/>
        <v>-3.6000000000000476E-3</v>
      </c>
      <c r="D172" s="109">
        <f t="shared" si="47"/>
        <v>-3.6000000000000476E-3</v>
      </c>
      <c r="E172" s="109">
        <f ca="1">IF(表2_3671626293038912[[#This Row],[累计净值]]/MAX(INDIRECT("B21:B" &amp; ROW()))-1&lt;E171,表2_3671626293038912[[#This Row],[累计净值]]/MAX(INDIRECT("B21:B" &amp; ROW()))-1,E171)</f>
        <v>-3.8655622203179973E-2</v>
      </c>
      <c r="F172" s="110">
        <f>表2_3671626293038912[[#This Row],[累计净值]]</f>
        <v>1.0097</v>
      </c>
      <c r="G172" s="20">
        <f>表2_3671626293038912[[#This Row],[累计净值]]/$B$21-1</f>
        <v>8.9937044069152705E-3</v>
      </c>
    </row>
    <row r="173" spans="1:7" x14ac:dyDescent="0.2">
      <c r="A173" s="15">
        <v>44032</v>
      </c>
      <c r="B173" s="112">
        <v>1.0176000000000001</v>
      </c>
      <c r="C173" s="108">
        <f t="shared" si="46"/>
        <v>7.9000000000000181E-3</v>
      </c>
      <c r="D173" s="109" t="str">
        <f t="shared" si="47"/>
        <v>/</v>
      </c>
      <c r="E173" s="109">
        <f ca="1">IF(表2_3671626293038912[[#This Row],[累计净值]]/MAX(INDIRECT("B21:B" &amp; ROW()))-1&lt;E172,表2_3671626293038912[[#This Row],[累计净值]]/MAX(INDIRECT("B21:B" &amp; ROW()))-1,E172)</f>
        <v>-3.8655622203179973E-2</v>
      </c>
      <c r="F173" s="110">
        <f>表2_3671626293038912[[#This Row],[累计净值]]</f>
        <v>1.0176000000000001</v>
      </c>
      <c r="G173" s="20">
        <f>表2_3671626293038912[[#This Row],[累计净值]]/$B$21-1</f>
        <v>1.6888178275207499E-2</v>
      </c>
    </row>
    <row r="174" spans="1:7" x14ac:dyDescent="0.2">
      <c r="A174" s="15">
        <v>44033</v>
      </c>
      <c r="B174" s="112">
        <v>1.0147999999999999</v>
      </c>
      <c r="C174" s="108">
        <f t="shared" si="46"/>
        <v>-2.8000000000001357E-3</v>
      </c>
      <c r="D174" s="109">
        <f t="shared" si="47"/>
        <v>-2.8000000000001357E-3</v>
      </c>
      <c r="E174" s="109">
        <f ca="1">IF(表2_3671626293038912[[#This Row],[累计净值]]/MAX(INDIRECT("B21:B" &amp; ROW()))-1&lt;E173,表2_3671626293038912[[#This Row],[累计净值]]/MAX(INDIRECT("B21:B" &amp; ROW()))-1,E173)</f>
        <v>-3.8655622203179973E-2</v>
      </c>
      <c r="F174" s="110">
        <f>表2_3671626293038912[[#This Row],[累计净值]]</f>
        <v>1.0147999999999999</v>
      </c>
      <c r="G174" s="20">
        <f>表2_3671626293038912[[#This Row],[累计净值]]/$B$21-1</f>
        <v>1.409013690416705E-2</v>
      </c>
    </row>
    <row r="175" spans="1:7" x14ac:dyDescent="0.2">
      <c r="A175" s="15">
        <v>44034</v>
      </c>
      <c r="B175" s="112">
        <v>1.0342</v>
      </c>
      <c r="C175" s="108">
        <f>IFERROR(B175-B174,0)</f>
        <v>1.9400000000000084E-2</v>
      </c>
      <c r="D175" s="109" t="str">
        <f>IF(C175&lt;0,C175,"/")</f>
        <v>/</v>
      </c>
      <c r="E175" s="109">
        <f ca="1">IF(表2_3671626293038912[[#This Row],[累计净值]]/MAX(INDIRECT("B21:B" &amp; ROW()))-1&lt;E174,表2_3671626293038912[[#This Row],[累计净值]]/MAX(INDIRECT("B21:B" &amp; ROW()))-1,E174)</f>
        <v>-3.8655622203179973E-2</v>
      </c>
      <c r="F175" s="110">
        <f>表2_3671626293038912[[#This Row],[累计净值]]</f>
        <v>1.0342</v>
      </c>
      <c r="G175" s="20">
        <f>表2_3671626293038912[[#This Row],[累计净值]]/$B$21-1</f>
        <v>3.3476566403517705E-2</v>
      </c>
    </row>
    <row r="176" spans="1:7" x14ac:dyDescent="0.2">
      <c r="A176" s="15">
        <v>44035</v>
      </c>
      <c r="B176" s="117">
        <v>1.0682</v>
      </c>
      <c r="C176" s="108">
        <f>IFERROR(B176-B175,0)</f>
        <v>3.400000000000003E-2</v>
      </c>
      <c r="D176" s="109" t="str">
        <f>IF(C176&lt;0,C176,"/")</f>
        <v>/</v>
      </c>
      <c r="E176" s="109">
        <f ca="1">IF(表2_3671626293038912[[#This Row],[累计净值]]/MAX(INDIRECT("B21:B" &amp; ROW()))-1&lt;E175,表2_3671626293038912[[#This Row],[累计净值]]/MAX(INDIRECT("B21:B" &amp; ROW()))-1,E175)</f>
        <v>-3.8655622203179973E-2</v>
      </c>
      <c r="F176" s="110">
        <f>表2_3671626293038912[[#This Row],[累计净值]]</f>
        <v>1.0682</v>
      </c>
      <c r="G176" s="20">
        <f>表2_3671626293038912[[#This Row],[累计净值]]/$B$21-1</f>
        <v>6.7452783051863863E-2</v>
      </c>
    </row>
    <row r="177" spans="1:7" x14ac:dyDescent="0.2">
      <c r="A177" s="15">
        <v>44036</v>
      </c>
      <c r="B177" s="112">
        <v>1.0652999999999999</v>
      </c>
      <c r="C177" s="108">
        <f>IFERROR(B177-B176,0)</f>
        <v>-2.9000000000001247E-3</v>
      </c>
      <c r="D177" s="109">
        <f>IF(C177&lt;0,C177,"/")</f>
        <v>-2.9000000000001247E-3</v>
      </c>
      <c r="E177" s="109">
        <f ca="1">IF(表2_3671626293038912[[#This Row],[累计净值]]/MAX(INDIRECT("B21:B" &amp; ROW()))-1&lt;E176,表2_3671626293038912[[#This Row],[累计净值]]/MAX(INDIRECT("B21:B" &amp; ROW()))-1,E176)</f>
        <v>-3.8655622203179973E-2</v>
      </c>
      <c r="F177" s="110">
        <f>表2_3671626293038912[[#This Row],[累计净值]]</f>
        <v>1.0652999999999999</v>
      </c>
      <c r="G177" s="20">
        <f>表2_3671626293038912[[#This Row],[累计净值]]/$B$21-1</f>
        <v>6.4554811631857723E-2</v>
      </c>
    </row>
    <row r="178" spans="1:7" x14ac:dyDescent="0.2">
      <c r="A178" s="15">
        <v>44039</v>
      </c>
      <c r="B178" s="112">
        <v>1.0665</v>
      </c>
      <c r="C178" s="108">
        <f t="shared" ref="C178:C183" si="48">IFERROR(B178-B177,0)</f>
        <v>1.2000000000000899E-3</v>
      </c>
      <c r="D178" s="109" t="str">
        <f t="shared" ref="D178:D183" si="49">IF(C178&lt;0,C178,"/")</f>
        <v>/</v>
      </c>
      <c r="E178" s="109">
        <f ca="1">IF(表2_3671626293038912[[#This Row],[累计净值]]/MAX(INDIRECT("B21:B" &amp; ROW()))-1&lt;E177,表2_3671626293038912[[#This Row],[累计净值]]/MAX(INDIRECT("B21:B" &amp; ROW()))-1,E177)</f>
        <v>-3.8655622203179973E-2</v>
      </c>
      <c r="F178" s="110">
        <f>表2_3671626293038912[[#This Row],[累计净值]]</f>
        <v>1.0665</v>
      </c>
      <c r="G178" s="20">
        <f>表2_3671626293038912[[#This Row],[累计净值]]/$B$21-1</f>
        <v>6.5753972219446455E-2</v>
      </c>
    </row>
    <row r="179" spans="1:7" x14ac:dyDescent="0.2">
      <c r="A179" s="15">
        <v>44040</v>
      </c>
      <c r="B179" s="112">
        <v>1.0677000000000001</v>
      </c>
      <c r="C179" s="108">
        <f t="shared" si="48"/>
        <v>1.2000000000000899E-3</v>
      </c>
      <c r="D179" s="109" t="str">
        <f t="shared" si="49"/>
        <v>/</v>
      </c>
      <c r="E179" s="109">
        <f ca="1">IF(表2_3671626293038912[[#This Row],[累计净值]]/MAX(INDIRECT("B21:B" &amp; ROW()))-1&lt;E178,表2_3671626293038912[[#This Row],[累计净值]]/MAX(INDIRECT("B21:B" &amp; ROW()))-1,E178)</f>
        <v>-3.8655622203179973E-2</v>
      </c>
      <c r="F179" s="110">
        <f>表2_3671626293038912[[#This Row],[累计净值]]</f>
        <v>1.0677000000000001</v>
      </c>
      <c r="G179" s="20">
        <f>表2_3671626293038912[[#This Row],[累计净值]]/$B$21-1</f>
        <v>6.6953132807035187E-2</v>
      </c>
    </row>
    <row r="180" spans="1:7" x14ac:dyDescent="0.2">
      <c r="A180" s="15">
        <v>44041</v>
      </c>
      <c r="B180" s="112">
        <v>1.0656000000000001</v>
      </c>
      <c r="C180" s="108">
        <f t="shared" si="48"/>
        <v>-2.0999999999999908E-3</v>
      </c>
      <c r="D180" s="109">
        <f t="shared" si="49"/>
        <v>-2.0999999999999908E-3</v>
      </c>
      <c r="E180" s="109">
        <f ca="1">IF(表2_3671626293038912[[#This Row],[累计净值]]/MAX(INDIRECT("B21:B" &amp; ROW()))-1&lt;E179,表2_3671626293038912[[#This Row],[累计净值]]/MAX(INDIRECT("B21:B" &amp; ROW()))-1,E179)</f>
        <v>-3.8655622203179973E-2</v>
      </c>
      <c r="F180" s="110">
        <f>表2_3671626293038912[[#This Row],[累计净值]]</f>
        <v>1.0656000000000001</v>
      </c>
      <c r="G180" s="20">
        <f>表2_3671626293038912[[#This Row],[累计净值]]/$B$21-1</f>
        <v>6.4854601778755017E-2</v>
      </c>
    </row>
    <row r="181" spans="1:7" x14ac:dyDescent="0.2">
      <c r="A181" s="15">
        <v>44042</v>
      </c>
      <c r="B181" s="112">
        <v>1.0638000000000001</v>
      </c>
      <c r="C181" s="108">
        <f t="shared" si="48"/>
        <v>-1.8000000000000238E-3</v>
      </c>
      <c r="D181" s="109">
        <f t="shared" si="49"/>
        <v>-1.8000000000000238E-3</v>
      </c>
      <c r="E181" s="109">
        <f ca="1">IF(表2_3671626293038912[[#This Row],[累计净值]]/MAX(INDIRECT("B21:B" &amp; ROW()))-1&lt;E180,表2_3671626293038912[[#This Row],[累计净值]]/MAX(INDIRECT("B21:B" &amp; ROW()))-1,E180)</f>
        <v>-3.8655622203179973E-2</v>
      </c>
      <c r="F181" s="110">
        <f>表2_3671626293038912[[#This Row],[累计净值]]</f>
        <v>1.0638000000000001</v>
      </c>
      <c r="G181" s="20">
        <f>表2_3671626293038912[[#This Row],[累计净值]]/$B$21-1</f>
        <v>6.3055860897371918E-2</v>
      </c>
    </row>
    <row r="182" spans="1:7" x14ac:dyDescent="0.2">
      <c r="A182" s="15">
        <v>44043</v>
      </c>
      <c r="B182" s="112">
        <v>1.0650999999999999</v>
      </c>
      <c r="C182" s="108">
        <f t="shared" si="48"/>
        <v>1.2999999999998568E-3</v>
      </c>
      <c r="D182" s="109" t="str">
        <f t="shared" si="49"/>
        <v>/</v>
      </c>
      <c r="E182" s="109">
        <f ca="1">IF(表2_3671626293038912[[#This Row],[累计净值]]/MAX(INDIRECT("B21:B" &amp; ROW()))-1&lt;E181,表2_3671626293038912[[#This Row],[累计净值]]/MAX(INDIRECT("B21:B" &amp; ROW()))-1,E181)</f>
        <v>-3.8655622203179973E-2</v>
      </c>
      <c r="F182" s="110">
        <f>表2_3671626293038912[[#This Row],[累计净值]]</f>
        <v>1.0650999999999999</v>
      </c>
      <c r="G182" s="20">
        <f>表2_3671626293038912[[#This Row],[累计净值]]/$B$21-1</f>
        <v>6.4354951533926341E-2</v>
      </c>
    </row>
    <row r="183" spans="1:7" x14ac:dyDescent="0.2">
      <c r="A183" s="15">
        <v>44046</v>
      </c>
      <c r="B183" s="112">
        <v>1.0583</v>
      </c>
      <c r="C183" s="108">
        <f t="shared" si="48"/>
        <v>-6.7999999999999172E-3</v>
      </c>
      <c r="D183" s="109">
        <f t="shared" si="49"/>
        <v>-6.7999999999999172E-3</v>
      </c>
      <c r="E183" s="109">
        <f ca="1">IF(表2_3671626293038912[[#This Row],[累计净值]]/MAX(INDIRECT("B21:B" &amp; ROW()))-1&lt;E182,表2_3671626293038912[[#This Row],[累计净值]]/MAX(INDIRECT("B21:B" &amp; ROW()))-1,E182)</f>
        <v>-3.8655622203179973E-2</v>
      </c>
      <c r="F183" s="110">
        <f>表2_3671626293038912[[#This Row],[累计净值]]</f>
        <v>1.0583</v>
      </c>
      <c r="G183" s="20">
        <f>表2_3671626293038912[[#This Row],[累计净值]]/$B$21-1</f>
        <v>5.7559708204257154E-2</v>
      </c>
    </row>
    <row r="184" spans="1:7" x14ac:dyDescent="0.2">
      <c r="A184" s="15">
        <v>44047</v>
      </c>
      <c r="B184" s="112">
        <v>1.0645</v>
      </c>
      <c r="C184" s="108">
        <f t="shared" ref="C184:C189" si="50">IFERROR(B184-B183,0)</f>
        <v>6.1999999999999833E-3</v>
      </c>
      <c r="D184" s="109" t="str">
        <f t="shared" ref="D184:D189" si="51">IF(C184&lt;0,C184,"/")</f>
        <v>/</v>
      </c>
      <c r="E184" s="109">
        <f ca="1">IF(表2_3671626293038912[[#This Row],[累计净值]]/MAX(INDIRECT("B21:B" &amp; ROW()))-1&lt;E183,表2_3671626293038912[[#This Row],[累计净值]]/MAX(INDIRECT("B21:B" &amp; ROW()))-1,E183)</f>
        <v>-3.8655622203179973E-2</v>
      </c>
      <c r="F184" s="110">
        <f>表2_3671626293038912[[#This Row],[累计净值]]</f>
        <v>1.0645</v>
      </c>
      <c r="G184" s="20">
        <f>表2_3671626293038912[[#This Row],[累计净值]]/$B$21-1</f>
        <v>6.3755371240131975E-2</v>
      </c>
    </row>
    <row r="185" spans="1:7" x14ac:dyDescent="0.2">
      <c r="A185" s="15">
        <v>44048</v>
      </c>
      <c r="B185" s="112">
        <v>1.0644</v>
      </c>
      <c r="C185" s="108">
        <f t="shared" si="50"/>
        <v>-9.9999999999988987E-5</v>
      </c>
      <c r="D185" s="109">
        <f t="shared" si="51"/>
        <v>-9.9999999999988987E-5</v>
      </c>
      <c r="E185" s="109">
        <f ca="1">IF(表2_3671626293038912[[#This Row],[累计净值]]/MAX(INDIRECT("B21:B" &amp; ROW()))-1&lt;E184,表2_3671626293038912[[#This Row],[累计净值]]/MAX(INDIRECT("B21:B" &amp; ROW()))-1,E184)</f>
        <v>-3.8655622203179973E-2</v>
      </c>
      <c r="F185" s="110">
        <f>表2_3671626293038912[[#This Row],[累计净值]]</f>
        <v>1.0644</v>
      </c>
      <c r="G185" s="20">
        <f>表2_3671626293038912[[#This Row],[累计净值]]/$B$21-1</f>
        <v>6.3655441191166284E-2</v>
      </c>
    </row>
    <row r="186" spans="1:7" x14ac:dyDescent="0.2">
      <c r="A186" s="15">
        <v>44049</v>
      </c>
      <c r="B186" s="112">
        <v>1.0919000000000001</v>
      </c>
      <c r="C186" s="108">
        <f t="shared" si="50"/>
        <v>2.750000000000008E-2</v>
      </c>
      <c r="D186" s="109" t="str">
        <f t="shared" si="51"/>
        <v>/</v>
      </c>
      <c r="E186" s="109">
        <f ca="1">IF(表2_3671626293038912[[#This Row],[累计净值]]/MAX(INDIRECT("B21:B" &amp; ROW()))-1&lt;E185,表2_3671626293038912[[#This Row],[累计净值]]/MAX(INDIRECT("B21:B" &amp; ROW()))-1,E185)</f>
        <v>-3.8655622203179973E-2</v>
      </c>
      <c r="F186" s="110">
        <f>表2_3671626293038912[[#This Row],[累计净值]]</f>
        <v>1.0919000000000001</v>
      </c>
      <c r="G186" s="20">
        <f>表2_3671626293038912[[#This Row],[累计净值]]/$B$21-1</f>
        <v>9.1136204656740549E-2</v>
      </c>
    </row>
    <row r="187" spans="1:7" x14ac:dyDescent="0.2">
      <c r="A187" s="15">
        <v>44050</v>
      </c>
      <c r="B187" s="117">
        <v>1.1004</v>
      </c>
      <c r="C187" s="108">
        <f t="shared" si="50"/>
        <v>8.499999999999952E-3</v>
      </c>
      <c r="D187" s="109" t="str">
        <f t="shared" si="51"/>
        <v>/</v>
      </c>
      <c r="E187" s="109">
        <f ca="1">IF(表2_3671626293038912[[#This Row],[累计净值]]/MAX(INDIRECT("B21:B" &amp; ROW()))-1&lt;E186,表2_3671626293038912[[#This Row],[累计净值]]/MAX(INDIRECT("B21:B" &amp; ROW()))-1,E186)</f>
        <v>-3.8655622203179973E-2</v>
      </c>
      <c r="F187" s="110">
        <f>表2_3671626293038912[[#This Row],[累计净值]]</f>
        <v>1.1004</v>
      </c>
      <c r="G187" s="20">
        <f>表2_3671626293038912[[#This Row],[累计净值]]/$B$21-1</f>
        <v>9.9630258818826922E-2</v>
      </c>
    </row>
    <row r="188" spans="1:7" x14ac:dyDescent="0.2">
      <c r="A188" s="15">
        <v>44053</v>
      </c>
      <c r="B188" s="112">
        <v>1.0813999999999999</v>
      </c>
      <c r="C188" s="108">
        <f t="shared" si="50"/>
        <v>-1.9000000000000128E-2</v>
      </c>
      <c r="D188" s="109">
        <f t="shared" si="51"/>
        <v>-1.9000000000000128E-2</v>
      </c>
      <c r="E188" s="109">
        <f ca="1">IF(表2_3671626293038912[[#This Row],[累计净值]]/MAX(INDIRECT("B21:B" &amp; ROW()))-1&lt;E187,表2_3671626293038912[[#This Row],[累计净值]]/MAX(INDIRECT("B21:B" &amp; ROW()))-1,E187)</f>
        <v>-3.8655622203179973E-2</v>
      </c>
      <c r="F188" s="110">
        <f>表2_3671626293038912[[#This Row],[累计净值]]</f>
        <v>1.0813999999999999</v>
      </c>
      <c r="G188" s="20">
        <f>表2_3671626293038912[[#This Row],[累计净值]]/$B$21-1</f>
        <v>8.0643549515339252E-2</v>
      </c>
    </row>
    <row r="189" spans="1:7" x14ac:dyDescent="0.2">
      <c r="A189" s="15">
        <v>44054</v>
      </c>
      <c r="B189" s="112">
        <v>1.0775999999999999</v>
      </c>
      <c r="C189" s="108">
        <f t="shared" si="50"/>
        <v>-3.8000000000000256E-3</v>
      </c>
      <c r="D189" s="109">
        <f t="shared" si="51"/>
        <v>-3.8000000000000256E-3</v>
      </c>
      <c r="E189" s="109">
        <f ca="1">IF(表2_3671626293038912[[#This Row],[累计净值]]/MAX(INDIRECT("B21:B" &amp; ROW()))-1&lt;E188,表2_3671626293038912[[#This Row],[累计净值]]/MAX(INDIRECT("B21:B" &amp; ROW()))-1,E188)</f>
        <v>-3.8655622203179973E-2</v>
      </c>
      <c r="F189" s="110">
        <f>表2_3671626293038912[[#This Row],[累计净值]]</f>
        <v>1.0775999999999999</v>
      </c>
      <c r="G189" s="20">
        <f>表2_3671626293038912[[#This Row],[累计净值]]/$B$21-1</f>
        <v>7.6846207654641674E-2</v>
      </c>
    </row>
    <row r="190" spans="1:7" x14ac:dyDescent="0.2">
      <c r="A190" s="15">
        <v>44055</v>
      </c>
      <c r="B190" s="112">
        <v>1.081</v>
      </c>
      <c r="C190" s="108">
        <f t="shared" ref="C190:C196" si="52">IFERROR(B190-B189,0)</f>
        <v>3.4000000000000696E-3</v>
      </c>
      <c r="D190" s="109" t="str">
        <f t="shared" ref="D190:D196" si="53">IF(C190&lt;0,C190,"/")</f>
        <v>/</v>
      </c>
      <c r="E190" s="109">
        <f ca="1">IF(表2_3671626293038912[[#This Row],[累计净值]]/MAX(INDIRECT("B21:B" &amp; ROW()))-1&lt;E189,表2_3671626293038912[[#This Row],[累计净值]]/MAX(INDIRECT("B21:B" &amp; ROW()))-1,E189)</f>
        <v>-3.8655622203179973E-2</v>
      </c>
      <c r="F190" s="110">
        <f>表2_3671626293038912[[#This Row],[累计净值]]</f>
        <v>1.081</v>
      </c>
      <c r="G190" s="20">
        <f>表2_3671626293038912[[#This Row],[累计净值]]/$B$21-1</f>
        <v>8.024382931947649E-2</v>
      </c>
    </row>
    <row r="191" spans="1:7" x14ac:dyDescent="0.2">
      <c r="A191" s="15">
        <v>44056</v>
      </c>
      <c r="B191" s="112">
        <v>1.0774999999999999</v>
      </c>
      <c r="C191" s="108">
        <f t="shared" si="52"/>
        <v>-3.5000000000000586E-3</v>
      </c>
      <c r="D191" s="109">
        <f t="shared" si="53"/>
        <v>-3.5000000000000586E-3</v>
      </c>
      <c r="E191" s="109">
        <f ca="1">IF(表2_3671626293038912[[#This Row],[累计净值]]/MAX(INDIRECT("B21:B" &amp; ROW()))-1&lt;E190,表2_3671626293038912[[#This Row],[累计净值]]/MAX(INDIRECT("B21:B" &amp; ROW()))-1,E190)</f>
        <v>-3.8655622203179973E-2</v>
      </c>
      <c r="F191" s="110">
        <f>表2_3671626293038912[[#This Row],[累计净值]]</f>
        <v>1.0774999999999999</v>
      </c>
      <c r="G191" s="20">
        <f>表2_3671626293038912[[#This Row],[累计净值]]/$B$21-1</f>
        <v>7.6746277605675983E-2</v>
      </c>
    </row>
    <row r="192" spans="1:7" x14ac:dyDescent="0.2">
      <c r="A192" s="15">
        <v>44057</v>
      </c>
      <c r="B192" s="112">
        <v>1.0774999999999999</v>
      </c>
      <c r="C192" s="108">
        <f t="shared" si="52"/>
        <v>0</v>
      </c>
      <c r="D192" s="109" t="str">
        <f t="shared" si="53"/>
        <v>/</v>
      </c>
      <c r="E192" s="109">
        <f ca="1">IF(表2_3671626293038912[[#This Row],[累计净值]]/MAX(INDIRECT("B21:B" &amp; ROW()))-1&lt;E191,表2_3671626293038912[[#This Row],[累计净值]]/MAX(INDIRECT("B21:B" &amp; ROW()))-1,E191)</f>
        <v>-3.8655622203179973E-2</v>
      </c>
      <c r="F192" s="110">
        <f>表2_3671626293038912[[#This Row],[累计净值]]</f>
        <v>1.0774999999999999</v>
      </c>
      <c r="G192" s="20">
        <f>表2_3671626293038912[[#This Row],[累计净值]]/$B$21-1</f>
        <v>7.6746277605675983E-2</v>
      </c>
    </row>
    <row r="193" spans="1:7" x14ac:dyDescent="0.2">
      <c r="A193" s="15">
        <v>44060</v>
      </c>
      <c r="B193" s="112">
        <v>1.0769</v>
      </c>
      <c r="C193" s="108">
        <f t="shared" si="52"/>
        <v>-5.9999999999993392E-4</v>
      </c>
      <c r="D193" s="109">
        <f t="shared" si="53"/>
        <v>-5.9999999999993392E-4</v>
      </c>
      <c r="E193" s="109">
        <f ca="1">IF(表2_3671626293038912[[#This Row],[累计净值]]/MAX(INDIRECT("B21:B" &amp; ROW()))-1&lt;E192,表2_3671626293038912[[#This Row],[累计净值]]/MAX(INDIRECT("B21:B" &amp; ROW()))-1,E192)</f>
        <v>-3.8655622203179973E-2</v>
      </c>
      <c r="F193" s="110">
        <f>表2_3671626293038912[[#This Row],[累计净值]]</f>
        <v>1.0769</v>
      </c>
      <c r="G193" s="20">
        <f>表2_3671626293038912[[#This Row],[累计净值]]/$B$21-1</f>
        <v>7.6146697311881839E-2</v>
      </c>
    </row>
    <row r="194" spans="1:7" x14ac:dyDescent="0.2">
      <c r="A194" s="15">
        <v>44061</v>
      </c>
      <c r="B194" s="112">
        <v>1.0768</v>
      </c>
      <c r="C194" s="108">
        <f t="shared" si="52"/>
        <v>-9.9999999999988987E-5</v>
      </c>
      <c r="D194" s="109">
        <f t="shared" si="53"/>
        <v>-9.9999999999988987E-5</v>
      </c>
      <c r="E194" s="109">
        <f ca="1">IF(表2_3671626293038912[[#This Row],[累计净值]]/MAX(INDIRECT("B21:B" &amp; ROW()))-1&lt;E193,表2_3671626293038912[[#This Row],[累计净值]]/MAX(INDIRECT("B21:B" &amp; ROW()))-1,E193)</f>
        <v>-3.8655622203179973E-2</v>
      </c>
      <c r="F194" s="110">
        <f>表2_3671626293038912[[#This Row],[累计净值]]</f>
        <v>1.0768</v>
      </c>
      <c r="G194" s="20">
        <f>表2_3671626293038912[[#This Row],[累计净值]]/$B$21-1</f>
        <v>7.6046767262915926E-2</v>
      </c>
    </row>
    <row r="195" spans="1:7" x14ac:dyDescent="0.2">
      <c r="A195" s="15">
        <v>44062</v>
      </c>
      <c r="B195" s="112">
        <v>1.0772999999999999</v>
      </c>
      <c r="C195" s="108">
        <f t="shared" si="52"/>
        <v>4.9999999999994493E-4</v>
      </c>
      <c r="D195" s="109" t="str">
        <f t="shared" si="53"/>
        <v>/</v>
      </c>
      <c r="E195" s="109">
        <f ca="1">IF(表2_3671626293038912[[#This Row],[累计净值]]/MAX(INDIRECT("B21:B" &amp; ROW()))-1&lt;E194,表2_3671626293038912[[#This Row],[累计净值]]/MAX(INDIRECT("B21:B" &amp; ROW()))-1,E194)</f>
        <v>-3.8655622203179973E-2</v>
      </c>
      <c r="F195" s="110">
        <f>表2_3671626293038912[[#This Row],[累计净值]]</f>
        <v>1.0772999999999999</v>
      </c>
      <c r="G195" s="20">
        <f>表2_3671626293038912[[#This Row],[累计净值]]/$B$21-1</f>
        <v>7.6546417507744602E-2</v>
      </c>
    </row>
    <row r="196" spans="1:7" x14ac:dyDescent="0.2">
      <c r="A196" s="15">
        <v>44063</v>
      </c>
      <c r="B196" s="112">
        <v>1.0714999999999999</v>
      </c>
      <c r="C196" s="108">
        <f t="shared" si="52"/>
        <v>-5.8000000000000274E-3</v>
      </c>
      <c r="D196" s="109">
        <f t="shared" si="53"/>
        <v>-5.8000000000000274E-3</v>
      </c>
      <c r="E196" s="109">
        <f ca="1">IF(表2_3671626293038912[[#This Row],[累计净值]]/MAX(INDIRECT("B21:B" &amp; ROW()))-1&lt;E195,表2_3671626293038912[[#This Row],[累计净值]]/MAX(INDIRECT("B21:B" &amp; ROW()))-1,E195)</f>
        <v>-3.8655622203179973E-2</v>
      </c>
      <c r="F196" s="110">
        <f>表2_3671626293038912[[#This Row],[累计净值]]</f>
        <v>1.0714999999999999</v>
      </c>
      <c r="G196" s="20">
        <f>表2_3671626293038912[[#This Row],[累计净值]]/$B$21-1</f>
        <v>7.0750474667732544E-2</v>
      </c>
    </row>
    <row r="197" spans="1:7" x14ac:dyDescent="0.2">
      <c r="A197" s="15">
        <v>44064</v>
      </c>
      <c r="B197" s="112">
        <v>1.0720000000000001</v>
      </c>
      <c r="C197" s="108">
        <f t="shared" ref="C197:C202" si="54">IFERROR(B197-B196,0)</f>
        <v>5.0000000000016698E-4</v>
      </c>
      <c r="D197" s="109" t="str">
        <f t="shared" ref="D197:D202" si="55">IF(C197&lt;0,C197,"/")</f>
        <v>/</v>
      </c>
      <c r="E197" s="109">
        <f ca="1">IF(表2_3671626293038912[[#This Row],[累计净值]]/MAX(INDIRECT("B21:B" &amp; ROW()))-1&lt;E196,表2_3671626293038912[[#This Row],[累计净值]]/MAX(INDIRECT("B21:B" &amp; ROW()))-1,E196)</f>
        <v>-3.8655622203179973E-2</v>
      </c>
      <c r="F197" s="110">
        <f>表2_3671626293038912[[#This Row],[累计净值]]</f>
        <v>1.0720000000000001</v>
      </c>
      <c r="G197" s="20">
        <f>表2_3671626293038912[[#This Row],[累计净值]]/$B$21-1</f>
        <v>7.1250124912561441E-2</v>
      </c>
    </row>
    <row r="198" spans="1:7" x14ac:dyDescent="0.2">
      <c r="A198" s="15">
        <v>44067</v>
      </c>
      <c r="B198" s="112">
        <v>1.07</v>
      </c>
      <c r="C198" s="108">
        <f t="shared" si="54"/>
        <v>-2.0000000000000018E-3</v>
      </c>
      <c r="D198" s="109">
        <f t="shared" si="55"/>
        <v>-2.0000000000000018E-3</v>
      </c>
      <c r="E198" s="109">
        <f ca="1">IF(表2_3671626293038912[[#This Row],[累计净值]]/MAX(INDIRECT("B21:B" &amp; ROW()))-1&lt;E197,表2_3671626293038912[[#This Row],[累计净值]]/MAX(INDIRECT("B21:B" &amp; ROW()))-1,E197)</f>
        <v>-3.8655622203179973E-2</v>
      </c>
      <c r="F198" s="110">
        <f>表2_3671626293038912[[#This Row],[累计净值]]</f>
        <v>1.07</v>
      </c>
      <c r="G198" s="20">
        <f>表2_3671626293038912[[#This Row],[累计净值]]/$B$21-1</f>
        <v>6.9251523933246961E-2</v>
      </c>
    </row>
    <row r="199" spans="1:7" x14ac:dyDescent="0.2">
      <c r="A199" s="15">
        <v>44068</v>
      </c>
      <c r="B199" s="112">
        <v>1.0688</v>
      </c>
      <c r="C199" s="108">
        <f t="shared" si="54"/>
        <v>-1.2000000000000899E-3</v>
      </c>
      <c r="D199" s="109">
        <f t="shared" si="55"/>
        <v>-1.2000000000000899E-3</v>
      </c>
      <c r="E199" s="109">
        <f ca="1">IF(表2_3671626293038912[[#This Row],[累计净值]]/MAX(INDIRECT("B21:B" &amp; ROW()))-1&lt;E198,表2_3671626293038912[[#This Row],[累计净值]]/MAX(INDIRECT("B21:B" &amp; ROW()))-1,E198)</f>
        <v>-3.8655622203179973E-2</v>
      </c>
      <c r="F199" s="110">
        <f>表2_3671626293038912[[#This Row],[累计净值]]</f>
        <v>1.0688</v>
      </c>
      <c r="G199" s="20">
        <f>表2_3671626293038912[[#This Row],[累计净值]]/$B$21-1</f>
        <v>6.8052363345658007E-2</v>
      </c>
    </row>
    <row r="200" spans="1:7" x14ac:dyDescent="0.2">
      <c r="A200" s="15">
        <v>44069</v>
      </c>
      <c r="B200" s="112">
        <v>1.0706</v>
      </c>
      <c r="C200" s="108">
        <f t="shared" si="54"/>
        <v>1.8000000000000238E-3</v>
      </c>
      <c r="D200" s="109" t="str">
        <f t="shared" si="55"/>
        <v>/</v>
      </c>
      <c r="E200" s="109">
        <f ca="1">IF(表2_3671626293038912[[#This Row],[累计净值]]/MAX(INDIRECT("B21:B" &amp; ROW()))-1&lt;E199,表2_3671626293038912[[#This Row],[累计净值]]/MAX(INDIRECT("B21:B" &amp; ROW()))-1,E199)</f>
        <v>-3.8655622203179973E-2</v>
      </c>
      <c r="F200" s="110">
        <f>表2_3671626293038912[[#This Row],[累计净值]]</f>
        <v>1.0706</v>
      </c>
      <c r="G200" s="20">
        <f>表2_3671626293038912[[#This Row],[累计净值]]/$B$21-1</f>
        <v>6.9851104227041105E-2</v>
      </c>
    </row>
    <row r="201" spans="1:7" x14ac:dyDescent="0.2">
      <c r="A201" s="15">
        <v>44070</v>
      </c>
      <c r="B201" s="112">
        <v>1.0725</v>
      </c>
      <c r="C201" s="108">
        <f t="shared" si="54"/>
        <v>1.9000000000000128E-3</v>
      </c>
      <c r="D201" s="109" t="str">
        <f t="shared" si="55"/>
        <v>/</v>
      </c>
      <c r="E201" s="109">
        <f ca="1">IF(表2_3671626293038912[[#This Row],[累计净值]]/MAX(INDIRECT("B21:B" &amp; ROW()))-1&lt;E200,表2_3671626293038912[[#This Row],[累计净值]]/MAX(INDIRECT("B21:B" &amp; ROW()))-1,E200)</f>
        <v>-3.8655622203179973E-2</v>
      </c>
      <c r="F201" s="110">
        <f>表2_3671626293038912[[#This Row],[累计净值]]</f>
        <v>1.0725</v>
      </c>
      <c r="G201" s="20">
        <f>表2_3671626293038912[[#This Row],[累计净值]]/$B$21-1</f>
        <v>7.1749775157389895E-2</v>
      </c>
    </row>
    <row r="202" spans="1:7" x14ac:dyDescent="0.2">
      <c r="A202" s="15">
        <v>44071</v>
      </c>
      <c r="B202" s="112">
        <v>1.0720000000000001</v>
      </c>
      <c r="C202" s="108">
        <f t="shared" si="54"/>
        <v>-4.9999999999994493E-4</v>
      </c>
      <c r="D202" s="109">
        <f t="shared" si="55"/>
        <v>-4.9999999999994493E-4</v>
      </c>
      <c r="E202" s="109">
        <f ca="1">IF(表2_3671626293038912[[#This Row],[累计净值]]/MAX(INDIRECT("B21:B" &amp; ROW()))-1&lt;E201,表2_3671626293038912[[#This Row],[累计净值]]/MAX(INDIRECT("B21:B" &amp; ROW()))-1,E201)</f>
        <v>-3.8655622203179973E-2</v>
      </c>
      <c r="F202" s="110">
        <f>表2_3671626293038912[[#This Row],[累计净值]]</f>
        <v>1.0720000000000001</v>
      </c>
      <c r="G202" s="20">
        <f>表2_3671626293038912[[#This Row],[累计净值]]/$B$21-1</f>
        <v>7.1250124912561441E-2</v>
      </c>
    </row>
    <row r="203" spans="1:7" x14ac:dyDescent="0.2">
      <c r="A203" s="15">
        <v>44074</v>
      </c>
      <c r="B203" s="112">
        <v>1.0744</v>
      </c>
      <c r="C203" s="108">
        <f t="shared" ref="C203:C208" si="56">IFERROR(B203-B202,0)</f>
        <v>2.3999999999999577E-3</v>
      </c>
      <c r="D203" s="109" t="str">
        <f t="shared" ref="D203:D208" si="57">IF(C203&lt;0,C203,"/")</f>
        <v>/</v>
      </c>
      <c r="E203" s="109">
        <f ca="1">IF(表2_3671626293038912[[#This Row],[累计净值]]/MAX(INDIRECT("B21:B" &amp; ROW()))-1&lt;E202,表2_3671626293038912[[#This Row],[累计净值]]/MAX(INDIRECT("B21:B" &amp; ROW()))-1,E202)</f>
        <v>-3.8655622203179973E-2</v>
      </c>
      <c r="F203" s="110">
        <f>表2_3671626293038912[[#This Row],[累计净值]]</f>
        <v>1.0744</v>
      </c>
      <c r="G203" s="20">
        <f>表2_3671626293038912[[#This Row],[累计净值]]/$B$21-1</f>
        <v>7.3648446087738684E-2</v>
      </c>
    </row>
    <row r="204" spans="1:7" x14ac:dyDescent="0.2">
      <c r="A204" s="15">
        <v>44075</v>
      </c>
      <c r="B204" s="112">
        <v>1.0758000000000001</v>
      </c>
      <c r="C204" s="108">
        <f t="shared" si="56"/>
        <v>1.4000000000000679E-3</v>
      </c>
      <c r="D204" s="109" t="str">
        <f t="shared" si="57"/>
        <v>/</v>
      </c>
      <c r="E204" s="109">
        <f ca="1">IF(表2_3671626293038912[[#This Row],[累计净值]]/MAX(INDIRECT("B21:B" &amp; ROW()))-1&lt;E203,表2_3671626293038912[[#This Row],[累计净值]]/MAX(INDIRECT("B21:B" &amp; ROW()))-1,E203)</f>
        <v>-3.8655622203179973E-2</v>
      </c>
      <c r="F204" s="110">
        <f>表2_3671626293038912[[#This Row],[累计净值]]</f>
        <v>1.0758000000000001</v>
      </c>
      <c r="G204" s="20">
        <f>表2_3671626293038912[[#This Row],[累计净值]]/$B$21-1</f>
        <v>7.5047466773258797E-2</v>
      </c>
    </row>
    <row r="205" spans="1:7" x14ac:dyDescent="0.2">
      <c r="A205" s="15">
        <v>44076</v>
      </c>
      <c r="B205" s="112">
        <v>1.0742</v>
      </c>
      <c r="C205" s="108">
        <f t="shared" si="56"/>
        <v>-1.6000000000000458E-3</v>
      </c>
      <c r="D205" s="109">
        <f t="shared" si="57"/>
        <v>-1.6000000000000458E-3</v>
      </c>
      <c r="E205" s="109">
        <f ca="1">IF(表2_3671626293038912[[#This Row],[累计净值]]/MAX(INDIRECT("B21:B" &amp; ROW()))-1&lt;E204,表2_3671626293038912[[#This Row],[累计净值]]/MAX(INDIRECT("B21:B" &amp; ROW()))-1,E204)</f>
        <v>-3.8655622203179973E-2</v>
      </c>
      <c r="F205" s="110">
        <f>表2_3671626293038912[[#This Row],[累计净值]]</f>
        <v>1.0742</v>
      </c>
      <c r="G205" s="20">
        <f>表2_3671626293038912[[#This Row],[累计净值]]/$B$21-1</f>
        <v>7.3448585989807302E-2</v>
      </c>
    </row>
    <row r="206" spans="1:7" x14ac:dyDescent="0.2">
      <c r="A206" s="15">
        <v>44077</v>
      </c>
      <c r="B206" s="112">
        <v>1.0746</v>
      </c>
      <c r="C206" s="108">
        <f t="shared" si="56"/>
        <v>3.9999999999995595E-4</v>
      </c>
      <c r="D206" s="109" t="str">
        <f t="shared" si="57"/>
        <v>/</v>
      </c>
      <c r="E206" s="109">
        <f ca="1">IF(表2_3671626293038912[[#This Row],[累计净值]]/MAX(INDIRECT("B21:B" &amp; ROW()))-1&lt;E205,表2_3671626293038912[[#This Row],[累计净值]]/MAX(INDIRECT("B21:B" &amp; ROW()))-1,E205)</f>
        <v>-3.8655622203179973E-2</v>
      </c>
      <c r="F206" s="110">
        <f>表2_3671626293038912[[#This Row],[累计净值]]</f>
        <v>1.0746</v>
      </c>
      <c r="G206" s="20">
        <f>表2_3671626293038912[[#This Row],[累计净值]]/$B$21-1</f>
        <v>7.3848306185670065E-2</v>
      </c>
    </row>
    <row r="207" spans="1:7" x14ac:dyDescent="0.2">
      <c r="A207" s="15">
        <v>44078</v>
      </c>
      <c r="B207" s="112">
        <v>1.0729</v>
      </c>
      <c r="C207" s="108">
        <f t="shared" si="56"/>
        <v>-1.7000000000000348E-3</v>
      </c>
      <c r="D207" s="109">
        <f t="shared" si="57"/>
        <v>-1.7000000000000348E-3</v>
      </c>
      <c r="E207" s="109">
        <f ca="1">IF(表2_3671626293038912[[#This Row],[累计净值]]/MAX(INDIRECT("B21:B" &amp; ROW()))-1&lt;E206,表2_3671626293038912[[#This Row],[累计净值]]/MAX(INDIRECT("B21:B" &amp; ROW()))-1,E206)</f>
        <v>-3.8655622203179973E-2</v>
      </c>
      <c r="F207" s="110">
        <f>表2_3671626293038912[[#This Row],[累计净值]]</f>
        <v>1.0729</v>
      </c>
      <c r="G207" s="20">
        <f>表2_3671626293038912[[#This Row],[累计净值]]/$B$21-1</f>
        <v>7.2149495353252879E-2</v>
      </c>
    </row>
    <row r="208" spans="1:7" x14ac:dyDescent="0.2">
      <c r="A208" s="15">
        <v>44081</v>
      </c>
      <c r="B208" s="112">
        <v>1.0717000000000001</v>
      </c>
      <c r="C208" s="108">
        <f t="shared" si="56"/>
        <v>-1.1999999999998678E-3</v>
      </c>
      <c r="D208" s="109">
        <f t="shared" si="57"/>
        <v>-1.1999999999998678E-3</v>
      </c>
      <c r="E208" s="109">
        <f ca="1">IF(表2_3671626293038912[[#This Row],[累计净值]]/MAX(INDIRECT("B21:B" &amp; ROW()))-1&lt;E207,表2_3671626293038912[[#This Row],[累计净值]]/MAX(INDIRECT("B21:B" &amp; ROW()))-1,E207)</f>
        <v>-3.8655622203179973E-2</v>
      </c>
      <c r="F208" s="110">
        <f>表2_3671626293038912[[#This Row],[累计净值]]</f>
        <v>1.0717000000000001</v>
      </c>
      <c r="G208" s="20">
        <f>表2_3671626293038912[[#This Row],[累计净值]]/$B$21-1</f>
        <v>7.0950334765664147E-2</v>
      </c>
    </row>
    <row r="209" spans="1:7" x14ac:dyDescent="0.2">
      <c r="A209" s="15">
        <v>44082</v>
      </c>
      <c r="B209" s="113">
        <v>1.0724</v>
      </c>
      <c r="C209" s="108">
        <f t="shared" ref="C209:C214" si="58">IFERROR(B209-B208,0)</f>
        <v>6.9999999999992291E-4</v>
      </c>
      <c r="D209" s="109" t="str">
        <f t="shared" ref="D209:D214" si="59">IF(C209&lt;0,C209,"/")</f>
        <v>/</v>
      </c>
      <c r="E209" s="109">
        <f ca="1">IF(表2_3671626293038912[[#This Row],[累计净值]]/MAX(INDIRECT("B21:B" &amp; ROW()))-1&lt;E208,表2_3671626293038912[[#This Row],[累计净值]]/MAX(INDIRECT("B21:B" &amp; ROW()))-1,E208)</f>
        <v>-3.8655622203179973E-2</v>
      </c>
      <c r="F209" s="110">
        <f>表2_3671626293038912[[#This Row],[累计净值]]</f>
        <v>1.0724</v>
      </c>
      <c r="G209" s="20">
        <f>表2_3671626293038912[[#This Row],[累计净值]]/$B$21-1</f>
        <v>7.1649845108424204E-2</v>
      </c>
    </row>
    <row r="210" spans="1:7" x14ac:dyDescent="0.2">
      <c r="A210" s="15">
        <v>44083</v>
      </c>
      <c r="B210" s="113">
        <v>1.0696000000000001</v>
      </c>
      <c r="C210" s="108">
        <f t="shared" si="58"/>
        <v>-2.7999999999999137E-3</v>
      </c>
      <c r="D210" s="109">
        <f t="shared" si="59"/>
        <v>-2.7999999999999137E-3</v>
      </c>
      <c r="E210" s="109">
        <f ca="1">IF(表2_3671626293038912[[#This Row],[累计净值]]/MAX(INDIRECT("B21:B" &amp; ROW()))-1&lt;E209,表2_3671626293038912[[#This Row],[累计净值]]/MAX(INDIRECT("B21:B" &amp; ROW()))-1,E209)</f>
        <v>-3.8655622203179973E-2</v>
      </c>
      <c r="F210" s="110">
        <f>表2_3671626293038912[[#This Row],[累计净值]]</f>
        <v>1.0696000000000001</v>
      </c>
      <c r="G210" s="20">
        <f>表2_3671626293038912[[#This Row],[累计净值]]/$B$21-1</f>
        <v>6.8851803737383976E-2</v>
      </c>
    </row>
    <row r="211" spans="1:7" x14ac:dyDescent="0.2">
      <c r="A211" s="15">
        <v>44084</v>
      </c>
      <c r="B211" s="113">
        <v>1.0692999999999999</v>
      </c>
      <c r="C211" s="108">
        <f t="shared" si="58"/>
        <v>-3.00000000000189E-4</v>
      </c>
      <c r="D211" s="109">
        <f t="shared" si="59"/>
        <v>-3.00000000000189E-4</v>
      </c>
      <c r="E211" s="109">
        <f ca="1">IF(表2_3671626293038912[[#This Row],[累计净值]]/MAX(INDIRECT("B21:B" &amp; ROW()))-1&lt;E210,表2_3671626293038912[[#This Row],[累计净值]]/MAX(INDIRECT("B21:B" &amp; ROW()))-1,E210)</f>
        <v>-3.8655622203179973E-2</v>
      </c>
      <c r="F211" s="110">
        <f>表2_3671626293038912[[#This Row],[累计净值]]</f>
        <v>1.0692999999999999</v>
      </c>
      <c r="G211" s="20">
        <f>表2_3671626293038912[[#This Row],[累计净值]]/$B$21-1</f>
        <v>6.8552013590486682E-2</v>
      </c>
    </row>
    <row r="212" spans="1:7" x14ac:dyDescent="0.2">
      <c r="A212" s="15">
        <v>44085</v>
      </c>
      <c r="B212" s="113">
        <v>1.0723</v>
      </c>
      <c r="C212" s="108">
        <f t="shared" si="58"/>
        <v>3.0000000000001137E-3</v>
      </c>
      <c r="D212" s="109" t="str">
        <f t="shared" si="59"/>
        <v>/</v>
      </c>
      <c r="E212" s="109">
        <f ca="1">IF(表2_3671626293038912[[#This Row],[累计净值]]/MAX(INDIRECT("B21:B" &amp; ROW()))-1&lt;E211,表2_3671626293038912[[#This Row],[累计净值]]/MAX(INDIRECT("B21:B" &amp; ROW()))-1,E211)</f>
        <v>-3.8655622203179973E-2</v>
      </c>
      <c r="F212" s="110">
        <f>表2_3671626293038912[[#This Row],[累计净值]]</f>
        <v>1.0723</v>
      </c>
      <c r="G212" s="20">
        <f>表2_3671626293038912[[#This Row],[累计净值]]/$B$21-1</f>
        <v>7.1549915059458513E-2</v>
      </c>
    </row>
    <row r="213" spans="1:7" x14ac:dyDescent="0.2">
      <c r="A213" s="15">
        <v>44088</v>
      </c>
      <c r="B213" s="112">
        <v>1.0737000000000001</v>
      </c>
      <c r="C213" s="108">
        <f t="shared" si="58"/>
        <v>1.4000000000000679E-3</v>
      </c>
      <c r="D213" s="109" t="str">
        <f t="shared" si="59"/>
        <v>/</v>
      </c>
      <c r="E213" s="109">
        <f ca="1">IF(表2_3671626293038912[[#This Row],[累计净值]]/MAX(INDIRECT("B21:B" &amp; ROW()))-1&lt;E212,表2_3671626293038912[[#This Row],[累计净值]]/MAX(INDIRECT("B21:B" &amp; ROW()))-1,E212)</f>
        <v>-3.8655622203179973E-2</v>
      </c>
      <c r="F213" s="110">
        <f>表2_3671626293038912[[#This Row],[累计净值]]</f>
        <v>1.0737000000000001</v>
      </c>
      <c r="G213" s="20">
        <f>表2_3671626293038912[[#This Row],[累计净值]]/$B$21-1</f>
        <v>7.2948935744978627E-2</v>
      </c>
    </row>
    <row r="214" spans="1:7" x14ac:dyDescent="0.2">
      <c r="A214" s="15">
        <v>44089</v>
      </c>
      <c r="B214" s="112">
        <v>1.0748</v>
      </c>
      <c r="C214" s="108">
        <f t="shared" si="58"/>
        <v>1.0999999999998789E-3</v>
      </c>
      <c r="D214" s="109" t="str">
        <f t="shared" si="59"/>
        <v>/</v>
      </c>
      <c r="E214" s="109">
        <f ca="1">IF(表2_3671626293038912[[#This Row],[累计净值]]/MAX(INDIRECT("B21:B" &amp; ROW()))-1&lt;E213,表2_3671626293038912[[#This Row],[累计净值]]/MAX(INDIRECT("B21:B" &amp; ROW()))-1,E213)</f>
        <v>-3.8655622203179973E-2</v>
      </c>
      <c r="F214" s="110">
        <f>表2_3671626293038912[[#This Row],[累计净值]]</f>
        <v>1.0748</v>
      </c>
      <c r="G214" s="20">
        <f>表2_3671626293038912[[#This Row],[累计净值]]/$B$21-1</f>
        <v>7.4048166283601446E-2</v>
      </c>
    </row>
    <row r="215" spans="1:7" x14ac:dyDescent="0.2">
      <c r="A215" s="15">
        <v>44090</v>
      </c>
      <c r="B215" s="112">
        <v>1.0752999999999999</v>
      </c>
      <c r="C215" s="108">
        <f t="shared" ref="C215:C220" si="60">IFERROR(B215-B214,0)</f>
        <v>4.9999999999994493E-4</v>
      </c>
      <c r="D215" s="109" t="str">
        <f t="shared" ref="D215:D220" si="61">IF(C215&lt;0,C215,"/")</f>
        <v>/</v>
      </c>
      <c r="E215" s="109">
        <f ca="1">IF(表2_3671626293038912[[#This Row],[累计净值]]/MAX(INDIRECT("B21:B" &amp; ROW()))-1&lt;E214,表2_3671626293038912[[#This Row],[累计净值]]/MAX(INDIRECT("B21:B" &amp; ROW()))-1,E214)</f>
        <v>-3.8655622203179973E-2</v>
      </c>
      <c r="F215" s="110">
        <f>表2_3671626293038912[[#This Row],[累计净值]]</f>
        <v>1.0752999999999999</v>
      </c>
      <c r="G215" s="20">
        <f>表2_3671626293038912[[#This Row],[累计净值]]/$B$21-1</f>
        <v>7.4547816528430122E-2</v>
      </c>
    </row>
    <row r="216" spans="1:7" x14ac:dyDescent="0.2">
      <c r="A216" s="15">
        <v>44091</v>
      </c>
      <c r="B216" s="112">
        <v>1.0759000000000001</v>
      </c>
      <c r="C216" s="108">
        <f t="shared" si="60"/>
        <v>6.0000000000015596E-4</v>
      </c>
      <c r="D216" s="109" t="str">
        <f t="shared" si="61"/>
        <v>/</v>
      </c>
      <c r="E216" s="109">
        <f ca="1">IF(表2_3671626293038912[[#This Row],[累计净值]]/MAX(INDIRECT("B21:B" &amp; ROW()))-1&lt;E215,表2_3671626293038912[[#This Row],[累计净值]]/MAX(INDIRECT("B21:B" &amp; ROW()))-1,E215)</f>
        <v>-3.8655622203179973E-2</v>
      </c>
      <c r="F216" s="110">
        <f>表2_3671626293038912[[#This Row],[累计净值]]</f>
        <v>1.0759000000000001</v>
      </c>
      <c r="G216" s="20">
        <f>表2_3671626293038912[[#This Row],[累计净值]]/$B$21-1</f>
        <v>7.514739682222471E-2</v>
      </c>
    </row>
    <row r="217" spans="1:7" x14ac:dyDescent="0.2">
      <c r="A217" s="15">
        <v>44092</v>
      </c>
      <c r="B217" s="112">
        <v>1.0753999999999999</v>
      </c>
      <c r="C217" s="108">
        <f t="shared" si="60"/>
        <v>-5.0000000000016698E-4</v>
      </c>
      <c r="D217" s="109">
        <f t="shared" si="61"/>
        <v>-5.0000000000016698E-4</v>
      </c>
      <c r="E217" s="109">
        <f ca="1">IF(表2_3671626293038912[[#This Row],[累计净值]]/MAX(INDIRECT("B21:B" &amp; ROW()))-1&lt;E216,表2_3671626293038912[[#This Row],[累计净值]]/MAX(INDIRECT("B21:B" &amp; ROW()))-1,E216)</f>
        <v>-3.8655622203179973E-2</v>
      </c>
      <c r="F217" s="110">
        <f>表2_3671626293038912[[#This Row],[累计净值]]</f>
        <v>1.0753999999999999</v>
      </c>
      <c r="G217" s="20">
        <f>表2_3671626293038912[[#This Row],[累计净值]]/$B$21-1</f>
        <v>7.4647746577395813E-2</v>
      </c>
    </row>
    <row r="218" spans="1:7" x14ac:dyDescent="0.2">
      <c r="A218" s="15">
        <v>44095</v>
      </c>
      <c r="B218" s="112">
        <v>1.0738000000000001</v>
      </c>
      <c r="C218" s="108">
        <f t="shared" si="60"/>
        <v>-1.5999999999998238E-3</v>
      </c>
      <c r="D218" s="109">
        <f t="shared" si="61"/>
        <v>-1.5999999999998238E-3</v>
      </c>
      <c r="E218" s="109">
        <f ca="1">IF(表2_3671626293038912[[#This Row],[累计净值]]/MAX(INDIRECT("B21:B" &amp; ROW()))-1&lt;E217,表2_3671626293038912[[#This Row],[累计净值]]/MAX(INDIRECT("B21:B" &amp; ROW()))-1,E217)</f>
        <v>-3.8655622203179973E-2</v>
      </c>
      <c r="F218" s="110">
        <f>表2_3671626293038912[[#This Row],[累计净值]]</f>
        <v>1.0738000000000001</v>
      </c>
      <c r="G218" s="20">
        <f>表2_3671626293038912[[#This Row],[累计净值]]/$B$21-1</f>
        <v>7.3048865793944318E-2</v>
      </c>
    </row>
    <row r="219" spans="1:7" x14ac:dyDescent="0.2">
      <c r="A219" s="15">
        <v>44096</v>
      </c>
      <c r="B219" s="112">
        <v>1.0814999999999999</v>
      </c>
      <c r="C219" s="108">
        <f t="shared" si="60"/>
        <v>7.6999999999998181E-3</v>
      </c>
      <c r="D219" s="109" t="str">
        <f t="shared" si="61"/>
        <v>/</v>
      </c>
      <c r="E219" s="109">
        <f ca="1">IF(表2_3671626293038912[[#This Row],[累计净值]]/MAX(INDIRECT("B21:B" &amp; ROW()))-1&lt;E218,表2_3671626293038912[[#This Row],[累计净值]]/MAX(INDIRECT("B21:B" &amp; ROW()))-1,E218)</f>
        <v>-3.8655622203179973E-2</v>
      </c>
      <c r="F219" s="110">
        <f>表2_3671626293038912[[#This Row],[累计净值]]</f>
        <v>1.0814999999999999</v>
      </c>
      <c r="G219" s="20">
        <f>表2_3671626293038912[[#This Row],[累计净值]]/$B$21-1</f>
        <v>8.0743479564304943E-2</v>
      </c>
    </row>
    <row r="220" spans="1:7" x14ac:dyDescent="0.2">
      <c r="A220" s="15">
        <v>44097</v>
      </c>
      <c r="B220" s="112">
        <v>1.0833999999999999</v>
      </c>
      <c r="C220" s="108">
        <f t="shared" si="60"/>
        <v>1.9000000000000128E-3</v>
      </c>
      <c r="D220" s="109" t="str">
        <f t="shared" si="61"/>
        <v>/</v>
      </c>
      <c r="E220" s="109">
        <f ca="1">IF(表2_3671626293038912[[#This Row],[累计净值]]/MAX(INDIRECT("B21:B" &amp; ROW()))-1&lt;E219,表2_3671626293038912[[#This Row],[累计净值]]/MAX(INDIRECT("B21:B" &amp; ROW()))-1,E219)</f>
        <v>-3.8655622203179973E-2</v>
      </c>
      <c r="F220" s="110">
        <f>表2_3671626293038912[[#This Row],[累计净值]]</f>
        <v>1.0833999999999999</v>
      </c>
      <c r="G220" s="20">
        <f>表2_3671626293038912[[#This Row],[累计净值]]/$B$21-1</f>
        <v>8.2642150494653732E-2</v>
      </c>
    </row>
    <row r="221" spans="1:7" x14ac:dyDescent="0.2">
      <c r="A221" s="15">
        <v>44098</v>
      </c>
      <c r="B221" s="112">
        <v>1.0905</v>
      </c>
      <c r="C221" s="108">
        <f>IFERROR(B221-B220,0)</f>
        <v>7.1000000000001062E-3</v>
      </c>
      <c r="D221" s="109" t="str">
        <f>IF(C221&lt;0,C221,"/")</f>
        <v>/</v>
      </c>
      <c r="E221" s="109">
        <f ca="1">IF(表2_3671626293038912[[#This Row],[累计净值]]/MAX(INDIRECT("B21:B" &amp; ROW()))-1&lt;E220,表2_3671626293038912[[#This Row],[累计净值]]/MAX(INDIRECT("B21:B" &amp; ROW()))-1,E220)</f>
        <v>-3.8655622203179973E-2</v>
      </c>
      <c r="F221" s="110">
        <f>表2_3671626293038912[[#This Row],[累计净值]]</f>
        <v>1.0905</v>
      </c>
      <c r="G221" s="20">
        <f>表2_3671626293038912[[#This Row],[累计净值]]/$B$21-1</f>
        <v>8.9737183971220214E-2</v>
      </c>
    </row>
    <row r="222" spans="1:7" x14ac:dyDescent="0.2">
      <c r="A222" s="15">
        <v>44099</v>
      </c>
      <c r="B222" s="112">
        <v>1.0911999999999999</v>
      </c>
      <c r="C222" s="108">
        <f>IFERROR(B222-B221,0)</f>
        <v>6.9999999999992291E-4</v>
      </c>
      <c r="D222" s="109" t="str">
        <f>IF(C222&lt;0,C222,"/")</f>
        <v>/</v>
      </c>
      <c r="E222" s="109">
        <f ca="1">IF(表2_3671626293038912[[#This Row],[累计净值]]/MAX(INDIRECT("B21:B" &amp; ROW()))-1&lt;E221,表2_3671626293038912[[#This Row],[累计净值]]/MAX(INDIRECT("B21:B" &amp; ROW()))-1,E221)</f>
        <v>-3.8655622203179973E-2</v>
      </c>
      <c r="F222" s="110">
        <f>表2_3671626293038912[[#This Row],[累计净值]]</f>
        <v>1.0911999999999999</v>
      </c>
      <c r="G222" s="20">
        <f>表2_3671626293038912[[#This Row],[累计净值]]/$B$21-1</f>
        <v>9.043669431398027E-2</v>
      </c>
    </row>
    <row r="223" spans="1:7" x14ac:dyDescent="0.2">
      <c r="A223" s="15">
        <v>44102</v>
      </c>
      <c r="B223" s="112">
        <v>1.0912999999999999</v>
      </c>
      <c r="C223" s="108">
        <f>IFERROR(B223-B222,0)</f>
        <v>9.9999999999988987E-5</v>
      </c>
      <c r="D223" s="109" t="str">
        <f>IF(C223&lt;0,C223,"/")</f>
        <v>/</v>
      </c>
      <c r="E223" s="109">
        <f ca="1">IF(表2_3671626293038912[[#This Row],[累计净值]]/MAX(INDIRECT("B21:B" &amp; ROW()))-1&lt;E222,表2_3671626293038912[[#This Row],[累计净值]]/MAX(INDIRECT("B21:B" &amp; ROW()))-1,E222)</f>
        <v>-3.8655622203179973E-2</v>
      </c>
      <c r="F223" s="110">
        <f>表2_3671626293038912[[#This Row],[累计净值]]</f>
        <v>1.0912999999999999</v>
      </c>
      <c r="G223" s="20">
        <f>表2_3671626293038912[[#This Row],[累计净值]]/$B$21-1</f>
        <v>9.0536624362945961E-2</v>
      </c>
    </row>
    <row r="224" spans="1:7" x14ac:dyDescent="0.2">
      <c r="A224" s="15">
        <v>44103</v>
      </c>
      <c r="B224" s="112">
        <v>1.0920000000000001</v>
      </c>
      <c r="C224" s="108">
        <f t="shared" ref="C224:C225" si="62">IFERROR(B224-B223,0)</f>
        <v>7.0000000000014495E-4</v>
      </c>
      <c r="D224" s="109" t="str">
        <f t="shared" ref="D224:D225" si="63">IF(C224&lt;0,C224,"/")</f>
        <v>/</v>
      </c>
      <c r="E224" s="109">
        <f ca="1">IF(表2_3671626293038912[[#This Row],[累计净值]]/MAX(INDIRECT("B21:B" &amp; ROW()))-1&lt;E223,表2_3671626293038912[[#This Row],[累计净值]]/MAX(INDIRECT("B21:B" &amp; ROW()))-1,E223)</f>
        <v>-3.8655622203179973E-2</v>
      </c>
      <c r="F224" s="110">
        <f>表2_3671626293038912[[#This Row],[累计净值]]</f>
        <v>1.0920000000000001</v>
      </c>
      <c r="G224" s="20">
        <f>表2_3671626293038912[[#This Row],[累计净值]]/$B$21-1</f>
        <v>9.123613470570624E-2</v>
      </c>
    </row>
    <row r="225" spans="1:7" x14ac:dyDescent="0.2">
      <c r="A225" s="15">
        <v>44104</v>
      </c>
      <c r="B225" s="112">
        <v>1.0960000000000001</v>
      </c>
      <c r="C225" s="108">
        <f t="shared" si="62"/>
        <v>4.0000000000000036E-3</v>
      </c>
      <c r="D225" s="109" t="str">
        <f t="shared" si="63"/>
        <v>/</v>
      </c>
      <c r="E225" s="109">
        <f ca="1">IF(表2_3671626293038912[[#This Row],[累计净值]]/MAX(INDIRECT("B21:B" &amp; ROW()))-1&lt;E224,表2_3671626293038912[[#This Row],[累计净值]]/MAX(INDIRECT("B21:B" &amp; ROW()))-1,E224)</f>
        <v>-3.8655622203179973E-2</v>
      </c>
      <c r="F225" s="110">
        <f>表2_3671626293038912[[#This Row],[累计净值]]</f>
        <v>1.0960000000000001</v>
      </c>
      <c r="G225" s="20">
        <f>表2_3671626293038912[[#This Row],[累计净值]]/$B$21-1</f>
        <v>9.52333366643352E-2</v>
      </c>
    </row>
    <row r="226" spans="1:7" x14ac:dyDescent="0.2">
      <c r="A226" s="15">
        <v>44113</v>
      </c>
      <c r="B226" s="112">
        <v>1.0960000000000001</v>
      </c>
      <c r="C226" s="108">
        <f t="shared" ref="C226:C231" si="64">IFERROR(B226-B225,0)</f>
        <v>0</v>
      </c>
      <c r="D226" s="109" t="str">
        <f t="shared" ref="D226:D231" si="65">IF(C226&lt;0,C226,"/")</f>
        <v>/</v>
      </c>
      <c r="E226" s="109">
        <f ca="1">IF(表2_3671626293038912[[#This Row],[累计净值]]/MAX(INDIRECT("B21:B" &amp; ROW()))-1&lt;E225,表2_3671626293038912[[#This Row],[累计净值]]/MAX(INDIRECT("B21:B" &amp; ROW()))-1,E225)</f>
        <v>-3.8655622203179973E-2</v>
      </c>
      <c r="F226" s="110">
        <f>表2_3671626293038912[[#This Row],[累计净值]]</f>
        <v>1.0960000000000001</v>
      </c>
      <c r="G226" s="20">
        <f>表2_3671626293038912[[#This Row],[累计净值]]/$B$21-1</f>
        <v>9.52333366643352E-2</v>
      </c>
    </row>
    <row r="227" spans="1:7" x14ac:dyDescent="0.2">
      <c r="A227" s="15">
        <v>44116</v>
      </c>
      <c r="B227" s="112">
        <v>1.0960000000000001</v>
      </c>
      <c r="C227" s="108">
        <f t="shared" si="64"/>
        <v>0</v>
      </c>
      <c r="D227" s="109" t="str">
        <f t="shared" si="65"/>
        <v>/</v>
      </c>
      <c r="E227" s="109">
        <f ca="1">IF(表2_3671626293038912[[#This Row],[累计净值]]/MAX(INDIRECT("B21:B" &amp; ROW()))-1&lt;E226,表2_3671626293038912[[#This Row],[累计净值]]/MAX(INDIRECT("B21:B" &amp; ROW()))-1,E226)</f>
        <v>-3.8655622203179973E-2</v>
      </c>
      <c r="F227" s="110">
        <f>表2_3671626293038912[[#This Row],[累计净值]]</f>
        <v>1.0960000000000001</v>
      </c>
      <c r="G227" s="20">
        <f>表2_3671626293038912[[#This Row],[累计净值]]/$B$21-1</f>
        <v>9.52333366643352E-2</v>
      </c>
    </row>
    <row r="228" spans="1:7" x14ac:dyDescent="0.2">
      <c r="A228" s="15">
        <v>44117</v>
      </c>
      <c r="B228" s="112">
        <v>1.0960000000000001</v>
      </c>
      <c r="C228" s="108">
        <f t="shared" si="64"/>
        <v>0</v>
      </c>
      <c r="D228" s="109" t="str">
        <f t="shared" si="65"/>
        <v>/</v>
      </c>
      <c r="E228" s="109">
        <f ca="1">IF(表2_3671626293038912[[#This Row],[累计净值]]/MAX(INDIRECT("B21:B" &amp; ROW()))-1&lt;E227,表2_3671626293038912[[#This Row],[累计净值]]/MAX(INDIRECT("B21:B" &amp; ROW()))-1,E227)</f>
        <v>-3.8655622203179973E-2</v>
      </c>
      <c r="F228" s="110">
        <f>表2_3671626293038912[[#This Row],[累计净值]]</f>
        <v>1.0960000000000001</v>
      </c>
      <c r="G228" s="20">
        <f>表2_3671626293038912[[#This Row],[累计净值]]/$B$21-1</f>
        <v>9.52333366643352E-2</v>
      </c>
    </row>
    <row r="229" spans="1:7" x14ac:dyDescent="0.2">
      <c r="A229" s="15">
        <v>44118</v>
      </c>
      <c r="B229" s="112">
        <v>1.0960000000000001</v>
      </c>
      <c r="C229" s="108">
        <f t="shared" si="64"/>
        <v>0</v>
      </c>
      <c r="D229" s="109" t="str">
        <f t="shared" si="65"/>
        <v>/</v>
      </c>
      <c r="E229" s="109">
        <f ca="1">IF(表2_3671626293038912[[#This Row],[累计净值]]/MAX(INDIRECT("B21:B" &amp; ROW()))-1&lt;E228,表2_3671626293038912[[#This Row],[累计净值]]/MAX(INDIRECT("B21:B" &amp; ROW()))-1,E228)</f>
        <v>-3.8655622203179973E-2</v>
      </c>
      <c r="F229" s="110">
        <f>表2_3671626293038912[[#This Row],[累计净值]]</f>
        <v>1.0960000000000001</v>
      </c>
      <c r="G229" s="20">
        <f>表2_3671626293038912[[#This Row],[累计净值]]/$B$21-1</f>
        <v>9.52333366643352E-2</v>
      </c>
    </row>
    <row r="230" spans="1:7" x14ac:dyDescent="0.2">
      <c r="A230" s="15">
        <v>44119</v>
      </c>
      <c r="B230" s="112">
        <v>1.0959000000000001</v>
      </c>
      <c r="C230" s="108">
        <f t="shared" si="64"/>
        <v>-9.9999999999988987E-5</v>
      </c>
      <c r="D230" s="109">
        <f t="shared" si="65"/>
        <v>-9.9999999999988987E-5</v>
      </c>
      <c r="E230" s="109">
        <f ca="1">IF(表2_3671626293038912[[#This Row],[累计净值]]/MAX(INDIRECT("B21:B" &amp; ROW()))-1&lt;E229,表2_3671626293038912[[#This Row],[累计净值]]/MAX(INDIRECT("B21:B" &amp; ROW()))-1,E229)</f>
        <v>-3.8655622203179973E-2</v>
      </c>
      <c r="F230" s="110">
        <f>表2_3671626293038912[[#This Row],[累计净值]]</f>
        <v>1.0959000000000001</v>
      </c>
      <c r="G230" s="20">
        <f>表2_3671626293038912[[#This Row],[累计净值]]/$B$21-1</f>
        <v>9.5133406615369509E-2</v>
      </c>
    </row>
    <row r="231" spans="1:7" x14ac:dyDescent="0.2">
      <c r="A231" s="15">
        <v>44120</v>
      </c>
      <c r="B231" s="112">
        <v>1.0920000000000001</v>
      </c>
      <c r="C231" s="108">
        <f t="shared" si="64"/>
        <v>-3.9000000000000146E-3</v>
      </c>
      <c r="D231" s="109">
        <f t="shared" si="65"/>
        <v>-3.9000000000000146E-3</v>
      </c>
      <c r="E231" s="109">
        <f ca="1">IF(表2_3671626293038912[[#This Row],[累计净值]]/MAX(INDIRECT("B21:B" &amp; ROW()))-1&lt;E230,表2_3671626293038912[[#This Row],[累计净值]]/MAX(INDIRECT("B21:B" &amp; ROW()))-1,E230)</f>
        <v>-3.8655622203179973E-2</v>
      </c>
      <c r="F231" s="110">
        <f>表2_3671626293038912[[#This Row],[累计净值]]</f>
        <v>1.0920000000000001</v>
      </c>
      <c r="G231" s="20">
        <f>表2_3671626293038912[[#This Row],[累计净值]]/$B$21-1</f>
        <v>9.123613470570624E-2</v>
      </c>
    </row>
    <row r="232" spans="1:7" x14ac:dyDescent="0.2">
      <c r="A232" s="15">
        <v>44123</v>
      </c>
      <c r="B232" s="112">
        <v>1.0920000000000001</v>
      </c>
      <c r="C232" s="108">
        <f t="shared" ref="C232:C237" si="66">IFERROR(B232-B231,0)</f>
        <v>0</v>
      </c>
      <c r="D232" s="109" t="str">
        <f t="shared" ref="D232:D237" si="67">IF(C232&lt;0,C232,"/")</f>
        <v>/</v>
      </c>
      <c r="E232" s="109">
        <f ca="1">IF(表2_3671626293038912[[#This Row],[累计净值]]/MAX(INDIRECT("B21:B" &amp; ROW()))-1&lt;E231,表2_3671626293038912[[#This Row],[累计净值]]/MAX(INDIRECT("B21:B" &amp; ROW()))-1,E231)</f>
        <v>-3.8655622203179973E-2</v>
      </c>
      <c r="F232" s="110">
        <f>表2_3671626293038912[[#This Row],[累计净值]]</f>
        <v>1.0920000000000001</v>
      </c>
      <c r="G232" s="20">
        <f>表2_3671626293038912[[#This Row],[累计净值]]/$B$21-1</f>
        <v>9.123613470570624E-2</v>
      </c>
    </row>
    <row r="233" spans="1:7" x14ac:dyDescent="0.2">
      <c r="A233" s="15">
        <v>44124</v>
      </c>
      <c r="B233" s="112">
        <v>1.0919000000000001</v>
      </c>
      <c r="C233" s="108">
        <f t="shared" si="66"/>
        <v>-9.9999999999988987E-5</v>
      </c>
      <c r="D233" s="109">
        <f t="shared" si="67"/>
        <v>-9.9999999999988987E-5</v>
      </c>
      <c r="E233" s="109">
        <f ca="1">IF(表2_3671626293038912[[#This Row],[累计净值]]/MAX(INDIRECT("B21:B" &amp; ROW()))-1&lt;E232,表2_3671626293038912[[#This Row],[累计净值]]/MAX(INDIRECT("B21:B" &amp; ROW()))-1,E232)</f>
        <v>-3.8655622203179973E-2</v>
      </c>
      <c r="F233" s="110">
        <f>表2_3671626293038912[[#This Row],[累计净值]]</f>
        <v>1.0919000000000001</v>
      </c>
      <c r="G233" s="20">
        <f>表2_3671626293038912[[#This Row],[累计净值]]/$B$21-1</f>
        <v>9.1136204656740549E-2</v>
      </c>
    </row>
    <row r="234" spans="1:7" x14ac:dyDescent="0.2">
      <c r="A234" s="15">
        <v>44125</v>
      </c>
      <c r="B234" s="112">
        <v>1.0927</v>
      </c>
      <c r="C234" s="108">
        <f t="shared" si="66"/>
        <v>7.9999999999991189E-4</v>
      </c>
      <c r="D234" s="109" t="str">
        <f t="shared" si="67"/>
        <v>/</v>
      </c>
      <c r="E234" s="109">
        <f ca="1">IF(表2_3671626293038912[[#This Row],[累计净值]]/MAX(INDIRECT("B21:B" &amp; ROW()))-1&lt;E233,表2_3671626293038912[[#This Row],[累计净值]]/MAX(INDIRECT("B21:B" &amp; ROW()))-1,E233)</f>
        <v>-3.8655622203179973E-2</v>
      </c>
      <c r="F234" s="110">
        <f>表2_3671626293038912[[#This Row],[累计净值]]</f>
        <v>1.0927</v>
      </c>
      <c r="G234" s="20">
        <f>表2_3671626293038912[[#This Row],[累计净值]]/$B$21-1</f>
        <v>9.1935645048466075E-2</v>
      </c>
    </row>
    <row r="235" spans="1:7" x14ac:dyDescent="0.2">
      <c r="A235" s="15">
        <v>44126</v>
      </c>
      <c r="B235" s="112">
        <v>1.0919000000000001</v>
      </c>
      <c r="C235" s="108">
        <f t="shared" si="66"/>
        <v>-7.9999999999991189E-4</v>
      </c>
      <c r="D235" s="109">
        <f t="shared" si="67"/>
        <v>-7.9999999999991189E-4</v>
      </c>
      <c r="E235" s="109">
        <f ca="1">IF(表2_3671626293038912[[#This Row],[累计净值]]/MAX(INDIRECT("B21:B" &amp; ROW()))-1&lt;E234,表2_3671626293038912[[#This Row],[累计净值]]/MAX(INDIRECT("B21:B" &amp; ROW()))-1,E234)</f>
        <v>-3.8655622203179973E-2</v>
      </c>
      <c r="F235" s="110">
        <f>表2_3671626293038912[[#This Row],[累计净值]]</f>
        <v>1.0919000000000001</v>
      </c>
      <c r="G235" s="20">
        <f>表2_3671626293038912[[#This Row],[累计净值]]/$B$21-1</f>
        <v>9.1136204656740549E-2</v>
      </c>
    </row>
    <row r="236" spans="1:7" x14ac:dyDescent="0.2">
      <c r="A236" s="15">
        <v>44127</v>
      </c>
      <c r="B236" s="112">
        <v>1.0843</v>
      </c>
      <c r="C236" s="108">
        <f t="shared" si="66"/>
        <v>-7.6000000000000512E-3</v>
      </c>
      <c r="D236" s="109">
        <f t="shared" si="67"/>
        <v>-7.6000000000000512E-3</v>
      </c>
      <c r="E236" s="109">
        <f ca="1">IF(表2_3671626293038912[[#This Row],[累计净值]]/MAX(INDIRECT("B21:B" &amp; ROW()))-1&lt;E235,表2_3671626293038912[[#This Row],[累计净值]]/MAX(INDIRECT("B21:B" &amp; ROW()))-1,E235)</f>
        <v>-3.8655622203179973E-2</v>
      </c>
      <c r="F236" s="110">
        <f>表2_3671626293038912[[#This Row],[累计净值]]</f>
        <v>1.0843</v>
      </c>
      <c r="G236" s="20">
        <f>表2_3671626293038912[[#This Row],[累计净值]]/$B$21-1</f>
        <v>8.3541520935345392E-2</v>
      </c>
    </row>
    <row r="237" spans="1:7" x14ac:dyDescent="0.2">
      <c r="A237" s="15">
        <v>44130</v>
      </c>
      <c r="B237" s="112">
        <v>1.0858000000000001</v>
      </c>
      <c r="C237" s="108">
        <f t="shared" si="66"/>
        <v>1.5000000000000568E-3</v>
      </c>
      <c r="D237" s="109" t="str">
        <f t="shared" si="67"/>
        <v>/</v>
      </c>
      <c r="E237" s="109">
        <f ca="1">IF(表2_3671626293038912[[#This Row],[累计净值]]/MAX(INDIRECT("B21:B" &amp; ROW()))-1&lt;E236,表2_3671626293038912[[#This Row],[累计净值]]/MAX(INDIRECT("B21:B" &amp; ROW()))-1,E236)</f>
        <v>-3.8655622203179973E-2</v>
      </c>
      <c r="F237" s="110">
        <f>表2_3671626293038912[[#This Row],[累计净值]]</f>
        <v>1.0858000000000001</v>
      </c>
      <c r="G237" s="20">
        <f>表2_3671626293038912[[#This Row],[累计净值]]/$B$21-1</f>
        <v>8.5040471669831197E-2</v>
      </c>
    </row>
    <row r="238" spans="1:7" x14ac:dyDescent="0.2">
      <c r="A238" s="15">
        <v>44131</v>
      </c>
      <c r="B238" s="112">
        <v>1.0863</v>
      </c>
      <c r="C238" s="108">
        <f>IFERROR(B238-B237,0)</f>
        <v>4.9999999999994493E-4</v>
      </c>
      <c r="D238" s="109" t="str">
        <f>IF(C238&lt;0,C238,"/")</f>
        <v>/</v>
      </c>
      <c r="E238" s="109">
        <f ca="1">IF(表2_3671626293038912[[#This Row],[累计净值]]/MAX(INDIRECT("B21:B" &amp; ROW()))-1&lt;E237,表2_3671626293038912[[#This Row],[累计净值]]/MAX(INDIRECT("B21:B" &amp; ROW()))-1,E237)</f>
        <v>-3.8655622203179973E-2</v>
      </c>
      <c r="F238" s="110">
        <f>表2_3671626293038912[[#This Row],[累计净值]]</f>
        <v>1.0863</v>
      </c>
      <c r="G238" s="20">
        <f>表2_3671626293038912[[#This Row],[累计净值]]/$B$21-1</f>
        <v>8.5540121914659872E-2</v>
      </c>
    </row>
    <row r="239" spans="1:7" x14ac:dyDescent="0.2">
      <c r="A239" s="15">
        <v>44132</v>
      </c>
      <c r="B239" s="112">
        <v>1.0854999999999999</v>
      </c>
      <c r="C239" s="108">
        <f>IFERROR(B239-B238,0)</f>
        <v>-8.0000000000013394E-4</v>
      </c>
      <c r="D239" s="109">
        <f>IF(C239&lt;0,C239,"/")</f>
        <v>-8.0000000000013394E-4</v>
      </c>
      <c r="E239" s="109">
        <f ca="1">IF(表2_3671626293038912[[#This Row],[累计净值]]/MAX(INDIRECT("B21:B" &amp; ROW()))-1&lt;E238,表2_3671626293038912[[#This Row],[累计净值]]/MAX(INDIRECT("B21:B" &amp; ROW()))-1,E238)</f>
        <v>-3.8655622203179973E-2</v>
      </c>
      <c r="F239" s="110">
        <f>表2_3671626293038912[[#This Row],[累计净值]]</f>
        <v>1.0854999999999999</v>
      </c>
      <c r="G239" s="20">
        <f>表2_3671626293038912[[#This Row],[累计净值]]/$B$21-1</f>
        <v>8.4740681522933903E-2</v>
      </c>
    </row>
    <row r="240" spans="1:7" x14ac:dyDescent="0.2">
      <c r="A240" s="15">
        <v>44133</v>
      </c>
      <c r="B240" s="112">
        <v>1.0812999999999999</v>
      </c>
      <c r="C240" s="108">
        <f>IFERROR(B240-B239,0)</f>
        <v>-4.1999999999999815E-3</v>
      </c>
      <c r="D240" s="109">
        <f>IF(C240&lt;0,C240,"/")</f>
        <v>-4.1999999999999815E-3</v>
      </c>
      <c r="E240" s="109">
        <f ca="1">IF(表2_3671626293038912[[#This Row],[累计净值]]/MAX(INDIRECT("B21:B" &amp; ROW()))-1&lt;E239,表2_3671626293038912[[#This Row],[累计净值]]/MAX(INDIRECT("B21:B" &amp; ROW()))-1,E239)</f>
        <v>-3.8655622203179973E-2</v>
      </c>
      <c r="F240" s="110">
        <f>表2_3671626293038912[[#This Row],[累计净值]]</f>
        <v>1.0812999999999999</v>
      </c>
      <c r="G240" s="20">
        <f>表2_3671626293038912[[#This Row],[累计净值]]/$B$21-1</f>
        <v>8.0543619466373562E-2</v>
      </c>
    </row>
    <row r="241" spans="1:7" x14ac:dyDescent="0.2">
      <c r="A241" s="15">
        <v>44134</v>
      </c>
      <c r="B241" s="112">
        <v>1.0773999999999999</v>
      </c>
      <c r="C241" s="108">
        <f t="shared" ref="C241:C243" si="68">IFERROR(B241-B240,0)</f>
        <v>-3.9000000000000146E-3</v>
      </c>
      <c r="D241" s="109">
        <f t="shared" ref="D241:D243" si="69">IF(C241&lt;0,C241,"/")</f>
        <v>-3.9000000000000146E-3</v>
      </c>
      <c r="E241" s="109">
        <f ca="1">IF(表2_3671626293038912[[#This Row],[累计净值]]/MAX(INDIRECT("B21:B" &amp; ROW()))-1&lt;E240,表2_3671626293038912[[#This Row],[累计净值]]/MAX(INDIRECT("B21:B" &amp; ROW()))-1,E240)</f>
        <v>-3.8655622203179973E-2</v>
      </c>
      <c r="F241" s="110">
        <f>表2_3671626293038912[[#This Row],[累计净值]]</f>
        <v>1.0773999999999999</v>
      </c>
      <c r="G241" s="20">
        <f>表2_3671626293038912[[#This Row],[累计净值]]/$B$21-1</f>
        <v>7.6646347556710293E-2</v>
      </c>
    </row>
    <row r="242" spans="1:7" x14ac:dyDescent="0.2">
      <c r="A242" s="15">
        <v>44137</v>
      </c>
      <c r="B242" s="112">
        <v>1.0772999999999999</v>
      </c>
      <c r="C242" s="108">
        <f t="shared" si="68"/>
        <v>-9.9999999999988987E-5</v>
      </c>
      <c r="D242" s="109">
        <f t="shared" si="69"/>
        <v>-9.9999999999988987E-5</v>
      </c>
      <c r="E242" s="109">
        <f ca="1">IF(表2_3671626293038912[[#This Row],[累计净值]]/MAX(INDIRECT("B21:B" &amp; ROW()))-1&lt;E241,表2_3671626293038912[[#This Row],[累计净值]]/MAX(INDIRECT("B21:B" &amp; ROW()))-1,E241)</f>
        <v>-3.8655622203179973E-2</v>
      </c>
      <c r="F242" s="110">
        <f>表2_3671626293038912[[#This Row],[累计净值]]</f>
        <v>1.0772999999999999</v>
      </c>
      <c r="G242" s="20">
        <f>表2_3671626293038912[[#This Row],[累计净值]]/$B$21-1</f>
        <v>7.6546417507744602E-2</v>
      </c>
    </row>
    <row r="243" spans="1:7" x14ac:dyDescent="0.2">
      <c r="A243" s="15">
        <v>44138</v>
      </c>
      <c r="B243" s="112">
        <v>1.0789</v>
      </c>
      <c r="C243" s="108">
        <f t="shared" si="68"/>
        <v>1.6000000000000458E-3</v>
      </c>
      <c r="D243" s="109" t="str">
        <f t="shared" si="69"/>
        <v>/</v>
      </c>
      <c r="E243" s="109">
        <f ca="1">IF(表2_3671626293038912[[#This Row],[累计净值]]/MAX(INDIRECT("B21:B" &amp; ROW()))-1&lt;E242,表2_3671626293038912[[#This Row],[累计净值]]/MAX(INDIRECT("B21:B" &amp; ROW()))-1,E242)</f>
        <v>-3.8655622203179973E-2</v>
      </c>
      <c r="F243" s="110">
        <f>表2_3671626293038912[[#This Row],[累计净值]]</f>
        <v>1.0789</v>
      </c>
      <c r="G243" s="20">
        <f>表2_3671626293038912[[#This Row],[累计净值]]/$B$21-1</f>
        <v>7.8145298291196319E-2</v>
      </c>
    </row>
    <row r="244" spans="1:7" x14ac:dyDescent="0.2">
      <c r="A244" s="15">
        <v>44139</v>
      </c>
      <c r="B244" s="112">
        <v>1.0831</v>
      </c>
      <c r="C244" s="108">
        <f t="shared" ref="C244:C250" si="70">IFERROR(B244-B243,0)</f>
        <v>4.1999999999999815E-3</v>
      </c>
      <c r="D244" s="109" t="str">
        <f t="shared" ref="D244:D250" si="71">IF(C244&lt;0,C244,"/")</f>
        <v>/</v>
      </c>
      <c r="E244" s="109">
        <f ca="1">IF(表2_3671626293038912[[#This Row],[累计净值]]/MAX(INDIRECT("B21:B" &amp; ROW()))-1&lt;E243,表2_3671626293038912[[#This Row],[累计净值]]/MAX(INDIRECT("B21:B" &amp; ROW()))-1,E243)</f>
        <v>-3.8655622203179973E-2</v>
      </c>
      <c r="F244" s="110">
        <f>表2_3671626293038912[[#This Row],[累计净值]]</f>
        <v>1.0831</v>
      </c>
      <c r="G244" s="20">
        <f>表2_3671626293038912[[#This Row],[累计净值]]/$B$21-1</f>
        <v>8.234236034775666E-2</v>
      </c>
    </row>
    <row r="245" spans="1:7" x14ac:dyDescent="0.2">
      <c r="A245" s="15">
        <v>44140</v>
      </c>
      <c r="B245" s="112">
        <v>1.0843</v>
      </c>
      <c r="C245" s="108">
        <f t="shared" si="70"/>
        <v>1.2000000000000899E-3</v>
      </c>
      <c r="D245" s="109" t="str">
        <f t="shared" si="71"/>
        <v>/</v>
      </c>
      <c r="E245" s="109">
        <f ca="1">IF(表2_3671626293038912[[#This Row],[累计净值]]/MAX(INDIRECT("B21:B" &amp; ROW()))-1&lt;E244,表2_3671626293038912[[#This Row],[累计净值]]/MAX(INDIRECT("B21:B" &amp; ROW()))-1,E244)</f>
        <v>-3.8655622203179973E-2</v>
      </c>
      <c r="F245" s="110">
        <f>表2_3671626293038912[[#This Row],[累计净值]]</f>
        <v>1.0843</v>
      </c>
      <c r="G245" s="20">
        <f>表2_3671626293038912[[#This Row],[累计净值]]/$B$21-1</f>
        <v>8.3541520935345392E-2</v>
      </c>
    </row>
    <row r="246" spans="1:7" x14ac:dyDescent="0.2">
      <c r="A246" s="15">
        <v>44141</v>
      </c>
      <c r="B246" s="112">
        <v>1.0874999999999999</v>
      </c>
      <c r="C246" s="108">
        <f t="shared" si="70"/>
        <v>3.1999999999998696E-3</v>
      </c>
      <c r="D246" s="109" t="str">
        <f t="shared" si="71"/>
        <v>/</v>
      </c>
      <c r="E246" s="109">
        <f ca="1">IF(表2_3671626293038912[[#This Row],[累计净值]]/MAX(INDIRECT("B21:B" &amp; ROW()))-1&lt;E245,表2_3671626293038912[[#This Row],[累计净值]]/MAX(INDIRECT("B21:B" &amp; ROW()))-1,E245)</f>
        <v>-3.8655622203179973E-2</v>
      </c>
      <c r="F246" s="110">
        <f>表2_3671626293038912[[#This Row],[累计净值]]</f>
        <v>1.0874999999999999</v>
      </c>
      <c r="G246" s="20">
        <f>表2_3671626293038912[[#This Row],[累计净值]]/$B$21-1</f>
        <v>8.6739282502248383E-2</v>
      </c>
    </row>
    <row r="247" spans="1:7" x14ac:dyDescent="0.2">
      <c r="A247" s="15">
        <v>44144</v>
      </c>
      <c r="B247" s="112">
        <v>1.091</v>
      </c>
      <c r="C247" s="108">
        <f t="shared" si="70"/>
        <v>3.5000000000000586E-3</v>
      </c>
      <c r="D247" s="109" t="str">
        <f t="shared" si="71"/>
        <v>/</v>
      </c>
      <c r="E247" s="109">
        <f ca="1">IF(表2_3671626293038912[[#This Row],[累计净值]]/MAX(INDIRECT("B21:B" &amp; ROW()))-1&lt;E246,表2_3671626293038912[[#This Row],[累计净值]]/MAX(INDIRECT("B21:B" &amp; ROW()))-1,E246)</f>
        <v>-3.8655622203179973E-2</v>
      </c>
      <c r="F247" s="110">
        <f>表2_3671626293038912[[#This Row],[累计净值]]</f>
        <v>1.091</v>
      </c>
      <c r="G247" s="20">
        <f>表2_3671626293038912[[#This Row],[累计净值]]/$B$21-1</f>
        <v>9.0236834216048889E-2</v>
      </c>
    </row>
    <row r="248" spans="1:7" x14ac:dyDescent="0.2">
      <c r="A248" s="15">
        <v>44145</v>
      </c>
      <c r="B248" s="112">
        <v>1.0902000000000001</v>
      </c>
      <c r="C248" s="108">
        <f t="shared" si="70"/>
        <v>-7.9999999999991189E-4</v>
      </c>
      <c r="D248" s="109">
        <f t="shared" si="71"/>
        <v>-7.9999999999991189E-4</v>
      </c>
      <c r="E248" s="109">
        <f ca="1">IF(表2_3671626293038912[[#This Row],[累计净值]]/MAX(INDIRECT("B21:B" &amp; ROW()))-1&lt;E247,表2_3671626293038912[[#This Row],[累计净值]]/MAX(INDIRECT("B21:B" &amp; ROW()))-1,E247)</f>
        <v>-3.8655622203179973E-2</v>
      </c>
      <c r="F248" s="110">
        <f>表2_3671626293038912[[#This Row],[累计净值]]</f>
        <v>1.0902000000000001</v>
      </c>
      <c r="G248" s="20">
        <f>表2_3671626293038912[[#This Row],[累计净值]]/$B$21-1</f>
        <v>8.9437393824323141E-2</v>
      </c>
    </row>
    <row r="249" spans="1:7" x14ac:dyDescent="0.2">
      <c r="A249" s="15">
        <v>44146</v>
      </c>
      <c r="B249" s="112">
        <v>1.0892999999999999</v>
      </c>
      <c r="C249" s="108">
        <f t="shared" si="70"/>
        <v>-9.0000000000012292E-4</v>
      </c>
      <c r="D249" s="109">
        <f t="shared" si="71"/>
        <v>-9.0000000000012292E-4</v>
      </c>
      <c r="E249" s="109">
        <f ca="1">IF(表2_3671626293038912[[#This Row],[累计净值]]/MAX(INDIRECT("B21:B" &amp; ROW()))-1&lt;E248,表2_3671626293038912[[#This Row],[累计净值]]/MAX(INDIRECT("B21:B" &amp; ROW()))-1,E248)</f>
        <v>-3.8655622203179973E-2</v>
      </c>
      <c r="F249" s="110">
        <f>表2_3671626293038912[[#This Row],[累计净值]]</f>
        <v>1.0892999999999999</v>
      </c>
      <c r="G249" s="20">
        <f>表2_3671626293038912[[#This Row],[累计净值]]/$B$21-1</f>
        <v>8.8538023383631481E-2</v>
      </c>
    </row>
    <row r="250" spans="1:7" x14ac:dyDescent="0.2">
      <c r="A250" s="15">
        <v>44147</v>
      </c>
      <c r="B250" s="112">
        <v>1.0911</v>
      </c>
      <c r="C250" s="108">
        <f t="shared" si="70"/>
        <v>1.8000000000000238E-3</v>
      </c>
      <c r="D250" s="109" t="str">
        <f t="shared" si="71"/>
        <v>/</v>
      </c>
      <c r="E250" s="109">
        <f ca="1">IF(表2_3671626293038912[[#This Row],[累计净值]]/MAX(INDIRECT("B21:B" &amp; ROW()))-1&lt;E249,表2_3671626293038912[[#This Row],[累计净值]]/MAX(INDIRECT("B21:B" &amp; ROW()))-1,E249)</f>
        <v>-3.8655622203179973E-2</v>
      </c>
      <c r="F250" s="110">
        <f>表2_3671626293038912[[#This Row],[累计净值]]</f>
        <v>1.0911</v>
      </c>
      <c r="G250" s="20">
        <f>表2_3671626293038912[[#This Row],[累计净值]]/$B$21-1</f>
        <v>9.033676426501458E-2</v>
      </c>
    </row>
    <row r="251" spans="1:7" x14ac:dyDescent="0.2">
      <c r="A251" s="15">
        <v>44148</v>
      </c>
      <c r="B251" s="112">
        <v>1.0908</v>
      </c>
      <c r="C251" s="108">
        <f t="shared" ref="C251:C256" si="72">IFERROR(B251-B250,0)</f>
        <v>-2.9999999999996696E-4</v>
      </c>
      <c r="D251" s="109">
        <f t="shared" ref="D251:D256" si="73">IF(C251&lt;0,C251,"/")</f>
        <v>-2.9999999999996696E-4</v>
      </c>
      <c r="E251" s="109">
        <f ca="1">IF(表2_3671626293038912[[#This Row],[累计净值]]/MAX(INDIRECT("B21:B" &amp; ROW()))-1&lt;E250,表2_3671626293038912[[#This Row],[累计净值]]/MAX(INDIRECT("B21:B" &amp; ROW()))-1,E250)</f>
        <v>-3.8655622203179973E-2</v>
      </c>
      <c r="F251" s="110">
        <f>表2_3671626293038912[[#This Row],[累计净值]]</f>
        <v>1.0908</v>
      </c>
      <c r="G251" s="20">
        <f>表2_3671626293038912[[#This Row],[累计净值]]/$B$21-1</f>
        <v>9.0036974118117286E-2</v>
      </c>
    </row>
    <row r="252" spans="1:7" x14ac:dyDescent="0.2">
      <c r="A252" s="15">
        <v>44151</v>
      </c>
      <c r="B252" s="112">
        <v>1.0979000000000001</v>
      </c>
      <c r="C252" s="108">
        <f t="shared" si="72"/>
        <v>7.1000000000001062E-3</v>
      </c>
      <c r="D252" s="109" t="str">
        <f t="shared" si="73"/>
        <v>/</v>
      </c>
      <c r="E252" s="109">
        <f ca="1">IF(表2_3671626293038912[[#This Row],[累计净值]]/MAX(INDIRECT("B21:B" &amp; ROW()))-1&lt;E251,表2_3671626293038912[[#This Row],[累计净值]]/MAX(INDIRECT("B21:B" &amp; ROW()))-1,E251)</f>
        <v>-3.8655622203179973E-2</v>
      </c>
      <c r="F252" s="110">
        <f>表2_3671626293038912[[#This Row],[累计净值]]</f>
        <v>1.0979000000000001</v>
      </c>
      <c r="G252" s="20">
        <f>表2_3671626293038912[[#This Row],[累计净值]]/$B$21-1</f>
        <v>9.7132007594683989E-2</v>
      </c>
    </row>
    <row r="253" spans="1:7" x14ac:dyDescent="0.2">
      <c r="A253" s="15">
        <v>44152</v>
      </c>
      <c r="B253" s="112">
        <v>1.0981000000000001</v>
      </c>
      <c r="C253" s="108">
        <f t="shared" si="72"/>
        <v>1.9999999999997797E-4</v>
      </c>
      <c r="D253" s="109" t="str">
        <f t="shared" si="73"/>
        <v>/</v>
      </c>
      <c r="E253" s="109">
        <f ca="1">IF(表2_3671626293038912[[#This Row],[累计净值]]/MAX(INDIRECT("B21:B" &amp; ROW()))-1&lt;E252,表2_3671626293038912[[#This Row],[累计净值]]/MAX(INDIRECT("B21:B" &amp; ROW()))-1,E252)</f>
        <v>-3.8655622203179973E-2</v>
      </c>
      <c r="F253" s="110">
        <f>表2_3671626293038912[[#This Row],[累计净值]]</f>
        <v>1.0981000000000001</v>
      </c>
      <c r="G253" s="20">
        <f>表2_3671626293038912[[#This Row],[累计净值]]/$B$21-1</f>
        <v>9.733186769261537E-2</v>
      </c>
    </row>
    <row r="254" spans="1:7" x14ac:dyDescent="0.2">
      <c r="A254" s="15">
        <v>44153</v>
      </c>
      <c r="B254" s="112">
        <v>1.1002000000000001</v>
      </c>
      <c r="C254" s="108">
        <f t="shared" si="72"/>
        <v>2.0999999999999908E-3</v>
      </c>
      <c r="D254" s="109" t="str">
        <f t="shared" si="73"/>
        <v>/</v>
      </c>
      <c r="E254" s="109">
        <f ca="1">IF(表2_3671626293038912[[#This Row],[累计净值]]/MAX(INDIRECT("B21:B" &amp; ROW()))-1&lt;E253,表2_3671626293038912[[#This Row],[累计净值]]/MAX(INDIRECT("B21:B" &amp; ROW()))-1,E253)</f>
        <v>-3.8655622203179973E-2</v>
      </c>
      <c r="F254" s="110">
        <f>表2_3671626293038912[[#This Row],[累计净值]]</f>
        <v>1.1002000000000001</v>
      </c>
      <c r="G254" s="20">
        <f>表2_3671626293038912[[#This Row],[累计净值]]/$B$21-1</f>
        <v>9.9430398720895541E-2</v>
      </c>
    </row>
    <row r="255" spans="1:7" x14ac:dyDescent="0.2">
      <c r="A255" s="15">
        <v>44154</v>
      </c>
      <c r="B255" s="117">
        <v>1.1036999999999999</v>
      </c>
      <c r="C255" s="108">
        <f t="shared" si="72"/>
        <v>3.4999999999998366E-3</v>
      </c>
      <c r="D255" s="109" t="str">
        <f t="shared" si="73"/>
        <v>/</v>
      </c>
      <c r="E255" s="109">
        <f ca="1">IF(表2_3671626293038912[[#This Row],[累计净值]]/MAX(INDIRECT("B21:B" &amp; ROW()))-1&lt;E254,表2_3671626293038912[[#This Row],[累计净值]]/MAX(INDIRECT("B21:B" &amp; ROW()))-1,E254)</f>
        <v>-3.8655622203179973E-2</v>
      </c>
      <c r="F255" s="110">
        <f>表2_3671626293038912[[#This Row],[累计净值]]</f>
        <v>1.1036999999999999</v>
      </c>
      <c r="G255" s="20">
        <f>表2_3671626293038912[[#This Row],[累计净值]]/$B$21-1</f>
        <v>0.1029279504346956</v>
      </c>
    </row>
    <row r="256" spans="1:7" x14ac:dyDescent="0.2">
      <c r="A256" s="15">
        <v>44155</v>
      </c>
      <c r="B256" s="112">
        <v>1.1032999999999999</v>
      </c>
      <c r="C256" s="108">
        <f t="shared" si="72"/>
        <v>-3.9999999999995595E-4</v>
      </c>
      <c r="D256" s="109">
        <f t="shared" si="73"/>
        <v>-3.9999999999995595E-4</v>
      </c>
      <c r="E256" s="109">
        <f ca="1">IF(表2_3671626293038912[[#This Row],[累计净值]]/MAX(INDIRECT("B21:B" &amp; ROW()))-1&lt;E255,表2_3671626293038912[[#This Row],[累计净值]]/MAX(INDIRECT("B21:B" &amp; ROW()))-1,E255)</f>
        <v>-3.8655622203179973E-2</v>
      </c>
      <c r="F256" s="110">
        <f>表2_3671626293038912[[#This Row],[累计净值]]</f>
        <v>1.1032999999999999</v>
      </c>
      <c r="G256" s="20">
        <f>表2_3671626293038912[[#This Row],[累计净值]]/$B$21-1</f>
        <v>0.10252823023883284</v>
      </c>
    </row>
    <row r="257" spans="1:7" x14ac:dyDescent="0.2">
      <c r="A257" s="15">
        <v>44158</v>
      </c>
      <c r="B257" s="112">
        <v>1.1009</v>
      </c>
      <c r="C257" s="108">
        <f t="shared" ref="C257:C263" si="74">IFERROR(B257-B256,0)</f>
        <v>-2.3999999999999577E-3</v>
      </c>
      <c r="D257" s="109">
        <f t="shared" ref="D257:D263" si="75">IF(C257&lt;0,C257,"/")</f>
        <v>-2.3999999999999577E-3</v>
      </c>
      <c r="E257" s="109">
        <f ca="1">IF(表2_3671626293038912[[#This Row],[累计净值]]/MAX(INDIRECT("B21:B" &amp; ROW()))-1&lt;E256,表2_3671626293038912[[#This Row],[累计净值]]/MAX(INDIRECT("B21:B" &amp; ROW()))-1,E256)</f>
        <v>-3.8655622203179973E-2</v>
      </c>
      <c r="F257" s="110">
        <f>表2_3671626293038912[[#This Row],[累计净值]]</f>
        <v>1.1009</v>
      </c>
      <c r="G257" s="20">
        <f>表2_3671626293038912[[#This Row],[累计净值]]/$B$21-1</f>
        <v>0.1001299090636556</v>
      </c>
    </row>
    <row r="258" spans="1:7" x14ac:dyDescent="0.2">
      <c r="A258" s="15">
        <v>44159</v>
      </c>
      <c r="B258" s="112">
        <v>1.097</v>
      </c>
      <c r="C258" s="108">
        <f t="shared" si="74"/>
        <v>-3.9000000000000146E-3</v>
      </c>
      <c r="D258" s="109">
        <f t="shared" si="75"/>
        <v>-3.9000000000000146E-3</v>
      </c>
      <c r="E258" s="109">
        <f ca="1">IF(表2_3671626293038912[[#This Row],[累计净值]]/MAX(INDIRECT("B21:B" &amp; ROW()))-1&lt;E257,表2_3671626293038912[[#This Row],[累计净值]]/MAX(INDIRECT("B21:B" &amp; ROW()))-1,E257)</f>
        <v>-3.8655622203179973E-2</v>
      </c>
      <c r="F258" s="110">
        <f>表2_3671626293038912[[#This Row],[累计净值]]</f>
        <v>1.097</v>
      </c>
      <c r="G258" s="20">
        <f>表2_3671626293038912[[#This Row],[累计净值]]/$B$21-1</f>
        <v>9.6232637153992329E-2</v>
      </c>
    </row>
    <row r="259" spans="1:7" x14ac:dyDescent="0.2">
      <c r="A259" s="15">
        <v>44160</v>
      </c>
      <c r="B259" s="112">
        <v>1.0924</v>
      </c>
      <c r="C259" s="108">
        <f t="shared" si="74"/>
        <v>-4.5999999999999375E-3</v>
      </c>
      <c r="D259" s="109">
        <f t="shared" si="75"/>
        <v>-4.5999999999999375E-3</v>
      </c>
      <c r="E259" s="109">
        <f ca="1">IF(表2_3671626293038912[[#This Row],[累计净值]]/MAX(INDIRECT("B21:B" &amp; ROW()))-1&lt;E258,表2_3671626293038912[[#This Row],[累计净值]]/MAX(INDIRECT("B21:B" &amp; ROW()))-1,E258)</f>
        <v>-3.8655622203179973E-2</v>
      </c>
      <c r="F259" s="110">
        <f>表2_3671626293038912[[#This Row],[累计净值]]</f>
        <v>1.0924</v>
      </c>
      <c r="G259" s="20">
        <f>表2_3671626293038912[[#This Row],[累计净值]]/$B$21-1</f>
        <v>9.1635854901569003E-2</v>
      </c>
    </row>
    <row r="260" spans="1:7" x14ac:dyDescent="0.2">
      <c r="A260" s="15">
        <v>44161</v>
      </c>
      <c r="B260" s="112">
        <v>1.0924</v>
      </c>
      <c r="C260" s="108">
        <f t="shared" si="74"/>
        <v>0</v>
      </c>
      <c r="D260" s="109" t="str">
        <f t="shared" si="75"/>
        <v>/</v>
      </c>
      <c r="E260" s="109">
        <f ca="1">IF(表2_3671626293038912[[#This Row],[累计净值]]/MAX(INDIRECT("B21:B" &amp; ROW()))-1&lt;E259,表2_3671626293038912[[#This Row],[累计净值]]/MAX(INDIRECT("B21:B" &amp; ROW()))-1,E259)</f>
        <v>-3.8655622203179973E-2</v>
      </c>
      <c r="F260" s="110">
        <f>表2_3671626293038912[[#This Row],[累计净值]]</f>
        <v>1.0924</v>
      </c>
      <c r="G260" s="20">
        <f>表2_3671626293038912[[#This Row],[累计净值]]/$B$21-1</f>
        <v>9.1635854901569003E-2</v>
      </c>
    </row>
    <row r="261" spans="1:7" x14ac:dyDescent="0.2">
      <c r="A261" s="15">
        <v>44162</v>
      </c>
      <c r="B261" s="112">
        <v>1.0963000000000001</v>
      </c>
      <c r="C261" s="108">
        <f t="shared" si="74"/>
        <v>3.9000000000000146E-3</v>
      </c>
      <c r="D261" s="109" t="str">
        <f t="shared" si="75"/>
        <v>/</v>
      </c>
      <c r="E261" s="109">
        <f ca="1">IF(表2_3671626293038912[[#This Row],[累计净值]]/MAX(INDIRECT("B21:B" &amp; ROW()))-1&lt;E260,表2_3671626293038912[[#This Row],[累计净值]]/MAX(INDIRECT("B21:B" &amp; ROW()))-1,E260)</f>
        <v>-3.8655622203179973E-2</v>
      </c>
      <c r="F261" s="110">
        <f>表2_3671626293038912[[#This Row],[累计净值]]</f>
        <v>1.0963000000000001</v>
      </c>
      <c r="G261" s="20">
        <f>表2_3671626293038912[[#This Row],[累计净值]]/$B$21-1</f>
        <v>9.5533126811232272E-2</v>
      </c>
    </row>
    <row r="262" spans="1:7" x14ac:dyDescent="0.2">
      <c r="A262" s="15">
        <v>44165</v>
      </c>
      <c r="B262" s="112">
        <v>1.0983000000000001</v>
      </c>
      <c r="C262" s="108">
        <f t="shared" si="74"/>
        <v>2.0000000000000018E-3</v>
      </c>
      <c r="D262" s="109" t="str">
        <f t="shared" si="75"/>
        <v>/</v>
      </c>
      <c r="E262" s="109">
        <f ca="1">IF(表2_3671626293038912[[#This Row],[累计净值]]/MAX(INDIRECT("B21:B" &amp; ROW()))-1&lt;E261,表2_3671626293038912[[#This Row],[累计净值]]/MAX(INDIRECT("B21:B" &amp; ROW()))-1,E261)</f>
        <v>-3.8655622203179973E-2</v>
      </c>
      <c r="F262" s="110">
        <f>表2_3671626293038912[[#This Row],[累计净值]]</f>
        <v>1.0983000000000001</v>
      </c>
      <c r="G262" s="20">
        <f>表2_3671626293038912[[#This Row],[累计净值]]/$B$21-1</f>
        <v>9.7531727790546752E-2</v>
      </c>
    </row>
    <row r="263" spans="1:7" x14ac:dyDescent="0.2">
      <c r="A263" s="15">
        <v>44166</v>
      </c>
      <c r="B263" s="112">
        <v>1.0999000000000001</v>
      </c>
      <c r="C263" s="108">
        <f t="shared" si="74"/>
        <v>1.6000000000000458E-3</v>
      </c>
      <c r="D263" s="109" t="str">
        <f t="shared" si="75"/>
        <v>/</v>
      </c>
      <c r="E263" s="109">
        <f ca="1">IF(表2_3671626293038912[[#This Row],[累计净值]]/MAX(INDIRECT("B21:B" &amp; ROW()))-1&lt;E262,表2_3671626293038912[[#This Row],[累计净值]]/MAX(INDIRECT("B21:B" &amp; ROW()))-1,E262)</f>
        <v>-3.8655622203179973E-2</v>
      </c>
      <c r="F263" s="110">
        <f>表2_3671626293038912[[#This Row],[累计净值]]</f>
        <v>1.0999000000000001</v>
      </c>
      <c r="G263" s="20">
        <f>表2_3671626293038912[[#This Row],[累计净值]]/$B$21-1</f>
        <v>9.9130608573998469E-2</v>
      </c>
    </row>
    <row r="264" spans="1:7" x14ac:dyDescent="0.2">
      <c r="A264" s="15">
        <v>44167</v>
      </c>
      <c r="B264" s="112">
        <v>1.1021000000000001</v>
      </c>
      <c r="C264" s="108">
        <f t="shared" ref="C264:C269" si="76">IFERROR(B264-B263,0)</f>
        <v>2.1999999999999797E-3</v>
      </c>
      <c r="D264" s="109" t="str">
        <f t="shared" ref="D264:D269" si="77">IF(C264&lt;0,C264,"/")</f>
        <v>/</v>
      </c>
      <c r="E264" s="109">
        <f ca="1">IF(表2_3671626293038912[[#This Row],[累计净值]]/MAX(INDIRECT("B21:B" &amp; ROW()))-1&lt;E263,表2_3671626293038912[[#This Row],[累计净值]]/MAX(INDIRECT("B21:B" &amp; ROW()))-1,E263)</f>
        <v>-3.8655622203179973E-2</v>
      </c>
      <c r="F264" s="110">
        <f>表2_3671626293038912[[#This Row],[累计净值]]</f>
        <v>1.1021000000000001</v>
      </c>
      <c r="G264" s="20">
        <f>表2_3671626293038912[[#This Row],[累计净值]]/$B$21-1</f>
        <v>0.10132906965124433</v>
      </c>
    </row>
    <row r="265" spans="1:7" x14ac:dyDescent="0.2">
      <c r="A265" s="15">
        <v>44168</v>
      </c>
      <c r="B265" s="112">
        <v>1.0980000000000001</v>
      </c>
      <c r="C265" s="108">
        <f t="shared" si="76"/>
        <v>-4.0999999999999925E-3</v>
      </c>
      <c r="D265" s="109">
        <f t="shared" si="77"/>
        <v>-4.0999999999999925E-3</v>
      </c>
      <c r="E265" s="109">
        <f ca="1">IF(表2_3671626293038912[[#This Row],[累计净值]]/MAX(INDIRECT("B21:B" &amp; ROW()))-1&lt;E264,表2_3671626293038912[[#This Row],[累计净值]]/MAX(INDIRECT("B21:B" &amp; ROW()))-1,E264)</f>
        <v>-3.8655622203179973E-2</v>
      </c>
      <c r="F265" s="110">
        <f>表2_3671626293038912[[#This Row],[累计净值]]</f>
        <v>1.0980000000000001</v>
      </c>
      <c r="G265" s="20">
        <f>表2_3671626293038912[[#This Row],[累计净值]]/$B$21-1</f>
        <v>9.723193764364968E-2</v>
      </c>
    </row>
    <row r="266" spans="1:7" x14ac:dyDescent="0.2">
      <c r="A266" s="15">
        <v>44169</v>
      </c>
      <c r="B266" s="112">
        <v>1.0992999999999999</v>
      </c>
      <c r="C266" s="108">
        <f t="shared" si="76"/>
        <v>1.2999999999998568E-3</v>
      </c>
      <c r="D266" s="109" t="str">
        <f t="shared" si="77"/>
        <v>/</v>
      </c>
      <c r="E266" s="109">
        <f ca="1">IF(表2_3671626293038912[[#This Row],[累计净值]]/MAX(INDIRECT("B21:B" &amp; ROW()))-1&lt;E265,表2_3671626293038912[[#This Row],[累计净值]]/MAX(INDIRECT("B21:B" &amp; ROW()))-1,E265)</f>
        <v>-3.8655622203179973E-2</v>
      </c>
      <c r="F266" s="110">
        <f>表2_3671626293038912[[#This Row],[累计净值]]</f>
        <v>1.0992999999999999</v>
      </c>
      <c r="G266" s="20">
        <f>表2_3671626293038912[[#This Row],[累计净值]]/$B$21-1</f>
        <v>9.8531028280203881E-2</v>
      </c>
    </row>
    <row r="267" spans="1:7" x14ac:dyDescent="0.2">
      <c r="A267" s="15">
        <v>44172</v>
      </c>
      <c r="B267" s="112">
        <v>1.0993999999999999</v>
      </c>
      <c r="C267" s="108">
        <f t="shared" si="76"/>
        <v>9.9999999999988987E-5</v>
      </c>
      <c r="D267" s="109" t="str">
        <f t="shared" si="77"/>
        <v>/</v>
      </c>
      <c r="E267" s="109">
        <f ca="1">IF(表2_3671626293038912[[#This Row],[累计净值]]/MAX(INDIRECT("B21:B" &amp; ROW()))-1&lt;E266,表2_3671626293038912[[#This Row],[累计净值]]/MAX(INDIRECT("B21:B" &amp; ROW()))-1,E266)</f>
        <v>-3.8655622203179973E-2</v>
      </c>
      <c r="F267" s="110">
        <f>表2_3671626293038912[[#This Row],[累计净值]]</f>
        <v>1.0993999999999999</v>
      </c>
      <c r="G267" s="20">
        <f>表2_3671626293038912[[#This Row],[累计净值]]/$B$21-1</f>
        <v>9.8630958329169571E-2</v>
      </c>
    </row>
    <row r="268" spans="1:7" x14ac:dyDescent="0.2">
      <c r="A268" s="15">
        <v>44173</v>
      </c>
      <c r="B268" s="112">
        <v>1.0994999999999999</v>
      </c>
      <c r="C268" s="108">
        <f t="shared" si="76"/>
        <v>9.9999999999988987E-5</v>
      </c>
      <c r="D268" s="109" t="str">
        <f t="shared" si="77"/>
        <v>/</v>
      </c>
      <c r="E268" s="109">
        <f ca="1">IF(表2_3671626293038912[[#This Row],[累计净值]]/MAX(INDIRECT("B21:B" &amp; ROW()))-1&lt;E267,表2_3671626293038912[[#This Row],[累计净值]]/MAX(INDIRECT("B21:B" &amp; ROW()))-1,E267)</f>
        <v>-3.8655622203179973E-2</v>
      </c>
      <c r="F268" s="110">
        <f>表2_3671626293038912[[#This Row],[累计净值]]</f>
        <v>1.0994999999999999</v>
      </c>
      <c r="G268" s="20">
        <f>表2_3671626293038912[[#This Row],[累计净值]]/$B$21-1</f>
        <v>9.8730888378135262E-2</v>
      </c>
    </row>
    <row r="269" spans="1:7" x14ac:dyDescent="0.2">
      <c r="A269" s="15">
        <v>44174</v>
      </c>
      <c r="B269" s="112">
        <v>1.1032</v>
      </c>
      <c r="C269" s="108">
        <f t="shared" si="76"/>
        <v>3.7000000000000366E-3</v>
      </c>
      <c r="D269" s="109" t="str">
        <f t="shared" si="77"/>
        <v>/</v>
      </c>
      <c r="E269" s="109">
        <f ca="1">IF(表2_3671626293038912[[#This Row],[累计净值]]/MAX(INDIRECT("B21:B" &amp; ROW()))-1&lt;E268,表2_3671626293038912[[#This Row],[累计净值]]/MAX(INDIRECT("B21:B" &amp; ROW()))-1,E268)</f>
        <v>-3.8655622203179973E-2</v>
      </c>
      <c r="F269" s="110">
        <f>表2_3671626293038912[[#This Row],[累计净值]]</f>
        <v>1.1032</v>
      </c>
      <c r="G269" s="20">
        <f>表2_3671626293038912[[#This Row],[累计净值]]/$B$21-1</f>
        <v>0.10242830018986715</v>
      </c>
    </row>
    <row r="270" spans="1:7" x14ac:dyDescent="0.2">
      <c r="A270" s="15">
        <v>44175</v>
      </c>
      <c r="B270" s="112">
        <v>1.1136999999999999</v>
      </c>
      <c r="C270" s="108">
        <f t="shared" ref="C270:C275" si="78">IFERROR(B270-B269,0)</f>
        <v>1.0499999999999954E-2</v>
      </c>
      <c r="D270" s="109" t="str">
        <f t="shared" ref="D270:D275" si="79">IF(C270&lt;0,C270,"/")</f>
        <v>/</v>
      </c>
      <c r="E270" s="109">
        <f ca="1">IF(表2_3671626293038912[[#This Row],[累计净值]]/MAX(INDIRECT("B21:B" &amp; ROW()))-1&lt;E269,表2_3671626293038912[[#This Row],[累计净值]]/MAX(INDIRECT("B21:B" &amp; ROW()))-1,E269)</f>
        <v>-3.8655622203179973E-2</v>
      </c>
      <c r="F270" s="110">
        <f>表2_3671626293038912[[#This Row],[累计净值]]</f>
        <v>1.1136999999999999</v>
      </c>
      <c r="G270" s="20">
        <f>表2_3671626293038912[[#This Row],[累计净值]]/$B$21-1</f>
        <v>0.112920955331268</v>
      </c>
    </row>
    <row r="271" spans="1:7" x14ac:dyDescent="0.2">
      <c r="A271" s="15">
        <v>44176</v>
      </c>
      <c r="B271" s="117">
        <v>1.1176999999999999</v>
      </c>
      <c r="C271" s="108">
        <f t="shared" si="78"/>
        <v>4.0000000000000036E-3</v>
      </c>
      <c r="D271" s="109" t="str">
        <f t="shared" si="79"/>
        <v>/</v>
      </c>
      <c r="E271" s="109">
        <f ca="1">IF(表2_3671626293038912[[#This Row],[累计净值]]/MAX(INDIRECT("B21:B" &amp; ROW()))-1&lt;E270,表2_3671626293038912[[#This Row],[累计净值]]/MAX(INDIRECT("B21:B" &amp; ROW()))-1,E270)</f>
        <v>-3.8655622203179973E-2</v>
      </c>
      <c r="F271" s="110">
        <f>表2_3671626293038912[[#This Row],[累计净值]]</f>
        <v>1.1176999999999999</v>
      </c>
      <c r="G271" s="20">
        <f>表2_3671626293038912[[#This Row],[累计净值]]/$B$21-1</f>
        <v>0.11691815728989718</v>
      </c>
    </row>
    <row r="272" spans="1:7" x14ac:dyDescent="0.2">
      <c r="A272" s="15">
        <v>44179</v>
      </c>
      <c r="B272" s="112">
        <v>1.1088</v>
      </c>
      <c r="C272" s="108">
        <f t="shared" si="78"/>
        <v>-8.899999999999908E-3</v>
      </c>
      <c r="D272" s="109">
        <f t="shared" si="79"/>
        <v>-8.899999999999908E-3</v>
      </c>
      <c r="E272" s="109">
        <f ca="1">IF(表2_3671626293038912[[#This Row],[累计净值]]/MAX(INDIRECT("B21:B" &amp; ROW()))-1&lt;E271,表2_3671626293038912[[#This Row],[累计净值]]/MAX(INDIRECT("B21:B" &amp; ROW()))-1,E271)</f>
        <v>-3.8655622203179973E-2</v>
      </c>
      <c r="F272" s="110">
        <f>表2_3671626293038912[[#This Row],[累计净值]]</f>
        <v>1.1088</v>
      </c>
      <c r="G272" s="20">
        <f>表2_3671626293038912[[#This Row],[累计净值]]/$B$21-1</f>
        <v>0.10802438293194783</v>
      </c>
    </row>
    <row r="273" spans="1:7" x14ac:dyDescent="0.2">
      <c r="A273" s="15">
        <v>44180</v>
      </c>
      <c r="B273" s="112">
        <v>1.1036999999999999</v>
      </c>
      <c r="C273" s="108">
        <f t="shared" si="78"/>
        <v>-5.1000000000001044E-3</v>
      </c>
      <c r="D273" s="109">
        <f t="shared" si="79"/>
        <v>-5.1000000000001044E-3</v>
      </c>
      <c r="E273" s="109">
        <f ca="1">IF(表2_3671626293038912[[#This Row],[累计净值]]/MAX(INDIRECT("B21:B" &amp; ROW()))-1&lt;E272,表2_3671626293038912[[#This Row],[累计净值]]/MAX(INDIRECT("B21:B" &amp; ROW()))-1,E272)</f>
        <v>-3.8655622203179973E-2</v>
      </c>
      <c r="F273" s="110">
        <f>表2_3671626293038912[[#This Row],[累计净值]]</f>
        <v>1.1036999999999999</v>
      </c>
      <c r="G273" s="20">
        <f>表2_3671626293038912[[#This Row],[累计净值]]/$B$21-1</f>
        <v>0.1029279504346956</v>
      </c>
    </row>
    <row r="274" spans="1:7" x14ac:dyDescent="0.2">
      <c r="A274" s="15">
        <v>44181</v>
      </c>
      <c r="B274" s="112">
        <v>1.1057999999999999</v>
      </c>
      <c r="C274" s="108">
        <f t="shared" si="78"/>
        <v>2.0999999999999908E-3</v>
      </c>
      <c r="D274" s="109" t="str">
        <f t="shared" si="79"/>
        <v>/</v>
      </c>
      <c r="E274" s="109">
        <f ca="1">IF(表2_3671626293038912[[#This Row],[累计净值]]/MAX(INDIRECT("B21:B" &amp; ROW()))-1&lt;E273,表2_3671626293038912[[#This Row],[累计净值]]/MAX(INDIRECT("B21:B" &amp; ROW()))-1,E273)</f>
        <v>-3.8655622203179973E-2</v>
      </c>
      <c r="F274" s="110">
        <f>表2_3671626293038912[[#This Row],[累计净值]]</f>
        <v>1.1057999999999999</v>
      </c>
      <c r="G274" s="20">
        <f>表2_3671626293038912[[#This Row],[累计净值]]/$B$21-1</f>
        <v>0.105026481462976</v>
      </c>
    </row>
    <row r="275" spans="1:7" x14ac:dyDescent="0.2">
      <c r="A275" s="15">
        <v>44182</v>
      </c>
      <c r="B275" s="112">
        <v>1.1025</v>
      </c>
      <c r="C275" s="108">
        <f t="shared" si="78"/>
        <v>-3.2999999999998586E-3</v>
      </c>
      <c r="D275" s="109">
        <f t="shared" si="79"/>
        <v>-3.2999999999998586E-3</v>
      </c>
      <c r="E275" s="109">
        <f ca="1">IF(表2_3671626293038912[[#This Row],[累计净值]]/MAX(INDIRECT("B21:B" &amp; ROW()))-1&lt;E274,表2_3671626293038912[[#This Row],[累计净值]]/MAX(INDIRECT("B21:B" &amp; ROW()))-1,E274)</f>
        <v>-3.8655622203179973E-2</v>
      </c>
      <c r="F275" s="110">
        <f>表2_3671626293038912[[#This Row],[累计净值]]</f>
        <v>1.1025</v>
      </c>
      <c r="G275" s="20">
        <f>表2_3671626293038912[[#This Row],[累计净值]]/$B$21-1</f>
        <v>0.10172878984710709</v>
      </c>
    </row>
    <row r="276" spans="1:7" x14ac:dyDescent="0.2">
      <c r="A276" s="15">
        <v>44183</v>
      </c>
      <c r="B276" s="112">
        <v>1.1092</v>
      </c>
      <c r="C276" s="108">
        <f t="shared" ref="C276:C281" si="80">IFERROR(B276-B275,0)</f>
        <v>6.6999999999999282E-3</v>
      </c>
      <c r="D276" s="109" t="str">
        <f t="shared" ref="D276:D281" si="81">IF(C276&lt;0,C276,"/")</f>
        <v>/</v>
      </c>
      <c r="E276" s="109">
        <f ca="1">IF(表2_3671626293038912[[#This Row],[累计净值]]/MAX(INDIRECT("B21:B" &amp; ROW()))-1&lt;E275,表2_3671626293038912[[#This Row],[累计净值]]/MAX(INDIRECT("B21:B" &amp; ROW()))-1,E275)</f>
        <v>-3.8655622203179973E-2</v>
      </c>
      <c r="F276" s="110">
        <f>表2_3671626293038912[[#This Row],[累计净值]]</f>
        <v>1.1092</v>
      </c>
      <c r="G276" s="20">
        <f>表2_3671626293038912[[#This Row],[累计净值]]/$B$21-1</f>
        <v>0.10842410312781059</v>
      </c>
    </row>
    <row r="277" spans="1:7" x14ac:dyDescent="0.2">
      <c r="A277" s="15">
        <v>44186</v>
      </c>
      <c r="B277" s="112">
        <v>1.1173999999999999</v>
      </c>
      <c r="C277" s="108">
        <f t="shared" si="80"/>
        <v>8.1999999999999851E-3</v>
      </c>
      <c r="D277" s="109" t="str">
        <f t="shared" si="81"/>
        <v>/</v>
      </c>
      <c r="E277" s="109">
        <f ca="1">IF(表2_3671626293038912[[#This Row],[累计净值]]/MAX(INDIRECT("B21:B" &amp; ROW()))-1&lt;E276,表2_3671626293038912[[#This Row],[累计净值]]/MAX(INDIRECT("B21:B" &amp; ROW()))-1,E276)</f>
        <v>-3.8655622203179973E-2</v>
      </c>
      <c r="F277" s="110">
        <f>表2_3671626293038912[[#This Row],[累计净值]]</f>
        <v>1.1173999999999999</v>
      </c>
      <c r="G277" s="20">
        <f>0.8*(表2_3671626293038912[[#This Row],[累计净值]]/$B$21-1)</f>
        <v>9.3294693714399912E-2</v>
      </c>
    </row>
    <row r="278" spans="1:7" x14ac:dyDescent="0.2">
      <c r="A278" s="15">
        <v>44187</v>
      </c>
      <c r="B278" s="112">
        <v>1.1195999999999999</v>
      </c>
      <c r="C278" s="108">
        <f t="shared" si="80"/>
        <v>2.1999999999999797E-3</v>
      </c>
      <c r="D278" s="109" t="str">
        <f t="shared" si="81"/>
        <v>/</v>
      </c>
      <c r="E278" s="109">
        <f ca="1">IF(表2_3671626293038912[[#This Row],[累计净值]]/MAX(INDIRECT("B21:B" &amp; ROW()))-1&lt;E277,表2_3671626293038912[[#This Row],[累计净值]]/MAX(INDIRECT("B21:B" &amp; ROW()))-1,E277)</f>
        <v>-3.8655622203179973E-2</v>
      </c>
      <c r="F278" s="110">
        <f>表2_3671626293038912[[#This Row],[累计净值]]</f>
        <v>1.1195999999999999</v>
      </c>
      <c r="G278" s="20">
        <f>0.8*(表2_3671626293038912[[#This Row],[累计净值]]/$B$21-1)</f>
        <v>9.505346257619661E-2</v>
      </c>
    </row>
    <row r="279" spans="1:7" x14ac:dyDescent="0.2">
      <c r="A279" s="15">
        <v>44188</v>
      </c>
      <c r="B279" s="112">
        <v>1.1136999999999999</v>
      </c>
      <c r="C279" s="108">
        <f t="shared" si="80"/>
        <v>-5.9000000000000163E-3</v>
      </c>
      <c r="D279" s="109">
        <f t="shared" si="81"/>
        <v>-5.9000000000000163E-3</v>
      </c>
      <c r="E279" s="109">
        <f ca="1">IF(表2_3671626293038912[[#This Row],[累计净值]]/MAX(INDIRECT("B21:B" &amp; ROW()))-1&lt;E278,表2_3671626293038912[[#This Row],[累计净值]]/MAX(INDIRECT("B21:B" &amp; ROW()))-1,E278)</f>
        <v>-3.8655622203179973E-2</v>
      </c>
      <c r="F279" s="110">
        <f>表2_3671626293038912[[#This Row],[累计净值]]</f>
        <v>1.1136999999999999</v>
      </c>
      <c r="G279" s="20">
        <f>0.8*(表2_3671626293038912[[#This Row],[累计净值]]/$B$21-1)</f>
        <v>9.0336764265014413E-2</v>
      </c>
    </row>
    <row r="280" spans="1:7" x14ac:dyDescent="0.2">
      <c r="A280" s="15">
        <v>44189</v>
      </c>
      <c r="B280" s="112">
        <v>1.1136999999999999</v>
      </c>
      <c r="C280" s="108">
        <f t="shared" si="80"/>
        <v>0</v>
      </c>
      <c r="D280" s="109" t="str">
        <f t="shared" si="81"/>
        <v>/</v>
      </c>
      <c r="E280" s="109">
        <f ca="1">IF(表2_3671626293038912[[#This Row],[累计净值]]/MAX(INDIRECT("B21:B" &amp; ROW()))-1&lt;E279,表2_3671626293038912[[#This Row],[累计净值]]/MAX(INDIRECT("B21:B" &amp; ROW()))-1,E279)</f>
        <v>-3.8655622203179973E-2</v>
      </c>
      <c r="F280" s="110">
        <f>表2_3671626293038912[[#This Row],[累计净值]]</f>
        <v>1.1136999999999999</v>
      </c>
      <c r="G280" s="20">
        <f>0.8*(表2_3671626293038912[[#This Row],[累计净值]]/$B$21-1)</f>
        <v>9.0336764265014413E-2</v>
      </c>
    </row>
    <row r="281" spans="1:7" x14ac:dyDescent="0.2">
      <c r="A281" s="15">
        <v>44190</v>
      </c>
      <c r="B281" s="112">
        <v>1.1107</v>
      </c>
      <c r="C281" s="108">
        <f t="shared" si="80"/>
        <v>-2.9999999999998916E-3</v>
      </c>
      <c r="D281" s="109">
        <f t="shared" si="81"/>
        <v>-2.9999999999998916E-3</v>
      </c>
      <c r="E281" s="109">
        <f ca="1">IF(表2_3671626293038912[[#This Row],[累计净值]]/MAX(INDIRECT("B21:B" &amp; ROW()))-1&lt;E280,表2_3671626293038912[[#This Row],[累计净值]]/MAX(INDIRECT("B21:B" &amp; ROW()))-1,E280)</f>
        <v>-3.8655622203179973E-2</v>
      </c>
      <c r="F281" s="110">
        <f>表2_3671626293038912[[#This Row],[累计净值]]</f>
        <v>1.1107</v>
      </c>
      <c r="G281" s="20">
        <f>0.8*(表2_3671626293038912[[#This Row],[累计净值]]/$B$21-1)</f>
        <v>8.7938443089837115E-2</v>
      </c>
    </row>
    <row r="282" spans="1:7" x14ac:dyDescent="0.2">
      <c r="A282" s="15">
        <v>44193</v>
      </c>
      <c r="B282" s="112">
        <v>1.1045</v>
      </c>
      <c r="C282" s="108">
        <f t="shared" ref="C282:C287" si="82">IFERROR(B282-B281,0)</f>
        <v>-6.1999999999999833E-3</v>
      </c>
      <c r="D282" s="109">
        <f t="shared" ref="D282:D287" si="83">IF(C282&lt;0,C282,"/")</f>
        <v>-6.1999999999999833E-3</v>
      </c>
      <c r="E282" s="109">
        <f ca="1">IF(表2_3671626293038912[[#This Row],[累计净值]]/MAX(INDIRECT("B21:B" &amp; ROW()))-1&lt;E281,表2_3671626293038912[[#This Row],[累计净值]]/MAX(INDIRECT("B21:B" &amp; ROW()))-1,E281)</f>
        <v>-3.8655622203179973E-2</v>
      </c>
      <c r="F282" s="110">
        <f>表2_3671626293038912[[#This Row],[累计净值]]</f>
        <v>1.1045</v>
      </c>
      <c r="G282" s="20">
        <f>0.8*(表2_3671626293038912[[#This Row],[累计净值]]/$B$21-1)</f>
        <v>8.2981912661137261E-2</v>
      </c>
    </row>
    <row r="283" spans="1:7" x14ac:dyDescent="0.2">
      <c r="A283" s="15">
        <v>44194</v>
      </c>
      <c r="B283" s="112">
        <v>1.1021000000000001</v>
      </c>
      <c r="C283" s="108">
        <f t="shared" si="82"/>
        <v>-2.3999999999999577E-3</v>
      </c>
      <c r="D283" s="109">
        <f t="shared" si="83"/>
        <v>-2.3999999999999577E-3</v>
      </c>
      <c r="E283" s="109">
        <f ca="1">IF(表2_3671626293038912[[#This Row],[累计净值]]/MAX(INDIRECT("B21:B" &amp; ROW()))-1&lt;E282,表2_3671626293038912[[#This Row],[累计净值]]/MAX(INDIRECT("B21:B" &amp; ROW()))-1,E282)</f>
        <v>-3.8655622203179973E-2</v>
      </c>
      <c r="F283" s="110">
        <f>表2_3671626293038912[[#This Row],[累计净值]]</f>
        <v>1.1021000000000001</v>
      </c>
      <c r="G283" s="20">
        <f>0.8*(表2_3671626293038912[[#This Row],[累计净值]]/$B$21-1)</f>
        <v>8.1063255720995472E-2</v>
      </c>
    </row>
    <row r="284" spans="1:7" x14ac:dyDescent="0.2">
      <c r="A284" s="15">
        <v>44195</v>
      </c>
      <c r="B284" s="112">
        <v>1.1045</v>
      </c>
      <c r="C284" s="108">
        <f t="shared" si="82"/>
        <v>2.3999999999999577E-3</v>
      </c>
      <c r="D284" s="109" t="str">
        <f t="shared" si="83"/>
        <v>/</v>
      </c>
      <c r="E284" s="109">
        <f ca="1">IF(表2_3671626293038912[[#This Row],[累计净值]]/MAX(INDIRECT("B21:B" &amp; ROW()))-1&lt;E283,表2_3671626293038912[[#This Row],[累计净值]]/MAX(INDIRECT("B21:B" &amp; ROW()))-1,E283)</f>
        <v>-3.8655622203179973E-2</v>
      </c>
      <c r="F284" s="110">
        <f>表2_3671626293038912[[#This Row],[累计净值]]</f>
        <v>1.1045</v>
      </c>
      <c r="G284" s="20">
        <f>0.8*(表2_3671626293038912[[#This Row],[累计净值]]/$B$21-1)</f>
        <v>8.2981912661137261E-2</v>
      </c>
    </row>
    <row r="285" spans="1:7" x14ac:dyDescent="0.2">
      <c r="A285" s="15">
        <v>44196</v>
      </c>
      <c r="B285" s="112">
        <v>1.1057999999999999</v>
      </c>
      <c r="C285" s="108">
        <f t="shared" si="82"/>
        <v>1.2999999999998568E-3</v>
      </c>
      <c r="D285" s="109" t="str">
        <f t="shared" si="83"/>
        <v>/</v>
      </c>
      <c r="E285" s="109">
        <f ca="1">IF(表2_3671626293038912[[#This Row],[累计净值]]/MAX(INDIRECT("B21:B" &amp; ROW()))-1&lt;E284,表2_3671626293038912[[#This Row],[累计净值]]/MAX(INDIRECT("B21:B" &amp; ROW()))-1,E284)</f>
        <v>-3.8655622203179973E-2</v>
      </c>
      <c r="F285" s="110">
        <f>表2_3671626293038912[[#This Row],[累计净值]]</f>
        <v>1.1057999999999999</v>
      </c>
      <c r="G285" s="20">
        <f>0.8*(表2_3671626293038912[[#This Row],[累计净值]]/$B$21-1)</f>
        <v>8.4021185170380805E-2</v>
      </c>
    </row>
    <row r="286" spans="1:7" x14ac:dyDescent="0.2">
      <c r="A286" s="15">
        <v>44200</v>
      </c>
      <c r="B286" s="112">
        <v>1.1040000000000001</v>
      </c>
      <c r="C286" s="108">
        <f t="shared" si="82"/>
        <v>-1.7999999999998018E-3</v>
      </c>
      <c r="D286" s="109">
        <f t="shared" si="83"/>
        <v>-1.7999999999998018E-3</v>
      </c>
      <c r="E286" s="109">
        <f ca="1">IF(表2_3671626293038912[[#This Row],[累计净值]]/MAX(INDIRECT("B21:B" &amp; ROW()))-1&lt;E285,表2_3671626293038912[[#This Row],[累计净值]]/MAX(INDIRECT("B21:B" &amp; ROW()))-1,E285)</f>
        <v>-3.8655622203179973E-2</v>
      </c>
      <c r="F286" s="110">
        <f>表2_3671626293038912[[#This Row],[累计净值]]</f>
        <v>1.1040000000000001</v>
      </c>
      <c r="G286" s="20">
        <f>0.8*(表2_3671626293038912[[#This Row],[累计净值]]/$B$21-1)</f>
        <v>8.2582192465274498E-2</v>
      </c>
    </row>
    <row r="287" spans="1:7" x14ac:dyDescent="0.2">
      <c r="A287" s="15">
        <v>44201</v>
      </c>
      <c r="B287" s="112">
        <v>1.1062000000000001</v>
      </c>
      <c r="C287" s="108">
        <f t="shared" si="82"/>
        <v>2.1999999999999797E-3</v>
      </c>
      <c r="D287" s="109" t="str">
        <f t="shared" si="83"/>
        <v>/</v>
      </c>
      <c r="E287" s="109">
        <f ca="1">IF(表2_3671626293038912[[#This Row],[累计净值]]/MAX(INDIRECT("B21:B" &amp; ROW()))-1&lt;E286,表2_3671626293038912[[#This Row],[累计净值]]/MAX(INDIRECT("B21:B" &amp; ROW()))-1,E286)</f>
        <v>-3.8655622203179973E-2</v>
      </c>
      <c r="F287" s="110">
        <f>表2_3671626293038912[[#This Row],[累计净值]]</f>
        <v>1.1062000000000001</v>
      </c>
      <c r="G287" s="20">
        <f>0.8*(表2_3671626293038912[[#This Row],[累计净值]]/$B$21-1)</f>
        <v>8.4340961327071196E-2</v>
      </c>
    </row>
    <row r="288" spans="1:7" x14ac:dyDescent="0.2">
      <c r="A288" s="15">
        <v>44202</v>
      </c>
      <c r="B288" s="112">
        <v>1.107</v>
      </c>
      <c r="C288" s="108">
        <f t="shared" ref="C288:C293" si="84">IFERROR(B288-B287,0)</f>
        <v>7.9999999999991189E-4</v>
      </c>
      <c r="D288" s="109" t="str">
        <f t="shared" ref="D288:D293" si="85">IF(C288&lt;0,C288,"/")</f>
        <v>/</v>
      </c>
      <c r="E288" s="109">
        <f ca="1">IF(表2_3671626293038912[[#This Row],[累计净值]]/MAX(INDIRECT("B21:B" &amp; ROW()))-1&lt;E287,表2_3671626293038912[[#This Row],[累计净值]]/MAX(INDIRECT("B21:B" &amp; ROW()))-1,E287)</f>
        <v>-3.8655622203179973E-2</v>
      </c>
      <c r="F288" s="110">
        <f>表2_3671626293038912[[#This Row],[累计净值]]</f>
        <v>1.107</v>
      </c>
      <c r="G288" s="20">
        <f>0.8*(表2_3671626293038912[[#This Row],[累计净值]]/$B$21-1)</f>
        <v>8.4980513640451782E-2</v>
      </c>
    </row>
    <row r="289" spans="1:10" x14ac:dyDescent="0.2">
      <c r="A289" s="15">
        <v>44203</v>
      </c>
      <c r="B289" s="112">
        <v>1.1019000000000001</v>
      </c>
      <c r="C289" s="108">
        <f t="shared" si="84"/>
        <v>-5.0999999999998824E-3</v>
      </c>
      <c r="D289" s="109">
        <f t="shared" si="85"/>
        <v>-5.0999999999998824E-3</v>
      </c>
      <c r="E289" s="109">
        <f ca="1">IF(表2_3671626293038912[[#This Row],[累计净值]]/MAX(INDIRECT("B21:B" &amp; ROW()))-1&lt;E288,表2_3671626293038912[[#This Row],[累计净值]]/MAX(INDIRECT("B21:B" &amp; ROW()))-1,E288)</f>
        <v>-3.8655622203179973E-2</v>
      </c>
      <c r="F289" s="110">
        <f>表2_3671626293038912[[#This Row],[累计净值]]</f>
        <v>1.1019000000000001</v>
      </c>
      <c r="G289" s="20">
        <f>0.8*(表2_3671626293038912[[#This Row],[累计净值]]/$B$21-1)</f>
        <v>8.0903367642650367E-2</v>
      </c>
    </row>
    <row r="290" spans="1:10" x14ac:dyDescent="0.2">
      <c r="A290" s="9">
        <v>44204</v>
      </c>
      <c r="B290" s="190">
        <v>1.1012999999999999</v>
      </c>
      <c r="C290" s="191">
        <f t="shared" si="84"/>
        <v>-6.0000000000015596E-4</v>
      </c>
      <c r="D290" s="192">
        <f t="shared" si="85"/>
        <v>-6.0000000000015596E-4</v>
      </c>
      <c r="E290" s="192">
        <f ca="1">IF(表2_3671626293038912[[#This Row],[累计净值]]/MAX(INDIRECT("B21:B" &amp; ROW()))-1&lt;E289,表2_3671626293038912[[#This Row],[累计净值]]/MAX(INDIRECT("B21:B" &amp; ROW()))-1,E289)</f>
        <v>-3.8655622203179973E-2</v>
      </c>
      <c r="F290" s="193">
        <f>表2_3671626293038912[[#This Row],[累计净值]]</f>
        <v>1.1012999999999999</v>
      </c>
      <c r="G290" s="82">
        <f>0.8*(表2_3671626293038912[[#This Row],[累计净值]]/$B$21-1)</f>
        <v>8.0423703407614691E-2</v>
      </c>
    </row>
    <row r="291" spans="1:10" x14ac:dyDescent="0.2">
      <c r="A291" s="15">
        <v>44207</v>
      </c>
      <c r="B291" s="112">
        <v>1.1048</v>
      </c>
      <c r="C291" s="108">
        <f t="shared" si="84"/>
        <v>3.5000000000000586E-3</v>
      </c>
      <c r="D291" s="109" t="str">
        <f t="shared" si="85"/>
        <v>/</v>
      </c>
      <c r="E291" s="109">
        <f ca="1">IF(表2_3671626293038912[[#This Row],[累计净值]]/MAX(INDIRECT("B21:B" &amp; ROW()))-1&lt;E290,表2_3671626293038912[[#This Row],[累计净值]]/MAX(INDIRECT("B21:B" &amp; ROW()))-1,E290)</f>
        <v>-3.8655622203179973E-2</v>
      </c>
      <c r="F291" s="110">
        <f>表2_3671626293038912[[#This Row],[累计净值]]</f>
        <v>1.1048</v>
      </c>
      <c r="G291" s="20">
        <f>0.8*(表2_3671626293038912[[#This Row],[累计净值]]/$B$21-1)</f>
        <v>8.3221744778655099E-2</v>
      </c>
    </row>
    <row r="292" spans="1:10" x14ac:dyDescent="0.2">
      <c r="A292" s="15">
        <v>44208</v>
      </c>
      <c r="B292" s="112">
        <v>1.1114999999999999</v>
      </c>
      <c r="C292" s="108">
        <f t="shared" si="84"/>
        <v>6.6999999999999282E-3</v>
      </c>
      <c r="D292" s="109" t="str">
        <f t="shared" si="85"/>
        <v>/</v>
      </c>
      <c r="E292" s="109">
        <f ca="1">IF(表2_3671626293038912[[#This Row],[累计净值]]/MAX(INDIRECT("B21:B" &amp; ROW()))-1&lt;E291,表2_3671626293038912[[#This Row],[累计净值]]/MAX(INDIRECT("B21:B" &amp; ROW()))-1,E291)</f>
        <v>-3.8655622203179973E-2</v>
      </c>
      <c r="F292" s="110">
        <f>表2_3671626293038912[[#This Row],[累计净值]]</f>
        <v>1.1114999999999999</v>
      </c>
      <c r="G292" s="20">
        <f>0.8*(表2_3671626293038912[[#This Row],[累计净值]]/$B$21-1)</f>
        <v>8.8577995403217716E-2</v>
      </c>
    </row>
    <row r="293" spans="1:10" x14ac:dyDescent="0.2">
      <c r="A293" s="15">
        <v>44209</v>
      </c>
      <c r="B293" s="112">
        <v>1.1114999999999999</v>
      </c>
      <c r="C293" s="108">
        <f t="shared" si="84"/>
        <v>0</v>
      </c>
      <c r="D293" s="109" t="str">
        <f t="shared" si="85"/>
        <v>/</v>
      </c>
      <c r="E293" s="109">
        <f ca="1">IF(表2_3671626293038912[[#This Row],[累计净值]]/MAX(INDIRECT("B21:B" &amp; ROW()))-1&lt;E292,表2_3671626293038912[[#This Row],[累计净值]]/MAX(INDIRECT("B21:B" &amp; ROW()))-1,E292)</f>
        <v>-3.8655622203179973E-2</v>
      </c>
      <c r="F293" s="110">
        <f>表2_3671626293038912[[#This Row],[累计净值]]</f>
        <v>1.1114999999999999</v>
      </c>
      <c r="G293" s="20">
        <f>0.8*(表2_3671626293038912[[#This Row],[累计净值]]/$B$21-1)</f>
        <v>8.8577995403217716E-2</v>
      </c>
    </row>
    <row r="294" spans="1:10" x14ac:dyDescent="0.2">
      <c r="A294" s="15">
        <v>44210</v>
      </c>
      <c r="B294" s="112">
        <v>1.1059000000000001</v>
      </c>
      <c r="C294" s="108">
        <f t="shared" ref="C294:C299" si="86">IFERROR(B294-B293,0)</f>
        <v>-5.5999999999998273E-3</v>
      </c>
      <c r="D294" s="109">
        <f t="shared" ref="D294:D299" si="87">IF(C294&lt;0,C294,"/")</f>
        <v>-5.5999999999998273E-3</v>
      </c>
      <c r="E294" s="109">
        <f ca="1">IF(表2_3671626293038912[[#This Row],[累计净值]]/MAX(INDIRECT("B21:B" &amp; ROW()))-1&lt;E293,表2_3671626293038912[[#This Row],[累计净值]]/MAX(INDIRECT("B21:B" &amp; ROW()))-1,E293)</f>
        <v>-3.8655622203179973E-2</v>
      </c>
      <c r="F294" s="110">
        <f>表2_3671626293038912[[#This Row],[累计净值]]</f>
        <v>1.1059000000000001</v>
      </c>
      <c r="G294" s="20">
        <f>0.8*(表2_3671626293038912[[#This Row],[累计净值]]/$B$21-1)</f>
        <v>8.4101129209553538E-2</v>
      </c>
      <c r="J294" s="218" t="s">
        <v>50</v>
      </c>
    </row>
    <row r="295" spans="1:10" x14ac:dyDescent="0.2">
      <c r="A295" s="15">
        <v>44211</v>
      </c>
      <c r="B295" s="112">
        <v>1.1085</v>
      </c>
      <c r="C295" s="108">
        <f t="shared" si="86"/>
        <v>2.5999999999999357E-3</v>
      </c>
      <c r="D295" s="109" t="str">
        <f t="shared" si="87"/>
        <v>/</v>
      </c>
      <c r="E295" s="109">
        <f ca="1">IF(表2_3671626293038912[[#This Row],[累计净值]]/MAX(INDIRECT("B21:B" &amp; ROW()))-1&lt;E294,表2_3671626293038912[[#This Row],[累计净值]]/MAX(INDIRECT("B21:B" &amp; ROW()))-1,E294)</f>
        <v>-3.8655622203179973E-2</v>
      </c>
      <c r="F295" s="110">
        <f>表2_3671626293038912[[#This Row],[累计净值]]</f>
        <v>1.1085</v>
      </c>
      <c r="G295" s="20">
        <f>0.8*(表2_3671626293038912[[#This Row],[累计净值]]/$B$21-1)</f>
        <v>8.6179674228040432E-2</v>
      </c>
    </row>
    <row r="296" spans="1:10" x14ac:dyDescent="0.2">
      <c r="A296" s="15">
        <v>44214</v>
      </c>
      <c r="B296" s="112">
        <v>1.1048</v>
      </c>
      <c r="C296" s="108">
        <f t="shared" si="86"/>
        <v>-3.7000000000000366E-3</v>
      </c>
      <c r="D296" s="109">
        <f t="shared" si="87"/>
        <v>-3.7000000000000366E-3</v>
      </c>
      <c r="E296" s="109">
        <f ca="1">IF(表2_3671626293038912[[#This Row],[累计净值]]/MAX(INDIRECT("B21:B" &amp; ROW()))-1&lt;E295,表2_3671626293038912[[#This Row],[累计净值]]/MAX(INDIRECT("B21:B" &amp; ROW()))-1,E295)</f>
        <v>-3.8655622203179973E-2</v>
      </c>
      <c r="F296" s="110">
        <f>表2_3671626293038912[[#This Row],[累计净值]]</f>
        <v>1.1048</v>
      </c>
      <c r="G296" s="20">
        <f>0.8*(表2_3671626293038912[[#This Row],[累计净值]]/$B$21-1)</f>
        <v>8.3221744778655099E-2</v>
      </c>
    </row>
    <row r="297" spans="1:10" x14ac:dyDescent="0.2">
      <c r="A297" s="15">
        <v>44215</v>
      </c>
      <c r="B297" s="112">
        <v>1.0972999999999999</v>
      </c>
      <c r="C297" s="108">
        <f t="shared" si="86"/>
        <v>-7.5000000000000622E-3</v>
      </c>
      <c r="D297" s="109">
        <f t="shared" si="87"/>
        <v>-7.5000000000000622E-3</v>
      </c>
      <c r="E297" s="109">
        <f ca="1">IF(表2_3671626293038912[[#This Row],[累计净值]]/MAX(INDIRECT("B21:B" &amp; ROW()))-1&lt;E296,表2_3671626293038912[[#This Row],[累计净值]]/MAX(INDIRECT("B21:B" &amp; ROW()))-1,E296)</f>
        <v>-3.8655622203179973E-2</v>
      </c>
      <c r="F297" s="110">
        <f>表2_3671626293038912[[#This Row],[累计净值]]-0.1085</f>
        <v>0.9887999999999999</v>
      </c>
      <c r="G297" s="20">
        <f>0.8*(表2_3671626293038912[[#This Row],[累计净值]]/$B$21-1)</f>
        <v>7.7225941840711521E-2</v>
      </c>
    </row>
    <row r="298" spans="1:10" x14ac:dyDescent="0.2">
      <c r="A298" s="15">
        <v>44216</v>
      </c>
      <c r="B298" s="112">
        <v>1.0916999999999999</v>
      </c>
      <c r="C298" s="108">
        <f t="shared" si="86"/>
        <v>-5.6000000000000494E-3</v>
      </c>
      <c r="D298" s="109">
        <f t="shared" si="87"/>
        <v>-5.6000000000000494E-3</v>
      </c>
      <c r="E298" s="109">
        <f ca="1">IF(表2_3671626293038912[[#This Row],[累计净值]]/MAX(INDIRECT("B21:B" &amp; ROW()))-1&lt;E297,表2_3671626293038912[[#This Row],[累计净值]]/MAX(INDIRECT("B21:B" &amp; ROW()))-1,E297)</f>
        <v>-3.8655622203179973E-2</v>
      </c>
      <c r="F298" s="110">
        <f>表2_3671626293038912[[#This Row],[累计净值]]-0.1085</f>
        <v>0.98319999999999985</v>
      </c>
      <c r="G298" s="20">
        <f>0.8*(表2_3671626293038912[[#This Row],[累计净值]]/$B$21-1)</f>
        <v>7.2749075647046982E-2</v>
      </c>
    </row>
    <row r="299" spans="1:10" x14ac:dyDescent="0.2">
      <c r="A299" s="15">
        <v>44217</v>
      </c>
      <c r="B299" s="112">
        <v>1.0905</v>
      </c>
      <c r="C299" s="108">
        <f t="shared" si="86"/>
        <v>-1.1999999999998678E-3</v>
      </c>
      <c r="D299" s="109">
        <f t="shared" si="87"/>
        <v>-1.1999999999998678E-3</v>
      </c>
      <c r="E299" s="109">
        <f ca="1">IF(表2_3671626293038912[[#This Row],[累计净值]]/MAX(INDIRECT("B21:B" &amp; ROW()))-1&lt;E298,表2_3671626293038912[[#This Row],[累计净值]]/MAX(INDIRECT("B21:B" &amp; ROW()))-1,E298)</f>
        <v>-3.8655622203179973E-2</v>
      </c>
      <c r="F299" s="110">
        <f>表2_3671626293038912[[#This Row],[累计净值]]-0.1085</f>
        <v>0.98199999999999998</v>
      </c>
      <c r="G299" s="20">
        <f>0.8*(表2_3671626293038912[[#This Row],[累计净值]]/$B$21-1)</f>
        <v>7.1789747176976171E-2</v>
      </c>
    </row>
    <row r="300" spans="1:10" x14ac:dyDescent="0.2">
      <c r="A300" s="15">
        <v>44218</v>
      </c>
      <c r="B300" s="112">
        <v>1.0912999999999999</v>
      </c>
      <c r="C300" s="108">
        <f t="shared" ref="C300:C305" si="88">IFERROR(B300-B299,0)</f>
        <v>7.9999999999991189E-4</v>
      </c>
      <c r="D300" s="109" t="str">
        <f t="shared" ref="D300:D305" si="89">IF(C300&lt;0,C300,"/")</f>
        <v>/</v>
      </c>
      <c r="E300" s="109">
        <f ca="1">IF(表2_3671626293038912[[#This Row],[累计净值]]/MAX(INDIRECT("B21:B" &amp; ROW()))-1&lt;E299,表2_3671626293038912[[#This Row],[累计净值]]/MAX(INDIRECT("B21:B" &amp; ROW()))-1,E299)</f>
        <v>-3.8655622203179973E-2</v>
      </c>
      <c r="F300" s="110">
        <f>表2_3671626293038912[[#This Row],[累计净值]]-0.1085</f>
        <v>0.9827999999999999</v>
      </c>
      <c r="G300" s="20">
        <f>0.8*(表2_3671626293038912[[#This Row],[累计净值]]/$B$21-1)</f>
        <v>7.2429299490356772E-2</v>
      </c>
    </row>
    <row r="301" spans="1:10" x14ac:dyDescent="0.2">
      <c r="A301" s="15">
        <v>44221</v>
      </c>
      <c r="B301" s="112">
        <v>1.0921000000000001</v>
      </c>
      <c r="C301" s="108">
        <f t="shared" si="88"/>
        <v>8.0000000000013394E-4</v>
      </c>
      <c r="D301" s="109" t="str">
        <f t="shared" si="89"/>
        <v>/</v>
      </c>
      <c r="E301" s="109">
        <f ca="1">IF(表2_3671626293038912[[#This Row],[累计净值]]/MAX(INDIRECT("B21:B" &amp; ROW()))-1&lt;E300,表2_3671626293038912[[#This Row],[累计净值]]/MAX(INDIRECT("B21:B" &amp; ROW()))-1,E300)</f>
        <v>-3.8655622203179973E-2</v>
      </c>
      <c r="F301" s="110">
        <f>表2_3671626293038912[[#This Row],[累计净值]]-0.1085</f>
        <v>0.98360000000000003</v>
      </c>
      <c r="G301" s="20">
        <f>0.8*(表2_3671626293038912[[#This Row],[累计净值]]/$B$21-1)</f>
        <v>7.3068851803737553E-2</v>
      </c>
    </row>
    <row r="302" spans="1:10" x14ac:dyDescent="0.2">
      <c r="A302" s="15">
        <v>44222</v>
      </c>
      <c r="B302" s="112">
        <v>1.0927</v>
      </c>
      <c r="C302" s="108">
        <f t="shared" si="88"/>
        <v>5.9999999999993392E-4</v>
      </c>
      <c r="D302" s="109" t="str">
        <f t="shared" si="89"/>
        <v>/</v>
      </c>
      <c r="E302" s="109">
        <f ca="1">IF(表2_3671626293038912[[#This Row],[累计净值]]/MAX(INDIRECT("B21:B" &amp; ROW()))-1&lt;E301,表2_3671626293038912[[#This Row],[累计净值]]/MAX(INDIRECT("B21:B" &amp; ROW()))-1,E301)</f>
        <v>-3.8655622203179973E-2</v>
      </c>
      <c r="F302" s="110">
        <f>表2_3671626293038912[[#This Row],[累计净值]]-0.1085</f>
        <v>0.98419999999999996</v>
      </c>
      <c r="G302" s="20">
        <f>0.8*(表2_3671626293038912[[#This Row],[累计净值]]/$B$21-1)</f>
        <v>7.3548516038772868E-2</v>
      </c>
    </row>
    <row r="303" spans="1:10" x14ac:dyDescent="0.2">
      <c r="A303" s="15">
        <v>44223</v>
      </c>
      <c r="B303" s="112">
        <v>1.0942000000000001</v>
      </c>
      <c r="C303" s="108">
        <f t="shared" si="88"/>
        <v>1.5000000000000568E-3</v>
      </c>
      <c r="D303" s="109" t="str">
        <f t="shared" si="89"/>
        <v>/</v>
      </c>
      <c r="E303" s="109">
        <f ca="1">IF(表2_3671626293038912[[#This Row],[累计净值]]/MAX(INDIRECT("B21:B" &amp; ROW()))-1&lt;E302,表2_3671626293038912[[#This Row],[累计净值]]/MAX(INDIRECT("B21:B" &amp; ROW()))-1,E302)</f>
        <v>-3.8655622203179973E-2</v>
      </c>
      <c r="F303" s="110">
        <f>表2_3671626293038912[[#This Row],[累计净值]]-0.1085</f>
        <v>0.98570000000000002</v>
      </c>
      <c r="G303" s="20">
        <f>0.8*(表2_3671626293038912[[#This Row],[累计净值]]/$B$21-1)</f>
        <v>7.4747676626361684E-2</v>
      </c>
    </row>
    <row r="304" spans="1:10" x14ac:dyDescent="0.2">
      <c r="A304" s="15">
        <v>44224</v>
      </c>
      <c r="B304" s="112">
        <v>1.0938000000000001</v>
      </c>
      <c r="C304" s="108">
        <f t="shared" si="88"/>
        <v>-3.9999999999995595E-4</v>
      </c>
      <c r="D304" s="109">
        <f t="shared" si="89"/>
        <v>-3.9999999999995595E-4</v>
      </c>
      <c r="E304" s="109">
        <f ca="1">IF(表2_3671626293038912[[#This Row],[累计净值]]/MAX(INDIRECT("B21:B" &amp; ROW()))-1&lt;E303,表2_3671626293038912[[#This Row],[累计净值]]/MAX(INDIRECT("B21:B" &amp; ROW()))-1,E303)</f>
        <v>-3.8655622203179973E-2</v>
      </c>
      <c r="F304" s="110">
        <f>表2_3671626293038912[[#This Row],[累计净值]]-0.1085</f>
        <v>0.98530000000000006</v>
      </c>
      <c r="G304" s="20">
        <f>0.8*(表2_3671626293038912[[#This Row],[累计净值]]/$B$21-1)</f>
        <v>7.4427900469671293E-2</v>
      </c>
    </row>
    <row r="305" spans="1:7" x14ac:dyDescent="0.2">
      <c r="A305" s="15">
        <v>44225</v>
      </c>
      <c r="B305" s="112">
        <v>1.0892999999999999</v>
      </c>
      <c r="C305" s="108">
        <f t="shared" si="88"/>
        <v>-4.5000000000001705E-3</v>
      </c>
      <c r="D305" s="109">
        <f t="shared" si="89"/>
        <v>-4.5000000000001705E-3</v>
      </c>
      <c r="E305" s="109">
        <f ca="1">IF(表2_3671626293038912[[#This Row],[累计净值]]/MAX(INDIRECT("B21:B" &amp; ROW()))-1&lt;E304,表2_3671626293038912[[#This Row],[累计净值]]/MAX(INDIRECT("B21:B" &amp; ROW()))-1,E304)</f>
        <v>-3.8655622203179973E-2</v>
      </c>
      <c r="F305" s="110">
        <f>表2_3671626293038912[[#This Row],[累计净值]]-0.1085</f>
        <v>0.98079999999999989</v>
      </c>
      <c r="G305" s="20">
        <f>0.8*(表2_3671626293038912[[#This Row],[累计净值]]/$B$21-1)</f>
        <v>7.0830418706905193E-2</v>
      </c>
    </row>
    <row r="306" spans="1:7" x14ac:dyDescent="0.2">
      <c r="A306" s="15">
        <v>44228</v>
      </c>
      <c r="B306" s="112">
        <v>1.0864</v>
      </c>
      <c r="C306" s="108">
        <f t="shared" ref="C306:C311" si="90">IFERROR(B306-B305,0)</f>
        <v>-2.8999999999999027E-3</v>
      </c>
      <c r="D306" s="109">
        <f t="shared" ref="D306:D311" si="91">IF(C306&lt;0,C306,"/")</f>
        <v>-2.8999999999999027E-3</v>
      </c>
      <c r="E306" s="109">
        <f ca="1">IF(表2_3671626293038912[[#This Row],[累计净值]]/MAX(INDIRECT("B21:B" &amp; ROW()))-1&lt;E305,表2_3671626293038912[[#This Row],[累计净值]]/MAX(INDIRECT("B21:B" &amp; ROW()))-1,E305)</f>
        <v>-3.8655622203179973E-2</v>
      </c>
      <c r="F306" s="110">
        <f>表2_3671626293038912[[#This Row],[累计净值]]-0.1085</f>
        <v>0.97789999999999999</v>
      </c>
      <c r="G306" s="20">
        <f>0.8*(表2_3671626293038912[[#This Row],[累计净值]]/$B$21-1)</f>
        <v>6.8512041570900448E-2</v>
      </c>
    </row>
    <row r="307" spans="1:7" x14ac:dyDescent="0.2">
      <c r="A307" s="15">
        <v>44229</v>
      </c>
      <c r="B307" s="112">
        <v>1.0815999999999999</v>
      </c>
      <c r="C307" s="108">
        <f t="shared" si="90"/>
        <v>-4.8000000000001375E-3</v>
      </c>
      <c r="D307" s="109">
        <f t="shared" si="91"/>
        <v>-4.8000000000001375E-3</v>
      </c>
      <c r="E307" s="109">
        <f ca="1">IF(表2_3671626293038912[[#This Row],[累计净值]]/MAX(INDIRECT("B21:B" &amp; ROW()))-1&lt;E306,表2_3671626293038912[[#This Row],[累计净值]]/MAX(INDIRECT("B21:B" &amp; ROW()))-1,E306)</f>
        <v>-3.8655622203179973E-2</v>
      </c>
      <c r="F307" s="110">
        <f>表2_3671626293038912[[#This Row],[累计净值]]-0.1085</f>
        <v>0.97309999999999985</v>
      </c>
      <c r="G307" s="20">
        <f>0.8*(表2_3671626293038912[[#This Row],[累计净值]]/$B$21-1)</f>
        <v>6.467472769061651E-2</v>
      </c>
    </row>
    <row r="308" spans="1:7" x14ac:dyDescent="0.2">
      <c r="A308" s="15">
        <v>44230</v>
      </c>
      <c r="B308" s="112">
        <v>1.0771999999999999</v>
      </c>
      <c r="C308" s="108">
        <f t="shared" si="90"/>
        <v>-4.3999999999999595E-3</v>
      </c>
      <c r="D308" s="109">
        <f t="shared" si="91"/>
        <v>-4.3999999999999595E-3</v>
      </c>
      <c r="E308" s="109">
        <f ca="1">IF(表2_3671626293038912[[#This Row],[累计净值]]/MAX(INDIRECT("B21:B" &amp; ROW()))-1&lt;E307,表2_3671626293038912[[#This Row],[累计净值]]/MAX(INDIRECT("B21:B" &amp; ROW()))-1,E307)</f>
        <v>-3.8655622203179973E-2</v>
      </c>
      <c r="F308" s="110">
        <f>表2_3671626293038912[[#This Row],[累计净值]]-0.1085</f>
        <v>0.96869999999999989</v>
      </c>
      <c r="G308" s="20">
        <f>0.8*(表2_3671626293038912[[#This Row],[累计净值]]/$B$21-1)</f>
        <v>6.1157189967023129E-2</v>
      </c>
    </row>
    <row r="309" spans="1:7" x14ac:dyDescent="0.2">
      <c r="A309" s="15">
        <v>44231</v>
      </c>
      <c r="B309" s="112">
        <v>1.0766</v>
      </c>
      <c r="C309" s="108">
        <f t="shared" si="90"/>
        <v>-5.9999999999993392E-4</v>
      </c>
      <c r="D309" s="109">
        <f t="shared" si="91"/>
        <v>-5.9999999999993392E-4</v>
      </c>
      <c r="E309" s="109">
        <f ca="1">IF(表2_3671626293038912[[#This Row],[累计净值]]/MAX(INDIRECT("B21:B" &amp; ROW()))-1&lt;E308,表2_3671626293038912[[#This Row],[累计净值]]/MAX(INDIRECT("B21:B" &amp; ROW()))-1,E308)</f>
        <v>-3.8655622203179973E-2</v>
      </c>
      <c r="F309" s="110">
        <f>表2_3671626293038912[[#This Row],[累计净值]]-0.1085</f>
        <v>0.96809999999999996</v>
      </c>
      <c r="G309" s="20">
        <f>0.8*(表2_3671626293038912[[#This Row],[累计净值]]/$B$21-1)</f>
        <v>6.067752573198764E-2</v>
      </c>
    </row>
    <row r="310" spans="1:7" x14ac:dyDescent="0.2">
      <c r="A310" s="15">
        <v>44232</v>
      </c>
      <c r="B310" s="112">
        <v>1.0771999999999999</v>
      </c>
      <c r="C310" s="108">
        <f t="shared" si="90"/>
        <v>5.9999999999993392E-4</v>
      </c>
      <c r="D310" s="109" t="str">
        <f t="shared" si="91"/>
        <v>/</v>
      </c>
      <c r="E310" s="109">
        <f ca="1">IF(表2_3671626293038912[[#This Row],[累计净值]]/MAX(INDIRECT("B21:B" &amp; ROW()))-1&lt;E309,表2_3671626293038912[[#This Row],[累计净值]]/MAX(INDIRECT("B21:B" &amp; ROW()))-1,E309)</f>
        <v>-3.8655622203179973E-2</v>
      </c>
      <c r="F310" s="110">
        <f>表2_3671626293038912[[#This Row],[累计净值]]-0.1085</f>
        <v>0.96869999999999989</v>
      </c>
      <c r="G310" s="20">
        <f>0.8*(表2_3671626293038912[[#This Row],[累计净值]]/$B$21-1)</f>
        <v>6.1157189967023129E-2</v>
      </c>
    </row>
    <row r="311" spans="1:7" x14ac:dyDescent="0.2">
      <c r="A311" s="15">
        <v>44235</v>
      </c>
      <c r="B311" s="112">
        <v>1.0798000000000001</v>
      </c>
      <c r="C311" s="108">
        <f t="shared" si="90"/>
        <v>2.6000000000001577E-3</v>
      </c>
      <c r="D311" s="109" t="str">
        <f t="shared" si="91"/>
        <v>/</v>
      </c>
      <c r="E311" s="109">
        <f ca="1">IF(表2_3671626293038912[[#This Row],[累计净值]]/MAX(INDIRECT("B21:B" &amp; ROW()))-1&lt;E310,表2_3671626293038912[[#This Row],[累计净值]]/MAX(INDIRECT("B21:B" &amp; ROW()))-1,E310)</f>
        <v>-3.8655622203179973E-2</v>
      </c>
      <c r="F311" s="110">
        <f>表2_3671626293038912[[#This Row],[累计净值]]-0.1085</f>
        <v>0.97130000000000005</v>
      </c>
      <c r="G311" s="20">
        <f>0.8*(表2_3671626293038912[[#This Row],[累计净值]]/$B$21-1)</f>
        <v>6.3235734985510203E-2</v>
      </c>
    </row>
    <row r="312" spans="1:7" x14ac:dyDescent="0.2">
      <c r="A312" s="15">
        <v>44236</v>
      </c>
      <c r="B312" s="112">
        <v>1.0851999999999999</v>
      </c>
      <c r="C312" s="108">
        <f>IFERROR(B312-B311,0)</f>
        <v>5.3999999999998494E-3</v>
      </c>
      <c r="D312" s="109" t="str">
        <f>IF(C312&lt;0,C312,"/")</f>
        <v>/</v>
      </c>
      <c r="E312" s="109">
        <f ca="1">IF(表2_3671626293038912[[#This Row],[累计净值]]/MAX(INDIRECT("B21:B" &amp; ROW()))-1&lt;E311,表2_3671626293038912[[#This Row],[累计净值]]/MAX(INDIRECT("B21:B" &amp; ROW()))-1,E311)</f>
        <v>-3.8655622203179973E-2</v>
      </c>
      <c r="F312" s="110">
        <f>表2_3671626293038912[[#This Row],[累计净值]]-0.1085</f>
        <v>0.9766999999999999</v>
      </c>
      <c r="G312" s="20">
        <f>0.8*(表2_3671626293038912[[#This Row],[累计净值]]/$B$21-1)</f>
        <v>6.755271310082947E-2</v>
      </c>
    </row>
    <row r="313" spans="1:7" x14ac:dyDescent="0.2">
      <c r="A313" s="15">
        <v>44237</v>
      </c>
      <c r="B313" s="112">
        <v>1.0899000000000001</v>
      </c>
      <c r="C313" s="108">
        <f t="shared" ref="C313:C314" si="92">IFERROR(B313-B312,0)</f>
        <v>4.7000000000001485E-3</v>
      </c>
      <c r="D313" s="109" t="str">
        <f t="shared" ref="D313:D314" si="93">IF(C313&lt;0,C313,"/")</f>
        <v>/</v>
      </c>
      <c r="E313" s="109">
        <f ca="1">IF(表2_3671626293038912[[#This Row],[累计净值]]/MAX(INDIRECT("B21:B" &amp; ROW()))-1&lt;E312,表2_3671626293038912[[#This Row],[累计净值]]/MAX(INDIRECT("B21:B" &amp; ROW()))-1,E312)</f>
        <v>-3.8655622203179973E-2</v>
      </c>
      <c r="F313" s="110">
        <f>表2_3671626293038912[[#This Row],[累计净值]]-0.1085</f>
        <v>0.98140000000000005</v>
      </c>
      <c r="G313" s="20">
        <f>0.8*(表2_3671626293038912[[#This Row],[累计净值]]/$B$21-1)</f>
        <v>7.1310082941940856E-2</v>
      </c>
    </row>
    <row r="314" spans="1:7" x14ac:dyDescent="0.2">
      <c r="A314" s="15">
        <v>44245</v>
      </c>
      <c r="B314" s="112">
        <v>1.0975999999999999</v>
      </c>
      <c r="C314" s="108">
        <f t="shared" si="92"/>
        <v>7.6999999999998181E-3</v>
      </c>
      <c r="D314" s="109" t="str">
        <f t="shared" si="93"/>
        <v>/</v>
      </c>
      <c r="E314" s="109">
        <f ca="1">IF(表2_3671626293038912[[#This Row],[累计净值]]/MAX(INDIRECT("B21:B" &amp; ROW()))-1&lt;E313,表2_3671626293038912[[#This Row],[累计净值]]/MAX(INDIRECT("B21:B" &amp; ROW()))-1,E313)</f>
        <v>-3.8655622203179973E-2</v>
      </c>
      <c r="F314" s="110">
        <f>表2_3671626293038912[[#This Row],[累计净值]]-0.1085</f>
        <v>0.98909999999999987</v>
      </c>
      <c r="G314" s="20">
        <f>0.8*(表2_3671626293038912[[#This Row],[累计净值]]/$B$21-1)</f>
        <v>7.7465773958229178E-2</v>
      </c>
    </row>
    <row r="315" spans="1:7" x14ac:dyDescent="0.2">
      <c r="A315" s="15">
        <v>44246</v>
      </c>
      <c r="B315" s="112">
        <v>1.0999000000000001</v>
      </c>
      <c r="C315" s="108">
        <f>IFERROR(B315-B314,0)</f>
        <v>2.3000000000001908E-3</v>
      </c>
      <c r="D315" s="109" t="str">
        <f>IF(C315&lt;0,C315,"/")</f>
        <v>/</v>
      </c>
      <c r="E315" s="109">
        <f ca="1">IF(表2_3671626293038912[[#This Row],[累计净值]]/MAX(INDIRECT("B21:B" &amp; ROW()))-1&lt;E314,表2_3671626293038912[[#This Row],[累计净值]]/MAX(INDIRECT("B21:B" &amp; ROW()))-1,E314)</f>
        <v>-3.8655622203179973E-2</v>
      </c>
      <c r="F315" s="110">
        <f>表2_3671626293038912[[#This Row],[累计净值]]-0.1085</f>
        <v>0.99140000000000006</v>
      </c>
      <c r="G315" s="20">
        <f>0.8*(表2_3671626293038912[[#This Row],[累计净值]]/$B$21-1)</f>
        <v>7.9304486859198775E-2</v>
      </c>
    </row>
    <row r="316" spans="1:7" x14ac:dyDescent="0.2">
      <c r="A316" s="15">
        <v>44249</v>
      </c>
      <c r="B316" s="112">
        <v>1.1089</v>
      </c>
      <c r="C316" s="108">
        <f t="shared" ref="C316:C319" si="94">IFERROR(B316-B315,0)</f>
        <v>8.999999999999897E-3</v>
      </c>
      <c r="D316" s="109" t="str">
        <f t="shared" ref="D316:D319" si="95">IF(C316&lt;0,C316,"/")</f>
        <v>/</v>
      </c>
      <c r="E316" s="109">
        <f ca="1">IF(表2_3671626293038912[[#This Row],[累计净值]]/MAX(INDIRECT("B21:B" &amp; ROW()))-1&lt;E315,表2_3671626293038912[[#This Row],[累计净值]]/MAX(INDIRECT("B21:B" &amp; ROW()))-1,E315)</f>
        <v>-3.8655622203179973E-2</v>
      </c>
      <c r="F316" s="110">
        <f>表2_3671626293038912[[#This Row],[累计净值]]-0.1085</f>
        <v>1.0004</v>
      </c>
      <c r="G316" s="20">
        <f>0.8*(表2_3671626293038912[[#This Row],[累计净值]]/$B$21-1)</f>
        <v>8.6499450384730822E-2</v>
      </c>
    </row>
    <row r="317" spans="1:7" x14ac:dyDescent="0.2">
      <c r="A317" s="15">
        <v>44250</v>
      </c>
      <c r="B317" s="112">
        <v>1.1091</v>
      </c>
      <c r="C317" s="108">
        <f t="shared" si="94"/>
        <v>1.9999999999997797E-4</v>
      </c>
      <c r="D317" s="109" t="str">
        <f t="shared" si="95"/>
        <v>/</v>
      </c>
      <c r="E317" s="109">
        <f ca="1">IF(表2_3671626293038912[[#This Row],[累计净值]]/MAX(INDIRECT("B21:B" &amp; ROW()))-1&lt;E316,表2_3671626293038912[[#This Row],[累计净值]]/MAX(INDIRECT("B21:B" &amp; ROW()))-1,E316)</f>
        <v>-3.8655622203179973E-2</v>
      </c>
      <c r="F317" s="110">
        <f>表2_3671626293038912[[#This Row],[累计净值]]-0.1085</f>
        <v>1.0005999999999999</v>
      </c>
      <c r="G317" s="20">
        <f>0.8*(表2_3671626293038912[[#This Row],[累计净值]]/$B$21-1)</f>
        <v>8.6659338463075927E-2</v>
      </c>
    </row>
    <row r="318" spans="1:7" x14ac:dyDescent="0.2">
      <c r="A318" s="15">
        <v>44251</v>
      </c>
      <c r="B318" s="112">
        <v>1.1048</v>
      </c>
      <c r="C318" s="108">
        <f t="shared" si="94"/>
        <v>-4.2999999999999705E-3</v>
      </c>
      <c r="D318" s="109">
        <f t="shared" si="95"/>
        <v>-4.2999999999999705E-3</v>
      </c>
      <c r="E318" s="109">
        <f ca="1">IF(表2_3671626293038912[[#This Row],[累计净值]]/MAX(INDIRECT("B21:B" &amp; ROW()))-1&lt;E317,表2_3671626293038912[[#This Row],[累计净值]]/MAX(INDIRECT("B21:B" &amp; ROW()))-1,E317)</f>
        <v>-3.8655622203179973E-2</v>
      </c>
      <c r="F318" s="110">
        <f>表2_3671626293038912[[#This Row],[累计净值]]-0.1085</f>
        <v>0.99629999999999996</v>
      </c>
      <c r="G318" s="20">
        <f>0.8*(表2_3671626293038912[[#This Row],[累计净值]]/$B$21-1)</f>
        <v>8.3221744778655099E-2</v>
      </c>
    </row>
    <row r="319" spans="1:7" x14ac:dyDescent="0.2">
      <c r="A319" s="15">
        <v>44252</v>
      </c>
      <c r="B319" s="112">
        <v>1.1029</v>
      </c>
      <c r="C319" s="108">
        <f t="shared" si="94"/>
        <v>-1.9000000000000128E-3</v>
      </c>
      <c r="D319" s="109">
        <f t="shared" si="95"/>
        <v>-1.9000000000000128E-3</v>
      </c>
      <c r="E319" s="109">
        <f ca="1">IF(表2_3671626293038912[[#This Row],[累计净值]]/MAX(INDIRECT("B21:B" &amp; ROW()))-1&lt;E318,表2_3671626293038912[[#This Row],[累计净值]]/MAX(INDIRECT("B21:B" &amp; ROW()))-1,E318)</f>
        <v>-3.8655622203179973E-2</v>
      </c>
      <c r="F319" s="110">
        <f>表2_3671626293038912[[#This Row],[累计净值]]-0.1085</f>
        <v>0.99439999999999995</v>
      </c>
      <c r="G319" s="20">
        <f>0.8*(表2_3671626293038912[[#This Row],[累计净值]]/$B$21-1)</f>
        <v>8.1702808034376073E-2</v>
      </c>
    </row>
    <row r="320" spans="1:7" x14ac:dyDescent="0.2">
      <c r="A320" s="15">
        <v>44253</v>
      </c>
      <c r="B320" s="63">
        <v>1.105</v>
      </c>
      <c r="C320" s="108">
        <f t="shared" ref="C320:C321" si="96">IFERROR(B320-B319,0)</f>
        <v>2.0999999999999908E-3</v>
      </c>
      <c r="D320" s="109" t="str">
        <f t="shared" ref="D320:D321" si="97">IF(C320&lt;0,C320,"/")</f>
        <v>/</v>
      </c>
      <c r="E320" s="109">
        <f ca="1">IF(表2_3671626293038912[[#This Row],[累计净值]]/MAX(INDIRECT("B21:B" &amp; ROW()))-1&lt;E319,表2_3671626293038912[[#This Row],[累计净值]]/MAX(INDIRECT("B21:B" &amp; ROW()))-1,E319)</f>
        <v>-3.8655622203179973E-2</v>
      </c>
      <c r="F320" s="110">
        <f>表2_3671626293038912[[#This Row],[累计净值]]-0.1085</f>
        <v>0.99649999999999994</v>
      </c>
      <c r="G320" s="20">
        <f>0.8*(表2_3671626293038912[[#This Row],[累计净值]]/$B$21-1)</f>
        <v>8.3381632857000204E-2</v>
      </c>
    </row>
    <row r="321" spans="1:7" x14ac:dyDescent="0.2">
      <c r="A321" s="15">
        <v>44256</v>
      </c>
      <c r="B321" s="112">
        <v>1.1086</v>
      </c>
      <c r="C321" s="108">
        <f t="shared" si="96"/>
        <v>3.6000000000000476E-3</v>
      </c>
      <c r="D321" s="109" t="str">
        <f t="shared" si="97"/>
        <v>/</v>
      </c>
      <c r="E321" s="109">
        <f ca="1">IF(表2_3671626293038912[[#This Row],[累计净值]]/MAX(INDIRECT("B21:B" &amp; ROW()))-1&lt;E320,表2_3671626293038912[[#This Row],[累计净值]]/MAX(INDIRECT("B21:B" &amp; ROW()))-1,E320)</f>
        <v>-3.8655622203179973E-2</v>
      </c>
      <c r="F321" s="110">
        <f>表2_3671626293038912[[#This Row],[累计净值]]-0.1085</f>
        <v>1.0001</v>
      </c>
      <c r="G321" s="20">
        <f>0.8*(表2_3671626293038912[[#This Row],[累计净值]]/$B$21-1)</f>
        <v>8.6259618267212984E-2</v>
      </c>
    </row>
    <row r="322" spans="1:7" x14ac:dyDescent="0.2">
      <c r="A322" s="15">
        <v>44257</v>
      </c>
      <c r="B322" s="112">
        <v>1.1095999999999999</v>
      </c>
      <c r="C322" s="108">
        <f t="shared" ref="C322" si="98">IFERROR(B322-B321,0)</f>
        <v>9.9999999999988987E-4</v>
      </c>
      <c r="D322" s="109" t="str">
        <f t="shared" ref="D322" si="99">IF(C322&lt;0,C322,"/")</f>
        <v>/</v>
      </c>
      <c r="E322" s="109">
        <f ca="1">IF(表2_3671626293038912[[#This Row],[累计净值]]/MAX(INDIRECT("B21:B" &amp; ROW()))-1&lt;E321,表2_3671626293038912[[#This Row],[累计净值]]/MAX(INDIRECT("B21:B" &amp; ROW()))-1,E321)</f>
        <v>-3.8655622203179973E-2</v>
      </c>
      <c r="F322" s="110">
        <f>表2_3671626293038912[[#This Row],[累计净值]]-0.1085</f>
        <v>1.0010999999999999</v>
      </c>
      <c r="G322" s="20">
        <f>0.8*(表2_3671626293038912[[#This Row],[累计净值]]/$B$21-1)</f>
        <v>8.705905865893869E-2</v>
      </c>
    </row>
    <row r="323" spans="1:7" x14ac:dyDescent="0.2">
      <c r="A323" s="15">
        <v>44258</v>
      </c>
      <c r="B323" s="112">
        <v>1.1133999999999999</v>
      </c>
      <c r="C323" s="108">
        <f t="shared" ref="C323" si="100">IFERROR(B323-B322,0)</f>
        <v>3.8000000000000256E-3</v>
      </c>
      <c r="D323" s="109" t="str">
        <f t="shared" ref="D323" si="101">IF(C323&lt;0,C323,"/")</f>
        <v>/</v>
      </c>
      <c r="E323" s="109">
        <f ca="1">IF(表2_3671626293038912[[#This Row],[累计净值]]/MAX(INDIRECT("B21:B" &amp; ROW()))-1&lt;E322,表2_3671626293038912[[#This Row],[累计净值]]/MAX(INDIRECT("B21:B" &amp; ROW()))-1,E322)</f>
        <v>-3.8655622203179973E-2</v>
      </c>
      <c r="F323" s="110">
        <f>表2_3671626293038912[[#This Row],[累计净值]]-0.1085</f>
        <v>1.0048999999999999</v>
      </c>
      <c r="G323" s="20">
        <f>0.8*(表2_3671626293038912[[#This Row],[累计净值]]/$B$21-1)</f>
        <v>9.0096932147496755E-2</v>
      </c>
    </row>
    <row r="324" spans="1:7" x14ac:dyDescent="0.2">
      <c r="A324" s="15">
        <v>44259</v>
      </c>
      <c r="B324" s="112">
        <v>1.1133</v>
      </c>
      <c r="C324" s="108">
        <f t="shared" ref="C324:C328" si="102">IFERROR(B324-B323,0)</f>
        <v>-9.9999999999988987E-5</v>
      </c>
      <c r="D324" s="109">
        <f t="shared" ref="D324:D328" si="103">IF(C324&lt;0,C324,"/")</f>
        <v>-9.9999999999988987E-5</v>
      </c>
      <c r="E324" s="109">
        <f ca="1">IF(表2_3671626293038912[[#This Row],[累计净值]]/MAX(INDIRECT("B21:B" &amp; ROW()))-1&lt;E323,表2_3671626293038912[[#This Row],[累计净值]]/MAX(INDIRECT("B21:B" &amp; ROW()))-1,E323)</f>
        <v>-3.8655622203179973E-2</v>
      </c>
      <c r="F324" s="110">
        <f>表2_3671626293038912[[#This Row],[累计净值]]-0.1085</f>
        <v>1.0047999999999999</v>
      </c>
      <c r="G324" s="20">
        <f>0.8*(表2_3671626293038912[[#This Row],[累计净值]]/$B$21-1)</f>
        <v>9.0016988108324203E-2</v>
      </c>
    </row>
    <row r="325" spans="1:7" x14ac:dyDescent="0.2">
      <c r="A325" s="15">
        <v>44260</v>
      </c>
      <c r="B325" s="112">
        <v>1.1091</v>
      </c>
      <c r="C325" s="108">
        <f t="shared" si="102"/>
        <v>-4.1999999999999815E-3</v>
      </c>
      <c r="D325" s="109">
        <f t="shared" si="103"/>
        <v>-4.1999999999999815E-3</v>
      </c>
      <c r="E325" s="109">
        <f ca="1">IF(表2_3671626293038912[[#This Row],[累计净值]]/MAX(INDIRECT("B21:B" &amp; ROW()))-1&lt;E324,表2_3671626293038912[[#This Row],[累计净值]]/MAX(INDIRECT("B21:B" &amp; ROW()))-1,E324)</f>
        <v>-3.8655622203179973E-2</v>
      </c>
      <c r="F325" s="110">
        <f>表2_3671626293038912[[#This Row],[累计净值]]-0.1085</f>
        <v>1.0005999999999999</v>
      </c>
      <c r="G325" s="20">
        <f>0.8*(表2_3671626293038912[[#This Row],[累计净值]]/$B$21-1)</f>
        <v>8.6659338463075927E-2</v>
      </c>
    </row>
    <row r="326" spans="1:7" x14ac:dyDescent="0.2">
      <c r="A326" s="15">
        <v>44263</v>
      </c>
      <c r="B326" s="112">
        <v>1.1108</v>
      </c>
      <c r="C326" s="108">
        <f t="shared" si="102"/>
        <v>1.7000000000000348E-3</v>
      </c>
      <c r="D326" s="109" t="str">
        <f t="shared" si="103"/>
        <v>/</v>
      </c>
      <c r="E326" s="109">
        <f ca="1">IF(表2_3671626293038912[[#This Row],[累计净值]]/MAX(INDIRECT("B21:B" &amp; ROW()))-1&lt;E325,表2_3671626293038912[[#This Row],[累计净值]]/MAX(INDIRECT("B21:B" &amp; ROW()))-1,E325)</f>
        <v>-3.8655622203179973E-2</v>
      </c>
      <c r="F326" s="110">
        <f>表2_3671626293038912[[#This Row],[累计净值]]-0.1085</f>
        <v>1.0023</v>
      </c>
      <c r="G326" s="20">
        <f>0.8*(表2_3671626293038912[[#This Row],[累计净值]]/$B$21-1)</f>
        <v>8.8018387129009848E-2</v>
      </c>
    </row>
    <row r="327" spans="1:7" x14ac:dyDescent="0.2">
      <c r="A327" s="15">
        <v>44264</v>
      </c>
      <c r="B327" s="112">
        <v>1.1102000000000001</v>
      </c>
      <c r="C327" s="108">
        <f t="shared" si="102"/>
        <v>-5.9999999999993392E-4</v>
      </c>
      <c r="D327" s="109">
        <f t="shared" si="103"/>
        <v>-5.9999999999993392E-4</v>
      </c>
      <c r="E327" s="109">
        <f ca="1">IF(表2_3671626293038912[[#This Row],[累计净值]]/MAX(INDIRECT("B21:B" &amp; ROW()))-1&lt;E326,表2_3671626293038912[[#This Row],[累计净值]]/MAX(INDIRECT("B21:B" &amp; ROW()))-1,E326)</f>
        <v>-3.8655622203179973E-2</v>
      </c>
      <c r="F327" s="110">
        <f>表2_3671626293038912[[#This Row],[累计净值]]-0.1085</f>
        <v>1.0017</v>
      </c>
      <c r="G327" s="20">
        <f>0.8*(表2_3671626293038912[[#This Row],[累计净值]]/$B$21-1)</f>
        <v>8.7538722893974352E-2</v>
      </c>
    </row>
    <row r="328" spans="1:7" x14ac:dyDescent="0.2">
      <c r="A328" s="15">
        <v>44265</v>
      </c>
      <c r="B328" s="112">
        <v>1.1065</v>
      </c>
      <c r="C328" s="108">
        <f t="shared" si="102"/>
        <v>-3.7000000000000366E-3</v>
      </c>
      <c r="D328" s="109">
        <f t="shared" si="103"/>
        <v>-3.7000000000000366E-3</v>
      </c>
      <c r="E328" s="109">
        <f ca="1">IF(表2_3671626293038912[[#This Row],[累计净值]]/MAX(INDIRECT("B21:B" &amp; ROW()))-1&lt;E327,表2_3671626293038912[[#This Row],[累计净值]]/MAX(INDIRECT("B21:B" &amp; ROW()))-1,E327)</f>
        <v>-3.8655622203179973E-2</v>
      </c>
      <c r="F328" s="110">
        <f>表2_3671626293038912[[#This Row],[累计净值]]-0.1085</f>
        <v>0.998</v>
      </c>
      <c r="G328" s="20">
        <f>0.8*(表2_3671626293038912[[#This Row],[累计净值]]/$B$21-1)</f>
        <v>8.4580793444588853E-2</v>
      </c>
    </row>
    <row r="329" spans="1:7" x14ac:dyDescent="0.2">
      <c r="A329" s="15">
        <v>44266</v>
      </c>
      <c r="B329" s="112">
        <v>1.1079000000000001</v>
      </c>
      <c r="C329" s="108">
        <f t="shared" ref="C329:C335" si="104">IFERROR(B329-B328,0)</f>
        <v>1.4000000000000679E-3</v>
      </c>
      <c r="D329" s="109" t="str">
        <f t="shared" ref="D329:D335" si="105">IF(C329&lt;0,C329,"/")</f>
        <v>/</v>
      </c>
      <c r="E329" s="109">
        <f ca="1">IF(表2_3671626293038912[[#This Row],[累计净值]]/MAX(INDIRECT("B21:B" &amp; ROW()))-1&lt;E328,表2_3671626293038912[[#This Row],[累计净值]]/MAX(INDIRECT("B21:B" &amp; ROW()))-1,E328)</f>
        <v>-3.8655622203179973E-2</v>
      </c>
      <c r="F329" s="110">
        <f>表2_3671626293038912[[#This Row],[累计净值]]-0.1085</f>
        <v>0.99940000000000007</v>
      </c>
      <c r="G329" s="20">
        <f>0.8*(表2_3671626293038912[[#This Row],[累计净值]]/$B$21-1)</f>
        <v>8.5700009993005116E-2</v>
      </c>
    </row>
    <row r="330" spans="1:7" x14ac:dyDescent="0.2">
      <c r="A330" s="15">
        <v>44267</v>
      </c>
      <c r="B330" s="112">
        <v>1.1087</v>
      </c>
      <c r="C330" s="108">
        <f t="shared" si="104"/>
        <v>7.9999999999991189E-4</v>
      </c>
      <c r="D330" s="109" t="str">
        <f t="shared" si="105"/>
        <v>/</v>
      </c>
      <c r="E330" s="109">
        <f ca="1">IF(表2_3671626293038912[[#This Row],[累计净值]]/MAX(INDIRECT("B21:B" &amp; ROW()))-1&lt;E329,表2_3671626293038912[[#This Row],[累计净值]]/MAX(INDIRECT("B21:B" &amp; ROW()))-1,E329)</f>
        <v>-3.8655622203179973E-2</v>
      </c>
      <c r="F330" s="110">
        <f>表2_3671626293038912[[#This Row],[累计净值]]-0.1085</f>
        <v>1.0002</v>
      </c>
      <c r="G330" s="20">
        <f>0.8*(表2_3671626293038912[[#This Row],[累计净值]]/$B$21-1)</f>
        <v>8.6339562306385537E-2</v>
      </c>
    </row>
    <row r="331" spans="1:7" x14ac:dyDescent="0.2">
      <c r="A331" s="15">
        <v>44270</v>
      </c>
      <c r="B331" s="112">
        <v>1.1085</v>
      </c>
      <c r="C331" s="108">
        <f t="shared" si="104"/>
        <v>-1.9999999999997797E-4</v>
      </c>
      <c r="D331" s="109">
        <f t="shared" si="105"/>
        <v>-1.9999999999997797E-4</v>
      </c>
      <c r="E331" s="109">
        <f ca="1">IF(表2_3671626293038912[[#This Row],[累计净值]]/MAX(INDIRECT("B21:B" &amp; ROW()))-1&lt;E330,表2_3671626293038912[[#This Row],[累计净值]]/MAX(INDIRECT("B21:B" &amp; ROW()))-1,E330)</f>
        <v>-3.8655622203179973E-2</v>
      </c>
      <c r="F331" s="110">
        <f>表2_3671626293038912[[#This Row],[累计净值]]-0.1085</f>
        <v>1</v>
      </c>
      <c r="G331" s="20">
        <f>0.8*(表2_3671626293038912[[#This Row],[累计净值]]/$B$21-1)</f>
        <v>8.6179674228040432E-2</v>
      </c>
    </row>
    <row r="332" spans="1:7" x14ac:dyDescent="0.2">
      <c r="A332" s="15">
        <v>44271</v>
      </c>
      <c r="B332" s="112">
        <v>1.1080000000000001</v>
      </c>
      <c r="C332" s="108">
        <f t="shared" si="104"/>
        <v>-4.9999999999994493E-4</v>
      </c>
      <c r="D332" s="109">
        <f t="shared" si="105"/>
        <v>-4.9999999999994493E-4</v>
      </c>
      <c r="E332" s="109">
        <f ca="1">IF(表2_3671626293038912[[#This Row],[累计净值]]/MAX(INDIRECT("B21:B" &amp; ROW()))-1&lt;E331,表2_3671626293038912[[#This Row],[累计净值]]/MAX(INDIRECT("B21:B" &amp; ROW()))-1,E331)</f>
        <v>-3.8655622203179973E-2</v>
      </c>
      <c r="F332" s="110">
        <f>表2_3671626293038912[[#This Row],[累计净值]]-0.1085</f>
        <v>0.99950000000000006</v>
      </c>
      <c r="G332" s="20">
        <f>0.8*(表2_3671626293038912[[#This Row],[累计净值]]/$B$21-1)</f>
        <v>8.5779954032177669E-2</v>
      </c>
    </row>
    <row r="333" spans="1:7" x14ac:dyDescent="0.2">
      <c r="A333" s="15">
        <v>44272</v>
      </c>
      <c r="B333" s="112">
        <v>1.1068</v>
      </c>
      <c r="C333" s="108">
        <f t="shared" si="104"/>
        <v>-1.2000000000000899E-3</v>
      </c>
      <c r="D333" s="109">
        <f t="shared" si="105"/>
        <v>-1.2000000000000899E-3</v>
      </c>
      <c r="E333" s="109">
        <f ca="1">IF(表2_3671626293038912[[#This Row],[累计净值]]/MAX(INDIRECT("B21:B" &amp; ROW()))-1&lt;E332,表2_3671626293038912[[#This Row],[累计净值]]/MAX(INDIRECT("B21:B" &amp; ROW()))-1,E332)</f>
        <v>-3.8655622203179973E-2</v>
      </c>
      <c r="F333" s="110">
        <f>表2_3671626293038912[[#This Row],[累计净值]]-0.1085</f>
        <v>0.99829999999999997</v>
      </c>
      <c r="G333" s="20">
        <f>0.8*(表2_3671626293038912[[#This Row],[累计净值]]/$B$21-1)</f>
        <v>8.4820625562106677E-2</v>
      </c>
    </row>
    <row r="334" spans="1:7" x14ac:dyDescent="0.2">
      <c r="A334" s="15">
        <v>44273</v>
      </c>
      <c r="B334" s="112">
        <v>1.1062000000000001</v>
      </c>
      <c r="C334" s="108">
        <f t="shared" si="104"/>
        <v>-5.9999999999993392E-4</v>
      </c>
      <c r="D334" s="109">
        <f t="shared" si="105"/>
        <v>-5.9999999999993392E-4</v>
      </c>
      <c r="E334" s="109">
        <f ca="1">IF(表2_3671626293038912[[#This Row],[累计净值]]/MAX(INDIRECT("B21:B" &amp; ROW()))-1&lt;E333,表2_3671626293038912[[#This Row],[累计净值]]/MAX(INDIRECT("B21:B" &amp; ROW()))-1,E333)</f>
        <v>-3.8655622203179973E-2</v>
      </c>
      <c r="F334" s="110">
        <f>表2_3671626293038912[[#This Row],[累计净值]]-0.1085</f>
        <v>0.99770000000000003</v>
      </c>
      <c r="G334" s="20">
        <f>0.8*(表2_3671626293038912[[#This Row],[累计净值]]/$B$21-1)</f>
        <v>8.4340961327071196E-2</v>
      </c>
    </row>
    <row r="335" spans="1:7" x14ac:dyDescent="0.2">
      <c r="A335" s="15">
        <v>44274</v>
      </c>
      <c r="B335" s="112">
        <v>1.1053999999999999</v>
      </c>
      <c r="C335" s="108">
        <f t="shared" si="104"/>
        <v>-8.0000000000013394E-4</v>
      </c>
      <c r="D335" s="109">
        <f t="shared" si="105"/>
        <v>-8.0000000000013394E-4</v>
      </c>
      <c r="E335" s="109">
        <f ca="1">IF(表2_3671626293038912[[#This Row],[累计净值]]/MAX(INDIRECT("B21:B" &amp; ROW()))-1&lt;E334,表2_3671626293038912[[#This Row],[累计净值]]/MAX(INDIRECT("B21:B" &amp; ROW()))-1,E334)</f>
        <v>-3.8655622203179973E-2</v>
      </c>
      <c r="F335" s="110">
        <f>表2_3671626293038912[[#This Row],[累计净值]]-0.1085</f>
        <v>0.9968999999999999</v>
      </c>
      <c r="G335" s="20">
        <f>0.8*(表2_3671626293038912[[#This Row],[累计净值]]/$B$21-1)</f>
        <v>8.3701409013690414E-2</v>
      </c>
    </row>
    <row r="336" spans="1:7" x14ac:dyDescent="0.2">
      <c r="A336" s="15">
        <v>44277</v>
      </c>
      <c r="B336" s="112">
        <v>1.1089</v>
      </c>
      <c r="C336" s="108">
        <f>IFERROR(B336-B335,0)</f>
        <v>3.5000000000000586E-3</v>
      </c>
      <c r="D336" s="109" t="str">
        <f>IF(C336&lt;0,C336,"/")</f>
        <v>/</v>
      </c>
      <c r="E336" s="109">
        <f ca="1">IF(表2_3671626293038912[[#This Row],[累计净值]]/MAX(INDIRECT("B21:B" &amp; ROW()))-1&lt;E335,表2_3671626293038912[[#This Row],[累计净值]]/MAX(INDIRECT("B21:B" &amp; ROW()))-1,E335)</f>
        <v>-3.8655622203179973E-2</v>
      </c>
      <c r="F336" s="110">
        <f>表2_3671626293038912[[#This Row],[累计净值]]-0.1085</f>
        <v>1.0004</v>
      </c>
      <c r="G336" s="20">
        <f>0.8*(表2_3671626293038912[[#This Row],[累计净值]]/$B$21-1)</f>
        <v>8.6499450384730822E-2</v>
      </c>
    </row>
    <row r="337" spans="1:7" x14ac:dyDescent="0.2">
      <c r="A337" s="15">
        <v>44278</v>
      </c>
      <c r="B337" s="112">
        <v>1.1102000000000001</v>
      </c>
      <c r="C337" s="108">
        <f t="shared" ref="C337:C340" si="106">IFERROR(B337-B336,0)</f>
        <v>1.3000000000000789E-3</v>
      </c>
      <c r="D337" s="109" t="str">
        <f t="shared" ref="D337:D340" si="107">IF(C337&lt;0,C337,"/")</f>
        <v>/</v>
      </c>
      <c r="E337" s="109">
        <f ca="1">IF(表2_3671626293038912[[#This Row],[累计净值]]/MAX(INDIRECT("B21:B" &amp; ROW()))-1&lt;E336,表2_3671626293038912[[#This Row],[累计净值]]/MAX(INDIRECT("B21:B" &amp; ROW()))-1,E336)</f>
        <v>-3.8655622203179973E-2</v>
      </c>
      <c r="F337" s="110">
        <f>表2_3671626293038912[[#This Row],[累计净值]]-0.1085</f>
        <v>1.0017</v>
      </c>
      <c r="G337" s="20">
        <f>0.8*(表2_3671626293038912[[#This Row],[累计净值]]/$B$21-1)</f>
        <v>8.7538722893974352E-2</v>
      </c>
    </row>
    <row r="338" spans="1:7" x14ac:dyDescent="0.2">
      <c r="A338" s="15">
        <v>44279</v>
      </c>
      <c r="B338" s="112">
        <v>1.1097999999999999</v>
      </c>
      <c r="C338" s="108">
        <f t="shared" si="106"/>
        <v>-4.0000000000017799E-4</v>
      </c>
      <c r="D338" s="109">
        <f t="shared" si="107"/>
        <v>-4.0000000000017799E-4</v>
      </c>
      <c r="E338" s="109">
        <f ca="1">IF(表2_3671626293038912[[#This Row],[累计净值]]/MAX(INDIRECT("B21:B" &amp; ROW()))-1&lt;E337,表2_3671626293038912[[#This Row],[累计净值]]/MAX(INDIRECT("B21:B" &amp; ROW()))-1,E337)</f>
        <v>-3.8655622203179973E-2</v>
      </c>
      <c r="F338" s="110">
        <f>表2_3671626293038912[[#This Row],[累计净值]]-0.1085</f>
        <v>1.0012999999999999</v>
      </c>
      <c r="G338" s="20">
        <f>0.8*(表2_3671626293038912[[#This Row],[累计净值]]/$B$21-1)</f>
        <v>8.7218946737283976E-2</v>
      </c>
    </row>
    <row r="339" spans="1:7" x14ac:dyDescent="0.2">
      <c r="A339" s="15">
        <v>44280</v>
      </c>
      <c r="B339" s="112">
        <v>1.1086</v>
      </c>
      <c r="C339" s="108">
        <f t="shared" si="106"/>
        <v>-1.1999999999998678E-3</v>
      </c>
      <c r="D339" s="109">
        <f t="shared" si="107"/>
        <v>-1.1999999999998678E-3</v>
      </c>
      <c r="E339" s="109">
        <f ca="1">IF(表2_3671626293038912[[#This Row],[累计净值]]/MAX(INDIRECT("B21:B" &amp; ROW()))-1&lt;E338,表2_3671626293038912[[#This Row],[累计净值]]/MAX(INDIRECT("B21:B" &amp; ROW()))-1,E338)</f>
        <v>-3.8655622203179973E-2</v>
      </c>
      <c r="F339" s="110">
        <f>表2_3671626293038912[[#This Row],[累计净值]]-0.1085</f>
        <v>1.0001</v>
      </c>
      <c r="G339" s="20">
        <f>0.8*(表2_3671626293038912[[#This Row],[累计净值]]/$B$21-1)</f>
        <v>8.6259618267212984E-2</v>
      </c>
    </row>
    <row r="340" spans="1:7" x14ac:dyDescent="0.2">
      <c r="A340" s="15">
        <v>44281</v>
      </c>
      <c r="B340" s="112">
        <v>1.1053999999999999</v>
      </c>
      <c r="C340" s="108">
        <f t="shared" si="106"/>
        <v>-3.2000000000000917E-3</v>
      </c>
      <c r="D340" s="109">
        <f t="shared" si="107"/>
        <v>-3.2000000000000917E-3</v>
      </c>
      <c r="E340" s="109">
        <f ca="1">IF(表2_3671626293038912[[#This Row],[累计净值]]/MAX(INDIRECT("B21:B" &amp; ROW()))-1&lt;E339,表2_3671626293038912[[#This Row],[累计净值]]/MAX(INDIRECT("B21:B" &amp; ROW()))-1,E339)</f>
        <v>-3.8655622203179973E-2</v>
      </c>
      <c r="F340" s="110">
        <f>表2_3671626293038912[[#This Row],[累计净值]]-0.1085</f>
        <v>0.9968999999999999</v>
      </c>
      <c r="G340" s="20">
        <f>0.8*(表2_3671626293038912[[#This Row],[累计净值]]/$B$21-1)</f>
        <v>8.3701409013690414E-2</v>
      </c>
    </row>
    <row r="341" spans="1:7" x14ac:dyDescent="0.2">
      <c r="A341" s="15">
        <v>44284</v>
      </c>
      <c r="B341" s="112">
        <v>1.1027</v>
      </c>
      <c r="C341" s="108">
        <f t="shared" ref="C341:C346" si="108">IFERROR(B341-B340,0)</f>
        <v>-2.6999999999999247E-3</v>
      </c>
      <c r="D341" s="109">
        <f t="shared" ref="D341:D346" si="109">IF(C341&lt;0,C341,"/")</f>
        <v>-2.6999999999999247E-3</v>
      </c>
      <c r="E341" s="109">
        <f ca="1">IF(表2_3671626293038912[[#This Row],[累计净值]]/MAX(INDIRECT("B21:B" &amp; ROW()))-1&lt;E340,表2_3671626293038912[[#This Row],[累计净值]]/MAX(INDIRECT("B21:B" &amp; ROW()))-1,E340)</f>
        <v>-3.8655622203179973E-2</v>
      </c>
      <c r="F341" s="110">
        <f>表2_3671626293038912[[#This Row],[累计净值]]-0.1085</f>
        <v>0.99419999999999997</v>
      </c>
      <c r="G341" s="20">
        <f>0.8*(表2_3671626293038912[[#This Row],[累计净值]]/$B$21-1)</f>
        <v>8.1542919956030788E-2</v>
      </c>
    </row>
    <row r="342" spans="1:7" x14ac:dyDescent="0.2">
      <c r="A342" s="15">
        <v>44285</v>
      </c>
      <c r="B342" s="112">
        <v>1.1026</v>
      </c>
      <c r="C342" s="108">
        <f t="shared" si="108"/>
        <v>-9.9999999999988987E-5</v>
      </c>
      <c r="D342" s="109">
        <f t="shared" si="109"/>
        <v>-9.9999999999988987E-5</v>
      </c>
      <c r="E342" s="109">
        <f ca="1">IF(表2_3671626293038912[[#This Row],[累计净值]]/MAX(INDIRECT("B21:B" &amp; ROW()))-1&lt;E341,表2_3671626293038912[[#This Row],[累计净值]]/MAX(INDIRECT("B21:B" &amp; ROW()))-1,E341)</f>
        <v>-3.8655622203179973E-2</v>
      </c>
      <c r="F342" s="110">
        <f>表2_3671626293038912[[#This Row],[累计净值]]-0.1085</f>
        <v>0.99409999999999998</v>
      </c>
      <c r="G342" s="20">
        <f>0.8*(表2_3671626293038912[[#This Row],[累计净值]]/$B$21-1)</f>
        <v>8.1462975916858235E-2</v>
      </c>
    </row>
    <row r="343" spans="1:7" x14ac:dyDescent="0.2">
      <c r="A343" s="15">
        <v>44286</v>
      </c>
      <c r="B343" s="112">
        <v>1.1025</v>
      </c>
      <c r="C343" s="108">
        <f t="shared" si="108"/>
        <v>-9.9999999999988987E-5</v>
      </c>
      <c r="D343" s="109">
        <f t="shared" si="109"/>
        <v>-9.9999999999988987E-5</v>
      </c>
      <c r="E343" s="109">
        <f ca="1">IF(表2_3671626293038912[[#This Row],[累计净值]]/MAX(INDIRECT("B21:B" &amp; ROW()))-1&lt;E342,表2_3671626293038912[[#This Row],[累计净值]]/MAX(INDIRECT("B21:B" &amp; ROW()))-1,E342)</f>
        <v>-3.8655622203179973E-2</v>
      </c>
      <c r="F343" s="110">
        <f>表2_3671626293038912[[#This Row],[累计净值]]-0.1085</f>
        <v>0.99399999999999999</v>
      </c>
      <c r="G343" s="20">
        <f>0.8*(表2_3671626293038912[[#This Row],[累计净值]]/$B$21-1)</f>
        <v>8.1383031877685683E-2</v>
      </c>
    </row>
    <row r="344" spans="1:7" x14ac:dyDescent="0.2">
      <c r="A344" s="15">
        <v>44287</v>
      </c>
      <c r="B344" s="112">
        <v>1.1033999999999999</v>
      </c>
      <c r="C344" s="108">
        <f t="shared" si="108"/>
        <v>8.9999999999990088E-4</v>
      </c>
      <c r="D344" s="109" t="str">
        <f t="shared" si="109"/>
        <v>/</v>
      </c>
      <c r="E344" s="109">
        <f ca="1">IF(表2_3671626293038912[[#This Row],[累计净值]]/MAX(INDIRECT("B21:B" &amp; ROW()))-1&lt;E343,表2_3671626293038912[[#This Row],[累计净值]]/MAX(INDIRECT("B21:B" &amp; ROW()))-1,E343)</f>
        <v>-3.8655622203179973E-2</v>
      </c>
      <c r="F344" s="110">
        <f>表2_3671626293038912[[#This Row],[累计净值]]-0.1085</f>
        <v>0.9948999999999999</v>
      </c>
      <c r="G344" s="20">
        <f>0.8*(表2_3671626293038912[[#This Row],[累计净值]]/$B$21-1)</f>
        <v>8.2102528230238836E-2</v>
      </c>
    </row>
    <row r="345" spans="1:7" x14ac:dyDescent="0.2">
      <c r="A345" s="15">
        <v>44288</v>
      </c>
      <c r="B345" s="112">
        <v>1.1031</v>
      </c>
      <c r="C345" s="108">
        <f t="shared" si="108"/>
        <v>-2.9999999999996696E-4</v>
      </c>
      <c r="D345" s="109">
        <f t="shared" si="109"/>
        <v>-2.9999999999996696E-4</v>
      </c>
      <c r="E345" s="109">
        <f ca="1">IF(表2_3671626293038912[[#This Row],[累计净值]]/MAX(INDIRECT("B21:B" &amp; ROW()))-1&lt;E344,表2_3671626293038912[[#This Row],[累计净值]]/MAX(INDIRECT("B21:B" &amp; ROW()))-1,E344)</f>
        <v>-3.8655622203179973E-2</v>
      </c>
      <c r="F345" s="110">
        <f>表2_3671626293038912[[#This Row],[累计净值]]-0.1085</f>
        <v>0.99459999999999993</v>
      </c>
      <c r="G345" s="20">
        <f>0.8*(表2_3671626293038912[[#This Row],[累计净值]]/$B$21-1)</f>
        <v>8.1862696112721178E-2</v>
      </c>
    </row>
    <row r="346" spans="1:7" x14ac:dyDescent="0.2">
      <c r="A346" s="15">
        <v>44292</v>
      </c>
      <c r="B346" s="112">
        <v>1.1079000000000001</v>
      </c>
      <c r="C346" s="108">
        <f t="shared" si="108"/>
        <v>4.8000000000001375E-3</v>
      </c>
      <c r="D346" s="109" t="str">
        <f t="shared" si="109"/>
        <v>/</v>
      </c>
      <c r="E346" s="109">
        <f ca="1">IF(表2_3671626293038912[[#This Row],[累计净值]]/MAX(INDIRECT("B21:B" &amp; ROW()))-1&lt;E345,表2_3671626293038912[[#This Row],[累计净值]]/MAX(INDIRECT("B21:B" &amp; ROW()))-1,E345)</f>
        <v>-3.8655622203179973E-2</v>
      </c>
      <c r="F346" s="110">
        <f>表2_3671626293038912[[#This Row],[累计净值]]-0.1085</f>
        <v>0.99940000000000007</v>
      </c>
      <c r="G346" s="20">
        <f>0.8*(表2_3671626293038912[[#This Row],[累计净值]]/$B$21-1)</f>
        <v>8.5700009993005116E-2</v>
      </c>
    </row>
    <row r="347" spans="1:7" x14ac:dyDescent="0.2">
      <c r="A347" s="15">
        <v>44293</v>
      </c>
      <c r="B347" s="112">
        <v>1.1073</v>
      </c>
      <c r="C347" s="108">
        <f t="shared" ref="C347:C352" si="110">IFERROR(B347-B346,0)</f>
        <v>-6.0000000000015596E-4</v>
      </c>
      <c r="D347" s="109">
        <f t="shared" ref="D347:D352" si="111">IF(C347&lt;0,C347,"/")</f>
        <v>-6.0000000000015596E-4</v>
      </c>
      <c r="E347" s="109">
        <f ca="1">IF(表2_3671626293038912[[#This Row],[累计净值]]/MAX(INDIRECT("B21:B" &amp; ROW()))-1&lt;E346,表2_3671626293038912[[#This Row],[累计净值]]/MAX(INDIRECT("B21:B" &amp; ROW()))-1,E346)</f>
        <v>-3.8655622203179973E-2</v>
      </c>
      <c r="F347" s="110">
        <f>表2_3671626293038912[[#This Row],[累计净值]]-0.1085</f>
        <v>0.99879999999999991</v>
      </c>
      <c r="G347" s="20">
        <f>0.8*(表2_3671626293038912[[#This Row],[累计净值]]/$B$21-1)</f>
        <v>8.522034575796944E-2</v>
      </c>
    </row>
    <row r="348" spans="1:7" x14ac:dyDescent="0.2">
      <c r="A348" s="15">
        <v>44294</v>
      </c>
      <c r="B348" s="112">
        <v>1.1056999999999999</v>
      </c>
      <c r="C348" s="108">
        <f t="shared" si="110"/>
        <v>-1.6000000000000458E-3</v>
      </c>
      <c r="D348" s="109">
        <f t="shared" si="111"/>
        <v>-1.6000000000000458E-3</v>
      </c>
      <c r="E348" s="109">
        <f ca="1">IF(表2_3671626293038912[[#This Row],[累计净值]]/MAX(INDIRECT("B21:B" &amp; ROW()))-1&lt;E347,表2_3671626293038912[[#This Row],[累计净值]]/MAX(INDIRECT("B21:B" &amp; ROW()))-1,E347)</f>
        <v>-3.8655622203179973E-2</v>
      </c>
      <c r="F348" s="110">
        <f>表2_3671626293038912[[#This Row],[累计净值]]-0.1085</f>
        <v>0.99719999999999986</v>
      </c>
      <c r="G348" s="20">
        <f>0.8*(表2_3671626293038912[[#This Row],[累计净值]]/$B$21-1)</f>
        <v>8.3941241131208072E-2</v>
      </c>
    </row>
    <row r="349" spans="1:7" x14ac:dyDescent="0.2">
      <c r="A349" s="15">
        <v>44295</v>
      </c>
      <c r="B349" s="112">
        <v>1.1043000000000001</v>
      </c>
      <c r="C349" s="108">
        <f t="shared" si="110"/>
        <v>-1.3999999999998458E-3</v>
      </c>
      <c r="D349" s="109">
        <f t="shared" si="111"/>
        <v>-1.3999999999998458E-3</v>
      </c>
      <c r="E349" s="109">
        <f ca="1">IF(表2_3671626293038912[[#This Row],[累计净值]]/MAX(INDIRECT("B21:B" &amp; ROW()))-1&lt;E348,表2_3671626293038912[[#This Row],[累计净值]]/MAX(INDIRECT("B21:B" &amp; ROW()))-1,E348)</f>
        <v>-3.8655622203179973E-2</v>
      </c>
      <c r="F349" s="110">
        <f>表2_3671626293038912[[#This Row],[累计净值]]-0.1085</f>
        <v>0.99580000000000002</v>
      </c>
      <c r="G349" s="20">
        <f>0.8*(表2_3671626293038912[[#This Row],[累计净值]]/$B$21-1)</f>
        <v>8.2822024582792156E-2</v>
      </c>
    </row>
    <row r="350" spans="1:7" x14ac:dyDescent="0.2">
      <c r="A350" s="15">
        <v>44298</v>
      </c>
      <c r="B350" s="112">
        <v>1.0958000000000001</v>
      </c>
      <c r="C350" s="108">
        <f t="shared" si="110"/>
        <v>-8.499999999999952E-3</v>
      </c>
      <c r="D350" s="109">
        <f t="shared" si="111"/>
        <v>-8.499999999999952E-3</v>
      </c>
      <c r="E350" s="109">
        <f ca="1">IF(表2_3671626293038912[[#This Row],[累计净值]]/MAX(INDIRECT("B21:B" &amp; ROW()))-1&lt;E349,表2_3671626293038912[[#This Row],[累计净值]]/MAX(INDIRECT("B21:B" &amp; ROW()))-1,E349)</f>
        <v>-3.8655622203179973E-2</v>
      </c>
      <c r="F350" s="110">
        <f>表2_3671626293038912[[#This Row],[累计净值]]-0.1085</f>
        <v>0.98730000000000007</v>
      </c>
      <c r="G350" s="20">
        <f>0.8*(表2_3671626293038912[[#This Row],[累计净值]]/$B$21-1)</f>
        <v>7.6026781253123066E-2</v>
      </c>
    </row>
    <row r="351" spans="1:7" x14ac:dyDescent="0.2">
      <c r="A351" s="15">
        <v>44299</v>
      </c>
      <c r="B351" s="112">
        <v>1.0935999999999999</v>
      </c>
      <c r="C351" s="108">
        <f t="shared" si="110"/>
        <v>-2.2000000000002018E-3</v>
      </c>
      <c r="D351" s="109">
        <f t="shared" si="111"/>
        <v>-2.2000000000002018E-3</v>
      </c>
      <c r="E351" s="109">
        <f ca="1">IF(表2_3671626293038912[[#This Row],[累计净值]]/MAX(INDIRECT("B21:B" &amp; ROW()))-1&lt;E350,表2_3671626293038912[[#This Row],[累计净值]]/MAX(INDIRECT("B21:B" &amp; ROW()))-1,E350)</f>
        <v>-3.8655622203179973E-2</v>
      </c>
      <c r="F351" s="110">
        <f>表2_3671626293038912[[#This Row],[累计净值]]-0.1085</f>
        <v>0.98509999999999986</v>
      </c>
      <c r="G351" s="20">
        <f>0.8*(表2_3671626293038912[[#This Row],[累计净值]]/$B$21-1)</f>
        <v>7.4268012391326008E-2</v>
      </c>
    </row>
    <row r="352" spans="1:7" x14ac:dyDescent="0.2">
      <c r="A352" s="15">
        <v>44300</v>
      </c>
      <c r="B352" s="112">
        <v>1.0920000000000001</v>
      </c>
      <c r="C352" s="108">
        <f t="shared" si="110"/>
        <v>-1.5999999999998238E-3</v>
      </c>
      <c r="D352" s="109">
        <f t="shared" si="111"/>
        <v>-1.5999999999998238E-3</v>
      </c>
      <c r="E352" s="109">
        <f ca="1">IF(表2_3671626293038912[[#This Row],[累计净值]]/MAX(INDIRECT("B21:B" &amp; ROW()))-1&lt;E351,表2_3671626293038912[[#This Row],[累计净值]]/MAX(INDIRECT("B21:B" &amp; ROW()))-1,E351)</f>
        <v>-3.8655622203179973E-2</v>
      </c>
      <c r="F352" s="110">
        <f>表2_3671626293038912[[#This Row],[累计净值]]-0.1085</f>
        <v>0.98350000000000004</v>
      </c>
      <c r="G352" s="20">
        <f>0.8*(表2_3671626293038912[[#This Row],[累计净值]]/$B$21-1)</f>
        <v>7.2988907764565E-2</v>
      </c>
    </row>
    <row r="353" spans="1:7" x14ac:dyDescent="0.2">
      <c r="A353" s="15">
        <v>44301</v>
      </c>
      <c r="B353" s="112">
        <v>1.089</v>
      </c>
      <c r="C353" s="108">
        <f t="shared" ref="C353:C358" si="112">IFERROR(B353-B352,0)</f>
        <v>-3.0000000000001137E-3</v>
      </c>
      <c r="D353" s="109">
        <f t="shared" ref="D353:D358" si="113">IF(C353&lt;0,C353,"/")</f>
        <v>-3.0000000000001137E-3</v>
      </c>
      <c r="E353" s="109">
        <f ca="1">IF(表2_3671626293038912[[#This Row],[累计净值]]/MAX(INDIRECT("B21:B" &amp; ROW()))-1&lt;E352,表2_3671626293038912[[#This Row],[累计净值]]/MAX(INDIRECT("B21:B" &amp; ROW()))-1,E352)</f>
        <v>-3.8655622203179973E-2</v>
      </c>
      <c r="F353" s="110">
        <f>表2_3671626293038912[[#This Row],[累计净值]]-0.1085</f>
        <v>0.98049999999999993</v>
      </c>
      <c r="G353" s="20">
        <f>0.8*(表2_3671626293038912[[#This Row],[累计净值]]/$B$21-1)</f>
        <v>7.0590586589387536E-2</v>
      </c>
    </row>
    <row r="354" spans="1:7" x14ac:dyDescent="0.2">
      <c r="A354" s="15">
        <v>44302</v>
      </c>
      <c r="B354" s="112">
        <v>1.0921000000000001</v>
      </c>
      <c r="C354" s="108">
        <f t="shared" si="112"/>
        <v>3.1000000000001027E-3</v>
      </c>
      <c r="D354" s="109" t="str">
        <f t="shared" si="113"/>
        <v>/</v>
      </c>
      <c r="E354" s="109">
        <f ca="1">IF(表2_3671626293038912[[#This Row],[累计净值]]/MAX(INDIRECT("B21:B" &amp; ROW()))-1&lt;E353,表2_3671626293038912[[#This Row],[累计净值]]/MAX(INDIRECT("B21:B" &amp; ROW()))-1,E353)</f>
        <v>-3.8655622203179973E-2</v>
      </c>
      <c r="F354" s="110">
        <f>表2_3671626293038912[[#This Row],[累计净值]]-0.1085</f>
        <v>0.98360000000000003</v>
      </c>
      <c r="G354" s="20">
        <f>0.8*(表2_3671626293038912[[#This Row],[累计净值]]/$B$21-1)</f>
        <v>7.3068851803737553E-2</v>
      </c>
    </row>
    <row r="355" spans="1:7" x14ac:dyDescent="0.2">
      <c r="A355" s="15">
        <v>44305</v>
      </c>
      <c r="B355" s="112">
        <v>1.0913200000000001</v>
      </c>
      <c r="C355" s="108">
        <f t="shared" si="112"/>
        <v>-7.8000000000000291E-4</v>
      </c>
      <c r="D355" s="109">
        <f t="shared" si="113"/>
        <v>-7.8000000000000291E-4</v>
      </c>
      <c r="E355" s="109">
        <f ca="1">IF(表2_3671626293038912[[#This Row],[累计净值]]/MAX(INDIRECT("B21:B" &amp; ROW()))-1&lt;E354,表2_3671626293038912[[#This Row],[累计净值]]/MAX(INDIRECT("B21:B" &amp; ROW()))-1,E354)</f>
        <v>-3.8655622203179973E-2</v>
      </c>
      <c r="F355" s="110">
        <f>表2_3671626293038912[[#This Row],[累计净值]]-0.1085</f>
        <v>0.98282000000000003</v>
      </c>
      <c r="G355" s="20">
        <f>0.8*(表2_3671626293038912[[#This Row],[累计净值]]/$B$21-1)</f>
        <v>7.2445288298191454E-2</v>
      </c>
    </row>
    <row r="356" spans="1:7" x14ac:dyDescent="0.2">
      <c r="A356" s="15">
        <v>44306</v>
      </c>
      <c r="B356" s="112">
        <v>1.0884</v>
      </c>
      <c r="C356" s="108">
        <f t="shared" si="112"/>
        <v>-2.9200000000000337E-3</v>
      </c>
      <c r="D356" s="109">
        <f t="shared" si="113"/>
        <v>-2.9200000000000337E-3</v>
      </c>
      <c r="E356" s="109">
        <f ca="1">IF(表2_3671626293038912[[#This Row],[累计净值]]/MAX(INDIRECT("B21:B" &amp; ROW()))-1&lt;E355,表2_3671626293038912[[#This Row],[累计净值]]/MAX(INDIRECT("B21:B" &amp; ROW()))-1,E355)</f>
        <v>-3.8655622203179973E-2</v>
      </c>
      <c r="F356" s="110">
        <f>表2_3671626293038912[[#This Row],[累计净值]]-0.1085</f>
        <v>0.97989999999999999</v>
      </c>
      <c r="G356" s="20">
        <f>0.8*(表2_3671626293038912[[#This Row],[累计净值]]/$B$21-1)</f>
        <v>7.011092235435204E-2</v>
      </c>
    </row>
    <row r="357" spans="1:7" x14ac:dyDescent="0.2">
      <c r="A357" s="15">
        <v>44307</v>
      </c>
      <c r="B357" s="112">
        <v>1.0842000000000001</v>
      </c>
      <c r="C357" s="108">
        <f t="shared" si="112"/>
        <v>-4.1999999999999815E-3</v>
      </c>
      <c r="D357" s="109">
        <f t="shared" si="113"/>
        <v>-4.1999999999999815E-3</v>
      </c>
      <c r="E357" s="109">
        <f ca="1">IF(表2_3671626293038912[[#This Row],[累计净值]]/MAX(INDIRECT("B21:B" &amp; ROW()))-1&lt;E356,表2_3671626293038912[[#This Row],[累计净值]]/MAX(INDIRECT("B21:B" &amp; ROW()))-1,E356)</f>
        <v>-3.8655622203179973E-2</v>
      </c>
      <c r="F357" s="110">
        <f>表2_3671626293038912[[#This Row],[累计净值]]-0.1085</f>
        <v>0.97570000000000001</v>
      </c>
      <c r="G357" s="20">
        <f>0.8*(表2_3671626293038912[[#This Row],[累计净值]]/$B$21-1)</f>
        <v>6.6753272709103764E-2</v>
      </c>
    </row>
    <row r="358" spans="1:7" x14ac:dyDescent="0.2">
      <c r="A358" s="15">
        <v>44308</v>
      </c>
      <c r="B358" s="112">
        <v>1.0851999999999999</v>
      </c>
      <c r="C358" s="108">
        <f t="shared" si="112"/>
        <v>9.9999999999988987E-4</v>
      </c>
      <c r="D358" s="109" t="str">
        <f t="shared" si="113"/>
        <v>/</v>
      </c>
      <c r="E358" s="109">
        <f ca="1">IF(表2_3671626293038912[[#This Row],[累计净值]]/MAX(INDIRECT("B21:B" &amp; ROW()))-1&lt;E357,表2_3671626293038912[[#This Row],[累计净值]]/MAX(INDIRECT("B21:B" &amp; ROW()))-1,E357)</f>
        <v>-3.8655622203179973E-2</v>
      </c>
      <c r="F358" s="110">
        <f>表2_3671626293038912[[#This Row],[累计净值]]-0.1085</f>
        <v>0.9766999999999999</v>
      </c>
      <c r="G358" s="20">
        <f>0.8*(表2_3671626293038912[[#This Row],[累计净值]]/$B$21-1)</f>
        <v>6.755271310082947E-2</v>
      </c>
    </row>
    <row r="359" spans="1:7" x14ac:dyDescent="0.2">
      <c r="A359" s="15">
        <v>44309</v>
      </c>
      <c r="B359" s="112">
        <v>1.0878000000000001</v>
      </c>
      <c r="C359" s="108">
        <f>IFERROR(B359-B358,0)</f>
        <v>2.6000000000001577E-3</v>
      </c>
      <c r="D359" s="109" t="str">
        <f>IF(C359&lt;0,C359,"/")</f>
        <v>/</v>
      </c>
      <c r="E359" s="109">
        <f ca="1">IF(表2_3671626293038912[[#This Row],[累计净值]]/MAX(INDIRECT("B21:B" &amp; ROW()))-1&lt;E358,表2_3671626293038912[[#This Row],[累计净值]]/MAX(INDIRECT("B21:B" &amp; ROW()))-1,E358)</f>
        <v>-3.8655622203179973E-2</v>
      </c>
      <c r="F359" s="110">
        <f>表2_3671626293038912[[#This Row],[累计净值]]-0.1085</f>
        <v>0.97930000000000006</v>
      </c>
      <c r="G359" s="20">
        <f>0.8*(表2_3671626293038912[[#This Row],[累计净值]]/$B$21-1)</f>
        <v>6.9631258119316544E-2</v>
      </c>
    </row>
    <row r="360" spans="1:7" x14ac:dyDescent="0.2">
      <c r="A360" s="15">
        <v>44312</v>
      </c>
      <c r="B360" s="112">
        <v>1.0921000000000001</v>
      </c>
      <c r="C360" s="108">
        <f>IFERROR(B360-B359,0)</f>
        <v>4.2999999999999705E-3</v>
      </c>
      <c r="D360" s="109" t="str">
        <f>IF(C360&lt;0,C360,"/")</f>
        <v>/</v>
      </c>
      <c r="E360" s="109">
        <f ca="1">IF(表2_3671626293038912[[#This Row],[累计净值]]/MAX(INDIRECT("B21:B" &amp; ROW()))-1&lt;E359,表2_3671626293038912[[#This Row],[累计净值]]/MAX(INDIRECT("B21:B" &amp; ROW()))-1,E359)</f>
        <v>-3.8655622203179973E-2</v>
      </c>
      <c r="F360" s="110">
        <f>表2_3671626293038912[[#This Row],[累计净值]]-0.1085</f>
        <v>0.98360000000000003</v>
      </c>
      <c r="G360" s="20">
        <f>0.8*(表2_3671626293038912[[#This Row],[累计净值]]/$B$21-1)</f>
        <v>7.3068851803737553E-2</v>
      </c>
    </row>
    <row r="361" spans="1:7" x14ac:dyDescent="0.2">
      <c r="A361" s="15">
        <v>44313</v>
      </c>
      <c r="B361" s="112">
        <v>1.0903</v>
      </c>
      <c r="C361" s="108">
        <f>IFERROR(B361-B360,0)</f>
        <v>-1.8000000000000238E-3</v>
      </c>
      <c r="D361" s="109">
        <f>IF(C361&lt;0,C361,"/")</f>
        <v>-1.8000000000000238E-3</v>
      </c>
      <c r="E361" s="109">
        <f ca="1">IF(表2_3671626293038912[[#This Row],[累计净值]]/MAX(INDIRECT("B21:B" &amp; ROW()))-1&lt;E360,表2_3671626293038912[[#This Row],[累计净值]]/MAX(INDIRECT("B21:B" &amp; ROW()))-1,E360)</f>
        <v>-3.8655622203179973E-2</v>
      </c>
      <c r="F361" s="110">
        <f>表2_3671626293038912[[#This Row],[累计净值]]-0.1085</f>
        <v>0.98180000000000001</v>
      </c>
      <c r="G361" s="20">
        <f>0.8*(表2_3671626293038912[[#This Row],[累计净值]]/$B$21-1)</f>
        <v>7.1629859098631066E-2</v>
      </c>
    </row>
    <row r="362" spans="1:7" x14ac:dyDescent="0.2">
      <c r="A362" s="15">
        <v>44314</v>
      </c>
      <c r="B362" s="112">
        <v>1.0891</v>
      </c>
      <c r="C362" s="108">
        <f>IFERROR(B362-B361,0)</f>
        <v>-1.2000000000000899E-3</v>
      </c>
      <c r="D362" s="109">
        <f>IF(C362&lt;0,C362,"/")</f>
        <v>-1.2000000000000899E-3</v>
      </c>
      <c r="E362" s="109">
        <f ca="1">IF(表2_3671626293038912[[#This Row],[累计净值]]/MAX(INDIRECT("B21:B" &amp; ROW()))-1&lt;E361,表2_3671626293038912[[#This Row],[累计净值]]/MAX(INDIRECT("B21:B" &amp; ROW()))-1,E361)</f>
        <v>-3.8655622203179973E-2</v>
      </c>
      <c r="F362" s="110">
        <f>表2_3671626293038912[[#This Row],[累计净值]]-0.1085</f>
        <v>0.98059999999999992</v>
      </c>
      <c r="G362" s="20">
        <f>0.8*(表2_3671626293038912[[#This Row],[累计净值]]/$B$21-1)</f>
        <v>7.0670530628560088E-2</v>
      </c>
    </row>
    <row r="363" spans="1:7" x14ac:dyDescent="0.2">
      <c r="A363" s="15">
        <v>44315</v>
      </c>
      <c r="B363" s="112">
        <v>1.0931999999999999</v>
      </c>
      <c r="C363" s="108">
        <f t="shared" ref="C363:C365" si="114">IFERROR(B363-B362,0)</f>
        <v>4.0999999999999925E-3</v>
      </c>
      <c r="D363" s="109" t="str">
        <f t="shared" ref="D363:D365" si="115">IF(C363&lt;0,C363,"/")</f>
        <v>/</v>
      </c>
      <c r="E363" s="109">
        <f ca="1">IF(表2_3671626293038912[[#This Row],[累计净值]]/MAX(INDIRECT("B21:B" &amp; ROW()))-1&lt;E362,表2_3671626293038912[[#This Row],[累计净值]]/MAX(INDIRECT("B21:B" &amp; ROW()))-1,E362)</f>
        <v>-3.8655622203179973E-2</v>
      </c>
      <c r="F363" s="110">
        <f>表2_3671626293038912[[#This Row],[累计净值]]-0.1085</f>
        <v>0.98469999999999991</v>
      </c>
      <c r="G363" s="20">
        <f>0.8*(表2_3671626293038912[[#This Row],[累计净值]]/$B$21-1)</f>
        <v>7.3948236234635797E-2</v>
      </c>
    </row>
    <row r="364" spans="1:7" x14ac:dyDescent="0.2">
      <c r="A364" s="15">
        <v>44316</v>
      </c>
      <c r="B364" s="112">
        <v>1.0878000000000001</v>
      </c>
      <c r="C364" s="108">
        <f t="shared" si="114"/>
        <v>-5.3999999999998494E-3</v>
      </c>
      <c r="D364" s="109">
        <f t="shared" si="115"/>
        <v>-5.3999999999998494E-3</v>
      </c>
      <c r="E364" s="109">
        <f ca="1">IF(表2_3671626293038912[[#This Row],[累计净值]]/MAX(INDIRECT("B21:B" &amp; ROW()))-1&lt;E363,表2_3671626293038912[[#This Row],[累计净值]]/MAX(INDIRECT("B21:B" &amp; ROW()))-1,E363)</f>
        <v>-3.8655622203179973E-2</v>
      </c>
      <c r="F364" s="110">
        <f>表2_3671626293038912[[#This Row],[累计净值]]-0.1085</f>
        <v>0.97930000000000006</v>
      </c>
      <c r="G364" s="20">
        <f>0.8*(表2_3671626293038912[[#This Row],[累计净值]]/$B$21-1)</f>
        <v>6.9631258119316544E-2</v>
      </c>
    </row>
    <row r="365" spans="1:7" x14ac:dyDescent="0.2">
      <c r="A365" s="15">
        <v>44322</v>
      </c>
      <c r="B365" s="112">
        <v>1.1047</v>
      </c>
      <c r="C365" s="108">
        <f t="shared" si="114"/>
        <v>1.6899999999999915E-2</v>
      </c>
      <c r="D365" s="109" t="str">
        <f t="shared" si="115"/>
        <v>/</v>
      </c>
      <c r="E365" s="109">
        <f ca="1">IF(表2_3671626293038912[[#This Row],[累计净值]]/MAX(INDIRECT("B21:B" &amp; ROW()))-1&lt;E364,表2_3671626293038912[[#This Row],[累计净值]]/MAX(INDIRECT("B21:B" &amp; ROW()))-1,E364)</f>
        <v>-3.8655622203179973E-2</v>
      </c>
      <c r="F365" s="110">
        <f>表2_3671626293038912[[#This Row],[累计净值]]-0.1085</f>
        <v>0.99619999999999997</v>
      </c>
      <c r="G365" s="20">
        <f>0.8*(表2_3671626293038912[[#This Row],[累计净值]]/$B$21-1)</f>
        <v>8.3141800739482366E-2</v>
      </c>
    </row>
    <row r="366" spans="1:7" x14ac:dyDescent="0.2">
      <c r="A366" s="15">
        <v>44323</v>
      </c>
      <c r="B366" s="112">
        <v>1.1093</v>
      </c>
      <c r="C366" s="108">
        <f t="shared" ref="C366:C371" si="116">IFERROR(B366-B365,0)</f>
        <v>4.5999999999999375E-3</v>
      </c>
      <c r="D366" s="109" t="str">
        <f t="shared" ref="D366:D371" si="117">IF(C366&lt;0,C366,"/")</f>
        <v>/</v>
      </c>
      <c r="E366" s="109">
        <f ca="1">IF(表2_3671626293038912[[#This Row],[累计净值]]/MAX(INDIRECT("B21:B" &amp; ROW()))-1&lt;E365,表2_3671626293038912[[#This Row],[累计净值]]/MAX(INDIRECT("B21:B" &amp; ROW()))-1,E365)</f>
        <v>-3.8655622203179973E-2</v>
      </c>
      <c r="F366" s="110">
        <f>表2_3671626293038912[[#This Row],[累计净值]]-0.1085</f>
        <v>1.0007999999999999</v>
      </c>
      <c r="G366" s="20">
        <f>0.8*(表2_3671626293038912[[#This Row],[累计净值]]/$B$21-1)</f>
        <v>8.6819226541421032E-2</v>
      </c>
    </row>
    <row r="367" spans="1:7" x14ac:dyDescent="0.2">
      <c r="A367" s="15">
        <v>44326</v>
      </c>
      <c r="B367" s="112">
        <v>1.1174999999999999</v>
      </c>
      <c r="C367" s="108">
        <f t="shared" si="116"/>
        <v>8.1999999999999851E-3</v>
      </c>
      <c r="D367" s="109" t="str">
        <f t="shared" si="117"/>
        <v>/</v>
      </c>
      <c r="E367" s="109">
        <f ca="1">IF(表2_3671626293038912[[#This Row],[累计净值]]/MAX(INDIRECT("B21:B" &amp; ROW()))-1&lt;E366,表2_3671626293038912[[#This Row],[累计净值]]/MAX(INDIRECT("B21:B" &amp; ROW()))-1,E366)</f>
        <v>-3.8655622203179973E-2</v>
      </c>
      <c r="F367" s="110">
        <f>表2_3671626293038912[[#This Row],[累计净值]]-0.1085</f>
        <v>1.0089999999999999</v>
      </c>
      <c r="G367" s="20">
        <f>0.8*(表2_3671626293038912[[#This Row],[累计净值]]/$B$21-1)</f>
        <v>9.3374637753572465E-2</v>
      </c>
    </row>
    <row r="368" spans="1:7" x14ac:dyDescent="0.2">
      <c r="A368" s="15">
        <v>44327</v>
      </c>
      <c r="B368" s="112">
        <v>1.1173</v>
      </c>
      <c r="C368" s="108">
        <f t="shared" si="116"/>
        <v>-1.9999999999997797E-4</v>
      </c>
      <c r="D368" s="109">
        <f t="shared" si="117"/>
        <v>-1.9999999999997797E-4</v>
      </c>
      <c r="E368" s="109">
        <f ca="1">IF(表2_3671626293038912[[#This Row],[累计净值]]/MAX(INDIRECT("B21:B" &amp; ROW()))-1&lt;E367,表2_3671626293038912[[#This Row],[累计净值]]/MAX(INDIRECT("B21:B" &amp; ROW()))-1,E367)</f>
        <v>-3.8655622203179973E-2</v>
      </c>
      <c r="F368" s="110">
        <f>表2_3671626293038912[[#This Row],[累计净值]]-0.1085</f>
        <v>1.0087999999999999</v>
      </c>
      <c r="G368" s="20">
        <f>0.8*(表2_3671626293038912[[#This Row],[累计净值]]/$B$21-1)</f>
        <v>9.321474967522736E-2</v>
      </c>
    </row>
    <row r="369" spans="1:7" x14ac:dyDescent="0.2">
      <c r="A369" s="15">
        <v>44328</v>
      </c>
      <c r="B369" s="112">
        <v>1.1244000000000001</v>
      </c>
      <c r="C369" s="108">
        <f t="shared" si="116"/>
        <v>7.1000000000001062E-3</v>
      </c>
      <c r="D369" s="109" t="str">
        <f t="shared" si="117"/>
        <v>/</v>
      </c>
      <c r="E369" s="109">
        <f ca="1">IF(表2_3671626293038912[[#This Row],[累计净值]]/MAX(INDIRECT("B21:B" &amp; ROW()))-1&lt;E368,表2_3671626293038912[[#This Row],[累计净值]]/MAX(INDIRECT("B21:B" &amp; ROW()))-1,E368)</f>
        <v>-3.8655622203179973E-2</v>
      </c>
      <c r="F369" s="110">
        <f>表2_3671626293038912[[#This Row],[累计净值]]-0.1085</f>
        <v>1.0159</v>
      </c>
      <c r="G369" s="20">
        <f>0.8*(表2_3671626293038912[[#This Row],[累计净值]]/$B$21-1)</f>
        <v>9.8890776456480547E-2</v>
      </c>
    </row>
    <row r="370" spans="1:7" x14ac:dyDescent="0.2">
      <c r="A370" s="15">
        <v>44329</v>
      </c>
      <c r="B370" s="112">
        <v>1.1248</v>
      </c>
      <c r="C370" s="108">
        <f t="shared" si="116"/>
        <v>3.9999999999995595E-4</v>
      </c>
      <c r="D370" s="109" t="str">
        <f t="shared" si="117"/>
        <v>/</v>
      </c>
      <c r="E370" s="109">
        <f ca="1">IF(表2_3671626293038912[[#This Row],[累计净值]]/MAX(INDIRECT("B21:B" &amp; ROW()))-1&lt;E369,表2_3671626293038912[[#This Row],[累计净值]]/MAX(INDIRECT("B21:B" &amp; ROW()))-1,E369)</f>
        <v>-3.8655622203179973E-2</v>
      </c>
      <c r="F370" s="110">
        <f>表2_3671626293038912[[#This Row],[累计净值]]-0.1085</f>
        <v>1.0163</v>
      </c>
      <c r="G370" s="20">
        <f>0.8*(表2_3671626293038912[[#This Row],[累计净值]]/$B$21-1)</f>
        <v>9.9210552613170938E-2</v>
      </c>
    </row>
    <row r="371" spans="1:7" x14ac:dyDescent="0.2">
      <c r="A371" s="15">
        <v>44330</v>
      </c>
      <c r="B371" s="112">
        <v>1.1181000000000001</v>
      </c>
      <c r="C371" s="108">
        <f t="shared" si="116"/>
        <v>-6.6999999999999282E-3</v>
      </c>
      <c r="D371" s="109">
        <f t="shared" si="117"/>
        <v>-6.6999999999999282E-3</v>
      </c>
      <c r="E371" s="109">
        <f ca="1">IF(表2_3671626293038912[[#This Row],[累计净值]]/MAX(INDIRECT("B21:B" &amp; ROW()))-1&lt;E370,表2_3671626293038912[[#This Row],[累计净值]]/MAX(INDIRECT("B21:B" &amp; ROW()))-1,E370)</f>
        <v>-3.8655622203179973E-2</v>
      </c>
      <c r="F371" s="110">
        <f>表2_3671626293038912[[#This Row],[累计净值]]-0.1085</f>
        <v>1.0096000000000001</v>
      </c>
      <c r="G371" s="20">
        <f>0.8*(表2_3671626293038912[[#This Row],[累计净值]]/$B$21-1)</f>
        <v>9.3854301988608141E-2</v>
      </c>
    </row>
  </sheetData>
  <mergeCells count="1">
    <mergeCell ref="G2:G3"/>
  </mergeCells>
  <phoneticPr fontId="24" type="noConversion"/>
  <pageMargins left="0.7" right="0.7" top="0.75" bottom="0.75" header="0.3" footer="0.3"/>
  <pageSetup paperSize="9" orientation="portrait" horizontalDpi="200" verticalDpi="200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G274"/>
  <sheetViews>
    <sheetView workbookViewId="0">
      <pane xSplit="1" ySplit="20" topLeftCell="B261" activePane="bottomRight" state="frozen"/>
      <selection pane="topRight" activeCell="B1" sqref="B1"/>
      <selection pane="bottomLeft" activeCell="A21" sqref="A21"/>
      <selection pane="bottomRight" activeCell="O263" sqref="O263"/>
    </sheetView>
  </sheetViews>
  <sheetFormatPr defaultColWidth="9" defaultRowHeight="14.25" x14ac:dyDescent="0.2"/>
  <cols>
    <col min="1" max="1" width="11.625" style="1" bestFit="1" customWidth="1"/>
    <col min="2" max="2" width="13" style="1" customWidth="1"/>
    <col min="3" max="4" width="13.5" style="1" bestFit="1" customWidth="1"/>
    <col min="5" max="5" width="10.75" style="1" customWidth="1"/>
    <col min="6" max="6" width="11.125" style="1" customWidth="1"/>
    <col min="7" max="7" width="18.875" style="2" customWidth="1"/>
    <col min="8" max="8" width="14.25" style="1" customWidth="1"/>
    <col min="9" max="9" width="12" style="1" bestFit="1" customWidth="1"/>
    <col min="10" max="16384" width="9" style="1"/>
  </cols>
  <sheetData>
    <row r="1" spans="1:7" ht="15" thickBot="1" x14ac:dyDescent="0.25"/>
    <row r="2" spans="1:7" ht="15" thickBot="1" x14ac:dyDescent="0.25">
      <c r="A2" s="23" t="s">
        <v>0</v>
      </c>
      <c r="B2" s="24">
        <f>COUNT(表2_367162629303891213141516[每日盈亏])</f>
        <v>254</v>
      </c>
      <c r="C2" s="27"/>
      <c r="D2" s="3" t="s">
        <v>1</v>
      </c>
      <c r="E2" s="28"/>
      <c r="F2" s="1" t="s">
        <v>2</v>
      </c>
      <c r="G2" s="394" t="s">
        <v>3</v>
      </c>
    </row>
    <row r="3" spans="1:7" x14ac:dyDescent="0.2">
      <c r="A3" s="25" t="s">
        <v>4</v>
      </c>
      <c r="B3" s="26">
        <f>COUNTIF(表2_367162629303891213141516[每日盈亏],"&gt;0")</f>
        <v>175</v>
      </c>
      <c r="C3" s="29"/>
      <c r="D3" s="30" t="s">
        <v>5</v>
      </c>
      <c r="E3" s="31">
        <f>245^0.5*(B10-0.025/365)/E10</f>
        <v>7.3477638062601045</v>
      </c>
      <c r="G3" s="394"/>
    </row>
    <row r="4" spans="1:7" x14ac:dyDescent="0.2">
      <c r="A4" s="25" t="s">
        <v>6</v>
      </c>
      <c r="B4" s="26">
        <f>COUNTIF(表2_367162629303891213141516[每日盈亏],"&lt;0")</f>
        <v>54</v>
      </c>
      <c r="C4" s="29"/>
      <c r="D4" s="32" t="s">
        <v>7</v>
      </c>
      <c r="E4" s="31">
        <f ca="1">-B9/E8</f>
        <v>38.645749655811713</v>
      </c>
      <c r="G4" s="2">
        <f>LOOKUP(999^10,表2_367162629303891213141516[累计净值])</f>
        <v>1.7609999999999999</v>
      </c>
    </row>
    <row r="5" spans="1:7" x14ac:dyDescent="0.2">
      <c r="A5" s="25" t="s">
        <v>8</v>
      </c>
      <c r="B5" s="26">
        <f>B2-B3-B4</f>
        <v>25</v>
      </c>
      <c r="C5" s="29"/>
      <c r="D5" s="33" t="s">
        <v>9</v>
      </c>
      <c r="E5" s="4">
        <f>245^0.5*(B10-0.025/365)/E9</f>
        <v>13.788681044821601</v>
      </c>
    </row>
    <row r="6" spans="1:7" ht="15" thickBot="1" x14ac:dyDescent="0.25">
      <c r="A6" s="34"/>
      <c r="B6" s="35"/>
      <c r="C6" s="35"/>
      <c r="D6" s="35"/>
      <c r="E6" s="36"/>
    </row>
    <row r="7" spans="1:7" ht="15" thickBot="1" x14ac:dyDescent="0.25">
      <c r="A7" s="5" t="s">
        <v>10</v>
      </c>
      <c r="B7" s="35"/>
      <c r="C7" s="35"/>
      <c r="D7" s="3" t="s">
        <v>11</v>
      </c>
      <c r="E7" s="37"/>
    </row>
    <row r="8" spans="1:7" x14ac:dyDescent="0.2">
      <c r="A8" s="38" t="s">
        <v>12</v>
      </c>
      <c r="B8" s="39">
        <f>LOOKUP(999^10,表2_367162629303891213141516[累计净值])/$B$21-1</f>
        <v>0.44700082169268684</v>
      </c>
      <c r="C8" s="40"/>
      <c r="D8" s="30" t="s">
        <v>13</v>
      </c>
      <c r="E8" s="41">
        <f ca="1">MIN(表2_367162629303891213141516[最大回撤])</f>
        <v>-1.1156782149148614E-2</v>
      </c>
    </row>
    <row r="9" spans="1:7" x14ac:dyDescent="0.2">
      <c r="A9" s="25" t="s">
        <v>14</v>
      </c>
      <c r="B9" s="32">
        <f>B8*245/B2</f>
        <v>0.43116220990042631</v>
      </c>
      <c r="C9" s="40"/>
      <c r="D9" s="33" t="s">
        <v>15</v>
      </c>
      <c r="E9" s="6">
        <f>STDEV(表2_367162629303891213141516[下跌幅度])</f>
        <v>2.3445373415477812E-3</v>
      </c>
    </row>
    <row r="10" spans="1:7" x14ac:dyDescent="0.2">
      <c r="A10" s="42" t="s">
        <v>16</v>
      </c>
      <c r="B10" s="43">
        <f>AVERAGE(表2_367162629303891213141516[每日盈亏])</f>
        <v>2.1338582677165349E-3</v>
      </c>
      <c r="C10" s="44"/>
      <c r="D10" s="33" t="s">
        <v>17</v>
      </c>
      <c r="E10" s="6">
        <f>STDEV(表2_367162629303891213141516[每日盈亏])</f>
        <v>4.3997164923474585E-3</v>
      </c>
    </row>
    <row r="11" spans="1:7" x14ac:dyDescent="0.2">
      <c r="A11" s="7" t="s">
        <v>18</v>
      </c>
      <c r="B11" s="32">
        <f>B3/B2</f>
        <v>0.6889763779527559</v>
      </c>
      <c r="C11" s="40"/>
      <c r="D11" s="32" t="s">
        <v>19</v>
      </c>
      <c r="E11" s="41">
        <f>245^0.5*E10</f>
        <v>6.8866456110310961E-2</v>
      </c>
    </row>
    <row r="12" spans="1:7" ht="15" thickBot="1" x14ac:dyDescent="0.25">
      <c r="A12" s="45" t="s">
        <v>20</v>
      </c>
      <c r="B12" s="46">
        <f>-(SUMIF(表2_367162629303891213141516[每日盈亏],"&gt;=0")/B3)/(SUMIF(表2_367162629303891213141516[每日盈亏],"&lt;0")/B4)</f>
        <v>1.3040816326530575</v>
      </c>
      <c r="C12" s="47"/>
      <c r="D12" s="48"/>
      <c r="E12" s="49"/>
    </row>
    <row r="14" spans="1:7" ht="28.5" x14ac:dyDescent="0.2">
      <c r="A14" s="202" t="s">
        <v>21</v>
      </c>
      <c r="B14" s="202" t="s">
        <v>14</v>
      </c>
      <c r="C14" s="203" t="s">
        <v>19</v>
      </c>
      <c r="D14" s="203" t="s">
        <v>13</v>
      </c>
      <c r="E14" s="203" t="s">
        <v>5</v>
      </c>
      <c r="F14" s="203" t="s">
        <v>7</v>
      </c>
    </row>
    <row r="15" spans="1:7" ht="19.5" customHeight="1" x14ac:dyDescent="0.2">
      <c r="A15" s="78">
        <f>B2</f>
        <v>254</v>
      </c>
      <c r="B15" s="53">
        <f>B9</f>
        <v>0.43116220990042631</v>
      </c>
      <c r="C15" s="53">
        <f>E11</f>
        <v>6.8866456110310961E-2</v>
      </c>
      <c r="D15" s="53">
        <f ca="1">E8</f>
        <v>-1.1156782149148614E-2</v>
      </c>
      <c r="E15" s="54">
        <f>E3</f>
        <v>7.3477638062601045</v>
      </c>
      <c r="F15" s="54">
        <f ca="1">E4</f>
        <v>38.645749655811713</v>
      </c>
    </row>
    <row r="19" spans="1:7" x14ac:dyDescent="0.2">
      <c r="A19" s="8"/>
      <c r="B19" s="1" t="s">
        <v>22</v>
      </c>
    </row>
    <row r="20" spans="1:7" ht="15.75" x14ac:dyDescent="0.2">
      <c r="A20" s="22" t="s">
        <v>23</v>
      </c>
      <c r="B20" s="22" t="s">
        <v>24</v>
      </c>
      <c r="C20" s="22" t="s">
        <v>25</v>
      </c>
      <c r="D20" s="22" t="s">
        <v>26</v>
      </c>
      <c r="E20" s="22" t="s">
        <v>27</v>
      </c>
      <c r="F20" s="22" t="s">
        <v>28</v>
      </c>
      <c r="G20" s="22" t="s">
        <v>29</v>
      </c>
    </row>
    <row r="21" spans="1:7" x14ac:dyDescent="0.2">
      <c r="A21" s="15">
        <v>43948</v>
      </c>
      <c r="B21" s="16">
        <v>1.2170000000000001</v>
      </c>
      <c r="C21" s="11">
        <f>IFERROR(B21-B20,0)</f>
        <v>0</v>
      </c>
      <c r="D21" s="12" t="str">
        <f t="shared" ref="D21:D27" si="0">IF(C21&lt;0,C21,"/")</f>
        <v>/</v>
      </c>
      <c r="E21" s="12">
        <f ca="1">IF(表2_367162629303891213141516[[#This Row],[累计净值]]/MAX(INDIRECT("B21:B" &amp; ROW()))-1&lt;E20,表2_367162629303891213141516[[#This Row],[累计净值]]/MAX(INDIRECT("B21:B" &amp; ROW()))-1,E20)</f>
        <v>0</v>
      </c>
      <c r="F21" s="13">
        <f>表2_367162629303891213141516[[#This Row],[累计净值]]</f>
        <v>1.2170000000000001</v>
      </c>
      <c r="G21" s="14" t="s">
        <v>30</v>
      </c>
    </row>
    <row r="22" spans="1:7" x14ac:dyDescent="0.2">
      <c r="A22" s="15">
        <v>43949</v>
      </c>
      <c r="B22" s="16">
        <v>1.2190000000000001</v>
      </c>
      <c r="C22" s="17">
        <f>IFERROR(B22-B21,0)</f>
        <v>2.0000000000000018E-3</v>
      </c>
      <c r="D22" s="18" t="str">
        <f t="shared" si="0"/>
        <v>/</v>
      </c>
      <c r="E22" s="18">
        <f ca="1">IF(表2_367162629303891213141516[[#This Row],[累计净值]]/MAX(INDIRECT("B21:B" &amp; ROW()))-1&lt;E21,表2_367162629303891213141516[[#This Row],[累计净值]]/MAX(INDIRECT("B21:B" &amp; ROW()))-1,E21)</f>
        <v>0</v>
      </c>
      <c r="F22" s="19">
        <f>表2_367162629303891213141516[[#This Row],[累计净值]]</f>
        <v>1.2190000000000001</v>
      </c>
      <c r="G22" s="20">
        <f>IF(表2_367162629303891213141516[[#This Row],[累计净值]]&gt;1.217,0.7*(表2_367162629303891213141516[[#This Row],[累计净值]]-1.217)/1.217,(表2_367162629303891213141516[[#This Row],[累计净值]]-1.217)/1.217)</f>
        <v>1.1503697617091216E-3</v>
      </c>
    </row>
    <row r="23" spans="1:7" x14ac:dyDescent="0.2">
      <c r="A23" s="15">
        <v>43950</v>
      </c>
      <c r="B23" s="16">
        <v>1.218</v>
      </c>
      <c r="C23" s="73">
        <f>IFERROR(B23-B22,0)</f>
        <v>-1.0000000000001119E-3</v>
      </c>
      <c r="D23" s="18">
        <f t="shared" si="0"/>
        <v>-1.0000000000001119E-3</v>
      </c>
      <c r="E23" s="18">
        <f ca="1">IF(表2_367162629303891213141516[[#This Row],[累计净值]]/MAX(INDIRECT("B21:B" &amp; ROW()))-1&lt;E22,表2_367162629303891213141516[[#This Row],[累计净值]]/MAX(INDIRECT("B21:B" &amp; ROW()))-1,E22)</f>
        <v>-8.2034454470891749E-4</v>
      </c>
      <c r="F23" s="62">
        <f>表2_367162629303891213141516[[#This Row],[累计净值]]</f>
        <v>1.218</v>
      </c>
      <c r="G23" s="20">
        <f>IF(表2_367162629303891213141516[[#This Row],[累计净值]]&gt;1.217,0.7*(表2_367162629303891213141516[[#This Row],[累计净值]]-1.217)/1.217,(表2_367162629303891213141516[[#This Row],[累计净值]]-1.217)/1.217)</f>
        <v>5.7518488085449705E-4</v>
      </c>
    </row>
    <row r="24" spans="1:7" x14ac:dyDescent="0.2">
      <c r="A24" s="15">
        <v>43951</v>
      </c>
      <c r="B24" s="16">
        <v>1.216</v>
      </c>
      <c r="C24" s="73">
        <f>IFERROR(B24-B23,0)</f>
        <v>-2.0000000000000018E-3</v>
      </c>
      <c r="D24" s="18">
        <f t="shared" si="0"/>
        <v>-2.0000000000000018E-3</v>
      </c>
      <c r="E24" s="18">
        <f ca="1">IF(表2_367162629303891213141516[[#This Row],[累计净值]]/MAX(INDIRECT("B21:B" &amp; ROW()))-1&lt;E23,表2_367162629303891213141516[[#This Row],[累计净值]]/MAX(INDIRECT("B21:B" &amp; ROW()))-1,E23)</f>
        <v>-2.4610336341264194E-3</v>
      </c>
      <c r="F24" s="62">
        <f>表2_367162629303891213141516[[#This Row],[累计净值]]</f>
        <v>1.216</v>
      </c>
      <c r="G24" s="20">
        <f>IF(表2_367162629303891213141516[[#This Row],[累计净值]]&gt;1.217,0.7*(表2_367162629303891213141516[[#This Row],[累计净值]]-1.217)/1.217,(表2_367162629303891213141516[[#This Row],[累计净值]]-1.217)/1.217)</f>
        <v>-8.2169268693517818E-4</v>
      </c>
    </row>
    <row r="25" spans="1:7" x14ac:dyDescent="0.2">
      <c r="A25" s="15">
        <v>43957</v>
      </c>
      <c r="B25" s="96">
        <v>1.218</v>
      </c>
      <c r="C25" s="94">
        <f>IFERROR(B25-#REF!,0)</f>
        <v>0</v>
      </c>
      <c r="D25" s="95" t="str">
        <f t="shared" si="0"/>
        <v>/</v>
      </c>
      <c r="E25" s="18">
        <f ca="1">IF(表2_367162629303891213141516[[#This Row],[累计净值]]/MAX(INDIRECT("B21:B" &amp; ROW()))-1&lt;E24,表2_367162629303891213141516[[#This Row],[累计净值]]/MAX(INDIRECT("B21:B" &amp; ROW()))-1,E24)</f>
        <v>-2.4610336341264194E-3</v>
      </c>
      <c r="F25" s="97">
        <f>表2_367162629303891213141516[[#This Row],[累计净值]]</f>
        <v>1.218</v>
      </c>
      <c r="G25" s="20">
        <f>IF(表2_367162629303891213141516[[#This Row],[累计净值]]&gt;1.217,0.7*(表2_367162629303891213141516[[#This Row],[累计净值]]-1.217)/1.217,(表2_367162629303891213141516[[#This Row],[累计净值]]-1.217)/1.217)</f>
        <v>5.7518488085449705E-4</v>
      </c>
    </row>
    <row r="26" spans="1:7" x14ac:dyDescent="0.2">
      <c r="A26" s="15">
        <v>43958</v>
      </c>
      <c r="B26" s="96">
        <v>1.222</v>
      </c>
      <c r="C26" s="94">
        <f>IFERROR(B26-B25,0)</f>
        <v>4.0000000000000036E-3</v>
      </c>
      <c r="D26" s="95" t="str">
        <f t="shared" si="0"/>
        <v>/</v>
      </c>
      <c r="E26" s="18">
        <f ca="1">IF(表2_367162629303891213141516[[#This Row],[累计净值]]/MAX(INDIRECT("B21:B" &amp; ROW()))-1&lt;E25,表2_367162629303891213141516[[#This Row],[累计净值]]/MAX(INDIRECT("B21:B" &amp; ROW()))-1,E25)</f>
        <v>-2.4610336341264194E-3</v>
      </c>
      <c r="F26" s="97">
        <f>表2_367162629303891213141516[[#This Row],[累计净值]]</f>
        <v>1.222</v>
      </c>
      <c r="G26" s="20">
        <f>IF(表2_367162629303891213141516[[#This Row],[累计净值]]&gt;1.217,0.7*(表2_367162629303891213141516[[#This Row],[累计净值]]-1.217)/1.217,(表2_367162629303891213141516[[#This Row],[累计净值]]-1.217)/1.217)</f>
        <v>2.87592440427274E-3</v>
      </c>
    </row>
    <row r="27" spans="1:7" x14ac:dyDescent="0.2">
      <c r="A27" s="15">
        <v>43959</v>
      </c>
      <c r="B27" s="96">
        <v>1.224</v>
      </c>
      <c r="C27" s="94">
        <f>IFERROR(B27-B26,0)</f>
        <v>2.0000000000000018E-3</v>
      </c>
      <c r="D27" s="95" t="str">
        <f t="shared" si="0"/>
        <v>/</v>
      </c>
      <c r="E27" s="18">
        <f ca="1">IF(表2_367162629303891213141516[[#This Row],[累计净值]]/MAX(INDIRECT("B21:B" &amp; ROW()))-1&lt;E26,表2_367162629303891213141516[[#This Row],[累计净值]]/MAX(INDIRECT("B21:B" &amp; ROW()))-1,E26)</f>
        <v>-2.4610336341264194E-3</v>
      </c>
      <c r="F27" s="97">
        <f>表2_367162629303891213141516[[#This Row],[累计净值]]</f>
        <v>1.224</v>
      </c>
      <c r="G27" s="20">
        <f>IF(表2_367162629303891213141516[[#This Row],[累计净值]]&gt;1.217,0.7*(表2_367162629303891213141516[[#This Row],[累计净值]]-1.217)/1.217,(表2_367162629303891213141516[[#This Row],[累计净值]]-1.217)/1.217)</f>
        <v>4.0262941659818616E-3</v>
      </c>
    </row>
    <row r="28" spans="1:7" x14ac:dyDescent="0.2">
      <c r="A28" s="15">
        <v>43962</v>
      </c>
      <c r="B28" s="104">
        <v>1.226</v>
      </c>
      <c r="C28" s="101">
        <f t="shared" ref="C28:C34" si="1">IFERROR(B28-B27,0)</f>
        <v>2.0000000000000018E-3</v>
      </c>
      <c r="D28" s="102" t="str">
        <f t="shared" ref="D28:D34" si="2">IF(C28&lt;0,C28,"/")</f>
        <v>/</v>
      </c>
      <c r="E28" s="102">
        <f ca="1">IF(表2_367162629303891213141516[[#This Row],[累计净值]]/MAX(INDIRECT("B21:B" &amp; ROW()))-1&lt;E27,表2_367162629303891213141516[[#This Row],[累计净值]]/MAX(INDIRECT("B21:B" &amp; ROW()))-1,E27)</f>
        <v>-2.4610336341264194E-3</v>
      </c>
      <c r="F28" s="97">
        <f>表2_367162629303891213141516[[#This Row],[累计净值]]</f>
        <v>1.226</v>
      </c>
      <c r="G28" s="20">
        <f>IF(表2_367162629303891213141516[[#This Row],[累计净值]]&gt;1.217,0.7*(表2_367162629303891213141516[[#This Row],[累计净值]]-1.217)/1.217,(表2_367162629303891213141516[[#This Row],[累计净值]]-1.217)/1.217)</f>
        <v>5.1766639276909837E-3</v>
      </c>
    </row>
    <row r="29" spans="1:7" x14ac:dyDescent="0.2">
      <c r="A29" s="15">
        <v>43963</v>
      </c>
      <c r="B29" s="104">
        <v>1.2290000000000001</v>
      </c>
      <c r="C29" s="101">
        <f t="shared" si="1"/>
        <v>3.0000000000001137E-3</v>
      </c>
      <c r="D29" s="102" t="str">
        <f t="shared" si="2"/>
        <v>/</v>
      </c>
      <c r="E29" s="102">
        <f ca="1">IF(表2_367162629303891213141516[[#This Row],[累计净值]]/MAX(INDIRECT("B21:B" &amp; ROW()))-1&lt;E28,表2_367162629303891213141516[[#This Row],[累计净值]]/MAX(INDIRECT("B21:B" &amp; ROW()))-1,E28)</f>
        <v>-2.4610336341264194E-3</v>
      </c>
      <c r="F29" s="103">
        <f>表2_367162629303891213141516[[#This Row],[累计净值]]</f>
        <v>1.2290000000000001</v>
      </c>
      <c r="G29" s="20">
        <f>IF(表2_367162629303891213141516[[#This Row],[累计净值]]&gt;1.217,0.7*(表2_367162629303891213141516[[#This Row],[累计净值]]-1.217)/1.217,(表2_367162629303891213141516[[#This Row],[累计净值]]-1.217)/1.217)</f>
        <v>6.9022185702547296E-3</v>
      </c>
    </row>
    <row r="30" spans="1:7" x14ac:dyDescent="0.2">
      <c r="A30" s="15">
        <v>43964</v>
      </c>
      <c r="B30" s="104">
        <v>1.2290000000000001</v>
      </c>
      <c r="C30" s="101">
        <f t="shared" si="1"/>
        <v>0</v>
      </c>
      <c r="D30" s="102" t="str">
        <f t="shared" si="2"/>
        <v>/</v>
      </c>
      <c r="E30" s="102">
        <f ca="1">IF(表2_367162629303891213141516[[#This Row],[累计净值]]/MAX(INDIRECT("B21:B" &amp; ROW()))-1&lt;E29,表2_367162629303891213141516[[#This Row],[累计净值]]/MAX(INDIRECT("B21:B" &amp; ROW()))-1,E29)</f>
        <v>-2.4610336341264194E-3</v>
      </c>
      <c r="F30" s="103">
        <f>表2_367162629303891213141516[[#This Row],[累计净值]]</f>
        <v>1.2290000000000001</v>
      </c>
      <c r="G30" s="20">
        <f>IF(表2_367162629303891213141516[[#This Row],[累计净值]]&gt;1.217,0.7*(表2_367162629303891213141516[[#This Row],[累计净值]]-1.217)/1.217,(表2_367162629303891213141516[[#This Row],[累计净值]]-1.217)/1.217)</f>
        <v>6.9022185702547296E-3</v>
      </c>
    </row>
    <row r="31" spans="1:7" x14ac:dyDescent="0.2">
      <c r="A31" s="15">
        <v>43965</v>
      </c>
      <c r="B31" s="104">
        <v>1.2310000000000001</v>
      </c>
      <c r="C31" s="101">
        <f t="shared" si="1"/>
        <v>2.0000000000000018E-3</v>
      </c>
      <c r="D31" s="102" t="str">
        <f t="shared" si="2"/>
        <v>/</v>
      </c>
      <c r="E31" s="102">
        <f ca="1">IF(表2_367162629303891213141516[[#This Row],[累计净值]]/MAX(INDIRECT("B21:B" &amp; ROW()))-1&lt;E30,表2_367162629303891213141516[[#This Row],[累计净值]]/MAX(INDIRECT("B21:B" &amp; ROW()))-1,E30)</f>
        <v>-2.4610336341264194E-3</v>
      </c>
      <c r="F31" s="103">
        <f>表2_367162629303891213141516[[#This Row],[累计净值]]</f>
        <v>1.2310000000000001</v>
      </c>
      <c r="G31" s="20">
        <f>IF(表2_367162629303891213141516[[#This Row],[累计净值]]&gt;1.217,0.7*(表2_367162629303891213141516[[#This Row],[累计净值]]-1.217)/1.217,(表2_367162629303891213141516[[#This Row],[累计净值]]-1.217)/1.217)</f>
        <v>8.0525883319638517E-3</v>
      </c>
    </row>
    <row r="32" spans="1:7" x14ac:dyDescent="0.2">
      <c r="A32" s="15">
        <v>43966</v>
      </c>
      <c r="B32" s="104">
        <v>1.232</v>
      </c>
      <c r="C32" s="101">
        <f t="shared" si="1"/>
        <v>9.9999999999988987E-4</v>
      </c>
      <c r="D32" s="102" t="str">
        <f t="shared" si="2"/>
        <v>/</v>
      </c>
      <c r="E32" s="102">
        <f ca="1">IF(表2_367162629303891213141516[[#This Row],[累计净值]]/MAX(INDIRECT("B21:B" &amp; ROW()))-1&lt;E31,表2_367162629303891213141516[[#This Row],[累计净值]]/MAX(INDIRECT("B21:B" &amp; ROW()))-1,E31)</f>
        <v>-2.4610336341264194E-3</v>
      </c>
      <c r="F32" s="103">
        <f>表2_367162629303891213141516[[#This Row],[累计净值]]</f>
        <v>1.232</v>
      </c>
      <c r="G32" s="20">
        <f>IF(表2_367162629303891213141516[[#This Row],[累计净值]]&gt;1.217,0.7*(表2_367162629303891213141516[[#This Row],[累计净值]]-1.217)/1.217,(表2_367162629303891213141516[[#This Row],[累计净值]]-1.217)/1.217)</f>
        <v>8.6277732128183481E-3</v>
      </c>
    </row>
    <row r="33" spans="1:7" x14ac:dyDescent="0.2">
      <c r="A33" s="15">
        <v>43969</v>
      </c>
      <c r="B33" s="104">
        <v>1.236</v>
      </c>
      <c r="C33" s="101">
        <f t="shared" si="1"/>
        <v>4.0000000000000036E-3</v>
      </c>
      <c r="D33" s="102" t="str">
        <f t="shared" si="2"/>
        <v>/</v>
      </c>
      <c r="E33" s="102">
        <f ca="1">IF(表2_367162629303891213141516[[#This Row],[累计净值]]/MAX(INDIRECT("B21:B" &amp; ROW()))-1&lt;E32,表2_367162629303891213141516[[#This Row],[累计净值]]/MAX(INDIRECT("B21:B" &amp; ROW()))-1,E32)</f>
        <v>-2.4610336341264194E-3</v>
      </c>
      <c r="F33" s="103">
        <f>表2_367162629303891213141516[[#This Row],[累计净值]]</f>
        <v>1.236</v>
      </c>
      <c r="G33" s="20">
        <f>IF(表2_367162629303891213141516[[#This Row],[累计净值]]&gt;1.217,0.7*(表2_367162629303891213141516[[#This Row],[累计净值]]-1.217)/1.217,(表2_367162629303891213141516[[#This Row],[累计净值]]-1.217)/1.217)</f>
        <v>1.0928512736236592E-2</v>
      </c>
    </row>
    <row r="34" spans="1:7" x14ac:dyDescent="0.2">
      <c r="A34" s="15">
        <v>43970</v>
      </c>
      <c r="B34" s="104">
        <v>1.2370000000000001</v>
      </c>
      <c r="C34" s="101">
        <f t="shared" si="1"/>
        <v>1.0000000000001119E-3</v>
      </c>
      <c r="D34" s="102" t="str">
        <f t="shared" si="2"/>
        <v>/</v>
      </c>
      <c r="E34" s="102">
        <f ca="1">IF(表2_367162629303891213141516[[#This Row],[累计净值]]/MAX(INDIRECT("B21:B" &amp; ROW()))-1&lt;E33,表2_367162629303891213141516[[#This Row],[累计净值]]/MAX(INDIRECT("B21:B" &amp; ROW()))-1,E33)</f>
        <v>-2.4610336341264194E-3</v>
      </c>
      <c r="F34" s="103">
        <f>表2_367162629303891213141516[[#This Row],[累计净值]]</f>
        <v>1.2370000000000001</v>
      </c>
      <c r="G34" s="20">
        <f>IF(表2_367162629303891213141516[[#This Row],[累计净值]]&gt;1.217,0.7*(表2_367162629303891213141516[[#This Row],[累计净值]]-1.217)/1.217,(表2_367162629303891213141516[[#This Row],[累计净值]]-1.217)/1.217)</f>
        <v>1.1503697617091215E-2</v>
      </c>
    </row>
    <row r="35" spans="1:7" x14ac:dyDescent="0.2">
      <c r="A35" s="15">
        <v>43971</v>
      </c>
      <c r="B35" s="104">
        <v>1.24</v>
      </c>
      <c r="C35" s="101">
        <f t="shared" ref="C35:C40" si="3">IFERROR(B35-B34,0)</f>
        <v>2.9999999999998916E-3</v>
      </c>
      <c r="D35" s="102" t="str">
        <f t="shared" ref="D35:D40" si="4">IF(C35&lt;0,C35,"/")</f>
        <v>/</v>
      </c>
      <c r="E35" s="102">
        <f ca="1">IF(表2_367162629303891213141516[[#This Row],[累计净值]]/MAX(INDIRECT("B21:B" &amp; ROW()))-1&lt;E34,表2_367162629303891213141516[[#This Row],[累计净值]]/MAX(INDIRECT("B21:B" &amp; ROW()))-1,E34)</f>
        <v>-2.4610336341264194E-3</v>
      </c>
      <c r="F35" s="103">
        <f>表2_367162629303891213141516[[#This Row],[累计净值]]</f>
        <v>1.24</v>
      </c>
      <c r="G35" s="20">
        <f>IF(表2_367162629303891213141516[[#This Row],[累计净值]]&gt;1.217,0.7*(表2_367162629303891213141516[[#This Row],[累计净值]]-1.217)/1.217,(表2_367162629303891213141516[[#This Row],[累计净值]]-1.217)/1.217)</f>
        <v>1.3229252259654836E-2</v>
      </c>
    </row>
    <row r="36" spans="1:7" x14ac:dyDescent="0.2">
      <c r="A36" s="15">
        <v>43972</v>
      </c>
      <c r="B36" s="104">
        <v>1.24</v>
      </c>
      <c r="C36" s="101">
        <f t="shared" si="3"/>
        <v>0</v>
      </c>
      <c r="D36" s="102" t="str">
        <f t="shared" si="4"/>
        <v>/</v>
      </c>
      <c r="E36" s="102">
        <f ca="1">IF(表2_367162629303891213141516[[#This Row],[累计净值]]/MAX(INDIRECT("B21:B" &amp; ROW()))-1&lt;E35,表2_367162629303891213141516[[#This Row],[累计净值]]/MAX(INDIRECT("B21:B" &amp; ROW()))-1,E35)</f>
        <v>-2.4610336341264194E-3</v>
      </c>
      <c r="F36" s="103">
        <f>表2_367162629303891213141516[[#This Row],[累计净值]]</f>
        <v>1.24</v>
      </c>
      <c r="G36" s="20">
        <f>IF(表2_367162629303891213141516[[#This Row],[累计净值]]&gt;1.217,0.7*(表2_367162629303891213141516[[#This Row],[累计净值]]-1.217)/1.217,(表2_367162629303891213141516[[#This Row],[累计净值]]-1.217)/1.217)</f>
        <v>1.3229252259654836E-2</v>
      </c>
    </row>
    <row r="37" spans="1:7" x14ac:dyDescent="0.2">
      <c r="A37" s="15">
        <v>43973</v>
      </c>
      <c r="B37" s="112">
        <v>1.242</v>
      </c>
      <c r="C37" s="108">
        <f t="shared" si="3"/>
        <v>2.0000000000000018E-3</v>
      </c>
      <c r="D37" s="109" t="str">
        <f t="shared" si="4"/>
        <v>/</v>
      </c>
      <c r="E37" s="109">
        <f ca="1">IF(表2_367162629303891213141516[[#This Row],[累计净值]]/MAX(INDIRECT("B21:B" &amp; ROW()))-1&lt;E36,表2_367162629303891213141516[[#This Row],[累计净值]]/MAX(INDIRECT("B21:B" &amp; ROW()))-1,E36)</f>
        <v>-2.4610336341264194E-3</v>
      </c>
      <c r="F37" s="110">
        <f>表2_367162629303891213141516[[#This Row],[累计净值]]</f>
        <v>1.242</v>
      </c>
      <c r="G37" s="20">
        <f>IF(表2_367162629303891213141516[[#This Row],[累计净值]]&gt;1.217,0.7*(表2_367162629303891213141516[[#This Row],[累计净值]]-1.217)/1.217,(表2_367162629303891213141516[[#This Row],[累计净值]]-1.217)/1.217)</f>
        <v>1.4379622021363956E-2</v>
      </c>
    </row>
    <row r="38" spans="1:7" x14ac:dyDescent="0.2">
      <c r="A38" s="15">
        <v>43976</v>
      </c>
      <c r="B38" s="112">
        <v>1.2430000000000001</v>
      </c>
      <c r="C38" s="108">
        <f t="shared" si="3"/>
        <v>1.0000000000001119E-3</v>
      </c>
      <c r="D38" s="109" t="str">
        <f t="shared" si="4"/>
        <v>/</v>
      </c>
      <c r="E38" s="109">
        <f ca="1">IF(表2_367162629303891213141516[[#This Row],[累计净值]]/MAX(INDIRECT("B21:B" &amp; ROW()))-1&lt;E37,表2_367162629303891213141516[[#This Row],[累计净值]]/MAX(INDIRECT("B21:B" &amp; ROW()))-1,E37)</f>
        <v>-2.4610336341264194E-3</v>
      </c>
      <c r="F38" s="110">
        <f>表2_367162629303891213141516[[#This Row],[累计净值]]</f>
        <v>1.2430000000000001</v>
      </c>
      <c r="G38" s="20">
        <f>IF(表2_367162629303891213141516[[#This Row],[累计净值]]&gt;1.217,0.7*(表2_367162629303891213141516[[#This Row],[累计净值]]-1.217)/1.217,(表2_367162629303891213141516[[#This Row],[累计净值]]-1.217)/1.217)</f>
        <v>1.4954806902218582E-2</v>
      </c>
    </row>
    <row r="39" spans="1:7" x14ac:dyDescent="0.2">
      <c r="A39" s="15">
        <v>43977</v>
      </c>
      <c r="B39" s="117">
        <v>1.246</v>
      </c>
      <c r="C39" s="108">
        <f t="shared" si="3"/>
        <v>2.9999999999998916E-3</v>
      </c>
      <c r="D39" s="109" t="str">
        <f t="shared" si="4"/>
        <v>/</v>
      </c>
      <c r="E39" s="109">
        <f ca="1">IF(表2_367162629303891213141516[[#This Row],[累计净值]]/MAX(INDIRECT("B21:B" &amp; ROW()))-1&lt;E38,表2_367162629303891213141516[[#This Row],[累计净值]]/MAX(INDIRECT("B21:B" &amp; ROW()))-1,E38)</f>
        <v>-2.4610336341264194E-3</v>
      </c>
      <c r="F39" s="110">
        <f>表2_367162629303891213141516[[#This Row],[累计净值]]</f>
        <v>1.246</v>
      </c>
      <c r="G39" s="20">
        <f>IF(表2_367162629303891213141516[[#This Row],[累计净值]]&gt;1.217,0.7*(表2_367162629303891213141516[[#This Row],[累计净值]]-1.217)/1.217,(表2_367162629303891213141516[[#This Row],[累计净值]]-1.217)/1.217)</f>
        <v>1.66803615447822E-2</v>
      </c>
    </row>
    <row r="40" spans="1:7" x14ac:dyDescent="0.2">
      <c r="A40" s="15">
        <v>43978</v>
      </c>
      <c r="B40" s="112">
        <v>1.244</v>
      </c>
      <c r="C40" s="108">
        <f t="shared" si="3"/>
        <v>-2.0000000000000018E-3</v>
      </c>
      <c r="D40" s="109">
        <f t="shared" si="4"/>
        <v>-2.0000000000000018E-3</v>
      </c>
      <c r="E40" s="109">
        <f ca="1">IF(表2_367162629303891213141516[[#This Row],[累计净值]]/MAX(INDIRECT("B21:B" &amp; ROW()))-1&lt;E39,表2_367162629303891213141516[[#This Row],[累计净值]]/MAX(INDIRECT("B21:B" &amp; ROW()))-1,E39)</f>
        <v>-2.4610336341264194E-3</v>
      </c>
      <c r="F40" s="110">
        <f>表2_367162629303891213141516[[#This Row],[累计净值]]</f>
        <v>1.244</v>
      </c>
      <c r="G40" s="20">
        <f>IF(表2_367162629303891213141516[[#This Row],[累计净值]]&gt;1.217,0.7*(表2_367162629303891213141516[[#This Row],[累计净值]]-1.217)/1.217,(表2_367162629303891213141516[[#This Row],[累计净值]]-1.217)/1.217)</f>
        <v>1.5529991783073079E-2</v>
      </c>
    </row>
    <row r="41" spans="1:7" x14ac:dyDescent="0.2">
      <c r="A41" s="15">
        <v>43979</v>
      </c>
      <c r="B41" s="112">
        <v>1.2450000000000001</v>
      </c>
      <c r="C41" s="108">
        <f t="shared" ref="C41:C46" si="5">IFERROR(B41-B40,0)</f>
        <v>1.0000000000001119E-3</v>
      </c>
      <c r="D41" s="109" t="str">
        <f t="shared" ref="D41:D46" si="6">IF(C41&lt;0,C41,"/")</f>
        <v>/</v>
      </c>
      <c r="E41" s="109">
        <f ca="1">IF(表2_367162629303891213141516[[#This Row],[累计净值]]/MAX(INDIRECT("B21:B" &amp; ROW()))-1&lt;E40,表2_367162629303891213141516[[#This Row],[累计净值]]/MAX(INDIRECT("B21:B" &amp; ROW()))-1,E40)</f>
        <v>-2.4610336341264194E-3</v>
      </c>
      <c r="F41" s="110">
        <f>表2_367162629303891213141516[[#This Row],[累计净值]]</f>
        <v>1.2450000000000001</v>
      </c>
      <c r="G41" s="20">
        <f>IF(表2_367162629303891213141516[[#This Row],[累计净值]]&gt;1.217,0.7*(表2_367162629303891213141516[[#This Row],[累计净值]]-1.217)/1.217,(表2_367162629303891213141516[[#This Row],[累计净值]]-1.217)/1.217)</f>
        <v>1.6105176663927703E-2</v>
      </c>
    </row>
    <row r="42" spans="1:7" x14ac:dyDescent="0.2">
      <c r="A42" s="15">
        <v>43980</v>
      </c>
      <c r="B42" s="112">
        <v>1.246</v>
      </c>
      <c r="C42" s="108">
        <f t="shared" si="5"/>
        <v>9.9999999999988987E-4</v>
      </c>
      <c r="D42" s="109" t="str">
        <f t="shared" si="6"/>
        <v>/</v>
      </c>
      <c r="E42" s="109">
        <f ca="1">IF(表2_367162629303891213141516[[#This Row],[累计净值]]/MAX(INDIRECT("B21:B" &amp; ROW()))-1&lt;E41,表2_367162629303891213141516[[#This Row],[累计净值]]/MAX(INDIRECT("B21:B" &amp; ROW()))-1,E41)</f>
        <v>-2.4610336341264194E-3</v>
      </c>
      <c r="F42" s="110">
        <f>表2_367162629303891213141516[[#This Row],[累计净值]]</f>
        <v>1.246</v>
      </c>
      <c r="G42" s="20">
        <f>IF(表2_367162629303891213141516[[#This Row],[累计净值]]&gt;1.217,0.7*(表2_367162629303891213141516[[#This Row],[累计净值]]-1.217)/1.217,(表2_367162629303891213141516[[#This Row],[累计净值]]-1.217)/1.217)</f>
        <v>1.66803615447822E-2</v>
      </c>
    </row>
    <row r="43" spans="1:7" x14ac:dyDescent="0.2">
      <c r="A43" s="15">
        <v>43983</v>
      </c>
      <c r="B43" s="112">
        <v>1.252</v>
      </c>
      <c r="C43" s="108">
        <f t="shared" si="5"/>
        <v>6.0000000000000053E-3</v>
      </c>
      <c r="D43" s="109" t="str">
        <f t="shared" si="6"/>
        <v>/</v>
      </c>
      <c r="E43" s="109">
        <f ca="1">IF(表2_367162629303891213141516[[#This Row],[累计净值]]/MAX(INDIRECT("B21:B" &amp; ROW()))-1&lt;E42,表2_367162629303891213141516[[#This Row],[累计净值]]/MAX(INDIRECT("B21:B" &amp; ROW()))-1,E42)</f>
        <v>-2.4610336341264194E-3</v>
      </c>
      <c r="F43" s="110">
        <f>表2_367162629303891213141516[[#This Row],[累计净值]]</f>
        <v>1.252</v>
      </c>
      <c r="G43" s="20">
        <f>IF(表2_367162629303891213141516[[#This Row],[累计净值]]&gt;1.217,0.7*(表2_367162629303891213141516[[#This Row],[累计净值]]-1.217)/1.217,(表2_367162629303891213141516[[#This Row],[累计净值]]-1.217)/1.217)</f>
        <v>2.0131470829909563E-2</v>
      </c>
    </row>
    <row r="44" spans="1:7" x14ac:dyDescent="0.2">
      <c r="A44" s="15">
        <v>43984</v>
      </c>
      <c r="B44" s="112">
        <v>1.256</v>
      </c>
      <c r="C44" s="108">
        <f t="shared" si="5"/>
        <v>4.0000000000000036E-3</v>
      </c>
      <c r="D44" s="109" t="str">
        <f t="shared" si="6"/>
        <v>/</v>
      </c>
      <c r="E44" s="109">
        <f ca="1">IF(表2_367162629303891213141516[[#This Row],[累计净值]]/MAX(INDIRECT("B21:B" &amp; ROW()))-1&lt;E43,表2_367162629303891213141516[[#This Row],[累计净值]]/MAX(INDIRECT("B21:B" &amp; ROW()))-1,E43)</f>
        <v>-2.4610336341264194E-3</v>
      </c>
      <c r="F44" s="110">
        <f>表2_367162629303891213141516[[#This Row],[累计净值]]</f>
        <v>1.256</v>
      </c>
      <c r="G44" s="20">
        <f>IF(表2_367162629303891213141516[[#This Row],[累计净值]]&gt;1.217,0.7*(表2_367162629303891213141516[[#This Row],[累计净值]]-1.217)/1.217,(表2_367162629303891213141516[[#This Row],[累计净值]]-1.217)/1.217)</f>
        <v>2.2432210353327809E-2</v>
      </c>
    </row>
    <row r="45" spans="1:7" x14ac:dyDescent="0.2">
      <c r="A45" s="15">
        <v>43985</v>
      </c>
      <c r="B45" s="112">
        <v>1.2569999999999999</v>
      </c>
      <c r="C45" s="108">
        <f t="shared" si="5"/>
        <v>9.9999999999988987E-4</v>
      </c>
      <c r="D45" s="109" t="str">
        <f t="shared" si="6"/>
        <v>/</v>
      </c>
      <c r="E45" s="109">
        <f ca="1">IF(表2_367162629303891213141516[[#This Row],[累计净值]]/MAX(INDIRECT("B21:B" &amp; ROW()))-1&lt;E44,表2_367162629303891213141516[[#This Row],[累计净值]]/MAX(INDIRECT("B21:B" &amp; ROW()))-1,E44)</f>
        <v>-2.4610336341264194E-3</v>
      </c>
      <c r="F45" s="110">
        <f>表2_367162629303891213141516[[#This Row],[累计净值]]</f>
        <v>1.2569999999999999</v>
      </c>
      <c r="G45" s="20">
        <f>IF(表2_367162629303891213141516[[#This Row],[累计净值]]&gt;1.217,0.7*(表2_367162629303891213141516[[#This Row],[累计净值]]-1.217)/1.217,(表2_367162629303891213141516[[#This Row],[累计净值]]-1.217)/1.217)</f>
        <v>2.3007395234182305E-2</v>
      </c>
    </row>
    <row r="46" spans="1:7" x14ac:dyDescent="0.2">
      <c r="A46" s="15">
        <v>43986</v>
      </c>
      <c r="B46" s="112">
        <v>1.2569999999999999</v>
      </c>
      <c r="C46" s="108">
        <f t="shared" si="5"/>
        <v>0</v>
      </c>
      <c r="D46" s="109" t="str">
        <f t="shared" si="6"/>
        <v>/</v>
      </c>
      <c r="E46" s="109">
        <f ca="1">IF(表2_367162629303891213141516[[#This Row],[累计净值]]/MAX(INDIRECT("B21:B" &amp; ROW()))-1&lt;E45,表2_367162629303891213141516[[#This Row],[累计净值]]/MAX(INDIRECT("B21:B" &amp; ROW()))-1,E45)</f>
        <v>-2.4610336341264194E-3</v>
      </c>
      <c r="F46" s="110">
        <f>表2_367162629303891213141516[[#This Row],[累计净值]]</f>
        <v>1.2569999999999999</v>
      </c>
      <c r="G46" s="20">
        <f>IF(表2_367162629303891213141516[[#This Row],[累计净值]]&gt;1.217,0.7*(表2_367162629303891213141516[[#This Row],[累计净值]]-1.217)/1.217,(表2_367162629303891213141516[[#This Row],[累计净值]]-1.217)/1.217)</f>
        <v>2.3007395234182305E-2</v>
      </c>
    </row>
    <row r="47" spans="1:7" x14ac:dyDescent="0.2">
      <c r="A47" s="15">
        <v>43987</v>
      </c>
      <c r="B47" s="112">
        <v>1.258</v>
      </c>
      <c r="C47" s="108">
        <f t="shared" ref="C47:C52" si="7">IFERROR(B47-B46,0)</f>
        <v>1.0000000000001119E-3</v>
      </c>
      <c r="D47" s="109" t="str">
        <f t="shared" ref="D47:D52" si="8">IF(C47&lt;0,C47,"/")</f>
        <v>/</v>
      </c>
      <c r="E47" s="109">
        <f ca="1">IF(表2_367162629303891213141516[[#This Row],[累计净值]]/MAX(INDIRECT("B21:B" &amp; ROW()))-1&lt;E46,表2_367162629303891213141516[[#This Row],[累计净值]]/MAX(INDIRECT("B21:B" &amp; ROW()))-1,E46)</f>
        <v>-2.4610336341264194E-3</v>
      </c>
      <c r="F47" s="110">
        <f>表2_367162629303891213141516[[#This Row],[累计净值]]</f>
        <v>1.258</v>
      </c>
      <c r="G47" s="20">
        <f>IF(表2_367162629303891213141516[[#This Row],[累计净值]]&gt;1.217,0.7*(表2_367162629303891213141516[[#This Row],[累计净值]]-1.217)/1.217,(表2_367162629303891213141516[[#This Row],[累计净值]]-1.217)/1.217)</f>
        <v>2.358258011503693E-2</v>
      </c>
    </row>
    <row r="48" spans="1:7" x14ac:dyDescent="0.2">
      <c r="A48" s="15">
        <v>43990</v>
      </c>
      <c r="B48" s="112">
        <v>1.26</v>
      </c>
      <c r="C48" s="108">
        <f t="shared" si="7"/>
        <v>2.0000000000000018E-3</v>
      </c>
      <c r="D48" s="109" t="str">
        <f t="shared" si="8"/>
        <v>/</v>
      </c>
      <c r="E48" s="109">
        <f ca="1">IF(表2_367162629303891213141516[[#This Row],[累计净值]]/MAX(INDIRECT("B21:B" &amp; ROW()))-1&lt;E47,表2_367162629303891213141516[[#This Row],[累计净值]]/MAX(INDIRECT("B21:B" &amp; ROW()))-1,E47)</f>
        <v>-2.4610336341264194E-3</v>
      </c>
      <c r="F48" s="110">
        <f>表2_367162629303891213141516[[#This Row],[累计净值]]</f>
        <v>1.26</v>
      </c>
      <c r="G48" s="20">
        <f>IF(表2_367162629303891213141516[[#This Row],[累计净值]]&gt;1.217,0.7*(表2_367162629303891213141516[[#This Row],[累计净值]]-1.217)/1.217,(表2_367162629303891213141516[[#This Row],[累计净值]]-1.217)/1.217)</f>
        <v>2.4732949876746051E-2</v>
      </c>
    </row>
    <row r="49" spans="1:7" x14ac:dyDescent="0.2">
      <c r="A49" s="15">
        <v>43991</v>
      </c>
      <c r="B49" s="112">
        <v>1.262</v>
      </c>
      <c r="C49" s="108">
        <f t="shared" si="7"/>
        <v>2.0000000000000018E-3</v>
      </c>
      <c r="D49" s="109" t="str">
        <f t="shared" si="8"/>
        <v>/</v>
      </c>
      <c r="E49" s="109">
        <f ca="1">IF(表2_367162629303891213141516[[#This Row],[累计净值]]/MAX(INDIRECT("B21:B" &amp; ROW()))-1&lt;E48,表2_367162629303891213141516[[#This Row],[累计净值]]/MAX(INDIRECT("B21:B" &amp; ROW()))-1,E48)</f>
        <v>-2.4610336341264194E-3</v>
      </c>
      <c r="F49" s="110">
        <f>表2_367162629303891213141516[[#This Row],[累计净值]]</f>
        <v>1.262</v>
      </c>
      <c r="G49" s="20">
        <f>IF(表2_367162629303891213141516[[#This Row],[累计净值]]&gt;1.217,0.7*(表2_367162629303891213141516[[#This Row],[累计净值]]-1.217)/1.217,(表2_367162629303891213141516[[#This Row],[累计净值]]-1.217)/1.217)</f>
        <v>2.5883319638455176E-2</v>
      </c>
    </row>
    <row r="50" spans="1:7" x14ac:dyDescent="0.2">
      <c r="A50" s="15">
        <v>43992</v>
      </c>
      <c r="B50" s="112">
        <v>1.2629999999999999</v>
      </c>
      <c r="C50" s="108">
        <f t="shared" si="7"/>
        <v>9.9999999999988987E-4</v>
      </c>
      <c r="D50" s="109" t="str">
        <f t="shared" si="8"/>
        <v>/</v>
      </c>
      <c r="E50" s="109">
        <f ca="1">IF(表2_367162629303891213141516[[#This Row],[累计净值]]/MAX(INDIRECT("B21:B" &amp; ROW()))-1&lt;E49,表2_367162629303891213141516[[#This Row],[累计净值]]/MAX(INDIRECT("B21:B" &amp; ROW()))-1,E49)</f>
        <v>-2.4610336341264194E-3</v>
      </c>
      <c r="F50" s="110">
        <f>表2_367162629303891213141516[[#This Row],[累计净值]]</f>
        <v>1.2629999999999999</v>
      </c>
      <c r="G50" s="20">
        <f>IF(表2_367162629303891213141516[[#This Row],[累计净值]]&gt;1.217,0.7*(表2_367162629303891213141516[[#This Row],[累计净值]]-1.217)/1.217,(表2_367162629303891213141516[[#This Row],[累计净值]]-1.217)/1.217)</f>
        <v>2.6458504519309672E-2</v>
      </c>
    </row>
    <row r="51" spans="1:7" x14ac:dyDescent="0.2">
      <c r="A51" s="15">
        <v>43993</v>
      </c>
      <c r="B51" s="112">
        <v>1.262</v>
      </c>
      <c r="C51" s="108">
        <f t="shared" si="7"/>
        <v>-9.9999999999988987E-4</v>
      </c>
      <c r="D51" s="109">
        <f t="shared" si="8"/>
        <v>-9.9999999999988987E-4</v>
      </c>
      <c r="E51" s="109">
        <f ca="1">IF(表2_367162629303891213141516[[#This Row],[累计净值]]/MAX(INDIRECT("B21:B" &amp; ROW()))-1&lt;E50,表2_367162629303891213141516[[#This Row],[累计净值]]/MAX(INDIRECT("B21:B" &amp; ROW()))-1,E50)</f>
        <v>-2.4610336341264194E-3</v>
      </c>
      <c r="F51" s="110">
        <f>表2_367162629303891213141516[[#This Row],[累计净值]]</f>
        <v>1.262</v>
      </c>
      <c r="G51" s="20">
        <f>IF(表2_367162629303891213141516[[#This Row],[累计净值]]&gt;1.217,0.7*(表2_367162629303891213141516[[#This Row],[累计净值]]-1.217)/1.217,(表2_367162629303891213141516[[#This Row],[累计净值]]-1.217)/1.217)</f>
        <v>2.5883319638455176E-2</v>
      </c>
    </row>
    <row r="52" spans="1:7" x14ac:dyDescent="0.2">
      <c r="A52" s="15">
        <v>43994</v>
      </c>
      <c r="B52" s="112">
        <v>1.262</v>
      </c>
      <c r="C52" s="108">
        <f t="shared" si="7"/>
        <v>0</v>
      </c>
      <c r="D52" s="109" t="str">
        <f t="shared" si="8"/>
        <v>/</v>
      </c>
      <c r="E52" s="109">
        <f ca="1">IF(表2_367162629303891213141516[[#This Row],[累计净值]]/MAX(INDIRECT("B21:B" &amp; ROW()))-1&lt;E51,表2_367162629303891213141516[[#This Row],[累计净值]]/MAX(INDIRECT("B21:B" &amp; ROW()))-1,E51)</f>
        <v>-2.4610336341264194E-3</v>
      </c>
      <c r="F52" s="110">
        <f>表2_367162629303891213141516[[#This Row],[累计净值]]</f>
        <v>1.262</v>
      </c>
      <c r="G52" s="20">
        <f>IF(表2_367162629303891213141516[[#This Row],[累计净值]]&gt;1.217,0.7*(表2_367162629303891213141516[[#This Row],[累计净值]]-1.217)/1.217,(表2_367162629303891213141516[[#This Row],[累计净值]]-1.217)/1.217)</f>
        <v>2.5883319638455176E-2</v>
      </c>
    </row>
    <row r="53" spans="1:7" x14ac:dyDescent="0.2">
      <c r="A53" s="15">
        <v>43997</v>
      </c>
      <c r="B53" s="112">
        <v>1.2649999999999999</v>
      </c>
      <c r="C53" s="108">
        <f t="shared" ref="C53:C58" si="9">IFERROR(B53-B52,0)</f>
        <v>2.9999999999998916E-3</v>
      </c>
      <c r="D53" s="109" t="str">
        <f t="shared" ref="D53:D58" si="10">IF(C53&lt;0,C53,"/")</f>
        <v>/</v>
      </c>
      <c r="E53" s="109">
        <f ca="1">IF(表2_367162629303891213141516[[#This Row],[累计净值]]/MAX(INDIRECT("B21:B" &amp; ROW()))-1&lt;E52,表2_367162629303891213141516[[#This Row],[累计净值]]/MAX(INDIRECT("B21:B" &amp; ROW()))-1,E52)</f>
        <v>-2.4610336341264194E-3</v>
      </c>
      <c r="F53" s="110">
        <f>表2_367162629303891213141516[[#This Row],[累计净值]]</f>
        <v>1.2649999999999999</v>
      </c>
      <c r="G53" s="20">
        <f>IF(表2_367162629303891213141516[[#This Row],[累计净值]]&gt;1.217,0.7*(表2_367162629303891213141516[[#This Row],[累计净值]]-1.217)/1.217,(表2_367162629303891213141516[[#This Row],[累计净值]]-1.217)/1.217)</f>
        <v>2.7608874281018794E-2</v>
      </c>
    </row>
    <row r="54" spans="1:7" x14ac:dyDescent="0.2">
      <c r="A54" s="15">
        <v>43998</v>
      </c>
      <c r="B54" s="112">
        <v>1.2669999999999999</v>
      </c>
      <c r="C54" s="108">
        <f t="shared" si="9"/>
        <v>2.0000000000000018E-3</v>
      </c>
      <c r="D54" s="109" t="str">
        <f t="shared" si="10"/>
        <v>/</v>
      </c>
      <c r="E54" s="109">
        <f ca="1">IF(表2_367162629303891213141516[[#This Row],[累计净值]]/MAX(INDIRECT("B21:B" &amp; ROW()))-1&lt;E53,表2_367162629303891213141516[[#This Row],[累计净值]]/MAX(INDIRECT("B21:B" &amp; ROW()))-1,E53)</f>
        <v>-2.4610336341264194E-3</v>
      </c>
      <c r="F54" s="110">
        <f>表2_367162629303891213141516[[#This Row],[累计净值]]</f>
        <v>1.2669999999999999</v>
      </c>
      <c r="G54" s="20">
        <f>IF(表2_367162629303891213141516[[#This Row],[累计净值]]&gt;1.217,0.7*(表2_367162629303891213141516[[#This Row],[累计净值]]-1.217)/1.217,(表2_367162629303891213141516[[#This Row],[累计净值]]-1.217)/1.217)</f>
        <v>2.8759244042727911E-2</v>
      </c>
    </row>
    <row r="55" spans="1:7" x14ac:dyDescent="0.2">
      <c r="A55" s="15">
        <v>43999</v>
      </c>
      <c r="B55" s="112">
        <v>1.266</v>
      </c>
      <c r="C55" s="108">
        <f t="shared" si="9"/>
        <v>-9.9999999999988987E-4</v>
      </c>
      <c r="D55" s="109">
        <f t="shared" si="10"/>
        <v>-9.9999999999988987E-4</v>
      </c>
      <c r="E55" s="109">
        <f ca="1">IF(表2_367162629303891213141516[[#This Row],[累计净值]]/MAX(INDIRECT("B21:B" &amp; ROW()))-1&lt;E54,表2_367162629303891213141516[[#This Row],[累计净值]]/MAX(INDIRECT("B21:B" &amp; ROW()))-1,E54)</f>
        <v>-2.4610336341264194E-3</v>
      </c>
      <c r="F55" s="110">
        <f>表2_367162629303891213141516[[#This Row],[累计净值]]</f>
        <v>1.266</v>
      </c>
      <c r="G55" s="20">
        <f>IF(表2_367162629303891213141516[[#This Row],[累计净值]]&gt;1.217,0.7*(表2_367162629303891213141516[[#This Row],[累计净值]]-1.217)/1.217,(表2_367162629303891213141516[[#This Row],[累计净值]]-1.217)/1.217)</f>
        <v>2.8184059161873415E-2</v>
      </c>
    </row>
    <row r="56" spans="1:7" x14ac:dyDescent="0.2">
      <c r="A56" s="15">
        <v>44000</v>
      </c>
      <c r="B56" s="112">
        <v>1.272</v>
      </c>
      <c r="C56" s="108">
        <f t="shared" si="9"/>
        <v>6.0000000000000053E-3</v>
      </c>
      <c r="D56" s="109" t="str">
        <f t="shared" si="10"/>
        <v>/</v>
      </c>
      <c r="E56" s="109">
        <f ca="1">IF(表2_367162629303891213141516[[#This Row],[累计净值]]/MAX(INDIRECT("B21:B" &amp; ROW()))-1&lt;E55,表2_367162629303891213141516[[#This Row],[累计净值]]/MAX(INDIRECT("B21:B" &amp; ROW()))-1,E55)</f>
        <v>-2.4610336341264194E-3</v>
      </c>
      <c r="F56" s="110">
        <f>表2_367162629303891213141516[[#This Row],[累计净值]]</f>
        <v>1.272</v>
      </c>
      <c r="G56" s="20">
        <f>IF(表2_367162629303891213141516[[#This Row],[累计净值]]&gt;1.217,0.7*(表2_367162629303891213141516[[#This Row],[累计净值]]-1.217)/1.217,(表2_367162629303891213141516[[#This Row],[累计净值]]-1.217)/1.217)</f>
        <v>3.1635168447000782E-2</v>
      </c>
    </row>
    <row r="57" spans="1:7" x14ac:dyDescent="0.2">
      <c r="A57" s="15">
        <v>44001</v>
      </c>
      <c r="B57" s="112">
        <v>1.2709999999999999</v>
      </c>
      <c r="C57" s="108">
        <f t="shared" si="9"/>
        <v>-1.0000000000001119E-3</v>
      </c>
      <c r="D57" s="109">
        <f t="shared" si="10"/>
        <v>-1.0000000000001119E-3</v>
      </c>
      <c r="E57" s="109">
        <f ca="1">IF(表2_367162629303891213141516[[#This Row],[累计净值]]/MAX(INDIRECT("B21:B" &amp; ROW()))-1&lt;E56,表2_367162629303891213141516[[#This Row],[累计净值]]/MAX(INDIRECT("B21:B" &amp; ROW()))-1,E56)</f>
        <v>-2.4610336341264194E-3</v>
      </c>
      <c r="F57" s="110">
        <f>表2_367162629303891213141516[[#This Row],[累计净值]]</f>
        <v>1.2709999999999999</v>
      </c>
      <c r="G57" s="20">
        <f>IF(表2_367162629303891213141516[[#This Row],[累计净值]]&gt;1.217,0.7*(表2_367162629303891213141516[[#This Row],[累计净值]]-1.217)/1.217,(表2_367162629303891213141516[[#This Row],[累计净值]]-1.217)/1.217)</f>
        <v>3.1059983566146157E-2</v>
      </c>
    </row>
    <row r="58" spans="1:7" x14ac:dyDescent="0.2">
      <c r="A58" s="15">
        <v>44004</v>
      </c>
      <c r="B58" s="117">
        <v>1.274</v>
      </c>
      <c r="C58" s="108">
        <f t="shared" si="9"/>
        <v>3.0000000000001137E-3</v>
      </c>
      <c r="D58" s="109" t="str">
        <f t="shared" si="10"/>
        <v>/</v>
      </c>
      <c r="E58" s="109">
        <f ca="1">IF(表2_367162629303891213141516[[#This Row],[累计净值]]/MAX(INDIRECT("B21:B" &amp; ROW()))-1&lt;E57,表2_367162629303891213141516[[#This Row],[累计净值]]/MAX(INDIRECT("B21:B" &amp; ROW()))-1,E57)</f>
        <v>-2.4610336341264194E-3</v>
      </c>
      <c r="F58" s="110">
        <f>表2_367162629303891213141516[[#This Row],[累计净值]]</f>
        <v>1.274</v>
      </c>
      <c r="G58" s="20">
        <f>IF(表2_367162629303891213141516[[#This Row],[累计净值]]&gt;1.217,0.7*(表2_367162629303891213141516[[#This Row],[累计净值]]-1.217)/1.217,(表2_367162629303891213141516[[#This Row],[累计净值]]-1.217)/1.217)</f>
        <v>3.2785538208709906E-2</v>
      </c>
    </row>
    <row r="59" spans="1:7" x14ac:dyDescent="0.2">
      <c r="A59" s="15">
        <v>44005</v>
      </c>
      <c r="B59" s="112">
        <v>1.2729999999999999</v>
      </c>
      <c r="C59" s="108">
        <f t="shared" ref="C59:C65" si="11">IFERROR(B59-B58,0)</f>
        <v>-1.0000000000001119E-3</v>
      </c>
      <c r="D59" s="109">
        <f t="shared" ref="D59:D65" si="12">IF(C59&lt;0,C59,"/")</f>
        <v>-1.0000000000001119E-3</v>
      </c>
      <c r="E59" s="109">
        <f ca="1">IF(表2_367162629303891213141516[[#This Row],[累计净值]]/MAX(INDIRECT("B21:B" &amp; ROW()))-1&lt;E58,表2_367162629303891213141516[[#This Row],[累计净值]]/MAX(INDIRECT("B21:B" &amp; ROW()))-1,E58)</f>
        <v>-2.4610336341264194E-3</v>
      </c>
      <c r="F59" s="110">
        <f>表2_367162629303891213141516[[#This Row],[累计净值]]</f>
        <v>1.2729999999999999</v>
      </c>
      <c r="G59" s="20">
        <f>IF(表2_367162629303891213141516[[#This Row],[累计净值]]&gt;1.217,0.7*(表2_367162629303891213141516[[#This Row],[累计净值]]-1.217)/1.217,(表2_367162629303891213141516[[#This Row],[累计净值]]-1.217)/1.217)</f>
        <v>3.2210353327855275E-2</v>
      </c>
    </row>
    <row r="60" spans="1:7" x14ac:dyDescent="0.2">
      <c r="A60" s="15">
        <v>44006</v>
      </c>
      <c r="B60" s="112">
        <v>1.276</v>
      </c>
      <c r="C60" s="108">
        <f t="shared" si="11"/>
        <v>3.0000000000001137E-3</v>
      </c>
      <c r="D60" s="109" t="str">
        <f t="shared" si="12"/>
        <v>/</v>
      </c>
      <c r="E60" s="109">
        <f ca="1">IF(表2_367162629303891213141516[[#This Row],[累计净值]]/MAX(INDIRECT("B21:B" &amp; ROW()))-1&lt;E59,表2_367162629303891213141516[[#This Row],[累计净值]]/MAX(INDIRECT("B21:B" &amp; ROW()))-1,E59)</f>
        <v>-2.4610336341264194E-3</v>
      </c>
      <c r="F60" s="110">
        <f>表2_367162629303891213141516[[#This Row],[累计净值]]</f>
        <v>1.276</v>
      </c>
      <c r="G60" s="20">
        <f>IF(表2_367162629303891213141516[[#This Row],[累计净值]]&gt;1.217,0.7*(表2_367162629303891213141516[[#This Row],[累计净值]]-1.217)/1.217,(表2_367162629303891213141516[[#This Row],[累计净值]]-1.217)/1.217)</f>
        <v>3.3935907970419024E-2</v>
      </c>
    </row>
    <row r="61" spans="1:7" x14ac:dyDescent="0.2">
      <c r="A61" s="15">
        <v>44011</v>
      </c>
      <c r="B61" s="112">
        <v>1.286</v>
      </c>
      <c r="C61" s="108">
        <f t="shared" si="11"/>
        <v>1.0000000000000009E-2</v>
      </c>
      <c r="D61" s="109" t="str">
        <f t="shared" si="12"/>
        <v>/</v>
      </c>
      <c r="E61" s="109">
        <f ca="1">IF(表2_367162629303891213141516[[#This Row],[累计净值]]/MAX(INDIRECT("B21:B" &amp; ROW()))-1&lt;E60,表2_367162629303891213141516[[#This Row],[累计净值]]/MAX(INDIRECT("B21:B" &amp; ROW()))-1,E60)</f>
        <v>-2.4610336341264194E-3</v>
      </c>
      <c r="F61" s="110">
        <f>表2_367162629303891213141516[[#This Row],[累计净值]]</f>
        <v>1.286</v>
      </c>
      <c r="G61" s="20">
        <f>IF(表2_367162629303891213141516[[#This Row],[累计净值]]&gt;1.217,0.7*(表2_367162629303891213141516[[#This Row],[累计净值]]-1.217)/1.217,(表2_367162629303891213141516[[#This Row],[累计净值]]-1.217)/1.217)</f>
        <v>3.9687756778964633E-2</v>
      </c>
    </row>
    <row r="62" spans="1:7" x14ac:dyDescent="0.2">
      <c r="A62" s="15">
        <v>44012</v>
      </c>
      <c r="B62" s="117">
        <v>1.292</v>
      </c>
      <c r="C62" s="108">
        <f t="shared" si="11"/>
        <v>6.0000000000000053E-3</v>
      </c>
      <c r="D62" s="109" t="str">
        <f t="shared" si="12"/>
        <v>/</v>
      </c>
      <c r="E62" s="109">
        <f ca="1">IF(表2_367162629303891213141516[[#This Row],[累计净值]]/MAX(INDIRECT("B21:B" &amp; ROW()))-1&lt;E61,表2_367162629303891213141516[[#This Row],[累计净值]]/MAX(INDIRECT("B21:B" &amp; ROW()))-1,E61)</f>
        <v>-2.4610336341264194E-3</v>
      </c>
      <c r="F62" s="110">
        <f>表2_367162629303891213141516[[#This Row],[累计净值]]</f>
        <v>1.292</v>
      </c>
      <c r="G62" s="20">
        <f>IF(表2_367162629303891213141516[[#This Row],[累计净值]]&gt;1.217,0.7*(表2_367162629303891213141516[[#This Row],[累计净值]]-1.217)/1.217,(表2_367162629303891213141516[[#This Row],[累计净值]]-1.217)/1.217)</f>
        <v>4.3138866064091994E-2</v>
      </c>
    </row>
    <row r="63" spans="1:7" x14ac:dyDescent="0.2">
      <c r="A63" s="15">
        <v>44013</v>
      </c>
      <c r="B63" s="112">
        <v>1.292</v>
      </c>
      <c r="C63" s="108">
        <f t="shared" si="11"/>
        <v>0</v>
      </c>
      <c r="D63" s="109" t="str">
        <f t="shared" si="12"/>
        <v>/</v>
      </c>
      <c r="E63" s="109">
        <f ca="1">IF(表2_367162629303891213141516[[#This Row],[累计净值]]/MAX(INDIRECT("B21:B" &amp; ROW()))-1&lt;E62,表2_367162629303891213141516[[#This Row],[累计净值]]/MAX(INDIRECT("B21:B" &amp; ROW()))-1,E62)</f>
        <v>-2.4610336341264194E-3</v>
      </c>
      <c r="F63" s="110">
        <f>表2_367162629303891213141516[[#This Row],[累计净值]]</f>
        <v>1.292</v>
      </c>
      <c r="G63" s="20">
        <f>IF(表2_367162629303891213141516[[#This Row],[累计净值]]&gt;1.217,0.7*(表2_367162629303891213141516[[#This Row],[累计净值]]-1.217)/1.217,(表2_367162629303891213141516[[#This Row],[累计净值]]-1.217)/1.217)</f>
        <v>4.3138866064091994E-2</v>
      </c>
    </row>
    <row r="64" spans="1:7" x14ac:dyDescent="0.2">
      <c r="A64" s="15">
        <v>44014</v>
      </c>
      <c r="B64" s="112">
        <v>1.286</v>
      </c>
      <c r="C64" s="108">
        <f t="shared" si="11"/>
        <v>-6.0000000000000053E-3</v>
      </c>
      <c r="D64" s="109">
        <f t="shared" si="12"/>
        <v>-6.0000000000000053E-3</v>
      </c>
      <c r="E64" s="109">
        <f ca="1">IF(表2_367162629303891213141516[[#This Row],[累计净值]]/MAX(INDIRECT("B21:B" &amp; ROW()))-1&lt;E63,表2_367162629303891213141516[[#This Row],[累计净值]]/MAX(INDIRECT("B21:B" &amp; ROW()))-1,E63)</f>
        <v>-4.6439628482972672E-3</v>
      </c>
      <c r="F64" s="110">
        <f>表2_367162629303891213141516[[#This Row],[累计净值]]</f>
        <v>1.286</v>
      </c>
      <c r="G64" s="20">
        <f>IF(表2_367162629303891213141516[[#This Row],[累计净值]]&gt;1.217,0.7*(表2_367162629303891213141516[[#This Row],[累计净值]]-1.217)/1.217,(表2_367162629303891213141516[[#This Row],[累计净值]]-1.217)/1.217)</f>
        <v>3.9687756778964633E-2</v>
      </c>
    </row>
    <row r="65" spans="1:7" x14ac:dyDescent="0.2">
      <c r="A65" s="15">
        <v>44015</v>
      </c>
      <c r="B65" s="112">
        <v>1.2869999999999999</v>
      </c>
      <c r="C65" s="108">
        <f t="shared" si="11"/>
        <v>9.9999999999988987E-4</v>
      </c>
      <c r="D65" s="109" t="str">
        <f t="shared" si="12"/>
        <v>/</v>
      </c>
      <c r="E65" s="109">
        <f ca="1">IF(表2_367162629303891213141516[[#This Row],[累计净值]]/MAX(INDIRECT("B21:B" &amp; ROW()))-1&lt;E64,表2_367162629303891213141516[[#This Row],[累计净值]]/MAX(INDIRECT("B21:B" &amp; ROW()))-1,E64)</f>
        <v>-4.6439628482972672E-3</v>
      </c>
      <c r="F65" s="110">
        <f>表2_367162629303891213141516[[#This Row],[累计净值]]</f>
        <v>1.2869999999999999</v>
      </c>
      <c r="G65" s="20">
        <f>IF(表2_367162629303891213141516[[#This Row],[累计净值]]&gt;1.217,0.7*(表2_367162629303891213141516[[#This Row],[累计净值]]-1.217)/1.217,(表2_367162629303891213141516[[#This Row],[累计净值]]-1.217)/1.217)</f>
        <v>4.0262941659819126E-2</v>
      </c>
    </row>
    <row r="66" spans="1:7" x14ac:dyDescent="0.2">
      <c r="A66" s="15">
        <v>44018</v>
      </c>
      <c r="B66" s="112">
        <v>1.28</v>
      </c>
      <c r="C66" s="108">
        <f t="shared" ref="C66:C71" si="13">IFERROR(B66-B65,0)</f>
        <v>-6.9999999999998952E-3</v>
      </c>
      <c r="D66" s="109">
        <f t="shared" ref="D66:D71" si="14">IF(C66&lt;0,C66,"/")</f>
        <v>-6.9999999999998952E-3</v>
      </c>
      <c r="E66" s="109">
        <f ca="1">IF(表2_367162629303891213141516[[#This Row],[累计净值]]/MAX(INDIRECT("B21:B" &amp; ROW()))-1&lt;E65,表2_367162629303891213141516[[#This Row],[累计净值]]/MAX(INDIRECT("B21:B" &amp; ROW()))-1,E65)</f>
        <v>-9.2879256965944235E-3</v>
      </c>
      <c r="F66" s="110">
        <f>表2_367162629303891213141516[[#This Row],[累计净值]]</f>
        <v>1.28</v>
      </c>
      <c r="G66" s="20">
        <f>IF(表2_367162629303891213141516[[#This Row],[累计净值]]&gt;1.217,0.7*(表2_367162629303891213141516[[#This Row],[累计净值]]-1.217)/1.217,(表2_367162629303891213141516[[#This Row],[累计净值]]-1.217)/1.217)</f>
        <v>3.6236647493837267E-2</v>
      </c>
    </row>
    <row r="67" spans="1:7" x14ac:dyDescent="0.2">
      <c r="A67" s="15">
        <v>44019</v>
      </c>
      <c r="B67" s="112">
        <v>1.3160000000000001</v>
      </c>
      <c r="C67" s="108">
        <f t="shared" si="13"/>
        <v>3.6000000000000032E-2</v>
      </c>
      <c r="D67" s="109" t="str">
        <f t="shared" si="14"/>
        <v>/</v>
      </c>
      <c r="E67" s="109">
        <f ca="1">IF(表2_367162629303891213141516[[#This Row],[累计净值]]/MAX(INDIRECT("B21:B" &amp; ROW()))-1&lt;E66,表2_367162629303891213141516[[#This Row],[累计净值]]/MAX(INDIRECT("B21:B" &amp; ROW()))-1,E66)</f>
        <v>-9.2879256965944235E-3</v>
      </c>
      <c r="F67" s="110">
        <f>表2_367162629303891213141516[[#This Row],[累计净值]]</f>
        <v>1.3160000000000001</v>
      </c>
      <c r="G67" s="20">
        <f>IF(表2_367162629303891213141516[[#This Row],[累计净值]]&gt;1.217,0.7*(表2_367162629303891213141516[[#This Row],[累计净值]]-1.217)/1.217,(表2_367162629303891213141516[[#This Row],[累计净值]]-1.217)/1.217)</f>
        <v>5.6943303204601455E-2</v>
      </c>
    </row>
    <row r="68" spans="1:7" x14ac:dyDescent="0.2">
      <c r="A68" s="15">
        <v>44020</v>
      </c>
      <c r="B68" s="112">
        <v>1.3240000000000001</v>
      </c>
      <c r="C68" s="108">
        <f t="shared" si="13"/>
        <v>8.0000000000000071E-3</v>
      </c>
      <c r="D68" s="109" t="str">
        <f t="shared" si="14"/>
        <v>/</v>
      </c>
      <c r="E68" s="109">
        <f ca="1">IF(表2_367162629303891213141516[[#This Row],[累计净值]]/MAX(INDIRECT("B21:B" &amp; ROW()))-1&lt;E67,表2_367162629303891213141516[[#This Row],[累计净值]]/MAX(INDIRECT("B21:B" &amp; ROW()))-1,E67)</f>
        <v>-9.2879256965944235E-3</v>
      </c>
      <c r="F68" s="110">
        <f>表2_367162629303891213141516[[#This Row],[累计净值]]</f>
        <v>1.3240000000000001</v>
      </c>
      <c r="G68" s="20">
        <f>IF(表2_367162629303891213141516[[#This Row],[累计净值]]&gt;1.217,0.7*(表2_367162629303891213141516[[#This Row],[累计净值]]-1.217)/1.217,(表2_367162629303891213141516[[#This Row],[累计净值]]-1.217)/1.217)</f>
        <v>6.1544782251437939E-2</v>
      </c>
    </row>
    <row r="69" spans="1:7" x14ac:dyDescent="0.2">
      <c r="A69" s="15">
        <v>44021</v>
      </c>
      <c r="B69" s="112">
        <v>1.3360000000000001</v>
      </c>
      <c r="C69" s="108">
        <f t="shared" si="13"/>
        <v>1.2000000000000011E-2</v>
      </c>
      <c r="D69" s="109" t="str">
        <f t="shared" si="14"/>
        <v>/</v>
      </c>
      <c r="E69" s="109">
        <f ca="1">IF(表2_367162629303891213141516[[#This Row],[累计净值]]/MAX(INDIRECT("B21:B" &amp; ROW()))-1&lt;E68,表2_367162629303891213141516[[#This Row],[累计净值]]/MAX(INDIRECT("B21:B" &amp; ROW()))-1,E68)</f>
        <v>-9.2879256965944235E-3</v>
      </c>
      <c r="F69" s="110">
        <f>表2_367162629303891213141516[[#This Row],[累计净值]]</f>
        <v>1.3360000000000001</v>
      </c>
      <c r="G69" s="20">
        <f>IF(表2_367162629303891213141516[[#This Row],[累计净值]]&gt;1.217,0.7*(表2_367162629303891213141516[[#This Row],[累计净值]]-1.217)/1.217,(表2_367162629303891213141516[[#This Row],[累计净值]]-1.217)/1.217)</f>
        <v>6.8447000821692666E-2</v>
      </c>
    </row>
    <row r="70" spans="1:7" x14ac:dyDescent="0.2">
      <c r="A70" s="15">
        <v>44022</v>
      </c>
      <c r="B70" s="112">
        <v>1.343</v>
      </c>
      <c r="C70" s="108">
        <f t="shared" si="13"/>
        <v>6.9999999999998952E-3</v>
      </c>
      <c r="D70" s="109" t="str">
        <f t="shared" si="14"/>
        <v>/</v>
      </c>
      <c r="E70" s="109">
        <f ca="1">IF(表2_367162629303891213141516[[#This Row],[累计净值]]/MAX(INDIRECT("B21:B" &amp; ROW()))-1&lt;E69,表2_367162629303891213141516[[#This Row],[累计净值]]/MAX(INDIRECT("B21:B" &amp; ROW()))-1,E69)</f>
        <v>-9.2879256965944235E-3</v>
      </c>
      <c r="F70" s="110">
        <f>表2_367162629303891213141516[[#This Row],[累计净值]]</f>
        <v>1.343</v>
      </c>
      <c r="G70" s="20">
        <f>IF(表2_367162629303891213141516[[#This Row],[累计净值]]&gt;1.217,0.7*(表2_367162629303891213141516[[#This Row],[累计净值]]-1.217)/1.217,(表2_367162629303891213141516[[#This Row],[累计净值]]-1.217)/1.217)</f>
        <v>7.2473294987674533E-2</v>
      </c>
    </row>
    <row r="71" spans="1:7" x14ac:dyDescent="0.2">
      <c r="A71" s="15">
        <v>44025</v>
      </c>
      <c r="B71" s="112">
        <v>1.3540000000000001</v>
      </c>
      <c r="C71" s="108">
        <f t="shared" si="13"/>
        <v>1.1000000000000121E-2</v>
      </c>
      <c r="D71" s="109" t="str">
        <f t="shared" si="14"/>
        <v>/</v>
      </c>
      <c r="E71" s="109">
        <f ca="1">IF(表2_367162629303891213141516[[#This Row],[累计净值]]/MAX(INDIRECT("B21:B" &amp; ROW()))-1&lt;E70,表2_367162629303891213141516[[#This Row],[累计净值]]/MAX(INDIRECT("B21:B" &amp; ROW()))-1,E70)</f>
        <v>-9.2879256965944235E-3</v>
      </c>
      <c r="F71" s="110">
        <f>表2_367162629303891213141516[[#This Row],[累计净值]]</f>
        <v>1.3540000000000001</v>
      </c>
      <c r="G71" s="20">
        <f>IF(表2_367162629303891213141516[[#This Row],[累计净值]]&gt;1.217,0.7*(表2_367162629303891213141516[[#This Row],[累计净值]]-1.217)/1.217,(表2_367162629303891213141516[[#This Row],[累计净值]]-1.217)/1.217)</f>
        <v>7.8800328677074774E-2</v>
      </c>
    </row>
    <row r="72" spans="1:7" x14ac:dyDescent="0.2">
      <c r="A72" s="15">
        <v>44026</v>
      </c>
      <c r="B72" s="112">
        <v>1.3580000000000001</v>
      </c>
      <c r="C72" s="108">
        <f t="shared" ref="C72:C77" si="15">IFERROR(B72-B71,0)</f>
        <v>4.0000000000000036E-3</v>
      </c>
      <c r="D72" s="109" t="str">
        <f t="shared" ref="D72:D77" si="16">IF(C72&lt;0,C72,"/")</f>
        <v>/</v>
      </c>
      <c r="E72" s="109">
        <f ca="1">IF(表2_367162629303891213141516[[#This Row],[累计净值]]/MAX(INDIRECT("B21:B" &amp; ROW()))-1&lt;E71,表2_367162629303891213141516[[#This Row],[累计净值]]/MAX(INDIRECT("B21:B" &amp; ROW()))-1,E71)</f>
        <v>-9.2879256965944235E-3</v>
      </c>
      <c r="F72" s="110">
        <f>表2_367162629303891213141516[[#This Row],[累计净值]]</f>
        <v>1.3580000000000001</v>
      </c>
      <c r="G72" s="20">
        <f>IF(表2_367162629303891213141516[[#This Row],[累计净值]]&gt;1.217,0.7*(表2_367162629303891213141516[[#This Row],[累计净值]]-1.217)/1.217,(表2_367162629303891213141516[[#This Row],[累计净值]]-1.217)/1.217)</f>
        <v>8.1101068200493023E-2</v>
      </c>
    </row>
    <row r="73" spans="1:7" x14ac:dyDescent="0.2">
      <c r="A73" s="15">
        <v>44027</v>
      </c>
      <c r="B73" s="112">
        <v>1.3620000000000001</v>
      </c>
      <c r="C73" s="108">
        <f t="shared" si="15"/>
        <v>4.0000000000000036E-3</v>
      </c>
      <c r="D73" s="109" t="str">
        <f t="shared" si="16"/>
        <v>/</v>
      </c>
      <c r="E73" s="109">
        <f ca="1">IF(表2_367162629303891213141516[[#This Row],[累计净值]]/MAX(INDIRECT("B21:B" &amp; ROW()))-1&lt;E72,表2_367162629303891213141516[[#This Row],[累计净值]]/MAX(INDIRECT("B21:B" &amp; ROW()))-1,E72)</f>
        <v>-9.2879256965944235E-3</v>
      </c>
      <c r="F73" s="110">
        <f>表2_367162629303891213141516[[#This Row],[累计净值]]</f>
        <v>1.3620000000000001</v>
      </c>
      <c r="G73" s="20">
        <f>IF(表2_367162629303891213141516[[#This Row],[累计净值]]&gt;1.217,0.7*(表2_367162629303891213141516[[#This Row],[累计净值]]-1.217)/1.217,(表2_367162629303891213141516[[#This Row],[累计净值]]-1.217)/1.217)</f>
        <v>8.3401807723911259E-2</v>
      </c>
    </row>
    <row r="74" spans="1:7" x14ac:dyDescent="0.2">
      <c r="A74" s="15">
        <v>44028</v>
      </c>
      <c r="B74" s="112">
        <v>1.363</v>
      </c>
      <c r="C74" s="108">
        <f t="shared" si="15"/>
        <v>9.9999999999988987E-4</v>
      </c>
      <c r="D74" s="109" t="str">
        <f t="shared" si="16"/>
        <v>/</v>
      </c>
      <c r="E74" s="109">
        <f ca="1">IF(表2_367162629303891213141516[[#This Row],[累计净值]]/MAX(INDIRECT("B21:B" &amp; ROW()))-1&lt;E73,表2_367162629303891213141516[[#This Row],[累计净值]]/MAX(INDIRECT("B21:B" &amp; ROW()))-1,E73)</f>
        <v>-9.2879256965944235E-3</v>
      </c>
      <c r="F74" s="110">
        <f>表2_367162629303891213141516[[#This Row],[累计净值]]</f>
        <v>1.363</v>
      </c>
      <c r="G74" s="20">
        <f>IF(表2_367162629303891213141516[[#This Row],[累计净值]]&gt;1.217,0.7*(表2_367162629303891213141516[[#This Row],[累计净值]]-1.217)/1.217,(表2_367162629303891213141516[[#This Row],[累计净值]]-1.217)/1.217)</f>
        <v>8.3976992604765752E-2</v>
      </c>
    </row>
    <row r="75" spans="1:7" x14ac:dyDescent="0.2">
      <c r="A75" s="15">
        <v>44029</v>
      </c>
      <c r="B75" s="112">
        <v>1.377</v>
      </c>
      <c r="C75" s="108">
        <f t="shared" si="15"/>
        <v>1.4000000000000012E-2</v>
      </c>
      <c r="D75" s="109" t="str">
        <f t="shared" si="16"/>
        <v>/</v>
      </c>
      <c r="E75" s="109">
        <f ca="1">IF(表2_367162629303891213141516[[#This Row],[累计净值]]/MAX(INDIRECT("B21:B" &amp; ROW()))-1&lt;E74,表2_367162629303891213141516[[#This Row],[累计净值]]/MAX(INDIRECT("B21:B" &amp; ROW()))-1,E74)</f>
        <v>-9.2879256965944235E-3</v>
      </c>
      <c r="F75" s="110">
        <f>表2_367162629303891213141516[[#This Row],[累计净值]]</f>
        <v>1.377</v>
      </c>
      <c r="G75" s="20">
        <f>IF(表2_367162629303891213141516[[#This Row],[累计净值]]&gt;1.217,0.7*(表2_367162629303891213141516[[#This Row],[累计净值]]-1.217)/1.217,(表2_367162629303891213141516[[#This Row],[累计净值]]-1.217)/1.217)</f>
        <v>9.2029580936729596E-2</v>
      </c>
    </row>
    <row r="76" spans="1:7" x14ac:dyDescent="0.2">
      <c r="A76" s="15">
        <v>44032</v>
      </c>
      <c r="B76" s="112">
        <v>1.383</v>
      </c>
      <c r="C76" s="108">
        <f t="shared" si="15"/>
        <v>6.0000000000000053E-3</v>
      </c>
      <c r="D76" s="109" t="str">
        <f t="shared" si="16"/>
        <v>/</v>
      </c>
      <c r="E76" s="109">
        <f ca="1">IF(表2_367162629303891213141516[[#This Row],[累计净值]]/MAX(INDIRECT("B21:B" &amp; ROW()))-1&lt;E75,表2_367162629303891213141516[[#This Row],[累计净值]]/MAX(INDIRECT("B21:B" &amp; ROW()))-1,E75)</f>
        <v>-9.2879256965944235E-3</v>
      </c>
      <c r="F76" s="110">
        <f>表2_367162629303891213141516[[#This Row],[累计净值]]</f>
        <v>1.383</v>
      </c>
      <c r="G76" s="20">
        <f>IF(表2_367162629303891213141516[[#This Row],[累计净值]]&gt;1.217,0.7*(表2_367162629303891213141516[[#This Row],[累计净值]]-1.217)/1.217,(表2_367162629303891213141516[[#This Row],[累计净值]]-1.217)/1.217)</f>
        <v>9.548069022185697E-2</v>
      </c>
    </row>
    <row r="77" spans="1:7" x14ac:dyDescent="0.2">
      <c r="A77" s="15">
        <v>44033</v>
      </c>
      <c r="B77" s="112">
        <v>1.385</v>
      </c>
      <c r="C77" s="108">
        <f t="shared" si="15"/>
        <v>2.0000000000000018E-3</v>
      </c>
      <c r="D77" s="109" t="str">
        <f t="shared" si="16"/>
        <v>/</v>
      </c>
      <c r="E77" s="109">
        <f ca="1">IF(表2_367162629303891213141516[[#This Row],[累计净值]]/MAX(INDIRECT("B21:B" &amp; ROW()))-1&lt;E76,表2_367162629303891213141516[[#This Row],[累计净值]]/MAX(INDIRECT("B21:B" &amp; ROW()))-1,E76)</f>
        <v>-9.2879256965944235E-3</v>
      </c>
      <c r="F77" s="110">
        <f>表2_367162629303891213141516[[#This Row],[累计净值]]</f>
        <v>1.385</v>
      </c>
      <c r="G77" s="20">
        <f>IF(表2_367162629303891213141516[[#This Row],[累计净值]]&gt;1.217,0.7*(表2_367162629303891213141516[[#This Row],[累计净值]]-1.217)/1.217,(表2_367162629303891213141516[[#This Row],[累计净值]]-1.217)/1.217)</f>
        <v>9.6631059983566095E-2</v>
      </c>
    </row>
    <row r="78" spans="1:7" x14ac:dyDescent="0.2">
      <c r="A78" s="15">
        <v>44034</v>
      </c>
      <c r="B78" s="112">
        <v>1.39</v>
      </c>
      <c r="C78" s="108">
        <f>IFERROR(B78-B77,0)</f>
        <v>4.9999999999998934E-3</v>
      </c>
      <c r="D78" s="109" t="str">
        <f>IF(C78&lt;0,C78,"/")</f>
        <v>/</v>
      </c>
      <c r="E78" s="109">
        <f ca="1">IF(表2_367162629303891213141516[[#This Row],[累计净值]]/MAX(INDIRECT("B21:B" &amp; ROW()))-1&lt;E77,表2_367162629303891213141516[[#This Row],[累计净值]]/MAX(INDIRECT("B21:B" &amp; ROW()))-1,E77)</f>
        <v>-9.2879256965944235E-3</v>
      </c>
      <c r="F78" s="110">
        <f>表2_367162629303891213141516[[#This Row],[累计净值]]</f>
        <v>1.39</v>
      </c>
      <c r="G78" s="20">
        <f>IF(表2_367162629303891213141516[[#This Row],[累计净值]]&gt;1.217,0.7*(表2_367162629303891213141516[[#This Row],[累计净值]]-1.217)/1.217,(表2_367162629303891213141516[[#This Row],[累计净值]]-1.217)/1.217)</f>
        <v>9.9506984387838823E-2</v>
      </c>
    </row>
    <row r="79" spans="1:7" x14ac:dyDescent="0.2">
      <c r="A79" s="15">
        <v>44035</v>
      </c>
      <c r="B79" s="112">
        <v>1.3919999999999999</v>
      </c>
      <c r="C79" s="108">
        <f>IFERROR(B79-B78,0)</f>
        <v>2.0000000000000018E-3</v>
      </c>
      <c r="D79" s="109" t="str">
        <f>IF(C79&lt;0,C79,"/")</f>
        <v>/</v>
      </c>
      <c r="E79" s="109">
        <f ca="1">IF(表2_367162629303891213141516[[#This Row],[累计净值]]/MAX(INDIRECT("B21:B" &amp; ROW()))-1&lt;E78,表2_367162629303891213141516[[#This Row],[累计净值]]/MAX(INDIRECT("B21:B" &amp; ROW()))-1,E78)</f>
        <v>-9.2879256965944235E-3</v>
      </c>
      <c r="F79" s="110">
        <f>表2_367162629303891213141516[[#This Row],[累计净值]]</f>
        <v>1.3919999999999999</v>
      </c>
      <c r="G79" s="20">
        <f>IF(表2_367162629303891213141516[[#This Row],[累计净值]]&gt;1.217,0.7*(表2_367162629303891213141516[[#This Row],[累计净值]]-1.217)/1.217,(表2_367162629303891213141516[[#This Row],[累计净值]]-1.217)/1.217)</f>
        <v>0.10065735414954796</v>
      </c>
    </row>
    <row r="80" spans="1:7" x14ac:dyDescent="0.2">
      <c r="A80" s="15">
        <v>44036</v>
      </c>
      <c r="B80" s="112">
        <v>1.4019999999999999</v>
      </c>
      <c r="C80" s="108">
        <f>IFERROR(B80-B79,0)</f>
        <v>1.0000000000000009E-2</v>
      </c>
      <c r="D80" s="109" t="str">
        <f>IF(C80&lt;0,C80,"/")</f>
        <v>/</v>
      </c>
      <c r="E80" s="109">
        <f ca="1">IF(表2_367162629303891213141516[[#This Row],[累计净值]]/MAX(INDIRECT("B21:B" &amp; ROW()))-1&lt;E79,表2_367162629303891213141516[[#This Row],[累计净值]]/MAX(INDIRECT("B21:B" &amp; ROW()))-1,E79)</f>
        <v>-9.2879256965944235E-3</v>
      </c>
      <c r="F80" s="110">
        <f>表2_367162629303891213141516[[#This Row],[累计净值]]</f>
        <v>1.4019999999999999</v>
      </c>
      <c r="G80" s="20">
        <f>IF(表2_367162629303891213141516[[#This Row],[累计净值]]&gt;1.217,0.7*(表2_367162629303891213141516[[#This Row],[累计净值]]-1.217)/1.217,(表2_367162629303891213141516[[#This Row],[累计净值]]-1.217)/1.217)</f>
        <v>0.10640920295809356</v>
      </c>
    </row>
    <row r="81" spans="1:7" x14ac:dyDescent="0.2">
      <c r="A81" s="15">
        <v>44039</v>
      </c>
      <c r="B81" s="112">
        <v>1.4039999999999999</v>
      </c>
      <c r="C81" s="108">
        <f t="shared" ref="C81:C86" si="17">IFERROR(B81-B80,0)</f>
        <v>2.0000000000000018E-3</v>
      </c>
      <c r="D81" s="109" t="str">
        <f t="shared" ref="D81:D86" si="18">IF(C81&lt;0,C81,"/")</f>
        <v>/</v>
      </c>
      <c r="E81" s="109">
        <f ca="1">IF(表2_367162629303891213141516[[#This Row],[累计净值]]/MAX(INDIRECT("B21:B" &amp; ROW()))-1&lt;E80,表2_367162629303891213141516[[#This Row],[累计净值]]/MAX(INDIRECT("B21:B" &amp; ROW()))-1,E80)</f>
        <v>-9.2879256965944235E-3</v>
      </c>
      <c r="F81" s="110">
        <f>表2_367162629303891213141516[[#This Row],[累计净值]]</f>
        <v>1.4039999999999999</v>
      </c>
      <c r="G81" s="20">
        <f>IF(表2_367162629303891213141516[[#This Row],[累计净值]]&gt;1.217,0.7*(表2_367162629303891213141516[[#This Row],[累计净值]]-1.217)/1.217,(表2_367162629303891213141516[[#This Row],[累计净值]]-1.217)/1.217)</f>
        <v>0.10755957271980268</v>
      </c>
    </row>
    <row r="82" spans="1:7" x14ac:dyDescent="0.2">
      <c r="A82" s="15">
        <v>44040</v>
      </c>
      <c r="B82" s="112">
        <v>1.409</v>
      </c>
      <c r="C82" s="108">
        <f t="shared" si="17"/>
        <v>5.0000000000001155E-3</v>
      </c>
      <c r="D82" s="109" t="str">
        <f t="shared" si="18"/>
        <v>/</v>
      </c>
      <c r="E82" s="109">
        <f ca="1">IF(表2_367162629303891213141516[[#This Row],[累计净值]]/MAX(INDIRECT("B21:B" &amp; ROW()))-1&lt;E81,表2_367162629303891213141516[[#This Row],[累计净值]]/MAX(INDIRECT("B21:B" &amp; ROW()))-1,E81)</f>
        <v>-9.2879256965944235E-3</v>
      </c>
      <c r="F82" s="110">
        <f>表2_367162629303891213141516[[#This Row],[累计净值]]</f>
        <v>1.409</v>
      </c>
      <c r="G82" s="20">
        <f>IF(表2_367162629303891213141516[[#This Row],[累计净值]]&gt;1.217,0.7*(表2_367162629303891213141516[[#This Row],[累计净值]]-1.217)/1.217,(表2_367162629303891213141516[[#This Row],[累计净值]]-1.217)/1.217)</f>
        <v>0.11043549712407556</v>
      </c>
    </row>
    <row r="83" spans="1:7" x14ac:dyDescent="0.2">
      <c r="A83" s="15">
        <v>44041</v>
      </c>
      <c r="B83" s="112">
        <v>1.415</v>
      </c>
      <c r="C83" s="108">
        <f t="shared" si="17"/>
        <v>6.0000000000000053E-3</v>
      </c>
      <c r="D83" s="109" t="str">
        <f t="shared" si="18"/>
        <v>/</v>
      </c>
      <c r="E83" s="109">
        <f ca="1">IF(表2_367162629303891213141516[[#This Row],[累计净值]]/MAX(INDIRECT("B21:B" &amp; ROW()))-1&lt;E82,表2_367162629303891213141516[[#This Row],[累计净值]]/MAX(INDIRECT("B21:B" &amp; ROW()))-1,E82)</f>
        <v>-9.2879256965944235E-3</v>
      </c>
      <c r="F83" s="110">
        <f>表2_367162629303891213141516[[#This Row],[累计净值]]</f>
        <v>1.415</v>
      </c>
      <c r="G83" s="20">
        <f>IF(表2_367162629303891213141516[[#This Row],[累计净值]]&gt;1.217,0.7*(表2_367162629303891213141516[[#This Row],[累计净值]]-1.217)/1.217,(表2_367162629303891213141516[[#This Row],[累计净值]]-1.217)/1.217)</f>
        <v>0.11388660640920291</v>
      </c>
    </row>
    <row r="84" spans="1:7" x14ac:dyDescent="0.2">
      <c r="A84" s="15">
        <v>44042</v>
      </c>
      <c r="B84" s="112">
        <v>1.4159999999999999</v>
      </c>
      <c r="C84" s="108">
        <f t="shared" si="17"/>
        <v>9.9999999999988987E-4</v>
      </c>
      <c r="D84" s="109" t="str">
        <f t="shared" si="18"/>
        <v>/</v>
      </c>
      <c r="E84" s="109">
        <f ca="1">IF(表2_367162629303891213141516[[#This Row],[累计净值]]/MAX(INDIRECT("B21:B" &amp; ROW()))-1&lt;E83,表2_367162629303891213141516[[#This Row],[累计净值]]/MAX(INDIRECT("B21:B" &amp; ROW()))-1,E83)</f>
        <v>-9.2879256965944235E-3</v>
      </c>
      <c r="F84" s="110">
        <f>表2_367162629303891213141516[[#This Row],[累计净值]]</f>
        <v>1.4159999999999999</v>
      </c>
      <c r="G84" s="20">
        <f>IF(表2_367162629303891213141516[[#This Row],[累计净值]]&gt;1.217,0.7*(表2_367162629303891213141516[[#This Row],[累计净值]]-1.217)/1.217,(表2_367162629303891213141516[[#This Row],[累计净值]]-1.217)/1.217)</f>
        <v>0.1144617912900574</v>
      </c>
    </row>
    <row r="85" spans="1:7" x14ac:dyDescent="0.2">
      <c r="A85" s="15">
        <v>44043</v>
      </c>
      <c r="B85" s="112">
        <v>1.42</v>
      </c>
      <c r="C85" s="108">
        <f t="shared" si="17"/>
        <v>4.0000000000000036E-3</v>
      </c>
      <c r="D85" s="109" t="str">
        <f t="shared" si="18"/>
        <v>/</v>
      </c>
      <c r="E85" s="109">
        <f ca="1">IF(表2_367162629303891213141516[[#This Row],[累计净值]]/MAX(INDIRECT("B21:B" &amp; ROW()))-1&lt;E84,表2_367162629303891213141516[[#This Row],[累计净值]]/MAX(INDIRECT("B21:B" &amp; ROW()))-1,E84)</f>
        <v>-9.2879256965944235E-3</v>
      </c>
      <c r="F85" s="110">
        <f>表2_367162629303891213141516[[#This Row],[累计净值]]</f>
        <v>1.42</v>
      </c>
      <c r="G85" s="20">
        <f>IF(表2_367162629303891213141516[[#This Row],[累计净值]]&gt;1.217,0.7*(表2_367162629303891213141516[[#This Row],[累计净值]]-1.217)/1.217,(表2_367162629303891213141516[[#This Row],[累计净值]]-1.217)/1.217)</f>
        <v>0.11676253081347567</v>
      </c>
    </row>
    <row r="86" spans="1:7" x14ac:dyDescent="0.2">
      <c r="A86" s="15">
        <v>44046</v>
      </c>
      <c r="B86" s="112">
        <v>1.423</v>
      </c>
      <c r="C86" s="108">
        <f t="shared" si="17"/>
        <v>3.0000000000001137E-3</v>
      </c>
      <c r="D86" s="109" t="str">
        <f t="shared" si="18"/>
        <v>/</v>
      </c>
      <c r="E86" s="109">
        <f ca="1">IF(表2_367162629303891213141516[[#This Row],[累计净值]]/MAX(INDIRECT("B21:B" &amp; ROW()))-1&lt;E85,表2_367162629303891213141516[[#This Row],[累计净值]]/MAX(INDIRECT("B21:B" &amp; ROW()))-1,E85)</f>
        <v>-9.2879256965944235E-3</v>
      </c>
      <c r="F86" s="110">
        <f>表2_367162629303891213141516[[#This Row],[累计净值]]</f>
        <v>1.423</v>
      </c>
      <c r="G86" s="20">
        <f>IF(表2_367162629303891213141516[[#This Row],[累计净值]]&gt;1.217,0.7*(表2_367162629303891213141516[[#This Row],[累计净值]]-1.217)/1.217,(表2_367162629303891213141516[[#This Row],[累计净值]]-1.217)/1.217)</f>
        <v>0.11848808545603941</v>
      </c>
    </row>
    <row r="87" spans="1:7" x14ac:dyDescent="0.2">
      <c r="A87" s="15">
        <v>44047</v>
      </c>
      <c r="B87" s="112">
        <v>1.429</v>
      </c>
      <c r="C87" s="108">
        <f t="shared" ref="C87:C92" si="19">IFERROR(B87-B86,0)</f>
        <v>6.0000000000000053E-3</v>
      </c>
      <c r="D87" s="109" t="str">
        <f t="shared" ref="D87:D92" si="20">IF(C87&lt;0,C87,"/")</f>
        <v>/</v>
      </c>
      <c r="E87" s="109">
        <f ca="1">IF(表2_367162629303891213141516[[#This Row],[累计净值]]/MAX(INDIRECT("B21:B" &amp; ROW()))-1&lt;E86,表2_367162629303891213141516[[#This Row],[累计净值]]/MAX(INDIRECT("B21:B" &amp; ROW()))-1,E86)</f>
        <v>-9.2879256965944235E-3</v>
      </c>
      <c r="F87" s="110">
        <f>表2_367162629303891213141516[[#This Row],[累计净值]]</f>
        <v>1.429</v>
      </c>
      <c r="G87" s="20">
        <f>IF(表2_367162629303891213141516[[#This Row],[累计净值]]&gt;1.217,0.7*(表2_367162629303891213141516[[#This Row],[累计净值]]-1.217)/1.217,(表2_367162629303891213141516[[#This Row],[累计净值]]-1.217)/1.217)</f>
        <v>0.12193919474116678</v>
      </c>
    </row>
    <row r="88" spans="1:7" x14ac:dyDescent="0.2">
      <c r="A88" s="15">
        <v>44048</v>
      </c>
      <c r="B88" s="112">
        <v>1.431</v>
      </c>
      <c r="C88" s="108">
        <f t="shared" si="19"/>
        <v>2.0000000000000018E-3</v>
      </c>
      <c r="D88" s="109" t="str">
        <f t="shared" si="20"/>
        <v>/</v>
      </c>
      <c r="E88" s="109">
        <f ca="1">IF(表2_367162629303891213141516[[#This Row],[累计净值]]/MAX(INDIRECT("B21:B" &amp; ROW()))-1&lt;E87,表2_367162629303891213141516[[#This Row],[累计净值]]/MAX(INDIRECT("B21:B" &amp; ROW()))-1,E87)</f>
        <v>-9.2879256965944235E-3</v>
      </c>
      <c r="F88" s="110">
        <f>表2_367162629303891213141516[[#This Row],[累计净值]]</f>
        <v>1.431</v>
      </c>
      <c r="G88" s="20">
        <f>IF(表2_367162629303891213141516[[#This Row],[累计净值]]&gt;1.217,0.7*(表2_367162629303891213141516[[#This Row],[累计净值]]-1.217)/1.217,(表2_367162629303891213141516[[#This Row],[累计净值]]-1.217)/1.217)</f>
        <v>0.12308956450287588</v>
      </c>
    </row>
    <row r="89" spans="1:7" x14ac:dyDescent="0.2">
      <c r="A89" s="15">
        <v>44049</v>
      </c>
      <c r="B89" s="112">
        <v>1.431</v>
      </c>
      <c r="C89" s="108">
        <f t="shared" si="19"/>
        <v>0</v>
      </c>
      <c r="D89" s="109" t="str">
        <f t="shared" si="20"/>
        <v>/</v>
      </c>
      <c r="E89" s="109">
        <f ca="1">IF(表2_367162629303891213141516[[#This Row],[累计净值]]/MAX(INDIRECT("B21:B" &amp; ROW()))-1&lt;E88,表2_367162629303891213141516[[#This Row],[累计净值]]/MAX(INDIRECT("B21:B" &amp; ROW()))-1,E88)</f>
        <v>-9.2879256965944235E-3</v>
      </c>
      <c r="F89" s="110">
        <f>表2_367162629303891213141516[[#This Row],[累计净值]]</f>
        <v>1.431</v>
      </c>
      <c r="G89" s="20">
        <f>IF(表2_367162629303891213141516[[#This Row],[累计净值]]&gt;1.217,0.7*(表2_367162629303891213141516[[#This Row],[累计净值]]-1.217)/1.217,(表2_367162629303891213141516[[#This Row],[累计净值]]-1.217)/1.217)</f>
        <v>0.12308956450287588</v>
      </c>
    </row>
    <row r="90" spans="1:7" x14ac:dyDescent="0.2">
      <c r="A90" s="15">
        <v>44050</v>
      </c>
      <c r="B90" s="112">
        <v>1.4339999999999999</v>
      </c>
      <c r="C90" s="108">
        <f t="shared" si="19"/>
        <v>2.9999999999998916E-3</v>
      </c>
      <c r="D90" s="109" t="str">
        <f t="shared" si="20"/>
        <v>/</v>
      </c>
      <c r="E90" s="109">
        <f ca="1">IF(表2_367162629303891213141516[[#This Row],[累计净值]]/MAX(INDIRECT("B21:B" &amp; ROW()))-1&lt;E89,表2_367162629303891213141516[[#This Row],[累计净值]]/MAX(INDIRECT("B21:B" &amp; ROW()))-1,E89)</f>
        <v>-9.2879256965944235E-3</v>
      </c>
      <c r="F90" s="110">
        <f>表2_367162629303891213141516[[#This Row],[累计净值]]</f>
        <v>1.4339999999999999</v>
      </c>
      <c r="G90" s="20">
        <f>IF(表2_367162629303891213141516[[#This Row],[累计净值]]&gt;1.217,0.7*(表2_367162629303891213141516[[#This Row],[累计净值]]-1.217)/1.217,(表2_367162629303891213141516[[#This Row],[累计净值]]-1.217)/1.217)</f>
        <v>0.12481511914543951</v>
      </c>
    </row>
    <row r="91" spans="1:7" x14ac:dyDescent="0.2">
      <c r="A91" s="15">
        <v>44053</v>
      </c>
      <c r="B91" s="112">
        <v>1.4390000000000001</v>
      </c>
      <c r="C91" s="108">
        <f t="shared" si="19"/>
        <v>5.0000000000001155E-3</v>
      </c>
      <c r="D91" s="109" t="str">
        <f t="shared" si="20"/>
        <v>/</v>
      </c>
      <c r="E91" s="109">
        <f ca="1">IF(表2_367162629303891213141516[[#This Row],[累计净值]]/MAX(INDIRECT("B21:B" &amp; ROW()))-1&lt;E90,表2_367162629303891213141516[[#This Row],[累计净值]]/MAX(INDIRECT("B21:B" &amp; ROW()))-1,E90)</f>
        <v>-9.2879256965944235E-3</v>
      </c>
      <c r="F91" s="110">
        <f>表2_367162629303891213141516[[#This Row],[累计净值]]</f>
        <v>1.4390000000000001</v>
      </c>
      <c r="G91" s="20">
        <f>IF(表2_367162629303891213141516[[#This Row],[累计净值]]&gt;1.217,0.7*(表2_367162629303891213141516[[#This Row],[累计净值]]-1.217)/1.217,(表2_367162629303891213141516[[#This Row],[累计净值]]-1.217)/1.217)</f>
        <v>0.12769104354971239</v>
      </c>
    </row>
    <row r="92" spans="1:7" x14ac:dyDescent="0.2">
      <c r="A92" s="15">
        <v>44054</v>
      </c>
      <c r="B92" s="112">
        <v>1.4430000000000001</v>
      </c>
      <c r="C92" s="108">
        <f t="shared" si="19"/>
        <v>4.0000000000000036E-3</v>
      </c>
      <c r="D92" s="109" t="str">
        <f t="shared" si="20"/>
        <v>/</v>
      </c>
      <c r="E92" s="109">
        <f ca="1">IF(表2_367162629303891213141516[[#This Row],[累计净值]]/MAX(INDIRECT("B21:B" &amp; ROW()))-1&lt;E91,表2_367162629303891213141516[[#This Row],[累计净值]]/MAX(INDIRECT("B21:B" &amp; ROW()))-1,E91)</f>
        <v>-9.2879256965944235E-3</v>
      </c>
      <c r="F92" s="110">
        <f>表2_367162629303891213141516[[#This Row],[累计净值]]</f>
        <v>1.4430000000000001</v>
      </c>
      <c r="G92" s="20">
        <f>IF(表2_367162629303891213141516[[#This Row],[累计净值]]&gt;1.217,0.7*(表2_367162629303891213141516[[#This Row],[累计净值]]-1.217)/1.217,(表2_367162629303891213141516[[#This Row],[累计净值]]-1.217)/1.217)</f>
        <v>0.12999178307313061</v>
      </c>
    </row>
    <row r="93" spans="1:7" x14ac:dyDescent="0.2">
      <c r="A93" s="15">
        <v>44055</v>
      </c>
      <c r="B93" s="112">
        <v>1.446</v>
      </c>
      <c r="C93" s="108">
        <f t="shared" ref="C93:C98" si="21">IFERROR(B93-B92,0)</f>
        <v>2.9999999999998916E-3</v>
      </c>
      <c r="D93" s="109" t="str">
        <f t="shared" ref="D93:D98" si="22">IF(C93&lt;0,C93,"/")</f>
        <v>/</v>
      </c>
      <c r="E93" s="109">
        <f ca="1">IF(表2_367162629303891213141516[[#This Row],[累计净值]]/MAX(INDIRECT("B21:B" &amp; ROW()))-1&lt;E92,表2_367162629303891213141516[[#This Row],[累计净值]]/MAX(INDIRECT("B21:B" &amp; ROW()))-1,E92)</f>
        <v>-9.2879256965944235E-3</v>
      </c>
      <c r="F93" s="110">
        <f>表2_367162629303891213141516[[#This Row],[累计净值]]</f>
        <v>1.446</v>
      </c>
      <c r="G93" s="20">
        <f>IF(表2_367162629303891213141516[[#This Row],[累计净值]]&gt;1.217,0.7*(表2_367162629303891213141516[[#This Row],[累计净值]]-1.217)/1.217,(表2_367162629303891213141516[[#This Row],[累计净值]]-1.217)/1.217)</f>
        <v>0.13171733771569422</v>
      </c>
    </row>
    <row r="94" spans="1:7" x14ac:dyDescent="0.2">
      <c r="A94" s="15">
        <v>44056</v>
      </c>
      <c r="B94" s="112">
        <v>1.448</v>
      </c>
      <c r="C94" s="108">
        <f t="shared" si="21"/>
        <v>2.0000000000000018E-3</v>
      </c>
      <c r="D94" s="109" t="str">
        <f t="shared" si="22"/>
        <v>/</v>
      </c>
      <c r="E94" s="109">
        <f ca="1">IF(表2_367162629303891213141516[[#This Row],[累计净值]]/MAX(INDIRECT("B21:B" &amp; ROW()))-1&lt;E93,表2_367162629303891213141516[[#This Row],[累计净值]]/MAX(INDIRECT("B21:B" &amp; ROW()))-1,E93)</f>
        <v>-9.2879256965944235E-3</v>
      </c>
      <c r="F94" s="110">
        <f>表2_367162629303891213141516[[#This Row],[累计净值]]</f>
        <v>1.448</v>
      </c>
      <c r="G94" s="20">
        <f>IF(表2_367162629303891213141516[[#This Row],[累计净值]]&gt;1.217,0.7*(表2_367162629303891213141516[[#This Row],[累计净值]]-1.217)/1.217,(表2_367162629303891213141516[[#This Row],[累计净值]]-1.217)/1.217)</f>
        <v>0.13286770747740337</v>
      </c>
    </row>
    <row r="95" spans="1:7" x14ac:dyDescent="0.2">
      <c r="A95" s="15">
        <v>44057</v>
      </c>
      <c r="B95" s="112">
        <v>1.456</v>
      </c>
      <c r="C95" s="108">
        <f t="shared" si="21"/>
        <v>8.0000000000000071E-3</v>
      </c>
      <c r="D95" s="109" t="str">
        <f t="shared" si="22"/>
        <v>/</v>
      </c>
      <c r="E95" s="109">
        <f ca="1">IF(表2_367162629303891213141516[[#This Row],[累计净值]]/MAX(INDIRECT("B21:B" &amp; ROW()))-1&lt;E94,表2_367162629303891213141516[[#This Row],[累计净值]]/MAX(INDIRECT("B21:B" &amp; ROW()))-1,E94)</f>
        <v>-9.2879256965944235E-3</v>
      </c>
      <c r="F95" s="110">
        <f>表2_367162629303891213141516[[#This Row],[累计净值]]</f>
        <v>1.456</v>
      </c>
      <c r="G95" s="20">
        <f>IF(表2_367162629303891213141516[[#This Row],[累计净值]]&gt;1.217,0.7*(表2_367162629303891213141516[[#This Row],[累计净值]]-1.217)/1.217,(表2_367162629303891213141516[[#This Row],[累计净值]]-1.217)/1.217)</f>
        <v>0.13746918652423984</v>
      </c>
    </row>
    <row r="96" spans="1:7" x14ac:dyDescent="0.2">
      <c r="A96" s="15">
        <v>44060</v>
      </c>
      <c r="B96" s="112">
        <v>1.454</v>
      </c>
      <c r="C96" s="108">
        <f t="shared" si="21"/>
        <v>-2.0000000000000018E-3</v>
      </c>
      <c r="D96" s="109">
        <f t="shared" si="22"/>
        <v>-2.0000000000000018E-3</v>
      </c>
      <c r="E96" s="109">
        <f ca="1">IF(表2_367162629303891213141516[[#This Row],[累计净值]]/MAX(INDIRECT("B21:B" &amp; ROW()))-1&lt;E95,表2_367162629303891213141516[[#This Row],[累计净值]]/MAX(INDIRECT("B21:B" &amp; ROW()))-1,E95)</f>
        <v>-9.2879256965944235E-3</v>
      </c>
      <c r="F96" s="110">
        <f>表2_367162629303891213141516[[#This Row],[累计净值]]</f>
        <v>1.454</v>
      </c>
      <c r="G96" s="20">
        <f>IF(表2_367162629303891213141516[[#This Row],[累计净值]]&gt;1.217,0.7*(表2_367162629303891213141516[[#This Row],[累计净值]]-1.217)/1.217,(表2_367162629303891213141516[[#This Row],[累计净值]]-1.217)/1.217)</f>
        <v>0.13631881676253074</v>
      </c>
    </row>
    <row r="97" spans="1:7" x14ac:dyDescent="0.2">
      <c r="A97" s="15">
        <v>44061</v>
      </c>
      <c r="B97" s="112">
        <v>1.4570000000000001</v>
      </c>
      <c r="C97" s="108">
        <f t="shared" si="21"/>
        <v>3.0000000000001137E-3</v>
      </c>
      <c r="D97" s="109" t="str">
        <f t="shared" si="22"/>
        <v>/</v>
      </c>
      <c r="E97" s="109">
        <f ca="1">IF(表2_367162629303891213141516[[#This Row],[累计净值]]/MAX(INDIRECT("B21:B" &amp; ROW()))-1&lt;E96,表2_367162629303891213141516[[#This Row],[累计净值]]/MAX(INDIRECT("B21:B" &amp; ROW()))-1,E96)</f>
        <v>-9.2879256965944235E-3</v>
      </c>
      <c r="F97" s="110">
        <f>表2_367162629303891213141516[[#This Row],[累计净值]]</f>
        <v>1.4570000000000001</v>
      </c>
      <c r="G97" s="20">
        <f>IF(表2_367162629303891213141516[[#This Row],[累计净值]]&gt;1.217,0.7*(表2_367162629303891213141516[[#This Row],[累计净值]]-1.217)/1.217,(表2_367162629303891213141516[[#This Row],[累计净值]]-1.217)/1.217)</f>
        <v>0.13804437140509448</v>
      </c>
    </row>
    <row r="98" spans="1:7" x14ac:dyDescent="0.2">
      <c r="A98" s="15">
        <v>44062</v>
      </c>
      <c r="B98" s="112">
        <v>1.4650000000000001</v>
      </c>
      <c r="C98" s="108">
        <f t="shared" si="21"/>
        <v>8.0000000000000071E-3</v>
      </c>
      <c r="D98" s="109" t="str">
        <f t="shared" si="22"/>
        <v>/</v>
      </c>
      <c r="E98" s="109">
        <f ca="1">IF(表2_367162629303891213141516[[#This Row],[累计净值]]/MAX(INDIRECT("B21:B" &amp; ROW()))-1&lt;E97,表2_367162629303891213141516[[#This Row],[累计净值]]/MAX(INDIRECT("B21:B" &amp; ROW()))-1,E97)</f>
        <v>-9.2879256965944235E-3</v>
      </c>
      <c r="F98" s="110">
        <f>表2_367162629303891213141516[[#This Row],[累计净值]]</f>
        <v>1.4650000000000001</v>
      </c>
      <c r="G98" s="20">
        <f>IF(表2_367162629303891213141516[[#This Row],[累计净值]]&gt;1.217,0.7*(表2_367162629303891213141516[[#This Row],[累计净值]]-1.217)/1.217,(表2_367162629303891213141516[[#This Row],[累计净值]]-1.217)/1.217)</f>
        <v>0.14264585045193096</v>
      </c>
    </row>
    <row r="99" spans="1:7" x14ac:dyDescent="0.2">
      <c r="A99" s="15">
        <v>44063</v>
      </c>
      <c r="B99" s="112">
        <v>1.4650000000000001</v>
      </c>
      <c r="C99" s="108">
        <f t="shared" ref="C99:C105" si="23">IFERROR(B99-B98,0)</f>
        <v>0</v>
      </c>
      <c r="D99" s="109" t="str">
        <f t="shared" ref="D99:D105" si="24">IF(C99&lt;0,C99,"/")</f>
        <v>/</v>
      </c>
      <c r="E99" s="109">
        <f ca="1">IF(表2_367162629303891213141516[[#This Row],[累计净值]]/MAX(INDIRECT("B21:B" &amp; ROW()))-1&lt;E98,表2_367162629303891213141516[[#This Row],[累计净值]]/MAX(INDIRECT("B21:B" &amp; ROW()))-1,E98)</f>
        <v>-9.2879256965944235E-3</v>
      </c>
      <c r="F99" s="110">
        <f>表2_367162629303891213141516[[#This Row],[累计净值]]</f>
        <v>1.4650000000000001</v>
      </c>
      <c r="G99" s="20">
        <f>IF(表2_367162629303891213141516[[#This Row],[累计净值]]&gt;1.217,0.7*(表2_367162629303891213141516[[#This Row],[累计净值]]-1.217)/1.217,(表2_367162629303891213141516[[#This Row],[累计净值]]-1.217)/1.217)</f>
        <v>0.14264585045193096</v>
      </c>
    </row>
    <row r="100" spans="1:7" x14ac:dyDescent="0.2">
      <c r="A100" s="15">
        <v>44064</v>
      </c>
      <c r="B100" s="112">
        <v>1.4690000000000001</v>
      </c>
      <c r="C100" s="108">
        <f t="shared" si="23"/>
        <v>4.0000000000000036E-3</v>
      </c>
      <c r="D100" s="109" t="str">
        <f t="shared" si="24"/>
        <v>/</v>
      </c>
      <c r="E100" s="109">
        <f ca="1">IF(表2_367162629303891213141516[[#This Row],[累计净值]]/MAX(INDIRECT("B21:B" &amp; ROW()))-1&lt;E99,表2_367162629303891213141516[[#This Row],[累计净值]]/MAX(INDIRECT("B21:B" &amp; ROW()))-1,E99)</f>
        <v>-9.2879256965944235E-3</v>
      </c>
      <c r="F100" s="110">
        <f>表2_367162629303891213141516[[#This Row],[累计净值]]</f>
        <v>1.4690000000000001</v>
      </c>
      <c r="G100" s="20">
        <f>IF(表2_367162629303891213141516[[#This Row],[累计净值]]&gt;1.217,0.7*(表2_367162629303891213141516[[#This Row],[累计净值]]-1.217)/1.217,(表2_367162629303891213141516[[#This Row],[累计净值]]-1.217)/1.217)</f>
        <v>0.1449465899753492</v>
      </c>
    </row>
    <row r="101" spans="1:7" x14ac:dyDescent="0.2">
      <c r="A101" s="15">
        <v>44067</v>
      </c>
      <c r="B101" s="112">
        <v>1.478</v>
      </c>
      <c r="C101" s="108">
        <f t="shared" si="23"/>
        <v>8.999999999999897E-3</v>
      </c>
      <c r="D101" s="109" t="str">
        <f t="shared" si="24"/>
        <v>/</v>
      </c>
      <c r="E101" s="109">
        <f ca="1">IF(表2_367162629303891213141516[[#This Row],[累计净值]]/MAX(INDIRECT("B21:B" &amp; ROW()))-1&lt;E100,表2_367162629303891213141516[[#This Row],[累计净值]]/MAX(INDIRECT("B21:B" &amp; ROW()))-1,E100)</f>
        <v>-9.2879256965944235E-3</v>
      </c>
      <c r="F101" s="110">
        <f>表2_367162629303891213141516[[#This Row],[累计净值]]</f>
        <v>1.478</v>
      </c>
      <c r="G101" s="20">
        <f>IF(表2_367162629303891213141516[[#This Row],[累计净值]]&gt;1.217,0.7*(表2_367162629303891213141516[[#This Row],[累计净值]]-1.217)/1.217,(表2_367162629303891213141516[[#This Row],[累计净值]]-1.217)/1.217)</f>
        <v>0.15012325390304018</v>
      </c>
    </row>
    <row r="102" spans="1:7" x14ac:dyDescent="0.2">
      <c r="A102" s="15">
        <v>44068</v>
      </c>
      <c r="B102" s="112">
        <v>1.4810000000000001</v>
      </c>
      <c r="C102" s="108">
        <f t="shared" si="23"/>
        <v>3.0000000000001137E-3</v>
      </c>
      <c r="D102" s="109" t="str">
        <f t="shared" si="24"/>
        <v>/</v>
      </c>
      <c r="E102" s="109">
        <f ca="1">IF(表2_367162629303891213141516[[#This Row],[累计净值]]/MAX(INDIRECT("B21:B" &amp; ROW()))-1&lt;E101,表2_367162629303891213141516[[#This Row],[累计净值]]/MAX(INDIRECT("B21:B" &amp; ROW()))-1,E101)</f>
        <v>-9.2879256965944235E-3</v>
      </c>
      <c r="F102" s="110">
        <f>表2_367162629303891213141516[[#This Row],[累计净值]]</f>
        <v>1.4810000000000001</v>
      </c>
      <c r="G102" s="20">
        <f>IF(表2_367162629303891213141516[[#This Row],[累计净值]]&gt;1.217,0.7*(表2_367162629303891213141516[[#This Row],[累计净值]]-1.217)/1.217,(表2_367162629303891213141516[[#This Row],[累计净值]]-1.217)/1.217)</f>
        <v>0.15184880854560392</v>
      </c>
    </row>
    <row r="103" spans="1:7" x14ac:dyDescent="0.2">
      <c r="A103" s="15">
        <v>44069</v>
      </c>
      <c r="B103" s="112">
        <v>1.484</v>
      </c>
      <c r="C103" s="108">
        <f t="shared" si="23"/>
        <v>2.9999999999998916E-3</v>
      </c>
      <c r="D103" s="109" t="str">
        <f t="shared" si="24"/>
        <v>/</v>
      </c>
      <c r="E103" s="109">
        <f ca="1">IF(表2_367162629303891213141516[[#This Row],[累计净值]]/MAX(INDIRECT("B21:B" &amp; ROW()))-1&lt;E102,表2_367162629303891213141516[[#This Row],[累计净值]]/MAX(INDIRECT("B21:B" &amp; ROW()))-1,E102)</f>
        <v>-9.2879256965944235E-3</v>
      </c>
      <c r="F103" s="110">
        <f>表2_367162629303891213141516[[#This Row],[累计净值]]</f>
        <v>1.484</v>
      </c>
      <c r="G103" s="20">
        <f>IF(表2_367162629303891213141516[[#This Row],[累计净值]]&gt;1.217,0.7*(表2_367162629303891213141516[[#This Row],[累计净值]]-1.217)/1.217,(表2_367162629303891213141516[[#This Row],[累计净值]]-1.217)/1.217)</f>
        <v>0.15357436318816756</v>
      </c>
    </row>
    <row r="104" spans="1:7" x14ac:dyDescent="0.2">
      <c r="A104" s="15">
        <v>44070</v>
      </c>
      <c r="B104" s="112">
        <v>1.4870000000000001</v>
      </c>
      <c r="C104" s="108">
        <f t="shared" si="23"/>
        <v>3.0000000000001137E-3</v>
      </c>
      <c r="D104" s="109" t="str">
        <f t="shared" si="24"/>
        <v>/</v>
      </c>
      <c r="E104" s="109">
        <f ca="1">IF(表2_367162629303891213141516[[#This Row],[累计净值]]/MAX(INDIRECT("B21:B" &amp; ROW()))-1&lt;E103,表2_367162629303891213141516[[#This Row],[累计净值]]/MAX(INDIRECT("B21:B" &amp; ROW()))-1,E103)</f>
        <v>-9.2879256965944235E-3</v>
      </c>
      <c r="F104" s="110">
        <f>表2_367162629303891213141516[[#This Row],[累计净值]]</f>
        <v>1.4870000000000001</v>
      </c>
      <c r="G104" s="20">
        <f>IF(表2_367162629303891213141516[[#This Row],[累计净值]]&gt;1.217,0.7*(表2_367162629303891213141516[[#This Row],[累计净值]]-1.217)/1.217,(表2_367162629303891213141516[[#This Row],[累计净值]]-1.217)/1.217)</f>
        <v>0.1552999178307313</v>
      </c>
    </row>
    <row r="105" spans="1:7" x14ac:dyDescent="0.2">
      <c r="A105" s="15">
        <v>44071</v>
      </c>
      <c r="B105" s="112">
        <v>1.4930000000000001</v>
      </c>
      <c r="C105" s="108">
        <f t="shared" si="23"/>
        <v>6.0000000000000053E-3</v>
      </c>
      <c r="D105" s="109" t="str">
        <f t="shared" si="24"/>
        <v>/</v>
      </c>
      <c r="E105" s="109">
        <f ca="1">IF(表2_367162629303891213141516[[#This Row],[累计净值]]/MAX(INDIRECT("B21:B" &amp; ROW()))-1&lt;E104,表2_367162629303891213141516[[#This Row],[累计净值]]/MAX(INDIRECT("B21:B" &amp; ROW()))-1,E104)</f>
        <v>-9.2879256965944235E-3</v>
      </c>
      <c r="F105" s="110">
        <f>表2_367162629303891213141516[[#This Row],[累计净值]]</f>
        <v>1.4930000000000001</v>
      </c>
      <c r="G105" s="20">
        <f>IF(表2_367162629303891213141516[[#This Row],[累计净值]]&gt;1.217,0.7*(表2_367162629303891213141516[[#This Row],[累计净值]]-1.217)/1.217,(表2_367162629303891213141516[[#This Row],[累计净值]]-1.217)/1.217)</f>
        <v>0.15875102711585867</v>
      </c>
    </row>
    <row r="106" spans="1:7" x14ac:dyDescent="0.2">
      <c r="A106" s="15">
        <v>44074</v>
      </c>
      <c r="B106" s="112">
        <v>1.4990000000000001</v>
      </c>
      <c r="C106" s="108">
        <f t="shared" ref="C106:C112" si="25">IFERROR(B106-B105,0)</f>
        <v>6.0000000000000053E-3</v>
      </c>
      <c r="D106" s="109" t="str">
        <f t="shared" ref="D106:D112" si="26">IF(C106&lt;0,C106,"/")</f>
        <v>/</v>
      </c>
      <c r="E106" s="109">
        <f ca="1">IF(表2_367162629303891213141516[[#This Row],[累计净值]]/MAX(INDIRECT("B21:B" &amp; ROW()))-1&lt;E105,表2_367162629303891213141516[[#This Row],[累计净值]]/MAX(INDIRECT("B21:B" &amp; ROW()))-1,E105)</f>
        <v>-9.2879256965944235E-3</v>
      </c>
      <c r="F106" s="110">
        <f>表2_367162629303891213141516[[#This Row],[累计净值]]</f>
        <v>1.4990000000000001</v>
      </c>
      <c r="G106" s="20">
        <f>IF(表2_367162629303891213141516[[#This Row],[累计净值]]&gt;1.217,0.7*(表2_367162629303891213141516[[#This Row],[累计净值]]-1.217)/1.217,(表2_367162629303891213141516[[#This Row],[累计净值]]-1.217)/1.217)</f>
        <v>0.16220213640098605</v>
      </c>
    </row>
    <row r="107" spans="1:7" x14ac:dyDescent="0.2">
      <c r="A107" s="15">
        <v>44075</v>
      </c>
      <c r="B107" s="112">
        <v>1.494</v>
      </c>
      <c r="C107" s="108">
        <f t="shared" si="25"/>
        <v>-5.0000000000001155E-3</v>
      </c>
      <c r="D107" s="109">
        <f t="shared" si="26"/>
        <v>-5.0000000000001155E-3</v>
      </c>
      <c r="E107" s="109">
        <f ca="1">IF(表2_367162629303891213141516[[#This Row],[累计净值]]/MAX(INDIRECT("B21:B" &amp; ROW()))-1&lt;E106,表2_367162629303891213141516[[#This Row],[累计净值]]/MAX(INDIRECT("B21:B" &amp; ROW()))-1,E106)</f>
        <v>-9.2879256965944235E-3</v>
      </c>
      <c r="F107" s="110">
        <f>表2_367162629303891213141516[[#This Row],[累计净值]]</f>
        <v>1.494</v>
      </c>
      <c r="G107" s="20">
        <f>IF(表2_367162629303891213141516[[#This Row],[累计净值]]&gt;1.217,0.7*(表2_367162629303891213141516[[#This Row],[累计净值]]-1.217)/1.217,(表2_367162629303891213141516[[#This Row],[累计净值]]-1.217)/1.217)</f>
        <v>0.15932621199671315</v>
      </c>
    </row>
    <row r="108" spans="1:7" x14ac:dyDescent="0.2">
      <c r="A108" s="9">
        <v>44076</v>
      </c>
      <c r="B108" s="190">
        <v>1.502</v>
      </c>
      <c r="C108" s="191">
        <f t="shared" si="25"/>
        <v>8.0000000000000071E-3</v>
      </c>
      <c r="D108" s="192" t="str">
        <f t="shared" si="26"/>
        <v>/</v>
      </c>
      <c r="E108" s="192">
        <f ca="1">IF(表2_367162629303891213141516[[#This Row],[累计净值]]/MAX(INDIRECT("B21:B" &amp; ROW()))-1&lt;E107,表2_367162629303891213141516[[#This Row],[累计净值]]/MAX(INDIRECT("B21:B" &amp; ROW()))-1,E107)</f>
        <v>-9.2879256965944235E-3</v>
      </c>
      <c r="F108" s="193">
        <f>表2_367162629303891213141516[[#This Row],[累计净值]]</f>
        <v>1.502</v>
      </c>
      <c r="G108" s="82">
        <f>IF(表2_367162629303891213141516[[#This Row],[累计净值]]&gt;1.217,0.7*(表2_367162629303891213141516[[#This Row],[累计净值]]-1.217)/1.217,(表2_367162629303891213141516[[#This Row],[累计净值]]-1.217)/1.217)</f>
        <v>0.16392769104354965</v>
      </c>
    </row>
    <row r="109" spans="1:7" x14ac:dyDescent="0.2">
      <c r="A109" s="15">
        <v>44077</v>
      </c>
      <c r="B109" s="112">
        <v>1.498</v>
      </c>
      <c r="C109" s="108">
        <f t="shared" si="25"/>
        <v>-4.0000000000000036E-3</v>
      </c>
      <c r="D109" s="109">
        <f t="shared" si="26"/>
        <v>-4.0000000000000036E-3</v>
      </c>
      <c r="E109" s="109">
        <f ca="1">IF(表2_367162629303891213141516[[#This Row],[累计净值]]/MAX(INDIRECT("B21:B" &amp; ROW()))-1&lt;E108,表2_367162629303891213141516[[#This Row],[累计净值]]/MAX(INDIRECT("B21:B" &amp; ROW()))-1,E108)</f>
        <v>-9.2879256965944235E-3</v>
      </c>
      <c r="F109" s="110">
        <f>表2_367162629303891213141516[[#This Row],[累计净值]]</f>
        <v>1.498</v>
      </c>
      <c r="G109" s="20">
        <f>IF(表2_367162629303891213141516[[#This Row],[累计净值]]&gt;1.217,0.7*(表2_367162629303891213141516[[#This Row],[累计净值]]-1.217)/1.217,(表2_367162629303891213141516[[#This Row],[累计净值]]-1.217)/1.217)</f>
        <v>0.1616269515201314</v>
      </c>
    </row>
    <row r="110" spans="1:7" x14ac:dyDescent="0.2">
      <c r="A110" s="15">
        <v>44078</v>
      </c>
      <c r="B110" s="112">
        <v>1.502</v>
      </c>
      <c r="C110" s="108">
        <f t="shared" si="25"/>
        <v>4.0000000000000036E-3</v>
      </c>
      <c r="D110" s="109" t="str">
        <f t="shared" si="26"/>
        <v>/</v>
      </c>
      <c r="E110" s="109">
        <f ca="1">IF(表2_367162629303891213141516[[#This Row],[累计净值]]/MAX(INDIRECT("B21:B" &amp; ROW()))-1&lt;E109,表2_367162629303891213141516[[#This Row],[累计净值]]/MAX(INDIRECT("B21:B" &amp; ROW()))-1,E109)</f>
        <v>-9.2879256965944235E-3</v>
      </c>
      <c r="F110" s="110">
        <f>表2_367162629303891213141516[[#This Row],[累计净值]]</f>
        <v>1.502</v>
      </c>
      <c r="G110" s="20">
        <f>IF(表2_367162629303891213141516[[#This Row],[累计净值]]&gt;1.217,0.7*(表2_367162629303891213141516[[#This Row],[累计净值]]-1.217)/1.217,(表2_367162629303891213141516[[#This Row],[累计净值]]-1.217)/1.217)</f>
        <v>0.16392769104354965</v>
      </c>
    </row>
    <row r="111" spans="1:7" x14ac:dyDescent="0.2">
      <c r="A111" s="15">
        <v>44081</v>
      </c>
      <c r="B111" s="112">
        <v>1.5069999999999999</v>
      </c>
      <c r="C111" s="108">
        <f t="shared" si="25"/>
        <v>4.9999999999998934E-3</v>
      </c>
      <c r="D111" s="109" t="str">
        <f t="shared" si="26"/>
        <v>/</v>
      </c>
      <c r="E111" s="109">
        <f ca="1">IF(表2_367162629303891213141516[[#This Row],[累计净值]]/MAX(INDIRECT("B21:B" &amp; ROW()))-1&lt;E110,表2_367162629303891213141516[[#This Row],[累计净值]]/MAX(INDIRECT("B21:B" &amp; ROW()))-1,E110)</f>
        <v>-9.2879256965944235E-3</v>
      </c>
      <c r="F111" s="110">
        <f>表2_367162629303891213141516[[#This Row],[累计净值]]</f>
        <v>1.5069999999999999</v>
      </c>
      <c r="G111" s="20">
        <f>IF(表2_367162629303891213141516[[#This Row],[累计净值]]&gt;1.217,0.7*(表2_367162629303891213141516[[#This Row],[累计净值]]-1.217)/1.217,(表2_367162629303891213141516[[#This Row],[累计净值]]-1.217)/1.217)</f>
        <v>0.16680361544782238</v>
      </c>
    </row>
    <row r="112" spans="1:7" x14ac:dyDescent="0.2">
      <c r="A112" s="15">
        <v>44082</v>
      </c>
      <c r="B112" s="112">
        <v>1.506</v>
      </c>
      <c r="C112" s="108">
        <f t="shared" si="25"/>
        <v>-9.9999999999988987E-4</v>
      </c>
      <c r="D112" s="109">
        <f t="shared" si="26"/>
        <v>-9.9999999999988987E-4</v>
      </c>
      <c r="E112" s="109">
        <f ca="1">IF(表2_367162629303891213141516[[#This Row],[累计净值]]/MAX(INDIRECT("B21:B" &amp; ROW()))-1&lt;E111,表2_367162629303891213141516[[#This Row],[累计净值]]/MAX(INDIRECT("B21:B" &amp; ROW()))-1,E111)</f>
        <v>-9.2879256965944235E-3</v>
      </c>
      <c r="F112" s="110">
        <f>表2_367162629303891213141516[[#This Row],[累计净值]]</f>
        <v>1.506</v>
      </c>
      <c r="G112" s="20">
        <f>IF(表2_367162629303891213141516[[#This Row],[累计净值]]&gt;1.217,0.7*(表2_367162629303891213141516[[#This Row],[累计净值]]-1.217)/1.217,(表2_367162629303891213141516[[#This Row],[累计净值]]-1.217)/1.217)</f>
        <v>0.16622843056696787</v>
      </c>
    </row>
    <row r="113" spans="1:7" x14ac:dyDescent="0.2">
      <c r="A113" s="15">
        <v>44083</v>
      </c>
      <c r="B113" s="112">
        <v>1.5069999999999999</v>
      </c>
      <c r="C113" s="108">
        <f t="shared" ref="C113:C119" si="27">IFERROR(B113-B112,0)</f>
        <v>9.9999999999988987E-4</v>
      </c>
      <c r="D113" s="109" t="str">
        <f t="shared" ref="D113:D119" si="28">IF(C113&lt;0,C113,"/")</f>
        <v>/</v>
      </c>
      <c r="E113" s="109">
        <f ca="1">IF(表2_367162629303891213141516[[#This Row],[累计净值]]/MAX(INDIRECT("B21:B" &amp; ROW()))-1&lt;E112,表2_367162629303891213141516[[#This Row],[累计净值]]/MAX(INDIRECT("B21:B" &amp; ROW()))-1,E112)</f>
        <v>-9.2879256965944235E-3</v>
      </c>
      <c r="F113" s="110">
        <f>表2_367162629303891213141516[[#This Row],[累计净值]]</f>
        <v>1.5069999999999999</v>
      </c>
      <c r="G113" s="20">
        <f>IF(表2_367162629303891213141516[[#This Row],[累计净值]]&gt;1.217,0.7*(表2_367162629303891213141516[[#This Row],[累计净值]]-1.217)/1.217,(表2_367162629303891213141516[[#This Row],[累计净值]]-1.217)/1.217)</f>
        <v>0.16680361544782238</v>
      </c>
    </row>
    <row r="114" spans="1:7" x14ac:dyDescent="0.2">
      <c r="A114" s="15">
        <v>44084</v>
      </c>
      <c r="B114" s="112">
        <v>1.5129999999999999</v>
      </c>
      <c r="C114" s="108">
        <f t="shared" si="27"/>
        <v>6.0000000000000053E-3</v>
      </c>
      <c r="D114" s="109" t="str">
        <f t="shared" si="28"/>
        <v>/</v>
      </c>
      <c r="E114" s="109">
        <f ca="1">IF(表2_367162629303891213141516[[#This Row],[累计净值]]/MAX(INDIRECT("B21:B" &amp; ROW()))-1&lt;E113,表2_367162629303891213141516[[#This Row],[累计净值]]/MAX(INDIRECT("B21:B" &amp; ROW()))-1,E113)</f>
        <v>-9.2879256965944235E-3</v>
      </c>
      <c r="F114" s="110">
        <f>表2_367162629303891213141516[[#This Row],[累计净值]]</f>
        <v>1.5129999999999999</v>
      </c>
      <c r="G114" s="20">
        <f>IF(表2_367162629303891213141516[[#This Row],[累计净值]]&gt;1.217,0.7*(表2_367162629303891213141516[[#This Row],[累计净值]]-1.217)/1.217,(表2_367162629303891213141516[[#This Row],[累计净值]]-1.217)/1.217)</f>
        <v>0.17025472473294975</v>
      </c>
    </row>
    <row r="115" spans="1:7" x14ac:dyDescent="0.2">
      <c r="A115" s="15">
        <v>44085</v>
      </c>
      <c r="B115" s="112">
        <v>1.5129999999999999</v>
      </c>
      <c r="C115" s="108">
        <f t="shared" si="27"/>
        <v>0</v>
      </c>
      <c r="D115" s="109" t="str">
        <f t="shared" si="28"/>
        <v>/</v>
      </c>
      <c r="E115" s="109">
        <f ca="1">IF(表2_367162629303891213141516[[#This Row],[累计净值]]/MAX(INDIRECT("B21:B" &amp; ROW()))-1&lt;E114,表2_367162629303891213141516[[#This Row],[累计净值]]/MAX(INDIRECT("B21:B" &amp; ROW()))-1,E114)</f>
        <v>-9.2879256965944235E-3</v>
      </c>
      <c r="F115" s="110">
        <f>表2_367162629303891213141516[[#This Row],[累计净值]]</f>
        <v>1.5129999999999999</v>
      </c>
      <c r="G115" s="20">
        <f>IF(表2_367162629303891213141516[[#This Row],[累计净值]]&gt;1.217,0.7*(表2_367162629303891213141516[[#This Row],[累计净值]]-1.217)/1.217,(表2_367162629303891213141516[[#This Row],[累计净值]]-1.217)/1.217)</f>
        <v>0.17025472473294975</v>
      </c>
    </row>
    <row r="116" spans="1:7" x14ac:dyDescent="0.2">
      <c r="A116" s="15">
        <v>44088</v>
      </c>
      <c r="B116" s="112">
        <v>1.5189999999999999</v>
      </c>
      <c r="C116" s="108">
        <f t="shared" si="27"/>
        <v>6.0000000000000053E-3</v>
      </c>
      <c r="D116" s="109" t="str">
        <f t="shared" si="28"/>
        <v>/</v>
      </c>
      <c r="E116" s="109">
        <f ca="1">IF(表2_367162629303891213141516[[#This Row],[累计净值]]/MAX(INDIRECT("B21:B" &amp; ROW()))-1&lt;E115,表2_367162629303891213141516[[#This Row],[累计净值]]/MAX(INDIRECT("B21:B" &amp; ROW()))-1,E115)</f>
        <v>-9.2879256965944235E-3</v>
      </c>
      <c r="F116" s="110">
        <f>表2_367162629303891213141516[[#This Row],[累计净值]]</f>
        <v>1.5189999999999999</v>
      </c>
      <c r="G116" s="20">
        <f>IF(表2_367162629303891213141516[[#This Row],[累计净值]]&gt;1.217,0.7*(表2_367162629303891213141516[[#This Row],[累计净值]]-1.217)/1.217,(表2_367162629303891213141516[[#This Row],[累计净值]]-1.217)/1.217)</f>
        <v>0.17370583401807713</v>
      </c>
    </row>
    <row r="117" spans="1:7" x14ac:dyDescent="0.2">
      <c r="A117" s="15">
        <v>44089</v>
      </c>
      <c r="B117" s="112">
        <v>1.522</v>
      </c>
      <c r="C117" s="108">
        <f t="shared" si="27"/>
        <v>3.0000000000001137E-3</v>
      </c>
      <c r="D117" s="109" t="str">
        <f t="shared" si="28"/>
        <v>/</v>
      </c>
      <c r="E117" s="109">
        <f ca="1">IF(表2_367162629303891213141516[[#This Row],[累计净值]]/MAX(INDIRECT("B21:B" &amp; ROW()))-1&lt;E116,表2_367162629303891213141516[[#This Row],[累计净值]]/MAX(INDIRECT("B21:B" &amp; ROW()))-1,E116)</f>
        <v>-9.2879256965944235E-3</v>
      </c>
      <c r="F117" s="110">
        <f>表2_367162629303891213141516[[#This Row],[累计净值]]</f>
        <v>1.522</v>
      </c>
      <c r="G117" s="20">
        <f>IF(表2_367162629303891213141516[[#This Row],[累计净值]]&gt;1.217,0.7*(表2_367162629303891213141516[[#This Row],[累计净值]]-1.217)/1.217,(表2_367162629303891213141516[[#This Row],[累计净值]]-1.217)/1.217)</f>
        <v>0.17543138866064087</v>
      </c>
    </row>
    <row r="118" spans="1:7" x14ac:dyDescent="0.2">
      <c r="A118" s="15">
        <v>44090</v>
      </c>
      <c r="B118" s="112">
        <v>1.5229999999999999</v>
      </c>
      <c r="C118" s="108">
        <f t="shared" si="27"/>
        <v>9.9999999999988987E-4</v>
      </c>
      <c r="D118" s="109" t="str">
        <f t="shared" si="28"/>
        <v>/</v>
      </c>
      <c r="E118" s="109">
        <f ca="1">IF(表2_367162629303891213141516[[#This Row],[累计净值]]/MAX(INDIRECT("B21:B" &amp; ROW()))-1&lt;E117,表2_367162629303891213141516[[#This Row],[累计净值]]/MAX(INDIRECT("B21:B" &amp; ROW()))-1,E117)</f>
        <v>-9.2879256965944235E-3</v>
      </c>
      <c r="F118" s="110">
        <f>表2_367162629303891213141516[[#This Row],[累计净值]]</f>
        <v>1.5229999999999999</v>
      </c>
      <c r="G118" s="20">
        <f>IF(表2_367162629303891213141516[[#This Row],[累计净值]]&gt;1.217,0.7*(表2_367162629303891213141516[[#This Row],[累计净值]]-1.217)/1.217,(表2_367162629303891213141516[[#This Row],[累计净值]]-1.217)/1.217)</f>
        <v>0.17600657354149535</v>
      </c>
    </row>
    <row r="119" spans="1:7" x14ac:dyDescent="0.2">
      <c r="A119" s="15">
        <v>44091</v>
      </c>
      <c r="B119" s="112">
        <v>1.5289999999999999</v>
      </c>
      <c r="C119" s="108">
        <f t="shared" si="27"/>
        <v>6.0000000000000053E-3</v>
      </c>
      <c r="D119" s="109" t="str">
        <f t="shared" si="28"/>
        <v>/</v>
      </c>
      <c r="E119" s="109">
        <f ca="1">IF(表2_367162629303891213141516[[#This Row],[累计净值]]/MAX(INDIRECT("B21:B" &amp; ROW()))-1&lt;E118,表2_367162629303891213141516[[#This Row],[累计净值]]/MAX(INDIRECT("B21:B" &amp; ROW()))-1,E118)</f>
        <v>-9.2879256965944235E-3</v>
      </c>
      <c r="F119" s="110">
        <f>表2_367162629303891213141516[[#This Row],[累计净值]]</f>
        <v>1.5289999999999999</v>
      </c>
      <c r="G119" s="20">
        <f>IF(表2_367162629303891213141516[[#This Row],[累计净值]]&gt;1.217,0.7*(表2_367162629303891213141516[[#This Row],[累计净值]]-1.217)/1.217,(表2_367162629303891213141516[[#This Row],[累计净值]]-1.217)/1.217)</f>
        <v>0.17945768282662272</v>
      </c>
    </row>
    <row r="120" spans="1:7" x14ac:dyDescent="0.2">
      <c r="A120" s="15">
        <v>44092</v>
      </c>
      <c r="B120" s="112">
        <v>1.5289999999999999</v>
      </c>
      <c r="C120" s="108">
        <f t="shared" ref="C120:C125" si="29">IFERROR(B120-B119,0)</f>
        <v>0</v>
      </c>
      <c r="D120" s="109" t="str">
        <f t="shared" ref="D120:D125" si="30">IF(C120&lt;0,C120,"/")</f>
        <v>/</v>
      </c>
      <c r="E120" s="109">
        <f ca="1">IF(表2_367162629303891213141516[[#This Row],[累计净值]]/MAX(INDIRECT("B21:B" &amp; ROW()))-1&lt;E119,表2_367162629303891213141516[[#This Row],[累计净值]]/MAX(INDIRECT("B21:B" &amp; ROW()))-1,E119)</f>
        <v>-9.2879256965944235E-3</v>
      </c>
      <c r="F120" s="110">
        <f>表2_367162629303891213141516[[#This Row],[累计净值]]</f>
        <v>1.5289999999999999</v>
      </c>
      <c r="G120" s="20">
        <f>IF(表2_367162629303891213141516[[#This Row],[累计净值]]&gt;1.217,0.7*(表2_367162629303891213141516[[#This Row],[累计净值]]-1.217)/1.217,(表2_367162629303891213141516[[#This Row],[累计净值]]-1.217)/1.217)</f>
        <v>0.17945768282662272</v>
      </c>
    </row>
    <row r="121" spans="1:7" x14ac:dyDescent="0.2">
      <c r="A121" s="15">
        <v>44095</v>
      </c>
      <c r="B121" s="112">
        <v>1.5309999999999999</v>
      </c>
      <c r="C121" s="108">
        <f t="shared" si="29"/>
        <v>2.0000000000000018E-3</v>
      </c>
      <c r="D121" s="109" t="str">
        <f t="shared" si="30"/>
        <v>/</v>
      </c>
      <c r="E121" s="109">
        <f ca="1">IF(表2_367162629303891213141516[[#This Row],[累计净值]]/MAX(INDIRECT("B21:B" &amp; ROW()))-1&lt;E120,表2_367162629303891213141516[[#This Row],[累计净值]]/MAX(INDIRECT("B21:B" &amp; ROW()))-1,E120)</f>
        <v>-9.2879256965944235E-3</v>
      </c>
      <c r="F121" s="110">
        <f>表2_367162629303891213141516[[#This Row],[累计净值]]</f>
        <v>1.5309999999999999</v>
      </c>
      <c r="G121" s="20">
        <f>IF(表2_367162629303891213141516[[#This Row],[累计净值]]&gt;1.217,0.7*(表2_367162629303891213141516[[#This Row],[累计净值]]-1.217)/1.217,(表2_367162629303891213141516[[#This Row],[累计净值]]-1.217)/1.217)</f>
        <v>0.18060805258833185</v>
      </c>
    </row>
    <row r="122" spans="1:7" x14ac:dyDescent="0.2">
      <c r="A122" s="15">
        <v>44096</v>
      </c>
      <c r="B122" s="112">
        <v>1.5329999999999999</v>
      </c>
      <c r="C122" s="108">
        <f t="shared" si="29"/>
        <v>2.0000000000000018E-3</v>
      </c>
      <c r="D122" s="109" t="str">
        <f t="shared" si="30"/>
        <v>/</v>
      </c>
      <c r="E122" s="109">
        <f ca="1">IF(表2_367162629303891213141516[[#This Row],[累计净值]]/MAX(INDIRECT("B21:B" &amp; ROW()))-1&lt;E121,表2_367162629303891213141516[[#This Row],[累计净值]]/MAX(INDIRECT("B21:B" &amp; ROW()))-1,E121)</f>
        <v>-9.2879256965944235E-3</v>
      </c>
      <c r="F122" s="110">
        <f>表2_367162629303891213141516[[#This Row],[累计净值]]</f>
        <v>1.5329999999999999</v>
      </c>
      <c r="G122" s="20">
        <f>IF(表2_367162629303891213141516[[#This Row],[累计净值]]&gt;1.217,0.7*(表2_367162629303891213141516[[#This Row],[累计净值]]-1.217)/1.217,(表2_367162629303891213141516[[#This Row],[累计净值]]-1.217)/1.217)</f>
        <v>0.18175842235004097</v>
      </c>
    </row>
    <row r="123" spans="1:7" x14ac:dyDescent="0.2">
      <c r="A123" s="15">
        <v>44097</v>
      </c>
      <c r="B123" s="112">
        <v>1.534</v>
      </c>
      <c r="C123" s="108">
        <f t="shared" si="29"/>
        <v>1.0000000000001119E-3</v>
      </c>
      <c r="D123" s="109" t="str">
        <f t="shared" si="30"/>
        <v>/</v>
      </c>
      <c r="E123" s="109">
        <f ca="1">IF(表2_367162629303891213141516[[#This Row],[累计净值]]/MAX(INDIRECT("B21:B" &amp; ROW()))-1&lt;E122,表2_367162629303891213141516[[#This Row],[累计净值]]/MAX(INDIRECT("B21:B" &amp; ROW()))-1,E122)</f>
        <v>-9.2879256965944235E-3</v>
      </c>
      <c r="F123" s="110">
        <f>表2_367162629303891213141516[[#This Row],[累计净值]]</f>
        <v>1.534</v>
      </c>
      <c r="G123" s="20">
        <f>IF(表2_367162629303891213141516[[#This Row],[累计净值]]&gt;1.217,0.7*(表2_367162629303891213141516[[#This Row],[累计净值]]-1.217)/1.217,(表2_367162629303891213141516[[#This Row],[累计净值]]-1.217)/1.217)</f>
        <v>0.18233360723089559</v>
      </c>
    </row>
    <row r="124" spans="1:7" x14ac:dyDescent="0.2">
      <c r="A124" s="15">
        <v>44098</v>
      </c>
      <c r="B124" s="112">
        <v>1.5369999999999999</v>
      </c>
      <c r="C124" s="108">
        <f t="shared" si="29"/>
        <v>2.9999999999998916E-3</v>
      </c>
      <c r="D124" s="109" t="str">
        <f t="shared" si="30"/>
        <v>/</v>
      </c>
      <c r="E124" s="109">
        <f ca="1">IF(表2_367162629303891213141516[[#This Row],[累计净值]]/MAX(INDIRECT("B21:B" &amp; ROW()))-1&lt;E123,表2_367162629303891213141516[[#This Row],[累计净值]]/MAX(INDIRECT("B21:B" &amp; ROW()))-1,E123)</f>
        <v>-9.2879256965944235E-3</v>
      </c>
      <c r="F124" s="110">
        <f>表2_367162629303891213141516[[#This Row],[累计净值]]</f>
        <v>1.5369999999999999</v>
      </c>
      <c r="G124" s="20">
        <f>IF(表2_367162629303891213141516[[#This Row],[累计净值]]&gt;1.217,0.7*(表2_367162629303891213141516[[#This Row],[累计净值]]-1.217)/1.217,(表2_367162629303891213141516[[#This Row],[累计净值]]-1.217)/1.217)</f>
        <v>0.18405916187345919</v>
      </c>
    </row>
    <row r="125" spans="1:7" x14ac:dyDescent="0.2">
      <c r="A125" s="15">
        <v>44099</v>
      </c>
      <c r="B125" s="112">
        <v>1.5349999999999999</v>
      </c>
      <c r="C125" s="108">
        <f t="shared" si="29"/>
        <v>-2.0000000000000018E-3</v>
      </c>
      <c r="D125" s="109">
        <f t="shared" si="30"/>
        <v>-2.0000000000000018E-3</v>
      </c>
      <c r="E125" s="109">
        <f ca="1">IF(表2_367162629303891213141516[[#This Row],[累计净值]]/MAX(INDIRECT("B21:B" &amp; ROW()))-1&lt;E124,表2_367162629303891213141516[[#This Row],[累计净值]]/MAX(INDIRECT("B21:B" &amp; ROW()))-1,E124)</f>
        <v>-9.2879256965944235E-3</v>
      </c>
      <c r="F125" s="110">
        <f>表2_367162629303891213141516[[#This Row],[累计净值]]</f>
        <v>1.5349999999999999</v>
      </c>
      <c r="G125" s="20">
        <f>IF(表2_367162629303891213141516[[#This Row],[累计净值]]&gt;1.217,0.7*(表2_367162629303891213141516[[#This Row],[累计净值]]-1.217)/1.217,(表2_367162629303891213141516[[#This Row],[累计净值]]-1.217)/1.217)</f>
        <v>0.1829087921117501</v>
      </c>
    </row>
    <row r="126" spans="1:7" x14ac:dyDescent="0.2">
      <c r="A126" s="15">
        <v>44102</v>
      </c>
      <c r="B126" s="112">
        <v>1.536</v>
      </c>
      <c r="C126" s="108">
        <f>IFERROR(B126-B125,0)</f>
        <v>1.0000000000001119E-3</v>
      </c>
      <c r="D126" s="109" t="str">
        <f>IF(C126&lt;0,C126,"/")</f>
        <v>/</v>
      </c>
      <c r="E126" s="109">
        <f ca="1">IF(表2_367162629303891213141516[[#This Row],[累计净值]]/MAX(INDIRECT("B21:B" &amp; ROW()))-1&lt;E125,表2_367162629303891213141516[[#This Row],[累计净值]]/MAX(INDIRECT("B21:B" &amp; ROW()))-1,E125)</f>
        <v>-9.2879256965944235E-3</v>
      </c>
      <c r="F126" s="110">
        <f>表2_367162629303891213141516[[#This Row],[累计净值]]</f>
        <v>1.536</v>
      </c>
      <c r="G126" s="20">
        <f>IF(表2_367162629303891213141516[[#This Row],[累计净值]]&gt;1.217,0.7*(表2_367162629303891213141516[[#This Row],[累计净值]]-1.217)/1.217,(表2_367162629303891213141516[[#This Row],[累计净值]]-1.217)/1.217)</f>
        <v>0.18348397699260471</v>
      </c>
    </row>
    <row r="127" spans="1:7" x14ac:dyDescent="0.2">
      <c r="A127" s="15">
        <v>44103</v>
      </c>
      <c r="B127" s="112">
        <v>1.5369999999999999</v>
      </c>
      <c r="C127" s="108">
        <f t="shared" ref="C127:C128" si="31">IFERROR(B127-B126,0)</f>
        <v>9.9999999999988987E-4</v>
      </c>
      <c r="D127" s="109" t="str">
        <f t="shared" ref="D127:D128" si="32">IF(C127&lt;0,C127,"/")</f>
        <v>/</v>
      </c>
      <c r="E127" s="109">
        <f ca="1">IF(表2_367162629303891213141516[[#This Row],[累计净值]]/MAX(INDIRECT("B21:B" &amp; ROW()))-1&lt;E126,表2_367162629303891213141516[[#This Row],[累计净值]]/MAX(INDIRECT("B21:B" &amp; ROW()))-1,E126)</f>
        <v>-9.2879256965944235E-3</v>
      </c>
      <c r="F127" s="110">
        <f>表2_367162629303891213141516[[#This Row],[累计净值]]</f>
        <v>1.5369999999999999</v>
      </c>
      <c r="G127" s="20">
        <f>IF(表2_367162629303891213141516[[#This Row],[累计净值]]&gt;1.217,0.7*(表2_367162629303891213141516[[#This Row],[累计净值]]-1.217)/1.217,(表2_367162629303891213141516[[#This Row],[累计净值]]-1.217)/1.217)</f>
        <v>0.18405916187345919</v>
      </c>
    </row>
    <row r="128" spans="1:7" x14ac:dyDescent="0.2">
      <c r="A128" s="15">
        <v>44104</v>
      </c>
      <c r="B128" s="112">
        <v>1.538</v>
      </c>
      <c r="C128" s="108">
        <f t="shared" si="31"/>
        <v>1.0000000000001119E-3</v>
      </c>
      <c r="D128" s="109" t="str">
        <f t="shared" si="32"/>
        <v>/</v>
      </c>
      <c r="E128" s="109">
        <f ca="1">IF(表2_367162629303891213141516[[#This Row],[累计净值]]/MAX(INDIRECT("B21:B" &amp; ROW()))-1&lt;E127,表2_367162629303891213141516[[#This Row],[累计净值]]/MAX(INDIRECT("B21:B" &amp; ROW()))-1,E127)</f>
        <v>-9.2879256965944235E-3</v>
      </c>
      <c r="F128" s="110">
        <f>表2_367162629303891213141516[[#This Row],[累计净值]]</f>
        <v>1.538</v>
      </c>
      <c r="G128" s="20">
        <f>IF(表2_367162629303891213141516[[#This Row],[累计净值]]&gt;1.217,0.7*(表2_367162629303891213141516[[#This Row],[累计净值]]-1.217)/1.217,(表2_367162629303891213141516[[#This Row],[累计净值]]-1.217)/1.217)</f>
        <v>0.18463434675431384</v>
      </c>
    </row>
    <row r="129" spans="1:7" x14ac:dyDescent="0.2">
      <c r="A129" s="15">
        <v>44113</v>
      </c>
      <c r="B129" s="112">
        <v>1.554</v>
      </c>
      <c r="C129" s="108">
        <f t="shared" ref="C129:C134" si="33">IFERROR(B129-B128,0)</f>
        <v>1.6000000000000014E-2</v>
      </c>
      <c r="D129" s="109" t="str">
        <f t="shared" ref="D129:D134" si="34">IF(C129&lt;0,C129,"/")</f>
        <v>/</v>
      </c>
      <c r="E129" s="109">
        <f ca="1">IF(表2_367162629303891213141516[[#This Row],[累计净值]]/MAX(INDIRECT("B21:B" &amp; ROW()))-1&lt;E128,表2_367162629303891213141516[[#This Row],[累计净值]]/MAX(INDIRECT("B21:B" &amp; ROW()))-1,E128)</f>
        <v>-9.2879256965944235E-3</v>
      </c>
      <c r="F129" s="110">
        <f>表2_367162629303891213141516[[#This Row],[累计净值]]</f>
        <v>1.554</v>
      </c>
      <c r="G129" s="20">
        <f>IF(表2_367162629303891213141516[[#This Row],[累计净值]]&gt;1.217,0.7*(表2_367162629303891213141516[[#This Row],[累计净值]]-1.217)/1.217,(表2_367162629303891213141516[[#This Row],[累计净值]]-1.217)/1.217)</f>
        <v>0.19383730484798681</v>
      </c>
    </row>
    <row r="130" spans="1:7" x14ac:dyDescent="0.2">
      <c r="A130" s="15">
        <v>44116</v>
      </c>
      <c r="B130" s="112">
        <v>1.5620000000000001</v>
      </c>
      <c r="C130" s="108">
        <f t="shared" si="33"/>
        <v>8.0000000000000071E-3</v>
      </c>
      <c r="D130" s="109" t="str">
        <f t="shared" si="34"/>
        <v>/</v>
      </c>
      <c r="E130" s="109">
        <f ca="1">IF(表2_367162629303891213141516[[#This Row],[累计净值]]/MAX(INDIRECT("B21:B" &amp; ROW()))-1&lt;E129,表2_367162629303891213141516[[#This Row],[累计净值]]/MAX(INDIRECT("B21:B" &amp; ROW()))-1,E129)</f>
        <v>-9.2879256965944235E-3</v>
      </c>
      <c r="F130" s="110">
        <f>表2_367162629303891213141516[[#This Row],[累计净值]]</f>
        <v>1.5620000000000001</v>
      </c>
      <c r="G130" s="20">
        <f>IF(表2_367162629303891213141516[[#This Row],[累计净值]]&gt;1.217,0.7*(表2_367162629303891213141516[[#This Row],[累计净值]]-1.217)/1.217,(表2_367162629303891213141516[[#This Row],[累计净值]]-1.217)/1.217)</f>
        <v>0.19843878389482331</v>
      </c>
    </row>
    <row r="131" spans="1:7" x14ac:dyDescent="0.2">
      <c r="A131" s="15">
        <v>44117</v>
      </c>
      <c r="B131" s="117">
        <v>1.5649999999999999</v>
      </c>
      <c r="C131" s="108">
        <f t="shared" si="33"/>
        <v>2.9999999999998916E-3</v>
      </c>
      <c r="D131" s="109" t="str">
        <f t="shared" si="34"/>
        <v>/</v>
      </c>
      <c r="E131" s="109">
        <f ca="1">IF(表2_367162629303891213141516[[#This Row],[累计净值]]/MAX(INDIRECT("B21:B" &amp; ROW()))-1&lt;E130,表2_367162629303891213141516[[#This Row],[累计净值]]/MAX(INDIRECT("B21:B" &amp; ROW()))-1,E130)</f>
        <v>-9.2879256965944235E-3</v>
      </c>
      <c r="F131" s="110">
        <f>表2_367162629303891213141516[[#This Row],[累计净值]]</f>
        <v>1.5649999999999999</v>
      </c>
      <c r="G131" s="20">
        <f>IF(表2_367162629303891213141516[[#This Row],[累计净值]]&gt;1.217,0.7*(表2_367162629303891213141516[[#This Row],[累计净值]]-1.217)/1.217,(表2_367162629303891213141516[[#This Row],[累计净值]]-1.217)/1.217)</f>
        <v>0.20016433853738691</v>
      </c>
    </row>
    <row r="132" spans="1:7" x14ac:dyDescent="0.2">
      <c r="A132" s="15">
        <v>44118</v>
      </c>
      <c r="B132" s="112">
        <v>1.5649999999999999</v>
      </c>
      <c r="C132" s="108">
        <f t="shared" si="33"/>
        <v>0</v>
      </c>
      <c r="D132" s="109" t="str">
        <f t="shared" si="34"/>
        <v>/</v>
      </c>
      <c r="E132" s="109">
        <f ca="1">IF(表2_367162629303891213141516[[#This Row],[累计净值]]/MAX(INDIRECT("B21:B" &amp; ROW()))-1&lt;E131,表2_367162629303891213141516[[#This Row],[累计净值]]/MAX(INDIRECT("B21:B" &amp; ROW()))-1,E131)</f>
        <v>-9.2879256965944235E-3</v>
      </c>
      <c r="F132" s="110">
        <f>表2_367162629303891213141516[[#This Row],[累计净值]]</f>
        <v>1.5649999999999999</v>
      </c>
      <c r="G132" s="20">
        <f>IF(表2_367162629303891213141516[[#This Row],[累计净值]]&gt;1.217,0.7*(表2_367162629303891213141516[[#This Row],[累计净值]]-1.217)/1.217,(表2_367162629303891213141516[[#This Row],[累计净值]]-1.217)/1.217)</f>
        <v>0.20016433853738691</v>
      </c>
    </row>
    <row r="133" spans="1:7" x14ac:dyDescent="0.2">
      <c r="A133" s="15">
        <v>44119</v>
      </c>
      <c r="B133" s="112">
        <v>1.5649999999999999</v>
      </c>
      <c r="C133" s="108">
        <f t="shared" si="33"/>
        <v>0</v>
      </c>
      <c r="D133" s="109" t="str">
        <f t="shared" si="34"/>
        <v>/</v>
      </c>
      <c r="E133" s="109">
        <f ca="1">IF(表2_367162629303891213141516[[#This Row],[累计净值]]/MAX(INDIRECT("B21:B" &amp; ROW()))-1&lt;E132,表2_367162629303891213141516[[#This Row],[累计净值]]/MAX(INDIRECT("B21:B" &amp; ROW()))-1,E132)</f>
        <v>-9.2879256965944235E-3</v>
      </c>
      <c r="F133" s="110">
        <f>表2_367162629303891213141516[[#This Row],[累计净值]]</f>
        <v>1.5649999999999999</v>
      </c>
      <c r="G133" s="20">
        <f>IF(表2_367162629303891213141516[[#This Row],[累计净值]]&gt;1.217,0.7*(表2_367162629303891213141516[[#This Row],[累计净值]]-1.217)/1.217,(表2_367162629303891213141516[[#This Row],[累计净值]]-1.217)/1.217)</f>
        <v>0.20016433853738691</v>
      </c>
    </row>
    <row r="134" spans="1:7" x14ac:dyDescent="0.2">
      <c r="A134" s="15">
        <v>44120</v>
      </c>
      <c r="B134" s="112">
        <v>1.5629999999999999</v>
      </c>
      <c r="C134" s="108">
        <f t="shared" si="33"/>
        <v>-2.0000000000000018E-3</v>
      </c>
      <c r="D134" s="109">
        <f t="shared" si="34"/>
        <v>-2.0000000000000018E-3</v>
      </c>
      <c r="E134" s="109">
        <f ca="1">IF(表2_367162629303891213141516[[#This Row],[累计净值]]/MAX(INDIRECT("B21:B" &amp; ROW()))-1&lt;E133,表2_367162629303891213141516[[#This Row],[累计净值]]/MAX(INDIRECT("B21:B" &amp; ROW()))-1,E133)</f>
        <v>-9.2879256965944235E-3</v>
      </c>
      <c r="F134" s="110">
        <f>表2_367162629303891213141516[[#This Row],[累计净值]]</f>
        <v>1.5629999999999999</v>
      </c>
      <c r="G134" s="20">
        <f>IF(表2_367162629303891213141516[[#This Row],[累计净值]]&gt;1.217,0.7*(表2_367162629303891213141516[[#This Row],[累计净值]]-1.217)/1.217,(表2_367162629303891213141516[[#This Row],[累计净值]]-1.217)/1.217)</f>
        <v>0.19901396877567779</v>
      </c>
    </row>
    <row r="135" spans="1:7" x14ac:dyDescent="0.2">
      <c r="A135" s="15">
        <v>44123</v>
      </c>
      <c r="B135" s="112">
        <v>1.5580000000000001</v>
      </c>
      <c r="C135" s="108">
        <f t="shared" ref="C135:C140" si="35">IFERROR(B135-B134,0)</f>
        <v>-4.9999999999998934E-3</v>
      </c>
      <c r="D135" s="109">
        <f t="shared" ref="D135:D140" si="36">IF(C135&lt;0,C135,"/")</f>
        <v>-4.9999999999998934E-3</v>
      </c>
      <c r="E135" s="109">
        <f ca="1">IF(表2_367162629303891213141516[[#This Row],[累计净值]]/MAX(INDIRECT("B21:B" &amp; ROW()))-1&lt;E134,表2_367162629303891213141516[[#This Row],[累计净值]]/MAX(INDIRECT("B21:B" &amp; ROW()))-1,E134)</f>
        <v>-9.2879256965944235E-3</v>
      </c>
      <c r="F135" s="110">
        <f>表2_367162629303891213141516[[#This Row],[累计净值]]</f>
        <v>1.5580000000000001</v>
      </c>
      <c r="G135" s="20">
        <f>IF(表2_367162629303891213141516[[#This Row],[累计净值]]&gt;1.217,0.7*(表2_367162629303891213141516[[#This Row],[累计净值]]-1.217)/1.217,(表2_367162629303891213141516[[#This Row],[累计净值]]-1.217)/1.217)</f>
        <v>0.19613804437140506</v>
      </c>
    </row>
    <row r="136" spans="1:7" x14ac:dyDescent="0.2">
      <c r="A136" s="15">
        <v>44124</v>
      </c>
      <c r="B136" s="112">
        <v>1.5620000000000001</v>
      </c>
      <c r="C136" s="108">
        <f t="shared" si="35"/>
        <v>4.0000000000000036E-3</v>
      </c>
      <c r="D136" s="109" t="str">
        <f t="shared" si="36"/>
        <v>/</v>
      </c>
      <c r="E136" s="109">
        <f ca="1">IF(表2_367162629303891213141516[[#This Row],[累计净值]]/MAX(INDIRECT("B21:B" &amp; ROW()))-1&lt;E135,表2_367162629303891213141516[[#This Row],[累计净值]]/MAX(INDIRECT("B21:B" &amp; ROW()))-1,E135)</f>
        <v>-9.2879256965944235E-3</v>
      </c>
      <c r="F136" s="110">
        <f>表2_367162629303891213141516[[#This Row],[累计净值]]</f>
        <v>1.5620000000000001</v>
      </c>
      <c r="G136" s="20">
        <f>IF(表2_367162629303891213141516[[#This Row],[累计净值]]&gt;1.217,0.7*(表2_367162629303891213141516[[#This Row],[累计净值]]-1.217)/1.217,(表2_367162629303891213141516[[#This Row],[累计净值]]-1.217)/1.217)</f>
        <v>0.19843878389482331</v>
      </c>
    </row>
    <row r="137" spans="1:7" x14ac:dyDescent="0.2">
      <c r="A137" s="15">
        <v>44125</v>
      </c>
      <c r="B137" s="112">
        <v>1.5640000000000001</v>
      </c>
      <c r="C137" s="108">
        <f t="shared" si="35"/>
        <v>2.0000000000000018E-3</v>
      </c>
      <c r="D137" s="109" t="str">
        <f t="shared" si="36"/>
        <v>/</v>
      </c>
      <c r="E137" s="109">
        <f ca="1">IF(表2_367162629303891213141516[[#This Row],[累计净值]]/MAX(INDIRECT("B21:B" &amp; ROW()))-1&lt;E136,表2_367162629303891213141516[[#This Row],[累计净值]]/MAX(INDIRECT("B21:B" &amp; ROW()))-1,E136)</f>
        <v>-9.2879256965944235E-3</v>
      </c>
      <c r="F137" s="110">
        <f>表2_367162629303891213141516[[#This Row],[累计净值]]</f>
        <v>1.5640000000000001</v>
      </c>
      <c r="G137" s="20">
        <f>IF(表2_367162629303891213141516[[#This Row],[累计净值]]&gt;1.217,0.7*(表2_367162629303891213141516[[#This Row],[累计净值]]-1.217)/1.217,(表2_367162629303891213141516[[#This Row],[累计净值]]-1.217)/1.217)</f>
        <v>0.19958915365653243</v>
      </c>
    </row>
    <row r="138" spans="1:7" x14ac:dyDescent="0.2">
      <c r="A138" s="15">
        <v>44126</v>
      </c>
      <c r="B138" s="112">
        <v>1.5640000000000001</v>
      </c>
      <c r="C138" s="108">
        <f t="shared" si="35"/>
        <v>0</v>
      </c>
      <c r="D138" s="109" t="str">
        <f t="shared" si="36"/>
        <v>/</v>
      </c>
      <c r="E138" s="109">
        <f ca="1">IF(表2_367162629303891213141516[[#This Row],[累计净值]]/MAX(INDIRECT("B21:B" &amp; ROW()))-1&lt;E137,表2_367162629303891213141516[[#This Row],[累计净值]]/MAX(INDIRECT("B21:B" &amp; ROW()))-1,E137)</f>
        <v>-9.2879256965944235E-3</v>
      </c>
      <c r="F138" s="110">
        <f>表2_367162629303891213141516[[#This Row],[累计净值]]</f>
        <v>1.5640000000000001</v>
      </c>
      <c r="G138" s="20">
        <f>IF(表2_367162629303891213141516[[#This Row],[累计净值]]&gt;1.217,0.7*(表2_367162629303891213141516[[#This Row],[累计净值]]-1.217)/1.217,(表2_367162629303891213141516[[#This Row],[累计净值]]-1.217)/1.217)</f>
        <v>0.19958915365653243</v>
      </c>
    </row>
    <row r="139" spans="1:7" x14ac:dyDescent="0.2">
      <c r="A139" s="15">
        <v>44127</v>
      </c>
      <c r="B139" s="112">
        <v>1.5640000000000001</v>
      </c>
      <c r="C139" s="108">
        <f t="shared" si="35"/>
        <v>0</v>
      </c>
      <c r="D139" s="109" t="str">
        <f t="shared" si="36"/>
        <v>/</v>
      </c>
      <c r="E139" s="109">
        <f ca="1">IF(表2_367162629303891213141516[[#This Row],[累计净值]]/MAX(INDIRECT("B21:B" &amp; ROW()))-1&lt;E138,表2_367162629303891213141516[[#This Row],[累计净值]]/MAX(INDIRECT("B21:B" &amp; ROW()))-1,E138)</f>
        <v>-9.2879256965944235E-3</v>
      </c>
      <c r="F139" s="110">
        <f>表2_367162629303891213141516[[#This Row],[累计净值]]</f>
        <v>1.5640000000000001</v>
      </c>
      <c r="G139" s="20">
        <f>IF(表2_367162629303891213141516[[#This Row],[累计净值]]&gt;1.217,0.7*(表2_367162629303891213141516[[#This Row],[累计净值]]-1.217)/1.217,(表2_367162629303891213141516[[#This Row],[累计净值]]-1.217)/1.217)</f>
        <v>0.19958915365653243</v>
      </c>
    </row>
    <row r="140" spans="1:7" x14ac:dyDescent="0.2">
      <c r="A140" s="15">
        <v>44130</v>
      </c>
      <c r="B140" s="112">
        <v>1.5680000000000001</v>
      </c>
      <c r="C140" s="108">
        <f t="shared" si="35"/>
        <v>4.0000000000000036E-3</v>
      </c>
      <c r="D140" s="109" t="str">
        <f t="shared" si="36"/>
        <v>/</v>
      </c>
      <c r="E140" s="109">
        <f ca="1">IF(表2_367162629303891213141516[[#This Row],[累计净值]]/MAX(INDIRECT("B21:B" &amp; ROW()))-1&lt;E139,表2_367162629303891213141516[[#This Row],[累计净值]]/MAX(INDIRECT("B21:B" &amp; ROW()))-1,E139)</f>
        <v>-9.2879256965944235E-3</v>
      </c>
      <c r="F140" s="110">
        <f>表2_367162629303891213141516[[#This Row],[累计净值]]</f>
        <v>1.5680000000000001</v>
      </c>
      <c r="G140" s="20">
        <f>IF(表2_367162629303891213141516[[#This Row],[累计净值]]&gt;1.217,0.7*(表2_367162629303891213141516[[#This Row],[累计净值]]-1.217)/1.217,(表2_367162629303891213141516[[#This Row],[累计净值]]-1.217)/1.217)</f>
        <v>0.20188989317995065</v>
      </c>
    </row>
    <row r="141" spans="1:7" x14ac:dyDescent="0.2">
      <c r="A141" s="15">
        <v>44131</v>
      </c>
      <c r="B141" s="112">
        <v>1.5720000000000001</v>
      </c>
      <c r="C141" s="108">
        <f t="shared" ref="C141:C147" si="37">IFERROR(B141-B140,0)</f>
        <v>4.0000000000000036E-3</v>
      </c>
      <c r="D141" s="109" t="str">
        <f t="shared" ref="D141:D147" si="38">IF(C141&lt;0,C141,"/")</f>
        <v>/</v>
      </c>
      <c r="E141" s="109">
        <f ca="1">IF(表2_367162629303891213141516[[#This Row],[累计净值]]/MAX(INDIRECT("B21:B" &amp; ROW()))-1&lt;E140,表2_367162629303891213141516[[#This Row],[累计净值]]/MAX(INDIRECT("B21:B" &amp; ROW()))-1,E140)</f>
        <v>-9.2879256965944235E-3</v>
      </c>
      <c r="F141" s="110">
        <f>表2_367162629303891213141516[[#This Row],[累计净值]]</f>
        <v>1.5720000000000001</v>
      </c>
      <c r="G141" s="20">
        <f>IF(表2_367162629303891213141516[[#This Row],[累计净值]]&gt;1.217,0.7*(表2_367162629303891213141516[[#This Row],[累计净值]]-1.217)/1.217,(表2_367162629303891213141516[[#This Row],[累计净值]]-1.217)/1.217)</f>
        <v>0.2041906327033689</v>
      </c>
    </row>
    <row r="142" spans="1:7" x14ac:dyDescent="0.2">
      <c r="A142" s="15">
        <v>44132</v>
      </c>
      <c r="B142" s="112">
        <v>1.5740000000000001</v>
      </c>
      <c r="C142" s="108">
        <f t="shared" si="37"/>
        <v>2.0000000000000018E-3</v>
      </c>
      <c r="D142" s="109" t="str">
        <f t="shared" si="38"/>
        <v>/</v>
      </c>
      <c r="E142" s="109">
        <f ca="1">IF(表2_367162629303891213141516[[#This Row],[累计净值]]/MAX(INDIRECT("B21:B" &amp; ROW()))-1&lt;E141,表2_367162629303891213141516[[#This Row],[累计净值]]/MAX(INDIRECT("B21:B" &amp; ROW()))-1,E141)</f>
        <v>-9.2879256965944235E-3</v>
      </c>
      <c r="F142" s="110">
        <f>表2_367162629303891213141516[[#This Row],[累计净值]]</f>
        <v>1.5740000000000001</v>
      </c>
      <c r="G142" s="20">
        <f>IF(表2_367162629303891213141516[[#This Row],[累计净值]]&gt;1.217,0.7*(表2_367162629303891213141516[[#This Row],[累计净值]]-1.217)/1.217,(表2_367162629303891213141516[[#This Row],[累计净值]]-1.217)/1.217)</f>
        <v>0.20534100246507803</v>
      </c>
    </row>
    <row r="143" spans="1:7" x14ac:dyDescent="0.2">
      <c r="A143" s="15">
        <v>44133</v>
      </c>
      <c r="B143" s="117">
        <v>1.577</v>
      </c>
      <c r="C143" s="108">
        <f t="shared" si="37"/>
        <v>2.9999999999998916E-3</v>
      </c>
      <c r="D143" s="109" t="str">
        <f t="shared" si="38"/>
        <v>/</v>
      </c>
      <c r="E143" s="109">
        <f ca="1">IF(表2_367162629303891213141516[[#This Row],[累计净值]]/MAX(INDIRECT("B21:B" &amp; ROW()))-1&lt;E142,表2_367162629303891213141516[[#This Row],[累计净值]]/MAX(INDIRECT("B21:B" &amp; ROW()))-1,E142)</f>
        <v>-9.2879256965944235E-3</v>
      </c>
      <c r="F143" s="110">
        <f>表2_367162629303891213141516[[#This Row],[累计净值]]</f>
        <v>1.577</v>
      </c>
      <c r="G143" s="20">
        <f>IF(表2_367162629303891213141516[[#This Row],[累计净值]]&gt;1.217,0.7*(表2_367162629303891213141516[[#This Row],[累计净值]]-1.217)/1.217,(表2_367162629303891213141516[[#This Row],[累计净值]]-1.217)/1.217)</f>
        <v>0.20706655710764163</v>
      </c>
    </row>
    <row r="144" spans="1:7" x14ac:dyDescent="0.2">
      <c r="A144" s="15">
        <v>44134</v>
      </c>
      <c r="B144" s="112">
        <v>1.577</v>
      </c>
      <c r="C144" s="108">
        <f t="shared" si="37"/>
        <v>0</v>
      </c>
      <c r="D144" s="109" t="str">
        <f t="shared" si="38"/>
        <v>/</v>
      </c>
      <c r="E144" s="109">
        <f ca="1">IF(表2_367162629303891213141516[[#This Row],[累计净值]]/MAX(INDIRECT("B21:B" &amp; ROW()))-1&lt;E143,表2_367162629303891213141516[[#This Row],[累计净值]]/MAX(INDIRECT("B21:B" &amp; ROW()))-1,E143)</f>
        <v>-9.2879256965944235E-3</v>
      </c>
      <c r="F144" s="110">
        <f>表2_367162629303891213141516[[#This Row],[累计净值]]</f>
        <v>1.577</v>
      </c>
      <c r="G144" s="20">
        <f>IF(表2_367162629303891213141516[[#This Row],[累计净值]]&gt;1.217,0.7*(表2_367162629303891213141516[[#This Row],[累计净值]]-1.217)/1.217,(表2_367162629303891213141516[[#This Row],[累计净值]]-1.217)/1.217)</f>
        <v>0.20706655710764163</v>
      </c>
    </row>
    <row r="145" spans="1:7" x14ac:dyDescent="0.2">
      <c r="A145" s="15">
        <v>44137</v>
      </c>
      <c r="B145" s="112">
        <v>1.5740000000000001</v>
      </c>
      <c r="C145" s="108">
        <f t="shared" si="37"/>
        <v>-2.9999999999998916E-3</v>
      </c>
      <c r="D145" s="109">
        <f t="shared" si="38"/>
        <v>-2.9999999999998916E-3</v>
      </c>
      <c r="E145" s="109">
        <f ca="1">IF(表2_367162629303891213141516[[#This Row],[累计净值]]/MAX(INDIRECT("B21:B" &amp; ROW()))-1&lt;E144,表2_367162629303891213141516[[#This Row],[累计净值]]/MAX(INDIRECT("B21:B" &amp; ROW()))-1,E144)</f>
        <v>-9.2879256965944235E-3</v>
      </c>
      <c r="F145" s="110">
        <f>表2_367162629303891213141516[[#This Row],[累计净值]]</f>
        <v>1.5740000000000001</v>
      </c>
      <c r="G145" s="20">
        <f>IF(表2_367162629303891213141516[[#This Row],[累计净值]]&gt;1.217,0.7*(表2_367162629303891213141516[[#This Row],[累计净值]]-1.217)/1.217,(表2_367162629303891213141516[[#This Row],[累计净值]]-1.217)/1.217)</f>
        <v>0.20534100246507803</v>
      </c>
    </row>
    <row r="146" spans="1:7" x14ac:dyDescent="0.2">
      <c r="A146" s="15">
        <v>44138</v>
      </c>
      <c r="B146" s="112">
        <v>1.577</v>
      </c>
      <c r="C146" s="108">
        <f t="shared" si="37"/>
        <v>2.9999999999998916E-3</v>
      </c>
      <c r="D146" s="109" t="str">
        <f t="shared" si="38"/>
        <v>/</v>
      </c>
      <c r="E146" s="109">
        <f ca="1">IF(表2_367162629303891213141516[[#This Row],[累计净值]]/MAX(INDIRECT("B21:B" &amp; ROW()))-1&lt;E145,表2_367162629303891213141516[[#This Row],[累计净值]]/MAX(INDIRECT("B21:B" &amp; ROW()))-1,E145)</f>
        <v>-9.2879256965944235E-3</v>
      </c>
      <c r="F146" s="110">
        <f>表2_367162629303891213141516[[#This Row],[累计净值]]</f>
        <v>1.577</v>
      </c>
      <c r="G146" s="20">
        <f>IF(表2_367162629303891213141516[[#This Row],[累计净值]]&gt;1.217,0.7*(表2_367162629303891213141516[[#This Row],[累计净值]]-1.217)/1.217,(表2_367162629303891213141516[[#This Row],[累计净值]]-1.217)/1.217)</f>
        <v>0.20706655710764163</v>
      </c>
    </row>
    <row r="147" spans="1:7" x14ac:dyDescent="0.2">
      <c r="A147" s="15">
        <v>44139</v>
      </c>
      <c r="B147" s="112">
        <v>1.5820000000000001</v>
      </c>
      <c r="C147" s="108">
        <f t="shared" si="37"/>
        <v>5.0000000000001155E-3</v>
      </c>
      <c r="D147" s="109" t="str">
        <f t="shared" si="38"/>
        <v>/</v>
      </c>
      <c r="E147" s="109">
        <f ca="1">IF(表2_367162629303891213141516[[#This Row],[累计净值]]/MAX(INDIRECT("B21:B" &amp; ROW()))-1&lt;E146,表2_367162629303891213141516[[#This Row],[累计净值]]/MAX(INDIRECT("B21:B" &amp; ROW()))-1,E146)</f>
        <v>-9.2879256965944235E-3</v>
      </c>
      <c r="F147" s="110">
        <f>表2_367162629303891213141516[[#This Row],[累计净值]]</f>
        <v>1.5820000000000001</v>
      </c>
      <c r="G147" s="20">
        <f>IF(表2_367162629303891213141516[[#This Row],[累计净值]]&gt;1.217,0.7*(表2_367162629303891213141516[[#This Row],[累计净值]]-1.217)/1.217,(表2_367162629303891213141516[[#This Row],[累计净值]]-1.217)/1.217)</f>
        <v>0.20994248151191452</v>
      </c>
    </row>
    <row r="148" spans="1:7" x14ac:dyDescent="0.2">
      <c r="A148" s="15">
        <v>44140</v>
      </c>
      <c r="B148" s="112">
        <v>1.5860000000000001</v>
      </c>
      <c r="C148" s="108">
        <f t="shared" ref="C148:C153" si="39">IFERROR(B148-B147,0)</f>
        <v>4.0000000000000036E-3</v>
      </c>
      <c r="D148" s="109" t="str">
        <f t="shared" ref="D148:D153" si="40">IF(C148&lt;0,C148,"/")</f>
        <v>/</v>
      </c>
      <c r="E148" s="109">
        <f ca="1">IF(表2_367162629303891213141516[[#This Row],[累计净值]]/MAX(INDIRECT("B21:B" &amp; ROW()))-1&lt;E147,表2_367162629303891213141516[[#This Row],[累计净值]]/MAX(INDIRECT("B21:B" &amp; ROW()))-1,E147)</f>
        <v>-9.2879256965944235E-3</v>
      </c>
      <c r="F148" s="110">
        <f>表2_367162629303891213141516[[#This Row],[累计净值]]</f>
        <v>1.5860000000000001</v>
      </c>
      <c r="G148" s="20">
        <f>IF(表2_367162629303891213141516[[#This Row],[累计净值]]&gt;1.217,0.7*(表2_367162629303891213141516[[#This Row],[累计净值]]-1.217)/1.217,(表2_367162629303891213141516[[#This Row],[累计净值]]-1.217)/1.217)</f>
        <v>0.21224322103533275</v>
      </c>
    </row>
    <row r="149" spans="1:7" x14ac:dyDescent="0.2">
      <c r="A149" s="15">
        <v>44141</v>
      </c>
      <c r="B149" s="112">
        <v>1.585</v>
      </c>
      <c r="C149" s="108">
        <f t="shared" si="39"/>
        <v>-1.0000000000001119E-3</v>
      </c>
      <c r="D149" s="109">
        <f t="shared" si="40"/>
        <v>-1.0000000000001119E-3</v>
      </c>
      <c r="E149" s="109">
        <f ca="1">IF(表2_367162629303891213141516[[#This Row],[累计净值]]/MAX(INDIRECT("B21:B" &amp; ROW()))-1&lt;E148,表2_367162629303891213141516[[#This Row],[累计净值]]/MAX(INDIRECT("B21:B" &amp; ROW()))-1,E148)</f>
        <v>-9.2879256965944235E-3</v>
      </c>
      <c r="F149" s="110">
        <f>表2_367162629303891213141516[[#This Row],[累计净值]]</f>
        <v>1.585</v>
      </c>
      <c r="G149" s="20">
        <f>IF(表2_367162629303891213141516[[#This Row],[累计净值]]&gt;1.217,0.7*(表2_367162629303891213141516[[#This Row],[累计净值]]-1.217)/1.217,(表2_367162629303891213141516[[#This Row],[累计净值]]-1.217)/1.217)</f>
        <v>0.21166803615447813</v>
      </c>
    </row>
    <row r="150" spans="1:7" x14ac:dyDescent="0.2">
      <c r="A150" s="15">
        <v>44144</v>
      </c>
      <c r="B150" s="112">
        <v>1.583</v>
      </c>
      <c r="C150" s="108">
        <f t="shared" si="39"/>
        <v>-2.0000000000000018E-3</v>
      </c>
      <c r="D150" s="109">
        <f t="shared" si="40"/>
        <v>-2.0000000000000018E-3</v>
      </c>
      <c r="E150" s="109">
        <f ca="1">IF(表2_367162629303891213141516[[#This Row],[累计净值]]/MAX(INDIRECT("B21:B" &amp; ROW()))-1&lt;E149,表2_367162629303891213141516[[#This Row],[累计净值]]/MAX(INDIRECT("B21:B" &amp; ROW()))-1,E149)</f>
        <v>-9.2879256965944235E-3</v>
      </c>
      <c r="F150" s="110">
        <f>表2_367162629303891213141516[[#This Row],[累计净值]]</f>
        <v>1.583</v>
      </c>
      <c r="G150" s="20">
        <f>IF(表2_367162629303891213141516[[#This Row],[累计净值]]&gt;1.217,0.7*(表2_367162629303891213141516[[#This Row],[累计净值]]-1.217)/1.217,(表2_367162629303891213141516[[#This Row],[累计净值]]-1.217)/1.217)</f>
        <v>0.21051766639276903</v>
      </c>
    </row>
    <row r="151" spans="1:7" x14ac:dyDescent="0.2">
      <c r="A151" s="15">
        <v>44145</v>
      </c>
      <c r="B151" s="112">
        <v>1.587</v>
      </c>
      <c r="C151" s="108">
        <f t="shared" si="39"/>
        <v>4.0000000000000036E-3</v>
      </c>
      <c r="D151" s="109" t="str">
        <f t="shared" si="40"/>
        <v>/</v>
      </c>
      <c r="E151" s="109">
        <f ca="1">IF(表2_367162629303891213141516[[#This Row],[累计净值]]/MAX(INDIRECT("B21:B" &amp; ROW()))-1&lt;E150,表2_367162629303891213141516[[#This Row],[累计净值]]/MAX(INDIRECT("B21:B" &amp; ROW()))-1,E150)</f>
        <v>-9.2879256965944235E-3</v>
      </c>
      <c r="F151" s="110">
        <f>表2_367162629303891213141516[[#This Row],[累计净值]]</f>
        <v>1.587</v>
      </c>
      <c r="G151" s="20">
        <f>IF(表2_367162629303891213141516[[#This Row],[累计净值]]&gt;1.217,0.7*(表2_367162629303891213141516[[#This Row],[累计净值]]-1.217)/1.217,(表2_367162629303891213141516[[#This Row],[累计净值]]-1.217)/1.217)</f>
        <v>0.21281840591618725</v>
      </c>
    </row>
    <row r="152" spans="1:7" x14ac:dyDescent="0.2">
      <c r="A152" s="15">
        <v>44146</v>
      </c>
      <c r="B152" s="112">
        <v>1.589</v>
      </c>
      <c r="C152" s="108">
        <f t="shared" si="39"/>
        <v>2.0000000000000018E-3</v>
      </c>
      <c r="D152" s="109" t="str">
        <f t="shared" si="40"/>
        <v>/</v>
      </c>
      <c r="E152" s="109">
        <f ca="1">IF(表2_367162629303891213141516[[#This Row],[累计净值]]/MAX(INDIRECT("B21:B" &amp; ROW()))-1&lt;E151,表2_367162629303891213141516[[#This Row],[累计净值]]/MAX(INDIRECT("B21:B" &amp; ROW()))-1,E151)</f>
        <v>-9.2879256965944235E-3</v>
      </c>
      <c r="F152" s="110">
        <f>表2_367162629303891213141516[[#This Row],[累计净值]]</f>
        <v>1.589</v>
      </c>
      <c r="G152" s="20">
        <f>IF(表2_367162629303891213141516[[#This Row],[累计净值]]&gt;1.217,0.7*(表2_367162629303891213141516[[#This Row],[累计净值]]-1.217)/1.217,(表2_367162629303891213141516[[#This Row],[累计净值]]-1.217)/1.217)</f>
        <v>0.21396877567789638</v>
      </c>
    </row>
    <row r="153" spans="1:7" x14ac:dyDescent="0.2">
      <c r="A153" s="15">
        <v>44147</v>
      </c>
      <c r="B153" s="112">
        <v>1.59</v>
      </c>
      <c r="C153" s="108">
        <f t="shared" si="39"/>
        <v>1.0000000000001119E-3</v>
      </c>
      <c r="D153" s="109" t="str">
        <f t="shared" si="40"/>
        <v>/</v>
      </c>
      <c r="E153" s="109">
        <f ca="1">IF(表2_367162629303891213141516[[#This Row],[累计净值]]/MAX(INDIRECT("B21:B" &amp; ROW()))-1&lt;E152,表2_367162629303891213141516[[#This Row],[累计净值]]/MAX(INDIRECT("B21:B" &amp; ROW()))-1,E152)</f>
        <v>-9.2879256965944235E-3</v>
      </c>
      <c r="F153" s="110">
        <f>表2_367162629303891213141516[[#This Row],[累计净值]]</f>
        <v>1.59</v>
      </c>
      <c r="G153" s="20">
        <f>IF(表2_367162629303891213141516[[#This Row],[累计净值]]&gt;1.217,0.7*(表2_367162629303891213141516[[#This Row],[累计净值]]-1.217)/1.217,(表2_367162629303891213141516[[#This Row],[累计净值]]-1.217)/1.217)</f>
        <v>0.21454396055875102</v>
      </c>
    </row>
    <row r="154" spans="1:7" x14ac:dyDescent="0.2">
      <c r="A154" s="15">
        <v>44148</v>
      </c>
      <c r="B154" s="112">
        <v>1.5880000000000001</v>
      </c>
      <c r="C154" s="108">
        <f t="shared" ref="C154:C159" si="41">IFERROR(B154-B153,0)</f>
        <v>-2.0000000000000018E-3</v>
      </c>
      <c r="D154" s="109">
        <f t="shared" ref="D154:D159" si="42">IF(C154&lt;0,C154,"/")</f>
        <v>-2.0000000000000018E-3</v>
      </c>
      <c r="E154" s="109">
        <f ca="1">IF(表2_367162629303891213141516[[#This Row],[累计净值]]/MAX(INDIRECT("B21:B" &amp; ROW()))-1&lt;E153,表2_367162629303891213141516[[#This Row],[累计净值]]/MAX(INDIRECT("B21:B" &amp; ROW()))-1,E153)</f>
        <v>-9.2879256965944235E-3</v>
      </c>
      <c r="F154" s="110">
        <f>表2_367162629303891213141516[[#This Row],[累计净值]]</f>
        <v>1.5880000000000001</v>
      </c>
      <c r="G154" s="20">
        <f>IF(表2_367162629303891213141516[[#This Row],[累计净值]]&gt;1.217,0.7*(表2_367162629303891213141516[[#This Row],[累计净值]]-1.217)/1.217,(表2_367162629303891213141516[[#This Row],[累计净值]]-1.217)/1.217)</f>
        <v>0.21339359079704187</v>
      </c>
    </row>
    <row r="155" spans="1:7" x14ac:dyDescent="0.2">
      <c r="A155" s="15">
        <v>44151</v>
      </c>
      <c r="B155" s="112">
        <v>1.593</v>
      </c>
      <c r="C155" s="108">
        <f t="shared" si="41"/>
        <v>4.9999999999998934E-3</v>
      </c>
      <c r="D155" s="109" t="str">
        <f t="shared" si="42"/>
        <v>/</v>
      </c>
      <c r="E155" s="109">
        <f ca="1">IF(表2_367162629303891213141516[[#This Row],[累计净值]]/MAX(INDIRECT("B21:B" &amp; ROW()))-1&lt;E154,表2_367162629303891213141516[[#This Row],[累计净值]]/MAX(INDIRECT("B21:B" &amp; ROW()))-1,E154)</f>
        <v>-9.2879256965944235E-3</v>
      </c>
      <c r="F155" s="110">
        <f>表2_367162629303891213141516[[#This Row],[累计净值]]</f>
        <v>1.593</v>
      </c>
      <c r="G155" s="20">
        <f>IF(表2_367162629303891213141516[[#This Row],[累计净值]]&gt;1.217,0.7*(表2_367162629303891213141516[[#This Row],[累计净值]]-1.217)/1.217,(表2_367162629303891213141516[[#This Row],[累计净值]]-1.217)/1.217)</f>
        <v>0.2162695152013146</v>
      </c>
    </row>
    <row r="156" spans="1:7" x14ac:dyDescent="0.2">
      <c r="A156" s="15">
        <v>44152</v>
      </c>
      <c r="B156" s="117">
        <v>1.5940000000000001</v>
      </c>
      <c r="C156" s="108">
        <f t="shared" si="41"/>
        <v>1.0000000000001119E-3</v>
      </c>
      <c r="D156" s="109" t="str">
        <f t="shared" si="42"/>
        <v>/</v>
      </c>
      <c r="E156" s="109">
        <f ca="1">IF(表2_367162629303891213141516[[#This Row],[累计净值]]/MAX(INDIRECT("B21:B" &amp; ROW()))-1&lt;E155,表2_367162629303891213141516[[#This Row],[累计净值]]/MAX(INDIRECT("B21:B" &amp; ROW()))-1,E155)</f>
        <v>-9.2879256965944235E-3</v>
      </c>
      <c r="F156" s="110">
        <f>表2_367162629303891213141516[[#This Row],[累计净值]]</f>
        <v>1.5940000000000001</v>
      </c>
      <c r="G156" s="20">
        <f>IF(表2_367162629303891213141516[[#This Row],[累计净值]]&gt;1.217,0.7*(表2_367162629303891213141516[[#This Row],[累计净值]]-1.217)/1.217,(表2_367162629303891213141516[[#This Row],[累计净值]]-1.217)/1.217)</f>
        <v>0.21684470008216922</v>
      </c>
    </row>
    <row r="157" spans="1:7" x14ac:dyDescent="0.2">
      <c r="A157" s="15">
        <v>44153</v>
      </c>
      <c r="B157" s="112">
        <v>1.591</v>
      </c>
      <c r="C157" s="108">
        <f t="shared" si="41"/>
        <v>-3.0000000000001137E-3</v>
      </c>
      <c r="D157" s="109">
        <f t="shared" si="42"/>
        <v>-3.0000000000001137E-3</v>
      </c>
      <c r="E157" s="109">
        <f ca="1">IF(表2_367162629303891213141516[[#This Row],[累计净值]]/MAX(INDIRECT("B21:B" &amp; ROW()))-1&lt;E156,表2_367162629303891213141516[[#This Row],[累计净值]]/MAX(INDIRECT("B21:B" &amp; ROW()))-1,E156)</f>
        <v>-9.2879256965944235E-3</v>
      </c>
      <c r="F157" s="110">
        <f>表2_367162629303891213141516[[#This Row],[累计净值]]</f>
        <v>1.591</v>
      </c>
      <c r="G157" s="20">
        <f>IF(表2_367162629303891213141516[[#This Row],[累计净值]]&gt;1.217,0.7*(表2_367162629303891213141516[[#This Row],[累计净值]]-1.217)/1.217,(表2_367162629303891213141516[[#This Row],[累计净值]]-1.217)/1.217)</f>
        <v>0.2151191454396055</v>
      </c>
    </row>
    <row r="158" spans="1:7" x14ac:dyDescent="0.2">
      <c r="A158" s="15">
        <v>44154</v>
      </c>
      <c r="B158" s="112">
        <v>1.59</v>
      </c>
      <c r="C158" s="108">
        <f t="shared" si="41"/>
        <v>-9.9999999999988987E-4</v>
      </c>
      <c r="D158" s="109">
        <f t="shared" si="42"/>
        <v>-9.9999999999988987E-4</v>
      </c>
      <c r="E158" s="109">
        <f ca="1">IF(表2_367162629303891213141516[[#This Row],[累计净值]]/MAX(INDIRECT("B21:B" &amp; ROW()))-1&lt;E157,表2_367162629303891213141516[[#This Row],[累计净值]]/MAX(INDIRECT("B21:B" &amp; ROW()))-1,E157)</f>
        <v>-9.2879256965944235E-3</v>
      </c>
      <c r="F158" s="110">
        <f>表2_367162629303891213141516[[#This Row],[累计净值]]</f>
        <v>1.59</v>
      </c>
      <c r="G158" s="20">
        <f>IF(表2_367162629303891213141516[[#This Row],[累计净值]]&gt;1.217,0.7*(表2_367162629303891213141516[[#This Row],[累计净值]]-1.217)/1.217,(表2_367162629303891213141516[[#This Row],[累计净值]]-1.217)/1.217)</f>
        <v>0.21454396055875102</v>
      </c>
    </row>
    <row r="159" spans="1:7" x14ac:dyDescent="0.2">
      <c r="A159" s="15">
        <v>44155</v>
      </c>
      <c r="B159" s="112">
        <v>1.5920000000000001</v>
      </c>
      <c r="C159" s="108">
        <f t="shared" si="41"/>
        <v>2.0000000000000018E-3</v>
      </c>
      <c r="D159" s="109" t="str">
        <f t="shared" si="42"/>
        <v>/</v>
      </c>
      <c r="E159" s="109">
        <f ca="1">IF(表2_367162629303891213141516[[#This Row],[累计净值]]/MAX(INDIRECT("B21:B" &amp; ROW()))-1&lt;E158,表2_367162629303891213141516[[#This Row],[累计净值]]/MAX(INDIRECT("B21:B" &amp; ROW()))-1,E158)</f>
        <v>-9.2879256965944235E-3</v>
      </c>
      <c r="F159" s="110">
        <f>表2_367162629303891213141516[[#This Row],[累计净值]]</f>
        <v>1.5920000000000001</v>
      </c>
      <c r="G159" s="20">
        <f>IF(表2_367162629303891213141516[[#This Row],[累计净值]]&gt;1.217,0.7*(表2_367162629303891213141516[[#This Row],[累计净值]]-1.217)/1.217,(表2_367162629303891213141516[[#This Row],[累计净值]]-1.217)/1.217)</f>
        <v>0.21569433032046009</v>
      </c>
    </row>
    <row r="160" spans="1:7" x14ac:dyDescent="0.2">
      <c r="A160" s="15">
        <v>44158</v>
      </c>
      <c r="B160" s="112">
        <v>1.591</v>
      </c>
      <c r="C160" s="108">
        <f t="shared" ref="C160:C165" si="43">IFERROR(B160-B159,0)</f>
        <v>-1.0000000000001119E-3</v>
      </c>
      <c r="D160" s="109">
        <f t="shared" ref="D160:D165" si="44">IF(C160&lt;0,C160,"/")</f>
        <v>-1.0000000000001119E-3</v>
      </c>
      <c r="E160" s="109">
        <f ca="1">IF(表2_367162629303891213141516[[#This Row],[累计净值]]/MAX(INDIRECT("B21:B" &amp; ROW()))-1&lt;E159,表2_367162629303891213141516[[#This Row],[累计净值]]/MAX(INDIRECT("B21:B" &amp; ROW()))-1,E159)</f>
        <v>-9.2879256965944235E-3</v>
      </c>
      <c r="F160" s="110">
        <f>表2_367162629303891213141516[[#This Row],[累计净值]]</f>
        <v>1.591</v>
      </c>
      <c r="G160" s="20">
        <f>IF(表2_367162629303891213141516[[#This Row],[累计净值]]&gt;1.217,0.7*(表2_367162629303891213141516[[#This Row],[累计净值]]-1.217)/1.217,(表2_367162629303891213141516[[#This Row],[累计净值]]-1.217)/1.217)</f>
        <v>0.2151191454396055</v>
      </c>
    </row>
    <row r="161" spans="1:7" x14ac:dyDescent="0.2">
      <c r="A161" s="15">
        <v>44159</v>
      </c>
      <c r="B161" s="112">
        <v>1.591</v>
      </c>
      <c r="C161" s="108">
        <f t="shared" si="43"/>
        <v>0</v>
      </c>
      <c r="D161" s="109" t="str">
        <f t="shared" si="44"/>
        <v>/</v>
      </c>
      <c r="E161" s="109">
        <f ca="1">IF(表2_367162629303891213141516[[#This Row],[累计净值]]/MAX(INDIRECT("B21:B" &amp; ROW()))-1&lt;E160,表2_367162629303891213141516[[#This Row],[累计净值]]/MAX(INDIRECT("B21:B" &amp; ROW()))-1,E160)</f>
        <v>-9.2879256965944235E-3</v>
      </c>
      <c r="F161" s="110">
        <f>表2_367162629303891213141516[[#This Row],[累计净值]]</f>
        <v>1.591</v>
      </c>
      <c r="G161" s="20">
        <f>IF(表2_367162629303891213141516[[#This Row],[累计净值]]&gt;1.217,0.7*(表2_367162629303891213141516[[#This Row],[累计净值]]-1.217)/1.217,(表2_367162629303891213141516[[#This Row],[累计净值]]-1.217)/1.217)</f>
        <v>0.2151191454396055</v>
      </c>
    </row>
    <row r="162" spans="1:7" x14ac:dyDescent="0.2">
      <c r="A162" s="15">
        <v>44160</v>
      </c>
      <c r="B162" s="112">
        <v>1.589</v>
      </c>
      <c r="C162" s="108">
        <f t="shared" si="43"/>
        <v>-2.0000000000000018E-3</v>
      </c>
      <c r="D162" s="109">
        <f t="shared" si="44"/>
        <v>-2.0000000000000018E-3</v>
      </c>
      <c r="E162" s="109">
        <f ca="1">IF(表2_367162629303891213141516[[#This Row],[累计净值]]/MAX(INDIRECT("B21:B" &amp; ROW()))-1&lt;E161,表2_367162629303891213141516[[#This Row],[累计净值]]/MAX(INDIRECT("B21:B" &amp; ROW()))-1,E161)</f>
        <v>-9.2879256965944235E-3</v>
      </c>
      <c r="F162" s="110">
        <f>表2_367162629303891213141516[[#This Row],[累计净值]]</f>
        <v>1.589</v>
      </c>
      <c r="G162" s="20">
        <f>IF(表2_367162629303891213141516[[#This Row],[累计净值]]&gt;1.217,0.7*(表2_367162629303891213141516[[#This Row],[累计净值]]-1.217)/1.217,(表2_367162629303891213141516[[#This Row],[累计净值]]-1.217)/1.217)</f>
        <v>0.21396877567789638</v>
      </c>
    </row>
    <row r="163" spans="1:7" x14ac:dyDescent="0.2">
      <c r="A163" s="15">
        <v>44161</v>
      </c>
      <c r="B163" s="112">
        <v>1.585</v>
      </c>
      <c r="C163" s="108">
        <f t="shared" si="43"/>
        <v>-4.0000000000000036E-3</v>
      </c>
      <c r="D163" s="109">
        <f t="shared" si="44"/>
        <v>-4.0000000000000036E-3</v>
      </c>
      <c r="E163" s="109">
        <f ca="1">IF(表2_367162629303891213141516[[#This Row],[累计净值]]/MAX(INDIRECT("B21:B" &amp; ROW()))-1&lt;E162,表2_367162629303891213141516[[#This Row],[累计净值]]/MAX(INDIRECT("B21:B" &amp; ROW()))-1,E162)</f>
        <v>-9.2879256965944235E-3</v>
      </c>
      <c r="F163" s="110">
        <f>表2_367162629303891213141516[[#This Row],[累计净值]]</f>
        <v>1.585</v>
      </c>
      <c r="G163" s="20">
        <f>IF(表2_367162629303891213141516[[#This Row],[累计净值]]&gt;1.217,0.7*(表2_367162629303891213141516[[#This Row],[累计净值]]-1.217)/1.217,(表2_367162629303891213141516[[#This Row],[累计净值]]-1.217)/1.217)</f>
        <v>0.21166803615447813</v>
      </c>
    </row>
    <row r="164" spans="1:7" x14ac:dyDescent="0.2">
      <c r="A164" s="15">
        <v>44162</v>
      </c>
      <c r="B164" s="112">
        <v>1.5860000000000001</v>
      </c>
      <c r="C164" s="108">
        <f t="shared" si="43"/>
        <v>1.0000000000001119E-3</v>
      </c>
      <c r="D164" s="109" t="str">
        <f t="shared" si="44"/>
        <v>/</v>
      </c>
      <c r="E164" s="109">
        <f ca="1">IF(表2_367162629303891213141516[[#This Row],[累计净值]]/MAX(INDIRECT("B21:B" &amp; ROW()))-1&lt;E163,表2_367162629303891213141516[[#This Row],[累计净值]]/MAX(INDIRECT("B21:B" &amp; ROW()))-1,E163)</f>
        <v>-9.2879256965944235E-3</v>
      </c>
      <c r="F164" s="110">
        <f>表2_367162629303891213141516[[#This Row],[累计净值]]</f>
        <v>1.5860000000000001</v>
      </c>
      <c r="G164" s="20">
        <f>IF(表2_367162629303891213141516[[#This Row],[累计净值]]&gt;1.217,0.7*(表2_367162629303891213141516[[#This Row],[累计净值]]-1.217)/1.217,(表2_367162629303891213141516[[#This Row],[累计净值]]-1.217)/1.217)</f>
        <v>0.21224322103533275</v>
      </c>
    </row>
    <row r="165" spans="1:7" x14ac:dyDescent="0.2">
      <c r="A165" s="15">
        <v>44165</v>
      </c>
      <c r="B165" s="112">
        <v>1.591</v>
      </c>
      <c r="C165" s="108">
        <f t="shared" si="43"/>
        <v>4.9999999999998934E-3</v>
      </c>
      <c r="D165" s="109" t="str">
        <f t="shared" si="44"/>
        <v>/</v>
      </c>
      <c r="E165" s="109">
        <f ca="1">IF(表2_367162629303891213141516[[#This Row],[累计净值]]/MAX(INDIRECT("B21:B" &amp; ROW()))-1&lt;E164,表2_367162629303891213141516[[#This Row],[累计净值]]/MAX(INDIRECT("B21:B" &amp; ROW()))-1,E164)</f>
        <v>-9.2879256965944235E-3</v>
      </c>
      <c r="F165" s="110">
        <f>表2_367162629303891213141516[[#This Row],[累计净值]]</f>
        <v>1.591</v>
      </c>
      <c r="G165" s="20">
        <f>IF(表2_367162629303891213141516[[#This Row],[累计净值]]&gt;1.217,0.7*(表2_367162629303891213141516[[#This Row],[累计净值]]-1.217)/1.217,(表2_367162629303891213141516[[#This Row],[累计净值]]-1.217)/1.217)</f>
        <v>0.2151191454396055</v>
      </c>
    </row>
    <row r="166" spans="1:7" x14ac:dyDescent="0.2">
      <c r="A166" s="15">
        <v>44166</v>
      </c>
      <c r="B166" s="112">
        <v>1.591</v>
      </c>
      <c r="C166" s="108">
        <f t="shared" ref="C166:C171" si="45">IFERROR(B166-B165,0)</f>
        <v>0</v>
      </c>
      <c r="D166" s="109" t="str">
        <f t="shared" ref="D166:D171" si="46">IF(C166&lt;0,C166,"/")</f>
        <v>/</v>
      </c>
      <c r="E166" s="109">
        <f ca="1">IF(表2_367162629303891213141516[[#This Row],[累计净值]]/MAX(INDIRECT("B21:B" &amp; ROW()))-1&lt;E165,表2_367162629303891213141516[[#This Row],[累计净值]]/MAX(INDIRECT("B21:B" &amp; ROW()))-1,E165)</f>
        <v>-9.2879256965944235E-3</v>
      </c>
      <c r="F166" s="110">
        <f>表2_367162629303891213141516[[#This Row],[累计净值]]</f>
        <v>1.591</v>
      </c>
      <c r="G166" s="20">
        <f>IF(表2_367162629303891213141516[[#This Row],[累计净值]]&gt;1.217,0.7*(表2_367162629303891213141516[[#This Row],[累计净值]]-1.217)/1.217,(表2_367162629303891213141516[[#This Row],[累计净值]]-1.217)/1.217)</f>
        <v>0.2151191454396055</v>
      </c>
    </row>
    <row r="167" spans="1:7" x14ac:dyDescent="0.2">
      <c r="A167" s="15">
        <v>44167</v>
      </c>
      <c r="B167" s="112">
        <v>1.593</v>
      </c>
      <c r="C167" s="108">
        <f t="shared" si="45"/>
        <v>2.0000000000000018E-3</v>
      </c>
      <c r="D167" s="109" t="str">
        <f t="shared" si="46"/>
        <v>/</v>
      </c>
      <c r="E167" s="109">
        <f ca="1">IF(表2_367162629303891213141516[[#This Row],[累计净值]]/MAX(INDIRECT("B21:B" &amp; ROW()))-1&lt;E166,表2_367162629303891213141516[[#This Row],[累计净值]]/MAX(INDIRECT("B21:B" &amp; ROW()))-1,E166)</f>
        <v>-9.2879256965944235E-3</v>
      </c>
      <c r="F167" s="110">
        <f>表2_367162629303891213141516[[#This Row],[累计净值]]</f>
        <v>1.593</v>
      </c>
      <c r="G167" s="20">
        <f>IF(表2_367162629303891213141516[[#This Row],[累计净值]]&gt;1.217,0.7*(表2_367162629303891213141516[[#This Row],[累计净值]]-1.217)/1.217,(表2_367162629303891213141516[[#This Row],[累计净值]]-1.217)/1.217)</f>
        <v>0.2162695152013146</v>
      </c>
    </row>
    <row r="168" spans="1:7" x14ac:dyDescent="0.2">
      <c r="A168" s="15">
        <v>44168</v>
      </c>
      <c r="B168" s="112">
        <v>1.593</v>
      </c>
      <c r="C168" s="108">
        <f t="shared" si="45"/>
        <v>0</v>
      </c>
      <c r="D168" s="109" t="str">
        <f t="shared" si="46"/>
        <v>/</v>
      </c>
      <c r="E168" s="109">
        <f ca="1">IF(表2_367162629303891213141516[[#This Row],[累计净值]]/MAX(INDIRECT("B21:B" &amp; ROW()))-1&lt;E167,表2_367162629303891213141516[[#This Row],[累计净值]]/MAX(INDIRECT("B21:B" &amp; ROW()))-1,E167)</f>
        <v>-9.2879256965944235E-3</v>
      </c>
      <c r="F168" s="110">
        <f>表2_367162629303891213141516[[#This Row],[累计净值]]</f>
        <v>1.593</v>
      </c>
      <c r="G168" s="20">
        <f>IF(表2_367162629303891213141516[[#This Row],[累计净值]]&gt;1.217,0.7*(表2_367162629303891213141516[[#This Row],[累计净值]]-1.217)/1.217,(表2_367162629303891213141516[[#This Row],[累计净值]]-1.217)/1.217)</f>
        <v>0.2162695152013146</v>
      </c>
    </row>
    <row r="169" spans="1:7" x14ac:dyDescent="0.2">
      <c r="A169" s="15">
        <v>44169</v>
      </c>
      <c r="B169" s="112">
        <v>1.597</v>
      </c>
      <c r="C169" s="108">
        <f t="shared" si="45"/>
        <v>4.0000000000000036E-3</v>
      </c>
      <c r="D169" s="109" t="str">
        <f t="shared" si="46"/>
        <v>/</v>
      </c>
      <c r="E169" s="109">
        <f ca="1">IF(表2_367162629303891213141516[[#This Row],[累计净值]]/MAX(INDIRECT("B21:B" &amp; ROW()))-1&lt;E168,表2_367162629303891213141516[[#This Row],[累计净值]]/MAX(INDIRECT("B21:B" &amp; ROW()))-1,E168)</f>
        <v>-9.2879256965944235E-3</v>
      </c>
      <c r="F169" s="110">
        <f>表2_367162629303891213141516[[#This Row],[累计净值]]</f>
        <v>1.597</v>
      </c>
      <c r="G169" s="20">
        <f>IF(表2_367162629303891213141516[[#This Row],[累计净值]]&gt;1.217,0.7*(表2_367162629303891213141516[[#This Row],[累计净值]]-1.217)/1.217,(表2_367162629303891213141516[[#This Row],[累计净值]]-1.217)/1.217)</f>
        <v>0.21857025472473285</v>
      </c>
    </row>
    <row r="170" spans="1:7" x14ac:dyDescent="0.2">
      <c r="A170" s="15">
        <v>44172</v>
      </c>
      <c r="B170" s="112">
        <v>1.6040000000000001</v>
      </c>
      <c r="C170" s="108">
        <f t="shared" si="45"/>
        <v>7.0000000000001172E-3</v>
      </c>
      <c r="D170" s="109" t="str">
        <f t="shared" si="46"/>
        <v>/</v>
      </c>
      <c r="E170" s="109">
        <f ca="1">IF(表2_367162629303891213141516[[#This Row],[累计净值]]/MAX(INDIRECT("B21:B" &amp; ROW()))-1&lt;E169,表2_367162629303891213141516[[#This Row],[累计净值]]/MAX(INDIRECT("B21:B" &amp; ROW()))-1,E169)</f>
        <v>-9.2879256965944235E-3</v>
      </c>
      <c r="F170" s="110">
        <f>表2_367162629303891213141516[[#This Row],[累计净值]]</f>
        <v>1.6040000000000001</v>
      </c>
      <c r="G170" s="20">
        <f>IF(表2_367162629303891213141516[[#This Row],[累计净值]]&gt;1.217,0.7*(表2_367162629303891213141516[[#This Row],[累计净值]]-1.217)/1.217,(表2_367162629303891213141516[[#This Row],[累计净值]]-1.217)/1.217)</f>
        <v>0.22259654889071484</v>
      </c>
    </row>
    <row r="171" spans="1:7" x14ac:dyDescent="0.2">
      <c r="A171" s="15">
        <v>44173</v>
      </c>
      <c r="B171" s="112">
        <v>1.605</v>
      </c>
      <c r="C171" s="108">
        <f t="shared" si="45"/>
        <v>9.9999999999988987E-4</v>
      </c>
      <c r="D171" s="109" t="str">
        <f t="shared" si="46"/>
        <v>/</v>
      </c>
      <c r="E171" s="109">
        <f ca="1">IF(表2_367162629303891213141516[[#This Row],[累计净值]]/MAX(INDIRECT("B21:B" &amp; ROW()))-1&lt;E170,表2_367162629303891213141516[[#This Row],[累计净值]]/MAX(INDIRECT("B21:B" &amp; ROW()))-1,E170)</f>
        <v>-9.2879256965944235E-3</v>
      </c>
      <c r="F171" s="110">
        <f>表2_367162629303891213141516[[#This Row],[累计净值]]</f>
        <v>1.605</v>
      </c>
      <c r="G171" s="20">
        <f>IF(表2_367162629303891213141516[[#This Row],[累计净值]]&gt;1.217,0.7*(表2_367162629303891213141516[[#This Row],[累计净值]]-1.217)/1.217,(表2_367162629303891213141516[[#This Row],[累计净值]]-1.217)/1.217)</f>
        <v>0.22317173377156935</v>
      </c>
    </row>
    <row r="172" spans="1:7" x14ac:dyDescent="0.2">
      <c r="A172" s="15">
        <v>44174</v>
      </c>
      <c r="B172" s="112">
        <v>1.6080000000000001</v>
      </c>
      <c r="C172" s="108">
        <f t="shared" ref="C172:C177" si="47">IFERROR(B172-B171,0)</f>
        <v>3.0000000000001137E-3</v>
      </c>
      <c r="D172" s="109" t="str">
        <f t="shared" ref="D172:D177" si="48">IF(C172&lt;0,C172,"/")</f>
        <v>/</v>
      </c>
      <c r="E172" s="109">
        <f ca="1">IF(表2_367162629303891213141516[[#This Row],[累计净值]]/MAX(INDIRECT("B21:B" &amp; ROW()))-1&lt;E171,表2_367162629303891213141516[[#This Row],[累计净值]]/MAX(INDIRECT("B21:B" &amp; ROW()))-1,E171)</f>
        <v>-9.2879256965944235E-3</v>
      </c>
      <c r="F172" s="110">
        <f>表2_367162629303891213141516[[#This Row],[累计净值]]</f>
        <v>1.6080000000000001</v>
      </c>
      <c r="G172" s="20">
        <f>IF(表2_367162629303891213141516[[#This Row],[累计净值]]&gt;1.217,0.7*(表2_367162629303891213141516[[#This Row],[累计净值]]-1.217)/1.217,(表2_367162629303891213141516[[#This Row],[累计净值]]-1.217)/1.217)</f>
        <v>0.22489728841413309</v>
      </c>
    </row>
    <row r="173" spans="1:7" x14ac:dyDescent="0.2">
      <c r="A173" s="15">
        <v>44175</v>
      </c>
      <c r="B173" s="112">
        <v>1.605</v>
      </c>
      <c r="C173" s="108">
        <f t="shared" si="47"/>
        <v>-3.0000000000001137E-3</v>
      </c>
      <c r="D173" s="109">
        <f t="shared" si="48"/>
        <v>-3.0000000000001137E-3</v>
      </c>
      <c r="E173" s="109">
        <f ca="1">IF(表2_367162629303891213141516[[#This Row],[累计净值]]/MAX(INDIRECT("B21:B" &amp; ROW()))-1&lt;E172,表2_367162629303891213141516[[#This Row],[累计净值]]/MAX(INDIRECT("B21:B" &amp; ROW()))-1,E172)</f>
        <v>-9.2879256965944235E-3</v>
      </c>
      <c r="F173" s="110">
        <f>表2_367162629303891213141516[[#This Row],[累计净值]]</f>
        <v>1.605</v>
      </c>
      <c r="G173" s="20">
        <f>IF(表2_367162629303891213141516[[#This Row],[累计净值]]&gt;1.217,0.7*(表2_367162629303891213141516[[#This Row],[累计净值]]-1.217)/1.217,(表2_367162629303891213141516[[#This Row],[累计净值]]-1.217)/1.217)</f>
        <v>0.22317173377156935</v>
      </c>
    </row>
    <row r="174" spans="1:7" x14ac:dyDescent="0.2">
      <c r="A174" s="15">
        <v>44176</v>
      </c>
      <c r="B174" s="112">
        <v>1.601</v>
      </c>
      <c r="C174" s="108">
        <f t="shared" si="47"/>
        <v>-4.0000000000000036E-3</v>
      </c>
      <c r="D174" s="109">
        <f t="shared" si="48"/>
        <v>-4.0000000000000036E-3</v>
      </c>
      <c r="E174" s="109">
        <f ca="1">IF(表2_367162629303891213141516[[#This Row],[累计净值]]/MAX(INDIRECT("B21:B" &amp; ROW()))-1&lt;E173,表2_367162629303891213141516[[#This Row],[累计净值]]/MAX(INDIRECT("B21:B" &amp; ROW()))-1,E173)</f>
        <v>-9.2879256965944235E-3</v>
      </c>
      <c r="F174" s="110">
        <f>表2_367162629303891213141516[[#This Row],[累计净值]]</f>
        <v>1.601</v>
      </c>
      <c r="G174" s="20">
        <f>IF(表2_367162629303891213141516[[#This Row],[累计净值]]&gt;1.217,0.7*(表2_367162629303891213141516[[#This Row],[累计净值]]-1.217)/1.217,(表2_367162629303891213141516[[#This Row],[累计净值]]-1.217)/1.217)</f>
        <v>0.22087099424815113</v>
      </c>
    </row>
    <row r="175" spans="1:7" x14ac:dyDescent="0.2">
      <c r="A175" s="15">
        <v>44179</v>
      </c>
      <c r="B175" s="112">
        <v>1.605</v>
      </c>
      <c r="C175" s="108">
        <f t="shared" si="47"/>
        <v>4.0000000000000036E-3</v>
      </c>
      <c r="D175" s="109" t="str">
        <f t="shared" si="48"/>
        <v>/</v>
      </c>
      <c r="E175" s="109">
        <f ca="1">IF(表2_367162629303891213141516[[#This Row],[累计净值]]/MAX(INDIRECT("B21:B" &amp; ROW()))-1&lt;E174,表2_367162629303891213141516[[#This Row],[累计净值]]/MAX(INDIRECT("B21:B" &amp; ROW()))-1,E174)</f>
        <v>-9.2879256965944235E-3</v>
      </c>
      <c r="F175" s="110">
        <f>表2_367162629303891213141516[[#This Row],[累计净值]]</f>
        <v>1.605</v>
      </c>
      <c r="G175" s="20">
        <f>IF(表2_367162629303891213141516[[#This Row],[累计净值]]&gt;1.217,0.7*(表2_367162629303891213141516[[#This Row],[累计净值]]-1.217)/1.217,(表2_367162629303891213141516[[#This Row],[累计净值]]-1.217)/1.217)</f>
        <v>0.22317173377156935</v>
      </c>
    </row>
    <row r="176" spans="1:7" x14ac:dyDescent="0.2">
      <c r="A176" s="15">
        <v>44180</v>
      </c>
      <c r="B176" s="112">
        <v>1.605</v>
      </c>
      <c r="C176" s="108">
        <f t="shared" si="47"/>
        <v>0</v>
      </c>
      <c r="D176" s="109" t="str">
        <f t="shared" si="48"/>
        <v>/</v>
      </c>
      <c r="E176" s="109">
        <f ca="1">IF(表2_367162629303891213141516[[#This Row],[累计净值]]/MAX(INDIRECT("B21:B" &amp; ROW()))-1&lt;E175,表2_367162629303891213141516[[#This Row],[累计净值]]/MAX(INDIRECT("B21:B" &amp; ROW()))-1,E175)</f>
        <v>-9.2879256965944235E-3</v>
      </c>
      <c r="F176" s="110">
        <f>表2_367162629303891213141516[[#This Row],[累计净值]]</f>
        <v>1.605</v>
      </c>
      <c r="G176" s="20">
        <f>IF(表2_367162629303891213141516[[#This Row],[累计净值]]&gt;1.217,0.7*(表2_367162629303891213141516[[#This Row],[累计净值]]-1.217)/1.217,(表2_367162629303891213141516[[#This Row],[累计净值]]-1.217)/1.217)</f>
        <v>0.22317173377156935</v>
      </c>
    </row>
    <row r="177" spans="1:7" x14ac:dyDescent="0.2">
      <c r="A177" s="15">
        <v>44181</v>
      </c>
      <c r="B177" s="112">
        <v>1.6080000000000001</v>
      </c>
      <c r="C177" s="108">
        <f t="shared" si="47"/>
        <v>3.0000000000001137E-3</v>
      </c>
      <c r="D177" s="109" t="str">
        <f t="shared" si="48"/>
        <v>/</v>
      </c>
      <c r="E177" s="109">
        <f ca="1">IF(表2_367162629303891213141516[[#This Row],[累计净值]]/MAX(INDIRECT("B21:B" &amp; ROW()))-1&lt;E176,表2_367162629303891213141516[[#This Row],[累计净值]]/MAX(INDIRECT("B21:B" &amp; ROW()))-1,E176)</f>
        <v>-9.2879256965944235E-3</v>
      </c>
      <c r="F177" s="110">
        <f>表2_367162629303891213141516[[#This Row],[累计净值]]</f>
        <v>1.6080000000000001</v>
      </c>
      <c r="G177" s="20">
        <f>IF(表2_367162629303891213141516[[#This Row],[累计净值]]&gt;1.217,0.7*(表2_367162629303891213141516[[#This Row],[累计净值]]-1.217)/1.217,(表2_367162629303891213141516[[#This Row],[累计净值]]-1.217)/1.217)</f>
        <v>0.22489728841413309</v>
      </c>
    </row>
    <row r="178" spans="1:7" x14ac:dyDescent="0.2">
      <c r="A178" s="15">
        <v>44182</v>
      </c>
      <c r="B178" s="112">
        <v>1.6080000000000001</v>
      </c>
      <c r="C178" s="108">
        <f t="shared" ref="C178:C183" si="49">IFERROR(B178-B177,0)</f>
        <v>0</v>
      </c>
      <c r="D178" s="109" t="str">
        <f t="shared" ref="D178:D183" si="50">IF(C178&lt;0,C178,"/")</f>
        <v>/</v>
      </c>
      <c r="E178" s="109">
        <f ca="1">IF(表2_367162629303891213141516[[#This Row],[累计净值]]/MAX(INDIRECT("B21:B" &amp; ROW()))-1&lt;E177,表2_367162629303891213141516[[#This Row],[累计净值]]/MAX(INDIRECT("B21:B" &amp; ROW()))-1,E177)</f>
        <v>-9.2879256965944235E-3</v>
      </c>
      <c r="F178" s="110">
        <f>表2_367162629303891213141516[[#This Row],[累计净值]]</f>
        <v>1.6080000000000001</v>
      </c>
      <c r="G178" s="20">
        <f>IF(表2_367162629303891213141516[[#This Row],[累计净值]]&gt;1.217,0.7*(表2_367162629303891213141516[[#This Row],[累计净值]]-1.217)/1.217,(表2_367162629303891213141516[[#This Row],[累计净值]]-1.217)/1.217)</f>
        <v>0.22489728841413309</v>
      </c>
    </row>
    <row r="179" spans="1:7" x14ac:dyDescent="0.2">
      <c r="A179" s="15">
        <v>44183</v>
      </c>
      <c r="B179" s="112">
        <v>1.611</v>
      </c>
      <c r="C179" s="108">
        <f t="shared" si="49"/>
        <v>2.9999999999998916E-3</v>
      </c>
      <c r="D179" s="109" t="str">
        <f t="shared" si="50"/>
        <v>/</v>
      </c>
      <c r="E179" s="109">
        <f ca="1">IF(表2_367162629303891213141516[[#This Row],[累计净值]]/MAX(INDIRECT("B21:B" &amp; ROW()))-1&lt;E178,表2_367162629303891213141516[[#This Row],[累计净值]]/MAX(INDIRECT("B21:B" &amp; ROW()))-1,E178)</f>
        <v>-9.2879256965944235E-3</v>
      </c>
      <c r="F179" s="110">
        <f>表2_367162629303891213141516[[#This Row],[累计净值]]</f>
        <v>1.611</v>
      </c>
      <c r="G179" s="20">
        <f>IF(表2_367162629303891213141516[[#This Row],[累计净值]]&gt;1.217,0.7*(表2_367162629303891213141516[[#This Row],[累计净值]]-1.217)/1.217,(表2_367162629303891213141516[[#This Row],[累计净值]]-1.217)/1.217)</f>
        <v>0.22662284305669672</v>
      </c>
    </row>
    <row r="180" spans="1:7" x14ac:dyDescent="0.2">
      <c r="A180" s="15">
        <v>44186</v>
      </c>
      <c r="B180" s="112">
        <v>1.611</v>
      </c>
      <c r="C180" s="108">
        <f t="shared" si="49"/>
        <v>0</v>
      </c>
      <c r="D180" s="109" t="str">
        <f t="shared" si="50"/>
        <v>/</v>
      </c>
      <c r="E180" s="109">
        <f ca="1">IF(表2_367162629303891213141516[[#This Row],[累计净值]]/MAX(INDIRECT("B21:B" &amp; ROW()))-1&lt;E179,表2_367162629303891213141516[[#This Row],[累计净值]]/MAX(INDIRECT("B21:B" &amp; ROW()))-1,E179)</f>
        <v>-9.2879256965944235E-3</v>
      </c>
      <c r="F180" s="110">
        <f>表2_367162629303891213141516[[#This Row],[累计净值]]</f>
        <v>1.611</v>
      </c>
      <c r="G180" s="20">
        <f>IF(表2_367162629303891213141516[[#This Row],[累计净值]]&gt;1.217,0.7*(表2_367162629303891213141516[[#This Row],[累计净值]]-1.217)/1.217,(表2_367162629303891213141516[[#This Row],[累计净值]]-1.217)/1.217)</f>
        <v>0.22662284305669672</v>
      </c>
    </row>
    <row r="181" spans="1:7" x14ac:dyDescent="0.2">
      <c r="A181" s="15">
        <v>44187</v>
      </c>
      <c r="B181" s="112">
        <v>1.6140000000000001</v>
      </c>
      <c r="C181" s="108">
        <f t="shared" si="49"/>
        <v>3.0000000000001137E-3</v>
      </c>
      <c r="D181" s="109" t="str">
        <f t="shared" si="50"/>
        <v>/</v>
      </c>
      <c r="E181" s="109">
        <f ca="1">IF(表2_367162629303891213141516[[#This Row],[累计净值]]/MAX(INDIRECT("B21:B" &amp; ROW()))-1&lt;E180,表2_367162629303891213141516[[#This Row],[累计净值]]/MAX(INDIRECT("B21:B" &amp; ROW()))-1,E180)</f>
        <v>-9.2879256965944235E-3</v>
      </c>
      <c r="F181" s="110">
        <f>表2_367162629303891213141516[[#This Row],[累计净值]]</f>
        <v>1.6140000000000001</v>
      </c>
      <c r="G181" s="20">
        <f>IF(表2_367162629303891213141516[[#This Row],[累计净值]]&gt;1.217,0.7*(表2_367162629303891213141516[[#This Row],[累计净值]]-1.217)/1.217,(表2_367162629303891213141516[[#This Row],[累计净值]]-1.217)/1.217)</f>
        <v>0.22834839769926044</v>
      </c>
    </row>
    <row r="182" spans="1:7" x14ac:dyDescent="0.2">
      <c r="A182" s="15">
        <v>44188</v>
      </c>
      <c r="B182" s="112">
        <v>1.6120000000000001</v>
      </c>
      <c r="C182" s="108">
        <f t="shared" si="49"/>
        <v>-2.0000000000000018E-3</v>
      </c>
      <c r="D182" s="109">
        <f t="shared" si="50"/>
        <v>-2.0000000000000018E-3</v>
      </c>
      <c r="E182" s="109">
        <f ca="1">IF(表2_367162629303891213141516[[#This Row],[累计净值]]/MAX(INDIRECT("B21:B" &amp; ROW()))-1&lt;E181,表2_367162629303891213141516[[#This Row],[累计净值]]/MAX(INDIRECT("B21:B" &amp; ROW()))-1,E181)</f>
        <v>-9.2879256965944235E-3</v>
      </c>
      <c r="F182" s="110">
        <f>表2_367162629303891213141516[[#This Row],[累计净值]]</f>
        <v>1.6120000000000001</v>
      </c>
      <c r="G182" s="20">
        <f>IF(表2_367162629303891213141516[[#This Row],[累计净值]]&gt;1.217,0.7*(表2_367162629303891213141516[[#This Row],[累计净值]]-1.217)/1.217,(表2_367162629303891213141516[[#This Row],[累计净值]]-1.217)/1.217)</f>
        <v>0.22719802793755131</v>
      </c>
    </row>
    <row r="183" spans="1:7" x14ac:dyDescent="0.2">
      <c r="A183" s="15">
        <v>44189</v>
      </c>
      <c r="B183" s="112">
        <v>1.6140000000000001</v>
      </c>
      <c r="C183" s="108">
        <f t="shared" si="49"/>
        <v>2.0000000000000018E-3</v>
      </c>
      <c r="D183" s="109" t="str">
        <f t="shared" si="50"/>
        <v>/</v>
      </c>
      <c r="E183" s="109">
        <f ca="1">IF(表2_367162629303891213141516[[#This Row],[累计净值]]/MAX(INDIRECT("B21:B" &amp; ROW()))-1&lt;E182,表2_367162629303891213141516[[#This Row],[累计净值]]/MAX(INDIRECT("B21:B" &amp; ROW()))-1,E182)</f>
        <v>-9.2879256965944235E-3</v>
      </c>
      <c r="F183" s="110">
        <f>表2_367162629303891213141516[[#This Row],[累计净值]]</f>
        <v>1.6140000000000001</v>
      </c>
      <c r="G183" s="20">
        <f>IF(表2_367162629303891213141516[[#This Row],[累计净值]]&gt;1.217,0.7*(表2_367162629303891213141516[[#This Row],[累计净值]]-1.217)/1.217,(表2_367162629303891213141516[[#This Row],[累计净值]]-1.217)/1.217)</f>
        <v>0.22834839769926044</v>
      </c>
    </row>
    <row r="184" spans="1:7" x14ac:dyDescent="0.2">
      <c r="A184" s="15">
        <v>44190</v>
      </c>
      <c r="B184" s="112">
        <v>1.615</v>
      </c>
      <c r="C184" s="108">
        <f t="shared" ref="C184:C189" si="51">IFERROR(B184-B183,0)</f>
        <v>9.9999999999988987E-4</v>
      </c>
      <c r="D184" s="109" t="str">
        <f t="shared" ref="D184:D189" si="52">IF(C184&lt;0,C184,"/")</f>
        <v>/</v>
      </c>
      <c r="E184" s="109">
        <f ca="1">IF(表2_367162629303891213141516[[#This Row],[累计净值]]/MAX(INDIRECT("B21:B" &amp; ROW()))-1&lt;E183,表2_367162629303891213141516[[#This Row],[累计净值]]/MAX(INDIRECT("B21:B" &amp; ROW()))-1,E183)</f>
        <v>-9.2879256965944235E-3</v>
      </c>
      <c r="F184" s="110">
        <f>表2_367162629303891213141516[[#This Row],[累计净值]]</f>
        <v>1.615</v>
      </c>
      <c r="G184" s="20">
        <f>IF(表2_367162629303891213141516[[#This Row],[累计净值]]&gt;1.217,0.7*(表2_367162629303891213141516[[#This Row],[累计净值]]-1.217)/1.217,(表2_367162629303891213141516[[#This Row],[累计净值]]-1.217)/1.217)</f>
        <v>0.22892358258011494</v>
      </c>
    </row>
    <row r="185" spans="1:7" x14ac:dyDescent="0.2">
      <c r="A185" s="15">
        <v>44193</v>
      </c>
      <c r="B185" s="112">
        <v>1.6140000000000001</v>
      </c>
      <c r="C185" s="108">
        <f t="shared" si="51"/>
        <v>-9.9999999999988987E-4</v>
      </c>
      <c r="D185" s="109">
        <f t="shared" si="52"/>
        <v>-9.9999999999988987E-4</v>
      </c>
      <c r="E185" s="109">
        <f ca="1">IF(表2_367162629303891213141516[[#This Row],[累计净值]]/MAX(INDIRECT("B21:B" &amp; ROW()))-1&lt;E184,表2_367162629303891213141516[[#This Row],[累计净值]]/MAX(INDIRECT("B21:B" &amp; ROW()))-1,E184)</f>
        <v>-9.2879256965944235E-3</v>
      </c>
      <c r="F185" s="110">
        <f>表2_367162629303891213141516[[#This Row],[累计净值]]</f>
        <v>1.6140000000000001</v>
      </c>
      <c r="G185" s="20">
        <f>IF(表2_367162629303891213141516[[#This Row],[累计净值]]&gt;1.217,0.7*(表2_367162629303891213141516[[#This Row],[累计净值]]-1.217)/1.217,(表2_367162629303891213141516[[#This Row],[累计净值]]-1.217)/1.217)</f>
        <v>0.22834839769926044</v>
      </c>
    </row>
    <row r="186" spans="1:7" x14ac:dyDescent="0.2">
      <c r="A186" s="15">
        <v>44194</v>
      </c>
      <c r="B186" s="112">
        <v>1.615</v>
      </c>
      <c r="C186" s="108">
        <f t="shared" si="51"/>
        <v>9.9999999999988987E-4</v>
      </c>
      <c r="D186" s="109" t="str">
        <f t="shared" si="52"/>
        <v>/</v>
      </c>
      <c r="E186" s="109">
        <f ca="1">IF(表2_367162629303891213141516[[#This Row],[累计净值]]/MAX(INDIRECT("B21:B" &amp; ROW()))-1&lt;E185,表2_367162629303891213141516[[#This Row],[累计净值]]/MAX(INDIRECT("B21:B" &amp; ROW()))-1,E185)</f>
        <v>-9.2879256965944235E-3</v>
      </c>
      <c r="F186" s="110">
        <f>表2_367162629303891213141516[[#This Row],[累计净值]]</f>
        <v>1.615</v>
      </c>
      <c r="G186" s="20">
        <f>IF(表2_367162629303891213141516[[#This Row],[累计净值]]&gt;1.217,0.7*(表2_367162629303891213141516[[#This Row],[累计净值]]-1.217)/1.217,(表2_367162629303891213141516[[#This Row],[累计净值]]-1.217)/1.217)</f>
        <v>0.22892358258011494</v>
      </c>
    </row>
    <row r="187" spans="1:7" x14ac:dyDescent="0.2">
      <c r="A187" s="15">
        <v>44195</v>
      </c>
      <c r="B187" s="112">
        <v>1.617</v>
      </c>
      <c r="C187" s="108">
        <f t="shared" si="51"/>
        <v>2.0000000000000018E-3</v>
      </c>
      <c r="D187" s="109" t="str">
        <f t="shared" si="52"/>
        <v>/</v>
      </c>
      <c r="E187" s="109">
        <f ca="1">IF(表2_367162629303891213141516[[#This Row],[累计净值]]/MAX(INDIRECT("B21:B" &amp; ROW()))-1&lt;E186,表2_367162629303891213141516[[#This Row],[累计净值]]/MAX(INDIRECT("B21:B" &amp; ROW()))-1,E186)</f>
        <v>-9.2879256965944235E-3</v>
      </c>
      <c r="F187" s="110">
        <f>表2_367162629303891213141516[[#This Row],[累计净值]]</f>
        <v>1.617</v>
      </c>
      <c r="G187" s="20">
        <f>IF(表2_367162629303891213141516[[#This Row],[累计净值]]&gt;1.217,0.7*(表2_367162629303891213141516[[#This Row],[累计净值]]-1.217)/1.217,(表2_367162629303891213141516[[#This Row],[累计净值]]-1.217)/1.217)</f>
        <v>0.23007395234182407</v>
      </c>
    </row>
    <row r="188" spans="1:7" x14ac:dyDescent="0.2">
      <c r="A188" s="15">
        <v>44196</v>
      </c>
      <c r="B188" s="112">
        <v>1.615</v>
      </c>
      <c r="C188" s="108">
        <f t="shared" si="51"/>
        <v>-2.0000000000000018E-3</v>
      </c>
      <c r="D188" s="109">
        <f t="shared" si="52"/>
        <v>-2.0000000000000018E-3</v>
      </c>
      <c r="E188" s="109">
        <f ca="1">IF(表2_367162629303891213141516[[#This Row],[累计净值]]/MAX(INDIRECT("B21:B" &amp; ROW()))-1&lt;E187,表2_367162629303891213141516[[#This Row],[累计净值]]/MAX(INDIRECT("B21:B" &amp; ROW()))-1,E187)</f>
        <v>-9.2879256965944235E-3</v>
      </c>
      <c r="F188" s="110">
        <f>表2_367162629303891213141516[[#This Row],[累计净值]]</f>
        <v>1.615</v>
      </c>
      <c r="G188" s="20">
        <f>IF(表2_367162629303891213141516[[#This Row],[累计净值]]&gt;1.217,0.7*(表2_367162629303891213141516[[#This Row],[累计净值]]-1.217)/1.217,(表2_367162629303891213141516[[#This Row],[累计净值]]-1.217)/1.217)</f>
        <v>0.22892358258011494</v>
      </c>
    </row>
    <row r="189" spans="1:7" x14ac:dyDescent="0.2">
      <c r="A189" s="15">
        <v>44200</v>
      </c>
      <c r="B189" s="112">
        <v>1.62</v>
      </c>
      <c r="C189" s="108">
        <f t="shared" si="51"/>
        <v>5.0000000000001155E-3</v>
      </c>
      <c r="D189" s="109" t="str">
        <f t="shared" si="52"/>
        <v>/</v>
      </c>
      <c r="E189" s="109">
        <f ca="1">IF(表2_367162629303891213141516[[#This Row],[累计净值]]/MAX(INDIRECT("B21:B" &amp; ROW()))-1&lt;E188,表2_367162629303891213141516[[#This Row],[累计净值]]/MAX(INDIRECT("B21:B" &amp; ROW()))-1,E188)</f>
        <v>-9.2879256965944235E-3</v>
      </c>
      <c r="F189" s="110">
        <f>表2_367162629303891213141516[[#This Row],[累计净值]]</f>
        <v>1.62</v>
      </c>
      <c r="G189" s="20">
        <f>IF(表2_367162629303891213141516[[#This Row],[累计净值]]&gt;1.217,0.7*(表2_367162629303891213141516[[#This Row],[累计净值]]-1.217)/1.217,(表2_367162629303891213141516[[#This Row],[累计净值]]-1.217)/1.217)</f>
        <v>0.23179950698438784</v>
      </c>
    </row>
    <row r="190" spans="1:7" x14ac:dyDescent="0.2">
      <c r="A190" s="15">
        <v>44201</v>
      </c>
      <c r="B190" s="112">
        <v>1.625</v>
      </c>
      <c r="C190" s="108">
        <f>IFERROR(B190-B189,0)</f>
        <v>4.9999999999998934E-3</v>
      </c>
      <c r="D190" s="109" t="str">
        <f>IF(C190&lt;0,C190,"/")</f>
        <v>/</v>
      </c>
      <c r="E190" s="109">
        <f ca="1">IF(表2_367162629303891213141516[[#This Row],[累计净值]]/MAX(INDIRECT("B21:B" &amp; ROW()))-1&lt;E189,表2_367162629303891213141516[[#This Row],[累计净值]]/MAX(INDIRECT("B21:B" &amp; ROW()))-1,E189)</f>
        <v>-9.2879256965944235E-3</v>
      </c>
      <c r="F190" s="110">
        <f>表2_367162629303891213141516[[#This Row],[累计净值]]</f>
        <v>1.625</v>
      </c>
      <c r="G190" s="20">
        <f>IF(表2_367162629303891213141516[[#This Row],[累计净值]]&gt;1.217,0.7*(表2_367162629303891213141516[[#This Row],[累计净值]]-1.217)/1.217,(表2_367162629303891213141516[[#This Row],[累计净值]]-1.217)/1.217)</f>
        <v>0.23467543138866054</v>
      </c>
    </row>
    <row r="191" spans="1:7" x14ac:dyDescent="0.2">
      <c r="A191" s="15">
        <v>44202</v>
      </c>
      <c r="B191" s="112">
        <v>1.631</v>
      </c>
      <c r="C191" s="108">
        <f>IFERROR(B191-B190,0)</f>
        <v>6.0000000000000053E-3</v>
      </c>
      <c r="D191" s="109" t="str">
        <f>IF(C191&lt;0,C191,"/")</f>
        <v>/</v>
      </c>
      <c r="E191" s="109">
        <f ca="1">IF(表2_367162629303891213141516[[#This Row],[累计净值]]/MAX(INDIRECT("B21:B" &amp; ROW()))-1&lt;E190,表2_367162629303891213141516[[#This Row],[累计净值]]/MAX(INDIRECT("B21:B" &amp; ROW()))-1,E190)</f>
        <v>-9.2879256965944235E-3</v>
      </c>
      <c r="F191" s="110">
        <f>表2_367162629303891213141516[[#This Row],[累计净值]]</f>
        <v>1.631</v>
      </c>
      <c r="G191" s="20">
        <f>IF(表2_367162629303891213141516[[#This Row],[累计净值]]&gt;1.217,0.7*(表2_367162629303891213141516[[#This Row],[累计净值]]-1.217)/1.217,(表2_367162629303891213141516[[#This Row],[累计净值]]-1.217)/1.217)</f>
        <v>0.23812654067378794</v>
      </c>
    </row>
    <row r="192" spans="1:7" x14ac:dyDescent="0.2">
      <c r="A192" s="15">
        <v>44203</v>
      </c>
      <c r="B192" s="112">
        <v>1.6319999999999999</v>
      </c>
      <c r="C192" s="108">
        <f t="shared" ref="C192:C193" si="53">IFERROR(B192-B191,0)</f>
        <v>9.9999999999988987E-4</v>
      </c>
      <c r="D192" s="109" t="str">
        <f t="shared" ref="D192:D193" si="54">IF(C192&lt;0,C192,"/")</f>
        <v>/</v>
      </c>
      <c r="E192" s="109">
        <f ca="1">IF(表2_367162629303891213141516[[#This Row],[累计净值]]/MAX(INDIRECT("B21:B" &amp; ROW()))-1&lt;E191,表2_367162629303891213141516[[#This Row],[累计净值]]/MAX(INDIRECT("B21:B" &amp; ROW()))-1,E191)</f>
        <v>-9.2879256965944235E-3</v>
      </c>
      <c r="F192" s="110">
        <f>表2_367162629303891213141516[[#This Row],[累计净值]]</f>
        <v>1.6319999999999999</v>
      </c>
      <c r="G192" s="20">
        <f>IF(表2_367162629303891213141516[[#This Row],[累计净值]]&gt;1.217,0.7*(表2_367162629303891213141516[[#This Row],[累计净值]]-1.217)/1.217,(表2_367162629303891213141516[[#This Row],[累计净值]]-1.217)/1.217)</f>
        <v>0.23870172555464245</v>
      </c>
    </row>
    <row r="193" spans="1:7" x14ac:dyDescent="0.2">
      <c r="A193" s="15">
        <v>44204</v>
      </c>
      <c r="B193" s="112">
        <v>1.6259999999999999</v>
      </c>
      <c r="C193" s="108">
        <f t="shared" si="53"/>
        <v>-6.0000000000000053E-3</v>
      </c>
      <c r="D193" s="109">
        <f t="shared" si="54"/>
        <v>-6.0000000000000053E-3</v>
      </c>
      <c r="E193" s="109">
        <f ca="1">IF(表2_367162629303891213141516[[#This Row],[累计净值]]/MAX(INDIRECT("B21:B" &amp; ROW()))-1&lt;E192,表2_367162629303891213141516[[#This Row],[累计净值]]/MAX(INDIRECT("B21:B" &amp; ROW()))-1,E192)</f>
        <v>-9.2879256965944235E-3</v>
      </c>
      <c r="F193" s="110">
        <f>表2_367162629303891213141516[[#This Row],[累计净值]]</f>
        <v>1.6259999999999999</v>
      </c>
      <c r="G193" s="20">
        <f>IF(表2_367162629303891213141516[[#This Row],[累计净值]]&gt;1.217,0.7*(表2_367162629303891213141516[[#This Row],[累计净值]]-1.217)/1.217,(表2_367162629303891213141516[[#This Row],[累计净值]]-1.217)/1.217)</f>
        <v>0.23525061626951504</v>
      </c>
    </row>
    <row r="194" spans="1:7" x14ac:dyDescent="0.2">
      <c r="A194" s="15">
        <v>44207</v>
      </c>
      <c r="B194" s="112">
        <v>1.637</v>
      </c>
      <c r="C194" s="108">
        <f t="shared" ref="C194:C199" si="55">IFERROR(B194-B193,0)</f>
        <v>1.1000000000000121E-2</v>
      </c>
      <c r="D194" s="109" t="str">
        <f t="shared" ref="D194:D199" si="56">IF(C194&lt;0,C194,"/")</f>
        <v>/</v>
      </c>
      <c r="E194" s="109">
        <f ca="1">IF(表2_367162629303891213141516[[#This Row],[累计净值]]/MAX(INDIRECT("B21:B" &amp; ROW()))-1&lt;E193,表2_367162629303891213141516[[#This Row],[累计净值]]/MAX(INDIRECT("B21:B" &amp; ROW()))-1,E193)</f>
        <v>-9.2879256965944235E-3</v>
      </c>
      <c r="F194" s="110">
        <f>表2_367162629303891213141516[[#This Row],[累计净值]]</f>
        <v>1.637</v>
      </c>
      <c r="G194" s="20">
        <f>IF(表2_367162629303891213141516[[#This Row],[累计净值]]&gt;1.217,0.7*(表2_367162629303891213141516[[#This Row],[累计净值]]-1.217)/1.217,(表2_367162629303891213141516[[#This Row],[累计净值]]-1.217)/1.217)</f>
        <v>0.24157764995891529</v>
      </c>
    </row>
    <row r="195" spans="1:7" x14ac:dyDescent="0.2">
      <c r="A195" s="15">
        <v>44208</v>
      </c>
      <c r="B195" s="112">
        <v>1.6339999999999999</v>
      </c>
      <c r="C195" s="108">
        <f t="shared" si="55"/>
        <v>-3.0000000000001137E-3</v>
      </c>
      <c r="D195" s="109">
        <f t="shared" si="56"/>
        <v>-3.0000000000001137E-3</v>
      </c>
      <c r="E195" s="109">
        <f ca="1">IF(表2_367162629303891213141516[[#This Row],[累计净值]]/MAX(INDIRECT("B21:B" &amp; ROW()))-1&lt;E194,表2_367162629303891213141516[[#This Row],[累计净值]]/MAX(INDIRECT("B21:B" &amp; ROW()))-1,E194)</f>
        <v>-9.2879256965944235E-3</v>
      </c>
      <c r="F195" s="110">
        <f>表2_367162629303891213141516[[#This Row],[累计净值]]</f>
        <v>1.6339999999999999</v>
      </c>
      <c r="G195" s="20">
        <f>IF(表2_367162629303891213141516[[#This Row],[累计净值]]&gt;1.217,0.7*(表2_367162629303891213141516[[#This Row],[累计净值]]-1.217)/1.217,(表2_367162629303891213141516[[#This Row],[累计净值]]-1.217)/1.217)</f>
        <v>0.23985209531635152</v>
      </c>
    </row>
    <row r="196" spans="1:7" x14ac:dyDescent="0.2">
      <c r="A196" s="15">
        <v>44209</v>
      </c>
      <c r="B196" s="112">
        <v>1.643</v>
      </c>
      <c r="C196" s="108">
        <f t="shared" si="55"/>
        <v>9.000000000000119E-3</v>
      </c>
      <c r="D196" s="109" t="str">
        <f t="shared" si="56"/>
        <v>/</v>
      </c>
      <c r="E196" s="109">
        <f ca="1">IF(表2_367162629303891213141516[[#This Row],[累计净值]]/MAX(INDIRECT("B21:B" &amp; ROW()))-1&lt;E195,表2_367162629303891213141516[[#This Row],[累计净值]]/MAX(INDIRECT("B21:B" &amp; ROW()))-1,E195)</f>
        <v>-9.2879256965944235E-3</v>
      </c>
      <c r="F196" s="110">
        <f>表2_367162629303891213141516[[#This Row],[累计净值]]</f>
        <v>1.643</v>
      </c>
      <c r="G196" s="20">
        <f>IF(表2_367162629303891213141516[[#This Row],[累计净值]]&gt;1.217,0.7*(表2_367162629303891213141516[[#This Row],[累计净值]]-1.217)/1.217,(表2_367162629303891213141516[[#This Row],[累计净值]]-1.217)/1.217)</f>
        <v>0.24502875924404263</v>
      </c>
    </row>
    <row r="197" spans="1:7" x14ac:dyDescent="0.2">
      <c r="A197" s="15">
        <v>44210</v>
      </c>
      <c r="B197" s="112">
        <v>1.6459999999999999</v>
      </c>
      <c r="C197" s="108">
        <f t="shared" si="55"/>
        <v>2.9999999999998916E-3</v>
      </c>
      <c r="D197" s="109" t="str">
        <f t="shared" si="56"/>
        <v>/</v>
      </c>
      <c r="E197" s="109">
        <f ca="1">IF(表2_367162629303891213141516[[#This Row],[累计净值]]/MAX(INDIRECT("B21:B" &amp; ROW()))-1&lt;E196,表2_367162629303891213141516[[#This Row],[累计净值]]/MAX(INDIRECT("B21:B" &amp; ROW()))-1,E196)</f>
        <v>-9.2879256965944235E-3</v>
      </c>
      <c r="F197" s="110">
        <f>表2_367162629303891213141516[[#This Row],[累计净值]]</f>
        <v>1.6459999999999999</v>
      </c>
      <c r="G197" s="20">
        <f>IF(表2_367162629303891213141516[[#This Row],[累计净值]]&gt;1.217,0.7*(表2_367162629303891213141516[[#This Row],[累计净值]]-1.217)/1.217,(表2_367162629303891213141516[[#This Row],[累计净值]]-1.217)/1.217)</f>
        <v>0.24675431388660626</v>
      </c>
    </row>
    <row r="198" spans="1:7" x14ac:dyDescent="0.2">
      <c r="A198" s="15">
        <v>44211</v>
      </c>
      <c r="B198" s="112">
        <v>1.6519999999999999</v>
      </c>
      <c r="C198" s="108">
        <f t="shared" si="55"/>
        <v>6.0000000000000053E-3</v>
      </c>
      <c r="D198" s="109" t="str">
        <f t="shared" si="56"/>
        <v>/</v>
      </c>
      <c r="E198" s="109">
        <f ca="1">IF(表2_367162629303891213141516[[#This Row],[累计净值]]/MAX(INDIRECT("B21:B" &amp; ROW()))-1&lt;E197,表2_367162629303891213141516[[#This Row],[累计净值]]/MAX(INDIRECT("B21:B" &amp; ROW()))-1,E197)</f>
        <v>-9.2879256965944235E-3</v>
      </c>
      <c r="F198" s="110">
        <f>表2_367162629303891213141516[[#This Row],[累计净值]]</f>
        <v>1.6519999999999999</v>
      </c>
      <c r="G198" s="20">
        <f>IF(表2_367162629303891213141516[[#This Row],[累计净值]]&gt;1.217,0.7*(表2_367162629303891213141516[[#This Row],[累计净值]]-1.217)/1.217,(表2_367162629303891213141516[[#This Row],[累计净值]]-1.217)/1.217)</f>
        <v>0.25020542317173367</v>
      </c>
    </row>
    <row r="199" spans="1:7" x14ac:dyDescent="0.2">
      <c r="A199" s="15">
        <v>44214</v>
      </c>
      <c r="B199" s="112">
        <v>1.6579999999999999</v>
      </c>
      <c r="C199" s="108">
        <f t="shared" si="55"/>
        <v>6.0000000000000053E-3</v>
      </c>
      <c r="D199" s="109" t="str">
        <f t="shared" si="56"/>
        <v>/</v>
      </c>
      <c r="E199" s="109">
        <f ca="1">IF(表2_367162629303891213141516[[#This Row],[累计净值]]/MAX(INDIRECT("B21:B" &amp; ROW()))-1&lt;E198,表2_367162629303891213141516[[#This Row],[累计净值]]/MAX(INDIRECT("B21:B" &amp; ROW()))-1,E198)</f>
        <v>-9.2879256965944235E-3</v>
      </c>
      <c r="F199" s="110">
        <f>表2_367162629303891213141516[[#This Row],[累计净值]]</f>
        <v>1.6579999999999999</v>
      </c>
      <c r="G199" s="20">
        <f>IF(表2_367162629303891213141516[[#This Row],[累计净值]]&gt;1.217,0.7*(表2_367162629303891213141516[[#This Row],[累计净值]]-1.217)/1.217,(表2_367162629303891213141516[[#This Row],[累计净值]]-1.217)/1.217)</f>
        <v>0.25365653245686098</v>
      </c>
    </row>
    <row r="200" spans="1:7" x14ac:dyDescent="0.2">
      <c r="A200" s="15">
        <v>44215</v>
      </c>
      <c r="B200" s="112">
        <v>1.6539999999999999</v>
      </c>
      <c r="C200" s="108">
        <f t="shared" ref="C200:C205" si="57">IFERROR(B200-B199,0)</f>
        <v>-4.0000000000000036E-3</v>
      </c>
      <c r="D200" s="109">
        <f t="shared" ref="D200:D205" si="58">IF(C200&lt;0,C200,"/")</f>
        <v>-4.0000000000000036E-3</v>
      </c>
      <c r="E200" s="109">
        <f ca="1">IF(表2_367162629303891213141516[[#This Row],[累计净值]]/MAX(INDIRECT("B21:B" &amp; ROW()))-1&lt;E199,表2_367162629303891213141516[[#This Row],[累计净值]]/MAX(INDIRECT("B21:B" &amp; ROW()))-1,E199)</f>
        <v>-9.2879256965944235E-3</v>
      </c>
      <c r="F200" s="110">
        <f>表2_367162629303891213141516[[#This Row],[累计净值]]</f>
        <v>1.6539999999999999</v>
      </c>
      <c r="G200" s="20">
        <f>IF(表2_367162629303891213141516[[#This Row],[累计净值]]&gt;1.217,0.7*(表2_367162629303891213141516[[#This Row],[累计净值]]-1.217)/1.217,(表2_367162629303891213141516[[#This Row],[累计净值]]-1.217)/1.217)</f>
        <v>0.25135579293344273</v>
      </c>
    </row>
    <row r="201" spans="1:7" x14ac:dyDescent="0.2">
      <c r="A201" s="15">
        <v>44216</v>
      </c>
      <c r="B201" s="112">
        <v>1.657</v>
      </c>
      <c r="C201" s="108">
        <f t="shared" si="57"/>
        <v>3.0000000000001137E-3</v>
      </c>
      <c r="D201" s="109" t="str">
        <f t="shared" si="58"/>
        <v>/</v>
      </c>
      <c r="E201" s="109">
        <f ca="1">IF(表2_367162629303891213141516[[#This Row],[累计净值]]/MAX(INDIRECT("B21:B" &amp; ROW()))-1&lt;E200,表2_367162629303891213141516[[#This Row],[累计净值]]/MAX(INDIRECT("B21:B" &amp; ROW()))-1,E200)</f>
        <v>-9.2879256965944235E-3</v>
      </c>
      <c r="F201" s="110">
        <f>表2_367162629303891213141516[[#This Row],[累计净值]]</f>
        <v>1.657</v>
      </c>
      <c r="G201" s="20">
        <f>IF(表2_367162629303891213141516[[#This Row],[累计净值]]&gt;1.217,0.7*(表2_367162629303891213141516[[#This Row],[累计净值]]-1.217)/1.217,(表2_367162629303891213141516[[#This Row],[累计净值]]-1.217)/1.217)</f>
        <v>0.25308134757600653</v>
      </c>
    </row>
    <row r="202" spans="1:7" x14ac:dyDescent="0.2">
      <c r="A202" s="15">
        <v>44217</v>
      </c>
      <c r="B202" s="112">
        <v>1.659</v>
      </c>
      <c r="C202" s="108">
        <f t="shared" si="57"/>
        <v>2.0000000000000018E-3</v>
      </c>
      <c r="D202" s="109" t="str">
        <f t="shared" si="58"/>
        <v>/</v>
      </c>
      <c r="E202" s="109">
        <f ca="1">IF(表2_367162629303891213141516[[#This Row],[累计净值]]/MAX(INDIRECT("B21:B" &amp; ROW()))-1&lt;E201,表2_367162629303891213141516[[#This Row],[累计净值]]/MAX(INDIRECT("B21:B" &amp; ROW()))-1,E201)</f>
        <v>-9.2879256965944235E-3</v>
      </c>
      <c r="F202" s="110">
        <f>表2_367162629303891213141516[[#This Row],[累计净值]]</f>
        <v>1.659</v>
      </c>
      <c r="G202" s="20">
        <f>IF(表2_367162629303891213141516[[#This Row],[累计净值]]&gt;1.217,0.7*(表2_367162629303891213141516[[#This Row],[累计净值]]-1.217)/1.217,(表2_367162629303891213141516[[#This Row],[累计净值]]-1.217)/1.217)</f>
        <v>0.25423171733771566</v>
      </c>
    </row>
    <row r="203" spans="1:7" x14ac:dyDescent="0.2">
      <c r="A203" s="9">
        <v>44218</v>
      </c>
      <c r="B203" s="190">
        <v>1.6639999999999999</v>
      </c>
      <c r="C203" s="191">
        <f t="shared" si="57"/>
        <v>4.9999999999998934E-3</v>
      </c>
      <c r="D203" s="192" t="str">
        <f t="shared" si="58"/>
        <v>/</v>
      </c>
      <c r="E203" s="192">
        <f ca="1">IF(表2_367162629303891213141516[[#This Row],[累计净值]]/MAX(INDIRECT("B21:B" &amp; ROW()))-1&lt;E202,表2_367162629303891213141516[[#This Row],[累计净值]]/MAX(INDIRECT("B21:B" &amp; ROW()))-1,E202)</f>
        <v>-9.2879256965944235E-3</v>
      </c>
      <c r="F203" s="193">
        <f>表2_367162629303891213141516[[#This Row],[累计净值]]</f>
        <v>1.6639999999999999</v>
      </c>
      <c r="G203" s="82">
        <f>IF(表2_367162629303891213141516[[#This Row],[累计净值]]&gt;1.217,0.7*(表2_367162629303891213141516[[#This Row],[累计净值]]-1.217)/1.217,(表2_367162629303891213141516[[#This Row],[累计净值]]-1.217)/1.217)</f>
        <v>0.25710764174198836</v>
      </c>
    </row>
    <row r="204" spans="1:7" x14ac:dyDescent="0.2">
      <c r="A204" s="15">
        <v>44221</v>
      </c>
      <c r="B204" s="112">
        <v>1.671</v>
      </c>
      <c r="C204" s="108">
        <f t="shared" si="57"/>
        <v>7.0000000000001172E-3</v>
      </c>
      <c r="D204" s="109" t="str">
        <f t="shared" si="58"/>
        <v>/</v>
      </c>
      <c r="E204" s="109">
        <f ca="1">IF(表2_367162629303891213141516[[#This Row],[累计净值]]/MAX(INDIRECT("B21:B" &amp; ROW()))-1&lt;E203,表2_367162629303891213141516[[#This Row],[累计净值]]/MAX(INDIRECT("B21:B" &amp; ROW()))-1,E203)</f>
        <v>-9.2879256965944235E-3</v>
      </c>
      <c r="F204" s="110">
        <f>表2_367162629303891213141516[[#This Row],[累计净值]]</f>
        <v>1.671</v>
      </c>
      <c r="G204" s="20">
        <f>IF(表2_367162629303891213141516[[#This Row],[累计净值]]&gt;1.217,0.7*(表2_367162629303891213141516[[#This Row],[累计净值]]-1.217)/1.217,(表2_367162629303891213141516[[#This Row],[累计净值]]-1.217)/1.217)</f>
        <v>0.2611339359079704</v>
      </c>
    </row>
    <row r="205" spans="1:7" x14ac:dyDescent="0.2">
      <c r="A205" s="15">
        <v>44222</v>
      </c>
      <c r="B205" s="112">
        <v>1.67</v>
      </c>
      <c r="C205" s="108">
        <f t="shared" si="57"/>
        <v>-1.0000000000001119E-3</v>
      </c>
      <c r="D205" s="109">
        <f t="shared" si="58"/>
        <v>-1.0000000000001119E-3</v>
      </c>
      <c r="E205" s="109">
        <f ca="1">IF(表2_367162629303891213141516[[#This Row],[累计净值]]/MAX(INDIRECT("B21:B" &amp; ROW()))-1&lt;E204,表2_367162629303891213141516[[#This Row],[累计净值]]/MAX(INDIRECT("B21:B" &amp; ROW()))-1,E204)</f>
        <v>-9.2879256965944235E-3</v>
      </c>
      <c r="F205" s="110">
        <f>表2_367162629303891213141516[[#This Row],[累计净值]]</f>
        <v>1.67</v>
      </c>
      <c r="G205" s="20">
        <f>IF(表2_367162629303891213141516[[#This Row],[累计净值]]&gt;1.217,0.7*(表2_367162629303891213141516[[#This Row],[累计净值]]-1.217)/1.217,(表2_367162629303891213141516[[#This Row],[累计净值]]-1.217)/1.217)</f>
        <v>0.26055875102711573</v>
      </c>
    </row>
    <row r="206" spans="1:7" x14ac:dyDescent="0.2">
      <c r="A206" s="15">
        <v>44223</v>
      </c>
      <c r="B206" s="117">
        <v>1.671</v>
      </c>
      <c r="C206" s="108">
        <f t="shared" ref="C206:C212" si="59">IFERROR(B206-B205,0)</f>
        <v>1.0000000000001119E-3</v>
      </c>
      <c r="D206" s="109" t="str">
        <f t="shared" ref="D206:D212" si="60">IF(C206&lt;0,C206,"/")</f>
        <v>/</v>
      </c>
      <c r="E206" s="109">
        <f ca="1">IF(表2_367162629303891213141516[[#This Row],[累计净值]]/MAX(INDIRECT("B21:B" &amp; ROW()))-1&lt;E205,表2_367162629303891213141516[[#This Row],[累计净值]]/MAX(INDIRECT("B21:B" &amp; ROW()))-1,E205)</f>
        <v>-9.2879256965944235E-3</v>
      </c>
      <c r="F206" s="110">
        <f>表2_367162629303891213141516[[#This Row],[累计净值]]</f>
        <v>1.671</v>
      </c>
      <c r="G206" s="20">
        <f>IF(表2_367162629303891213141516[[#This Row],[累计净值]]&gt;1.217,0.7*(表2_367162629303891213141516[[#This Row],[累计净值]]-1.217)/1.217,(表2_367162629303891213141516[[#This Row],[累计净值]]-1.217)/1.217)</f>
        <v>0.2611339359079704</v>
      </c>
    </row>
    <row r="207" spans="1:7" x14ac:dyDescent="0.2">
      <c r="A207" s="15">
        <v>44224</v>
      </c>
      <c r="B207" s="112">
        <v>1.665</v>
      </c>
      <c r="C207" s="108">
        <f t="shared" si="59"/>
        <v>-6.0000000000000053E-3</v>
      </c>
      <c r="D207" s="109">
        <f t="shared" si="60"/>
        <v>-6.0000000000000053E-3</v>
      </c>
      <c r="E207" s="109">
        <f ca="1">IF(表2_367162629303891213141516[[#This Row],[累计净值]]/MAX(INDIRECT("B21:B" &amp; ROW()))-1&lt;E206,表2_367162629303891213141516[[#This Row],[累计净值]]/MAX(INDIRECT("B21:B" &amp; ROW()))-1,E206)</f>
        <v>-9.2879256965944235E-3</v>
      </c>
      <c r="F207" s="110">
        <f>表2_367162629303891213141516[[#This Row],[累计净值]]</f>
        <v>1.665</v>
      </c>
      <c r="G207" s="20">
        <f>IF(表2_367162629303891213141516[[#This Row],[累计净值]]&gt;1.217,0.7*(表2_367162629303891213141516[[#This Row],[累计净值]]-1.217)/1.217,(表2_367162629303891213141516[[#This Row],[累计净值]]-1.217)/1.217)</f>
        <v>0.25768282662284298</v>
      </c>
    </row>
    <row r="208" spans="1:7" x14ac:dyDescent="0.2">
      <c r="A208" s="15">
        <v>44225</v>
      </c>
      <c r="B208" s="112">
        <v>1.6579999999999999</v>
      </c>
      <c r="C208" s="108">
        <f t="shared" si="59"/>
        <v>-7.0000000000001172E-3</v>
      </c>
      <c r="D208" s="109">
        <f t="shared" si="60"/>
        <v>-7.0000000000001172E-3</v>
      </c>
      <c r="E208" s="109">
        <f ca="1">IF(表2_367162629303891213141516[[#This Row],[累计净值]]/MAX(INDIRECT("B21:B" &amp; ROW()))-1&lt;E207,表2_367162629303891213141516[[#This Row],[累计净值]]/MAX(INDIRECT("B21:B" &amp; ROW()))-1,E207)</f>
        <v>-9.2879256965944235E-3</v>
      </c>
      <c r="F208" s="110">
        <f>表2_367162629303891213141516[[#This Row],[累计净值]]</f>
        <v>1.6579999999999999</v>
      </c>
      <c r="G208" s="20">
        <f>IF(表2_367162629303891213141516[[#This Row],[累计净值]]&gt;1.217,0.7*(表2_367162629303891213141516[[#This Row],[累计净值]]-1.217)/1.217,(表2_367162629303891213141516[[#This Row],[累计净值]]-1.217)/1.217)</f>
        <v>0.25365653245686098</v>
      </c>
    </row>
    <row r="209" spans="1:7" x14ac:dyDescent="0.2">
      <c r="A209" s="15">
        <v>44228</v>
      </c>
      <c r="B209" s="112">
        <v>1.665</v>
      </c>
      <c r="C209" s="108">
        <f t="shared" si="59"/>
        <v>7.0000000000001172E-3</v>
      </c>
      <c r="D209" s="109" t="str">
        <f t="shared" si="60"/>
        <v>/</v>
      </c>
      <c r="E209" s="109">
        <f ca="1">IF(表2_367162629303891213141516[[#This Row],[累计净值]]/MAX(INDIRECT("B21:B" &amp; ROW()))-1&lt;E208,表2_367162629303891213141516[[#This Row],[累计净值]]/MAX(INDIRECT("B21:B" &amp; ROW()))-1,E208)</f>
        <v>-9.2879256965944235E-3</v>
      </c>
      <c r="F209" s="110">
        <f>表2_367162629303891213141516[[#This Row],[累计净值]]</f>
        <v>1.665</v>
      </c>
      <c r="G209" s="20">
        <f>IF(表2_367162629303891213141516[[#This Row],[累计净值]]&gt;1.217,0.7*(表2_367162629303891213141516[[#This Row],[累计净值]]-1.217)/1.217,(表2_367162629303891213141516[[#This Row],[累计净值]]-1.217)/1.217)</f>
        <v>0.25768282662284298</v>
      </c>
    </row>
    <row r="210" spans="1:7" x14ac:dyDescent="0.2">
      <c r="A210" s="15">
        <v>44229</v>
      </c>
      <c r="B210" s="112">
        <v>1.67</v>
      </c>
      <c r="C210" s="108">
        <f t="shared" si="59"/>
        <v>4.9999999999998934E-3</v>
      </c>
      <c r="D210" s="109" t="str">
        <f t="shared" si="60"/>
        <v>/</v>
      </c>
      <c r="E210" s="109">
        <f ca="1">IF(表2_367162629303891213141516[[#This Row],[累计净值]]/MAX(INDIRECT("B21:B" &amp; ROW()))-1&lt;E209,表2_367162629303891213141516[[#This Row],[累计净值]]/MAX(INDIRECT("B21:B" &amp; ROW()))-1,E209)</f>
        <v>-9.2879256965944235E-3</v>
      </c>
      <c r="F210" s="110">
        <f>表2_367162629303891213141516[[#This Row],[累计净值]]</f>
        <v>1.67</v>
      </c>
      <c r="G210" s="20">
        <f>IF(表2_367162629303891213141516[[#This Row],[累计净值]]&gt;1.217,0.7*(表2_367162629303891213141516[[#This Row],[累计净值]]-1.217)/1.217,(表2_367162629303891213141516[[#This Row],[累计净值]]-1.217)/1.217)</f>
        <v>0.26055875102711573</v>
      </c>
    </row>
    <row r="211" spans="1:7" x14ac:dyDescent="0.2">
      <c r="A211" s="15">
        <v>44230</v>
      </c>
      <c r="B211" s="112">
        <v>1.6759999999999999</v>
      </c>
      <c r="C211" s="108">
        <f t="shared" si="59"/>
        <v>6.0000000000000053E-3</v>
      </c>
      <c r="D211" s="109" t="str">
        <f t="shared" si="60"/>
        <v>/</v>
      </c>
      <c r="E211" s="109">
        <f ca="1">IF(表2_367162629303891213141516[[#This Row],[累计净值]]/MAX(INDIRECT("B21:B" &amp; ROW()))-1&lt;E210,表2_367162629303891213141516[[#This Row],[累计净值]]/MAX(INDIRECT("B21:B" &amp; ROW()))-1,E210)</f>
        <v>-9.2879256965944235E-3</v>
      </c>
      <c r="F211" s="110">
        <f>表2_367162629303891213141516[[#This Row],[累计净值]]</f>
        <v>1.6759999999999999</v>
      </c>
      <c r="G211" s="20">
        <f>IF(表2_367162629303891213141516[[#This Row],[累计净值]]&gt;1.217,0.7*(表2_367162629303891213141516[[#This Row],[累计净值]]-1.217)/1.217,(表2_367162629303891213141516[[#This Row],[累计净值]]-1.217)/1.217)</f>
        <v>0.26400986031224311</v>
      </c>
    </row>
    <row r="212" spans="1:7" x14ac:dyDescent="0.2">
      <c r="A212" s="15">
        <v>44231</v>
      </c>
      <c r="B212" s="112">
        <v>1.675</v>
      </c>
      <c r="C212" s="108">
        <f t="shared" si="59"/>
        <v>-9.9999999999988987E-4</v>
      </c>
      <c r="D212" s="109">
        <f t="shared" si="60"/>
        <v>-9.9999999999988987E-4</v>
      </c>
      <c r="E212" s="109">
        <f ca="1">IF(表2_367162629303891213141516[[#This Row],[累计净值]]/MAX(INDIRECT("B21:B" &amp; ROW()))-1&lt;E211,表2_367162629303891213141516[[#This Row],[累计净值]]/MAX(INDIRECT("B21:B" &amp; ROW()))-1,E211)</f>
        <v>-9.2879256965944235E-3</v>
      </c>
      <c r="F212" s="110">
        <f>表2_367162629303891213141516[[#This Row],[累计净值]]</f>
        <v>1.675</v>
      </c>
      <c r="G212" s="20">
        <f>IF(表2_367162629303891213141516[[#This Row],[累计净值]]&gt;1.217,0.7*(表2_367162629303891213141516[[#This Row],[累计净值]]-1.217)/1.217,(表2_367162629303891213141516[[#This Row],[累计净值]]-1.217)/1.217)</f>
        <v>0.2634346754313886</v>
      </c>
    </row>
    <row r="213" spans="1:7" x14ac:dyDescent="0.2">
      <c r="A213" s="15">
        <v>44232</v>
      </c>
      <c r="B213" s="117">
        <v>1.681</v>
      </c>
      <c r="C213" s="108">
        <f>IFERROR(B213-B212,0)</f>
        <v>6.0000000000000053E-3</v>
      </c>
      <c r="D213" s="109" t="str">
        <f>IF(C213&lt;0,C213,"/")</f>
        <v>/</v>
      </c>
      <c r="E213" s="109">
        <f ca="1">IF(表2_367162629303891213141516[[#This Row],[累计净值]]/MAX(INDIRECT("B21:B" &amp; ROW()))-1&lt;E212,表2_367162629303891213141516[[#This Row],[累计净值]]/MAX(INDIRECT("B21:B" &amp; ROW()))-1,E212)</f>
        <v>-9.2879256965944235E-3</v>
      </c>
      <c r="F213" s="110">
        <f>表2_367162629303891213141516[[#This Row],[累计净值]]</f>
        <v>1.681</v>
      </c>
      <c r="G213" s="20">
        <f>IF(表2_367162629303891213141516[[#This Row],[累计净值]]&gt;1.217,0.7*(表2_367162629303891213141516[[#This Row],[累计净值]]-1.217)/1.217,(表2_367162629303891213141516[[#This Row],[累计净值]]-1.217)/1.217)</f>
        <v>0.26688578471651597</v>
      </c>
    </row>
    <row r="214" spans="1:7" x14ac:dyDescent="0.2">
      <c r="A214" s="15">
        <v>44235</v>
      </c>
      <c r="B214" s="112">
        <v>1.679</v>
      </c>
      <c r="C214" s="108">
        <f>IFERROR(B214-B213,0)</f>
        <v>-2.0000000000000018E-3</v>
      </c>
      <c r="D214" s="109">
        <f>IF(C214&lt;0,C214,"/")</f>
        <v>-2.0000000000000018E-3</v>
      </c>
      <c r="E214" s="109">
        <f ca="1">IF(表2_367162629303891213141516[[#This Row],[累计净值]]/MAX(INDIRECT("B21:B" &amp; ROW()))-1&lt;E213,表2_367162629303891213141516[[#This Row],[累计净值]]/MAX(INDIRECT("B21:B" &amp; ROW()))-1,E213)</f>
        <v>-9.2879256965944235E-3</v>
      </c>
      <c r="F214" s="110">
        <f>表2_367162629303891213141516[[#This Row],[累计净值]]</f>
        <v>1.679</v>
      </c>
      <c r="G214" s="20">
        <f>IF(表2_367162629303891213141516[[#This Row],[累计净值]]&gt;1.217,0.7*(表2_367162629303891213141516[[#This Row],[累计净值]]-1.217)/1.217,(表2_367162629303891213141516[[#This Row],[累计净值]]-1.217)/1.217)</f>
        <v>0.26573541495480685</v>
      </c>
    </row>
    <row r="215" spans="1:7" x14ac:dyDescent="0.2">
      <c r="A215" s="15">
        <v>44236</v>
      </c>
      <c r="B215" s="112">
        <v>1.6819999999999999</v>
      </c>
      <c r="C215" s="108">
        <f>IFERROR(B215-B214,0)</f>
        <v>2.9999999999998916E-3</v>
      </c>
      <c r="D215" s="109" t="str">
        <f>IF(C215&lt;0,C215,"/")</f>
        <v>/</v>
      </c>
      <c r="E215" s="109">
        <f ca="1">IF(表2_367162629303891213141516[[#This Row],[累计净值]]/MAX(INDIRECT("B21:B" &amp; ROW()))-1&lt;E214,表2_367162629303891213141516[[#This Row],[累计净值]]/MAX(INDIRECT("B21:B" &amp; ROW()))-1,E214)</f>
        <v>-9.2879256965944235E-3</v>
      </c>
      <c r="F215" s="110">
        <f>表2_367162629303891213141516[[#This Row],[累计净值]]</f>
        <v>1.6819999999999999</v>
      </c>
      <c r="G215" s="20">
        <f>IF(表2_367162629303891213141516[[#This Row],[累计净值]]&gt;1.217,0.7*(表2_367162629303891213141516[[#This Row],[累计净值]]-1.217)/1.217,(表2_367162629303891213141516[[#This Row],[累计净值]]-1.217)/1.217)</f>
        <v>0.26746096959737048</v>
      </c>
    </row>
    <row r="216" spans="1:7" x14ac:dyDescent="0.2">
      <c r="A216" s="15">
        <v>44237</v>
      </c>
      <c r="B216" s="112">
        <v>1.6839999999999999</v>
      </c>
      <c r="C216" s="108">
        <f t="shared" ref="C216:C218" si="61">IFERROR(B216-B215,0)</f>
        <v>2.0000000000000018E-3</v>
      </c>
      <c r="D216" s="109" t="str">
        <f t="shared" ref="D216:D218" si="62">IF(C216&lt;0,C216,"/")</f>
        <v>/</v>
      </c>
      <c r="E216" s="109">
        <f ca="1">IF(表2_367162629303891213141516[[#This Row],[累计净值]]/MAX(INDIRECT("B21:B" &amp; ROW()))-1&lt;E215,表2_367162629303891213141516[[#This Row],[累计净值]]/MAX(INDIRECT("B21:B" &amp; ROW()))-1,E215)</f>
        <v>-9.2879256965944235E-3</v>
      </c>
      <c r="F216" s="110">
        <f>表2_367162629303891213141516[[#This Row],[累计净值]]</f>
        <v>1.6839999999999999</v>
      </c>
      <c r="G216" s="20">
        <f>IF(表2_367162629303891213141516[[#This Row],[累计净值]]&gt;1.217,0.7*(表2_367162629303891213141516[[#This Row],[累计净值]]-1.217)/1.217,(表2_367162629303891213141516[[#This Row],[累计净值]]-1.217)/1.217)</f>
        <v>0.26861133935907955</v>
      </c>
    </row>
    <row r="217" spans="1:7" x14ac:dyDescent="0.2">
      <c r="A217" s="15">
        <v>44245</v>
      </c>
      <c r="B217" s="112">
        <v>1.6839999999999999</v>
      </c>
      <c r="C217" s="108">
        <f t="shared" si="61"/>
        <v>0</v>
      </c>
      <c r="D217" s="109" t="str">
        <f t="shared" si="62"/>
        <v>/</v>
      </c>
      <c r="E217" s="109">
        <f ca="1">IF(表2_367162629303891213141516[[#This Row],[累计净值]]/MAX(INDIRECT("B21:B" &amp; ROW()))-1&lt;E216,表2_367162629303891213141516[[#This Row],[累计净值]]/MAX(INDIRECT("B21:B" &amp; ROW()))-1,E216)</f>
        <v>-9.2879256965944235E-3</v>
      </c>
      <c r="F217" s="110">
        <f>表2_367162629303891213141516[[#This Row],[累计净值]]</f>
        <v>1.6839999999999999</v>
      </c>
      <c r="G217" s="20">
        <f>IF(表2_367162629303891213141516[[#This Row],[累计净值]]&gt;1.217,0.7*(表2_367162629303891213141516[[#This Row],[累计净值]]-1.217)/1.217,(表2_367162629303891213141516[[#This Row],[累计净值]]-1.217)/1.217)</f>
        <v>0.26861133935907955</v>
      </c>
    </row>
    <row r="218" spans="1:7" x14ac:dyDescent="0.2">
      <c r="A218" s="15">
        <v>44246</v>
      </c>
      <c r="B218" s="117">
        <v>1.6950000000000001</v>
      </c>
      <c r="C218" s="108">
        <f t="shared" si="61"/>
        <v>1.1000000000000121E-2</v>
      </c>
      <c r="D218" s="109" t="str">
        <f t="shared" si="62"/>
        <v>/</v>
      </c>
      <c r="E218" s="109">
        <f ca="1">IF(表2_367162629303891213141516[[#This Row],[累计净值]]/MAX(INDIRECT("B21:B" &amp; ROW()))-1&lt;E217,表2_367162629303891213141516[[#This Row],[累计净值]]/MAX(INDIRECT("B21:B" &amp; ROW()))-1,E217)</f>
        <v>-9.2879256965944235E-3</v>
      </c>
      <c r="F218" s="110">
        <f>表2_367162629303891213141516[[#This Row],[累计净值]]</f>
        <v>1.6950000000000001</v>
      </c>
      <c r="G218" s="20">
        <f>IF(表2_367162629303891213141516[[#This Row],[累计净值]]&gt;1.217,0.7*(表2_367162629303891213141516[[#This Row],[累计净值]]-1.217)/1.217,(表2_367162629303891213141516[[#This Row],[累计净值]]-1.217)/1.217)</f>
        <v>0.27493837304847979</v>
      </c>
    </row>
    <row r="219" spans="1:7" x14ac:dyDescent="0.2">
      <c r="A219" s="15">
        <v>44249</v>
      </c>
      <c r="B219" s="112">
        <v>1.6919999999999999</v>
      </c>
      <c r="C219" s="108">
        <f>IFERROR(B219-B218,0)</f>
        <v>-3.0000000000001137E-3</v>
      </c>
      <c r="D219" s="109">
        <f>IF(C219&lt;0,C219,"/")</f>
        <v>-3.0000000000001137E-3</v>
      </c>
      <c r="E219" s="109">
        <f ca="1">IF(表2_367162629303891213141516[[#This Row],[累计净值]]/MAX(INDIRECT("B21:B" &amp; ROW()))-1&lt;E218,表2_367162629303891213141516[[#This Row],[累计净值]]/MAX(INDIRECT("B21:B" &amp; ROW()))-1,E218)</f>
        <v>-9.2879256965944235E-3</v>
      </c>
      <c r="F219" s="110">
        <f>表2_367162629303891213141516[[#This Row],[累计净值]]</f>
        <v>1.6919999999999999</v>
      </c>
      <c r="G219" s="20">
        <f>IF(表2_367162629303891213141516[[#This Row],[累计净值]]&gt;1.217,0.7*(表2_367162629303891213141516[[#This Row],[累计净值]]-1.217)/1.217,(表2_367162629303891213141516[[#This Row],[累计净值]]-1.217)/1.217)</f>
        <v>0.2732128184059161</v>
      </c>
    </row>
    <row r="220" spans="1:7" x14ac:dyDescent="0.2">
      <c r="A220" s="15">
        <v>44250</v>
      </c>
      <c r="B220" s="112">
        <v>1.6930000000000001</v>
      </c>
      <c r="C220" s="108">
        <f t="shared" ref="C220:C221" si="63">IFERROR(B220-B219,0)</f>
        <v>1.0000000000001119E-3</v>
      </c>
      <c r="D220" s="109" t="str">
        <f t="shared" ref="D220:D221" si="64">IF(C220&lt;0,C220,"/")</f>
        <v>/</v>
      </c>
      <c r="E220" s="109">
        <f ca="1">IF(表2_367162629303891213141516[[#This Row],[累计净值]]/MAX(INDIRECT("B21:B" &amp; ROW()))-1&lt;E219,表2_367162629303891213141516[[#This Row],[累计净值]]/MAX(INDIRECT("B21:B" &amp; ROW()))-1,E219)</f>
        <v>-9.2879256965944235E-3</v>
      </c>
      <c r="F220" s="110">
        <f>表2_367162629303891213141516[[#This Row],[累计净值]]</f>
        <v>1.6930000000000001</v>
      </c>
      <c r="G220" s="20">
        <f>IF(表2_367162629303891213141516[[#This Row],[累计净值]]&gt;1.217,0.7*(表2_367162629303891213141516[[#This Row],[累计净值]]-1.217)/1.217,(表2_367162629303891213141516[[#This Row],[累计净值]]-1.217)/1.217)</f>
        <v>0.27378800328677066</v>
      </c>
    </row>
    <row r="221" spans="1:7" x14ac:dyDescent="0.2">
      <c r="A221" s="15">
        <v>44251</v>
      </c>
      <c r="B221" s="112">
        <v>1.6879999999999999</v>
      </c>
      <c r="C221" s="108">
        <f t="shared" si="63"/>
        <v>-5.0000000000001155E-3</v>
      </c>
      <c r="D221" s="109">
        <f t="shared" si="64"/>
        <v>-5.0000000000001155E-3</v>
      </c>
      <c r="E221" s="109">
        <f ca="1">IF(表2_367162629303891213141516[[#This Row],[累计净值]]/MAX(INDIRECT("B21:B" &amp; ROW()))-1&lt;E220,表2_367162629303891213141516[[#This Row],[累计净值]]/MAX(INDIRECT("B21:B" &amp; ROW()))-1,E220)</f>
        <v>-9.2879256965944235E-3</v>
      </c>
      <c r="F221" s="110">
        <f>表2_367162629303891213141516[[#This Row],[累计净值]]</f>
        <v>1.6879999999999999</v>
      </c>
      <c r="G221" s="20">
        <f>IF(表2_367162629303891213141516[[#This Row],[累计净值]]&gt;1.217,0.7*(表2_367162629303891213141516[[#This Row],[累计净值]]-1.217)/1.217,(表2_367162629303891213141516[[#This Row],[累计净值]]-1.217)/1.217)</f>
        <v>0.27091207888249785</v>
      </c>
    </row>
    <row r="222" spans="1:7" x14ac:dyDescent="0.2">
      <c r="A222" s="15">
        <v>44252</v>
      </c>
      <c r="B222" s="112">
        <v>1.696</v>
      </c>
      <c r="C222" s="108">
        <f t="shared" ref="C222:C223" si="65">IFERROR(B222-B221,0)</f>
        <v>8.0000000000000071E-3</v>
      </c>
      <c r="D222" s="109" t="str">
        <f t="shared" ref="D222:D223" si="66">IF(C222&lt;0,C222,"/")</f>
        <v>/</v>
      </c>
      <c r="E222" s="109">
        <f ca="1">IF(表2_367162629303891213141516[[#This Row],[累计净值]]/MAX(INDIRECT("B21:B" &amp; ROW()))-1&lt;E221,表2_367162629303891213141516[[#This Row],[累计净值]]/MAX(INDIRECT("B21:B" &amp; ROW()))-1,E221)</f>
        <v>-9.2879256965944235E-3</v>
      </c>
      <c r="F222" s="110">
        <f>表2_367162629303891213141516[[#This Row],[累计净值]]</f>
        <v>1.696</v>
      </c>
      <c r="G222" s="20">
        <f>IF(表2_367162629303891213141516[[#This Row],[累计净值]]&gt;1.217,0.7*(表2_367162629303891213141516[[#This Row],[累计净值]]-1.217)/1.217,(表2_367162629303891213141516[[#This Row],[累计净值]]-1.217)/1.217)</f>
        <v>0.2755135579293343</v>
      </c>
    </row>
    <row r="223" spans="1:7" x14ac:dyDescent="0.2">
      <c r="A223" s="15">
        <v>44253</v>
      </c>
      <c r="B223" s="112">
        <v>1.69</v>
      </c>
      <c r="C223" s="108">
        <f t="shared" si="65"/>
        <v>-6.0000000000000053E-3</v>
      </c>
      <c r="D223" s="109">
        <f t="shared" si="66"/>
        <v>-6.0000000000000053E-3</v>
      </c>
      <c r="E223" s="109">
        <f ca="1">IF(表2_367162629303891213141516[[#This Row],[累计净值]]/MAX(INDIRECT("B21:B" &amp; ROW()))-1&lt;E222,表2_367162629303891213141516[[#This Row],[累计净值]]/MAX(INDIRECT("B21:B" &amp; ROW()))-1,E222)</f>
        <v>-9.2879256965944235E-3</v>
      </c>
      <c r="F223" s="110">
        <f>表2_367162629303891213141516[[#This Row],[累计净值]]</f>
        <v>1.69</v>
      </c>
      <c r="G223" s="20">
        <f>IF(表2_367162629303891213141516[[#This Row],[累计净值]]&gt;1.217,0.7*(表2_367162629303891213141516[[#This Row],[累计净值]]-1.217)/1.217,(表2_367162629303891213141516[[#This Row],[累计净值]]-1.217)/1.217)</f>
        <v>0.27206244864420698</v>
      </c>
    </row>
    <row r="224" spans="1:7" x14ac:dyDescent="0.2">
      <c r="A224" s="15">
        <v>44256</v>
      </c>
      <c r="B224" s="112">
        <v>1.6950000000000001</v>
      </c>
      <c r="C224" s="108">
        <f t="shared" ref="C224:C226" si="67">IFERROR(B224-B223,0)</f>
        <v>5.0000000000001155E-3</v>
      </c>
      <c r="D224" s="109" t="str">
        <f t="shared" ref="D224:D226" si="68">IF(C224&lt;0,C224,"/")</f>
        <v>/</v>
      </c>
      <c r="E224" s="109">
        <f ca="1">IF(表2_367162629303891213141516[[#This Row],[累计净值]]/MAX(INDIRECT("B21:B" &amp; ROW()))-1&lt;E223,表2_367162629303891213141516[[#This Row],[累计净值]]/MAX(INDIRECT("B21:B" &amp; ROW()))-1,E223)</f>
        <v>-9.2879256965944235E-3</v>
      </c>
      <c r="F224" s="110">
        <f>表2_367162629303891213141516[[#This Row],[累计净值]]</f>
        <v>1.6950000000000001</v>
      </c>
      <c r="G224" s="20">
        <f>IF(表2_367162629303891213141516[[#This Row],[累计净值]]&gt;1.217,0.7*(表2_367162629303891213141516[[#This Row],[累计净值]]-1.217)/1.217,(表2_367162629303891213141516[[#This Row],[累计净值]]-1.217)/1.217)</f>
        <v>0.27493837304847979</v>
      </c>
    </row>
    <row r="225" spans="1:7" x14ac:dyDescent="0.2">
      <c r="A225" s="15">
        <v>44257</v>
      </c>
      <c r="B225" s="112">
        <v>1.696</v>
      </c>
      <c r="C225" s="108">
        <f t="shared" si="67"/>
        <v>9.9999999999988987E-4</v>
      </c>
      <c r="D225" s="109" t="str">
        <f t="shared" si="68"/>
        <v>/</v>
      </c>
      <c r="E225" s="109">
        <f ca="1">IF(表2_367162629303891213141516[[#This Row],[累计净值]]/MAX(INDIRECT("B21:B" &amp; ROW()))-1&lt;E224,表2_367162629303891213141516[[#This Row],[累计净值]]/MAX(INDIRECT("B21:B" &amp; ROW()))-1,E224)</f>
        <v>-9.2879256965944235E-3</v>
      </c>
      <c r="F225" s="110">
        <f>表2_367162629303891213141516[[#This Row],[累计净值]]</f>
        <v>1.696</v>
      </c>
      <c r="G225" s="20">
        <f>IF(表2_367162629303891213141516[[#This Row],[累计净值]]&gt;1.217,0.7*(表2_367162629303891213141516[[#This Row],[累计净值]]-1.217)/1.217,(表2_367162629303891213141516[[#This Row],[累计净值]]-1.217)/1.217)</f>
        <v>0.2755135579293343</v>
      </c>
    </row>
    <row r="226" spans="1:7" ht="13.5" customHeight="1" x14ac:dyDescent="0.2">
      <c r="A226" s="15">
        <v>44258</v>
      </c>
      <c r="B226" s="117">
        <v>1.7030000000000001</v>
      </c>
      <c r="C226" s="108">
        <f t="shared" si="67"/>
        <v>7.0000000000001172E-3</v>
      </c>
      <c r="D226" s="109" t="str">
        <f t="shared" si="68"/>
        <v>/</v>
      </c>
      <c r="E226" s="109">
        <f ca="1">IF(表2_367162629303891213141516[[#This Row],[累计净值]]/MAX(INDIRECT("B21:B" &amp; ROW()))-1&lt;E225,表2_367162629303891213141516[[#This Row],[累计净值]]/MAX(INDIRECT("B21:B" &amp; ROW()))-1,E225)</f>
        <v>-9.2879256965944235E-3</v>
      </c>
      <c r="F226" s="110">
        <f>表2_367162629303891213141516[[#This Row],[累计净值]]</f>
        <v>1.7030000000000001</v>
      </c>
      <c r="G226" s="20">
        <f>IF(表2_367162629303891213141516[[#This Row],[累计净值]]&gt;1.217,0.7*(表2_367162629303891213141516[[#This Row],[累计净值]]-1.217)/1.217,(表2_367162629303891213141516[[#This Row],[累计净值]]-1.217)/1.217)</f>
        <v>0.27953985209531629</v>
      </c>
    </row>
    <row r="227" spans="1:7" x14ac:dyDescent="0.2">
      <c r="A227" s="15">
        <v>44259</v>
      </c>
      <c r="B227" s="112">
        <v>1.6970000000000001</v>
      </c>
      <c r="C227" s="108">
        <f t="shared" ref="C227:C231" si="69">IFERROR(B227-B226,0)</f>
        <v>-6.0000000000000053E-3</v>
      </c>
      <c r="D227" s="109">
        <f t="shared" ref="D227:D231" si="70">IF(C227&lt;0,C227,"/")</f>
        <v>-6.0000000000000053E-3</v>
      </c>
      <c r="E227" s="109">
        <f ca="1">IF(表2_367162629303891213141516[[#This Row],[累计净值]]/MAX(INDIRECT("B21:B" &amp; ROW()))-1&lt;E226,表2_367162629303891213141516[[#This Row],[累计净值]]/MAX(INDIRECT("B21:B" &amp; ROW()))-1,E226)</f>
        <v>-9.2879256965944235E-3</v>
      </c>
      <c r="F227" s="110">
        <f>表2_367162629303891213141516[[#This Row],[累计净值]]</f>
        <v>1.6970000000000001</v>
      </c>
      <c r="G227" s="20">
        <f>IF(表2_367162629303891213141516[[#This Row],[累计净值]]&gt;1.217,0.7*(表2_367162629303891213141516[[#This Row],[累计净值]]-1.217)/1.217,(表2_367162629303891213141516[[#This Row],[累计净值]]-1.217)/1.217)</f>
        <v>0.27608874281018897</v>
      </c>
    </row>
    <row r="228" spans="1:7" x14ac:dyDescent="0.2">
      <c r="A228" s="15">
        <v>44260</v>
      </c>
      <c r="B228" s="112">
        <v>1.698</v>
      </c>
      <c r="C228" s="108">
        <f t="shared" si="69"/>
        <v>9.9999999999988987E-4</v>
      </c>
      <c r="D228" s="109" t="str">
        <f t="shared" si="70"/>
        <v>/</v>
      </c>
      <c r="E228" s="109">
        <f ca="1">IF(表2_367162629303891213141516[[#This Row],[累计净值]]/MAX(INDIRECT("B21:B" &amp; ROW()))-1&lt;E227,表2_367162629303891213141516[[#This Row],[累计净值]]/MAX(INDIRECT("B21:B" &amp; ROW()))-1,E227)</f>
        <v>-9.2879256965944235E-3</v>
      </c>
      <c r="F228" s="110">
        <f>表2_367162629303891213141516[[#This Row],[累计净值]]</f>
        <v>1.698</v>
      </c>
      <c r="G228" s="20">
        <f>IF(表2_367162629303891213141516[[#This Row],[累计净值]]&gt;1.217,0.7*(表2_367162629303891213141516[[#This Row],[累计净值]]-1.217)/1.217,(表2_367162629303891213141516[[#This Row],[累计净值]]-1.217)/1.217)</f>
        <v>0.27666392769104342</v>
      </c>
    </row>
    <row r="229" spans="1:7" x14ac:dyDescent="0.2">
      <c r="A229" s="15">
        <v>44263</v>
      </c>
      <c r="B229" s="112">
        <v>1.6839999999999999</v>
      </c>
      <c r="C229" s="108">
        <f t="shared" si="69"/>
        <v>-1.4000000000000012E-2</v>
      </c>
      <c r="D229" s="109">
        <f t="shared" si="70"/>
        <v>-1.4000000000000012E-2</v>
      </c>
      <c r="E229" s="109">
        <f ca="1">IF(表2_367162629303891213141516[[#This Row],[累计净值]]/MAX(INDIRECT("B21:B" &amp; ROW()))-1&lt;E228,表2_367162629303891213141516[[#This Row],[累计净值]]/MAX(INDIRECT("B21:B" &amp; ROW()))-1,E228)</f>
        <v>-1.1156782149148614E-2</v>
      </c>
      <c r="F229" s="110">
        <f>表2_367162629303891213141516[[#This Row],[累计净值]]</f>
        <v>1.6839999999999999</v>
      </c>
      <c r="G229" s="20">
        <f>IF(表2_367162629303891213141516[[#This Row],[累计净值]]&gt;1.217,0.7*(表2_367162629303891213141516[[#This Row],[累计净值]]-1.217)/1.217,(表2_367162629303891213141516[[#This Row],[累计净值]]-1.217)/1.217)</f>
        <v>0.26861133935907955</v>
      </c>
    </row>
    <row r="230" spans="1:7" x14ac:dyDescent="0.2">
      <c r="A230" s="15">
        <v>44264</v>
      </c>
      <c r="B230" s="112">
        <v>1.6919999999999999</v>
      </c>
      <c r="C230" s="108">
        <f t="shared" si="69"/>
        <v>8.0000000000000071E-3</v>
      </c>
      <c r="D230" s="109" t="str">
        <f t="shared" si="70"/>
        <v>/</v>
      </c>
      <c r="E230" s="109">
        <f ca="1">IF(表2_367162629303891213141516[[#This Row],[累计净值]]/MAX(INDIRECT("B21:B" &amp; ROW()))-1&lt;E229,表2_367162629303891213141516[[#This Row],[累计净值]]/MAX(INDIRECT("B21:B" &amp; ROW()))-1,E229)</f>
        <v>-1.1156782149148614E-2</v>
      </c>
      <c r="F230" s="110">
        <f>表2_367162629303891213141516[[#This Row],[累计净值]]</f>
        <v>1.6919999999999999</v>
      </c>
      <c r="G230" s="20">
        <f>IF(表2_367162629303891213141516[[#This Row],[累计净值]]&gt;1.217,0.7*(表2_367162629303891213141516[[#This Row],[累计净值]]-1.217)/1.217,(表2_367162629303891213141516[[#This Row],[累计净值]]-1.217)/1.217)</f>
        <v>0.2732128184059161</v>
      </c>
    </row>
    <row r="231" spans="1:7" x14ac:dyDescent="0.2">
      <c r="A231" s="15">
        <v>44265</v>
      </c>
      <c r="B231" s="112">
        <v>1.6990000000000001</v>
      </c>
      <c r="C231" s="108">
        <f t="shared" si="69"/>
        <v>7.0000000000001172E-3</v>
      </c>
      <c r="D231" s="109" t="str">
        <f t="shared" si="70"/>
        <v>/</v>
      </c>
      <c r="E231" s="109">
        <f ca="1">IF(表2_367162629303891213141516[[#This Row],[累计净值]]/MAX(INDIRECT("B21:B" &amp; ROW()))-1&lt;E230,表2_367162629303891213141516[[#This Row],[累计净值]]/MAX(INDIRECT("B21:B" &amp; ROW()))-1,E230)</f>
        <v>-1.1156782149148614E-2</v>
      </c>
      <c r="F231" s="110">
        <f>表2_367162629303891213141516[[#This Row],[累计净值]]</f>
        <v>1.6990000000000001</v>
      </c>
      <c r="G231" s="20">
        <f>IF(表2_367162629303891213141516[[#This Row],[累计净值]]&gt;1.217,0.7*(表2_367162629303891213141516[[#This Row],[累计净值]]-1.217)/1.217,(表2_367162629303891213141516[[#This Row],[累计净值]]-1.217)/1.217)</f>
        <v>0.27723911257189809</v>
      </c>
    </row>
    <row r="232" spans="1:7" x14ac:dyDescent="0.2">
      <c r="A232" s="15">
        <v>44266</v>
      </c>
      <c r="B232" s="112">
        <v>1.7070000000000001</v>
      </c>
      <c r="C232" s="108">
        <f t="shared" ref="C232:C237" si="71">IFERROR(B232-B231,0)</f>
        <v>8.0000000000000071E-3</v>
      </c>
      <c r="D232" s="109" t="str">
        <f t="shared" ref="D232:D237" si="72">IF(C232&lt;0,C232,"/")</f>
        <v>/</v>
      </c>
      <c r="E232" s="109">
        <f ca="1">IF(表2_367162629303891213141516[[#This Row],[累计净值]]/MAX(INDIRECT("B21:B" &amp; ROW()))-1&lt;E231,表2_367162629303891213141516[[#This Row],[累计净值]]/MAX(INDIRECT("B21:B" &amp; ROW()))-1,E231)</f>
        <v>-1.1156782149148614E-2</v>
      </c>
      <c r="F232" s="110">
        <f>表2_367162629303891213141516[[#This Row],[累计净值]]</f>
        <v>1.7070000000000001</v>
      </c>
      <c r="G232" s="20">
        <f>IF(表2_367162629303891213141516[[#This Row],[累计净值]]&gt;1.217,0.7*(表2_367162629303891213141516[[#This Row],[累计净值]]-1.217)/1.217,(表2_367162629303891213141516[[#This Row],[累计净值]]-1.217)/1.217)</f>
        <v>0.28184059161873454</v>
      </c>
    </row>
    <row r="233" spans="1:7" x14ac:dyDescent="0.2">
      <c r="A233" s="15">
        <v>44267</v>
      </c>
      <c r="B233" s="112">
        <v>1.71</v>
      </c>
      <c r="C233" s="108">
        <f t="shared" si="71"/>
        <v>2.9999999999998916E-3</v>
      </c>
      <c r="D233" s="109" t="str">
        <f t="shared" si="72"/>
        <v>/</v>
      </c>
      <c r="E233" s="109">
        <f ca="1">IF(表2_367162629303891213141516[[#This Row],[累计净值]]/MAX(INDIRECT("B21:B" &amp; ROW()))-1&lt;E232,表2_367162629303891213141516[[#This Row],[累计净值]]/MAX(INDIRECT("B21:B" &amp; ROW()))-1,E232)</f>
        <v>-1.1156782149148614E-2</v>
      </c>
      <c r="F233" s="110">
        <f>表2_367162629303891213141516[[#This Row],[累计净值]]</f>
        <v>1.71</v>
      </c>
      <c r="G233" s="20">
        <f>IF(表2_367162629303891213141516[[#This Row],[累计净值]]&gt;1.217,0.7*(表2_367162629303891213141516[[#This Row],[累计净值]]-1.217)/1.217,(表2_367162629303891213141516[[#This Row],[累计净值]]-1.217)/1.217)</f>
        <v>0.28356614626129817</v>
      </c>
    </row>
    <row r="234" spans="1:7" x14ac:dyDescent="0.2">
      <c r="A234" s="15">
        <v>44270</v>
      </c>
      <c r="B234" s="112">
        <v>1.708</v>
      </c>
      <c r="C234" s="108">
        <f t="shared" si="71"/>
        <v>-2.0000000000000018E-3</v>
      </c>
      <c r="D234" s="109">
        <f t="shared" si="72"/>
        <v>-2.0000000000000018E-3</v>
      </c>
      <c r="E234" s="109">
        <f ca="1">IF(表2_367162629303891213141516[[#This Row],[累计净值]]/MAX(INDIRECT("B21:B" &amp; ROW()))-1&lt;E233,表2_367162629303891213141516[[#This Row],[累计净值]]/MAX(INDIRECT("B21:B" &amp; ROW()))-1,E233)</f>
        <v>-1.1156782149148614E-2</v>
      </c>
      <c r="F234" s="110">
        <f>表2_367162629303891213141516[[#This Row],[累计净值]]</f>
        <v>1.708</v>
      </c>
      <c r="G234" s="20">
        <f>IF(表2_367162629303891213141516[[#This Row],[累计净值]]&gt;1.217,0.7*(表2_367162629303891213141516[[#This Row],[累计净值]]-1.217)/1.217,(表2_367162629303891213141516[[#This Row],[累计净值]]-1.217)/1.217)</f>
        <v>0.28241577649958904</v>
      </c>
    </row>
    <row r="235" spans="1:7" x14ac:dyDescent="0.2">
      <c r="A235" s="15">
        <v>44271</v>
      </c>
      <c r="B235" s="112">
        <v>1.712</v>
      </c>
      <c r="C235" s="108">
        <f t="shared" si="71"/>
        <v>4.0000000000000036E-3</v>
      </c>
      <c r="D235" s="109" t="str">
        <f t="shared" si="72"/>
        <v>/</v>
      </c>
      <c r="E235" s="109">
        <f ca="1">IF(表2_367162629303891213141516[[#This Row],[累计净值]]/MAX(INDIRECT("B21:B" &amp; ROW()))-1&lt;E234,表2_367162629303891213141516[[#This Row],[累计净值]]/MAX(INDIRECT("B21:B" &amp; ROW()))-1,E234)</f>
        <v>-1.1156782149148614E-2</v>
      </c>
      <c r="F235" s="110">
        <f>表2_367162629303891213141516[[#This Row],[累计净值]]</f>
        <v>1.712</v>
      </c>
      <c r="G235" s="20">
        <f>IF(表2_367162629303891213141516[[#This Row],[累计净值]]&gt;1.217,0.7*(表2_367162629303891213141516[[#This Row],[累计净值]]-1.217)/1.217,(表2_367162629303891213141516[[#This Row],[累计净值]]-1.217)/1.217)</f>
        <v>0.28471651602300729</v>
      </c>
    </row>
    <row r="236" spans="1:7" x14ac:dyDescent="0.2">
      <c r="A236" s="15">
        <v>44272</v>
      </c>
      <c r="B236" s="112">
        <v>1.714</v>
      </c>
      <c r="C236" s="108">
        <f t="shared" si="71"/>
        <v>2.0000000000000018E-3</v>
      </c>
      <c r="D236" s="109" t="str">
        <f t="shared" si="72"/>
        <v>/</v>
      </c>
      <c r="E236" s="109">
        <f ca="1">IF(表2_367162629303891213141516[[#This Row],[累计净值]]/MAX(INDIRECT("B21:B" &amp; ROW()))-1&lt;E235,表2_367162629303891213141516[[#This Row],[累计净值]]/MAX(INDIRECT("B21:B" &amp; ROW()))-1,E235)</f>
        <v>-1.1156782149148614E-2</v>
      </c>
      <c r="F236" s="110">
        <f>表2_367162629303891213141516[[#This Row],[累计净值]]</f>
        <v>1.714</v>
      </c>
      <c r="G236" s="20">
        <f>IF(表2_367162629303891213141516[[#This Row],[累计净值]]&gt;1.217,0.7*(表2_367162629303891213141516[[#This Row],[累计净值]]-1.217)/1.217,(表2_367162629303891213141516[[#This Row],[累计净值]]-1.217)/1.217)</f>
        <v>0.28586688578471642</v>
      </c>
    </row>
    <row r="237" spans="1:7" x14ac:dyDescent="0.2">
      <c r="A237" s="15">
        <v>44273</v>
      </c>
      <c r="B237" s="112">
        <v>1.7170000000000001</v>
      </c>
      <c r="C237" s="108">
        <f t="shared" si="71"/>
        <v>3.0000000000001137E-3</v>
      </c>
      <c r="D237" s="109" t="str">
        <f t="shared" si="72"/>
        <v>/</v>
      </c>
      <c r="E237" s="109">
        <f ca="1">IF(表2_367162629303891213141516[[#This Row],[累计净值]]/MAX(INDIRECT("B21:B" &amp; ROW()))-1&lt;E236,表2_367162629303891213141516[[#This Row],[累计净值]]/MAX(INDIRECT("B21:B" &amp; ROW()))-1,E236)</f>
        <v>-1.1156782149148614E-2</v>
      </c>
      <c r="F237" s="110">
        <f>表2_367162629303891213141516[[#This Row],[累计净值]]</f>
        <v>1.7170000000000001</v>
      </c>
      <c r="G237" s="20">
        <f>IF(表2_367162629303891213141516[[#This Row],[累计净值]]&gt;1.217,0.7*(表2_367162629303891213141516[[#This Row],[累计净值]]-1.217)/1.217,(表2_367162629303891213141516[[#This Row],[累计净值]]-1.217)/1.217)</f>
        <v>0.28759244042728016</v>
      </c>
    </row>
    <row r="238" spans="1:7" x14ac:dyDescent="0.2">
      <c r="A238" s="15">
        <v>44274</v>
      </c>
      <c r="B238" s="112">
        <v>1.714</v>
      </c>
      <c r="C238" s="108">
        <f>IFERROR(B238-B237,0)</f>
        <v>-3.0000000000001137E-3</v>
      </c>
      <c r="D238" s="109">
        <f>IF(C238&lt;0,C238,"/")</f>
        <v>-3.0000000000001137E-3</v>
      </c>
      <c r="E238" s="109">
        <f ca="1">IF(表2_367162629303891213141516[[#This Row],[累计净值]]/MAX(INDIRECT("B21:B" &amp; ROW()))-1&lt;E237,表2_367162629303891213141516[[#This Row],[累计净值]]/MAX(INDIRECT("B21:B" &amp; ROW()))-1,E237)</f>
        <v>-1.1156782149148614E-2</v>
      </c>
      <c r="F238" s="110">
        <f>表2_367162629303891213141516[[#This Row],[累计净值]]</f>
        <v>1.714</v>
      </c>
      <c r="G238" s="20">
        <f>IF(表2_367162629303891213141516[[#This Row],[累计净值]]&gt;1.217,0.7*(表2_367162629303891213141516[[#This Row],[累计净值]]-1.217)/1.217,(表2_367162629303891213141516[[#This Row],[累计净值]]-1.217)/1.217)</f>
        <v>0.28586688578471642</v>
      </c>
    </row>
    <row r="239" spans="1:7" x14ac:dyDescent="0.2">
      <c r="A239" s="15">
        <v>44277</v>
      </c>
      <c r="B239" s="112">
        <v>1.7170000000000001</v>
      </c>
      <c r="C239" s="108">
        <f>IFERROR(B239-B238,0)</f>
        <v>3.0000000000001137E-3</v>
      </c>
      <c r="D239" s="109" t="str">
        <f>IF(C239&lt;0,C239,"/")</f>
        <v>/</v>
      </c>
      <c r="E239" s="109">
        <f ca="1">IF(表2_367162629303891213141516[[#This Row],[累计净值]]/MAX(INDIRECT("B21:B" &amp; ROW()))-1&lt;E238,表2_367162629303891213141516[[#This Row],[累计净值]]/MAX(INDIRECT("B21:B" &amp; ROW()))-1,E238)</f>
        <v>-1.1156782149148614E-2</v>
      </c>
      <c r="F239" s="110">
        <f>表2_367162629303891213141516[[#This Row],[累计净值]]</f>
        <v>1.7170000000000001</v>
      </c>
      <c r="G239" s="20">
        <f>IF(表2_367162629303891213141516[[#This Row],[累计净值]]&gt;1.217,0.7*(表2_367162629303891213141516[[#This Row],[累计净值]]-1.217)/1.217,(表2_367162629303891213141516[[#This Row],[累计净值]]-1.217)/1.217)</f>
        <v>0.28759244042728016</v>
      </c>
    </row>
    <row r="240" spans="1:7" x14ac:dyDescent="0.2">
      <c r="A240" s="15">
        <v>44278</v>
      </c>
      <c r="B240" s="112">
        <v>1.718</v>
      </c>
      <c r="C240" s="108">
        <f t="shared" ref="C240:C243" si="73">IFERROR(B240-B239,0)</f>
        <v>9.9999999999988987E-4</v>
      </c>
      <c r="D240" s="109" t="str">
        <f t="shared" ref="D240:D243" si="74">IF(C240&lt;0,C240,"/")</f>
        <v>/</v>
      </c>
      <c r="E240" s="109">
        <f ca="1">IF(表2_367162629303891213141516[[#This Row],[累计净值]]/MAX(INDIRECT("B21:B" &amp; ROW()))-1&lt;E239,表2_367162629303891213141516[[#This Row],[累计净值]]/MAX(INDIRECT("B21:B" &amp; ROW()))-1,E239)</f>
        <v>-1.1156782149148614E-2</v>
      </c>
      <c r="F240" s="110">
        <f>表2_367162629303891213141516[[#This Row],[累计净值]]</f>
        <v>1.718</v>
      </c>
      <c r="G240" s="20">
        <f>IF(表2_367162629303891213141516[[#This Row],[累计净值]]&gt;1.217,0.7*(表2_367162629303891213141516[[#This Row],[累计净值]]-1.217)/1.217,(表2_367162629303891213141516[[#This Row],[累计净值]]-1.217)/1.217)</f>
        <v>0.28816762530813467</v>
      </c>
    </row>
    <row r="241" spans="1:7" x14ac:dyDescent="0.2">
      <c r="A241" s="15">
        <v>44279</v>
      </c>
      <c r="B241" s="112">
        <v>1.716</v>
      </c>
      <c r="C241" s="108">
        <f t="shared" si="73"/>
        <v>-2.0000000000000018E-3</v>
      </c>
      <c r="D241" s="109">
        <f t="shared" si="74"/>
        <v>-2.0000000000000018E-3</v>
      </c>
      <c r="E241" s="109">
        <f ca="1">IF(表2_367162629303891213141516[[#This Row],[累计净值]]/MAX(INDIRECT("B21:B" &amp; ROW()))-1&lt;E240,表2_367162629303891213141516[[#This Row],[累计净值]]/MAX(INDIRECT("B21:B" &amp; ROW()))-1,E240)</f>
        <v>-1.1156782149148614E-2</v>
      </c>
      <c r="F241" s="110">
        <f>表2_367162629303891213141516[[#This Row],[累计净值]]</f>
        <v>1.716</v>
      </c>
      <c r="G241" s="20">
        <f>IF(表2_367162629303891213141516[[#This Row],[累计净值]]&gt;1.217,0.7*(表2_367162629303891213141516[[#This Row],[累计净值]]-1.217)/1.217,(表2_367162629303891213141516[[#This Row],[累计净值]]-1.217)/1.217)</f>
        <v>0.28701725554642554</v>
      </c>
    </row>
    <row r="242" spans="1:7" x14ac:dyDescent="0.2">
      <c r="A242" s="15">
        <v>44280</v>
      </c>
      <c r="B242" s="112">
        <v>1.718</v>
      </c>
      <c r="C242" s="108">
        <f t="shared" si="73"/>
        <v>2.0000000000000018E-3</v>
      </c>
      <c r="D242" s="109" t="str">
        <f t="shared" si="74"/>
        <v>/</v>
      </c>
      <c r="E242" s="109">
        <f ca="1">IF(表2_367162629303891213141516[[#This Row],[累计净值]]/MAX(INDIRECT("B21:B" &amp; ROW()))-1&lt;E241,表2_367162629303891213141516[[#This Row],[累计净值]]/MAX(INDIRECT("B21:B" &amp; ROW()))-1,E241)</f>
        <v>-1.1156782149148614E-2</v>
      </c>
      <c r="F242" s="110">
        <f>表2_367162629303891213141516[[#This Row],[累计净值]]</f>
        <v>1.718</v>
      </c>
      <c r="G242" s="20">
        <f>IF(表2_367162629303891213141516[[#This Row],[累计净值]]&gt;1.217,0.7*(表2_367162629303891213141516[[#This Row],[累计净值]]-1.217)/1.217,(表2_367162629303891213141516[[#This Row],[累计净值]]-1.217)/1.217)</f>
        <v>0.28816762530813467</v>
      </c>
    </row>
    <row r="243" spans="1:7" x14ac:dyDescent="0.2">
      <c r="A243" s="15">
        <v>44281</v>
      </c>
      <c r="B243" s="112">
        <v>1.724</v>
      </c>
      <c r="C243" s="108">
        <f t="shared" si="73"/>
        <v>6.0000000000000053E-3</v>
      </c>
      <c r="D243" s="109" t="str">
        <f t="shared" si="74"/>
        <v>/</v>
      </c>
      <c r="E243" s="109">
        <f ca="1">IF(表2_367162629303891213141516[[#This Row],[累计净值]]/MAX(INDIRECT("B21:B" &amp; ROW()))-1&lt;E242,表2_367162629303891213141516[[#This Row],[累计净值]]/MAX(INDIRECT("B21:B" &amp; ROW()))-1,E242)</f>
        <v>-1.1156782149148614E-2</v>
      </c>
      <c r="F243" s="110">
        <f>表2_367162629303891213141516[[#This Row],[累计净值]]</f>
        <v>1.724</v>
      </c>
      <c r="G243" s="20">
        <f>IF(表2_367162629303891213141516[[#This Row],[累计净值]]&gt;1.217,0.7*(表2_367162629303891213141516[[#This Row],[累计净值]]-1.217)/1.217,(表2_367162629303891213141516[[#This Row],[累计净值]]-1.217)/1.217)</f>
        <v>0.29161873459326199</v>
      </c>
    </row>
    <row r="244" spans="1:7" x14ac:dyDescent="0.2">
      <c r="A244" s="15">
        <v>44284</v>
      </c>
      <c r="B244" s="112">
        <v>1.724</v>
      </c>
      <c r="C244" s="108">
        <f t="shared" ref="C244:C250" si="75">IFERROR(B244-B243,0)</f>
        <v>0</v>
      </c>
      <c r="D244" s="109" t="str">
        <f t="shared" ref="D244:D250" si="76">IF(C244&lt;0,C244,"/")</f>
        <v>/</v>
      </c>
      <c r="E244" s="109">
        <f ca="1">IF(表2_367162629303891213141516[[#This Row],[累计净值]]/MAX(INDIRECT("B21:B" &amp; ROW()))-1&lt;E243,表2_367162629303891213141516[[#This Row],[累计净值]]/MAX(INDIRECT("B21:B" &amp; ROW()))-1,E243)</f>
        <v>-1.1156782149148614E-2</v>
      </c>
      <c r="F244" s="110">
        <f>表2_367162629303891213141516[[#This Row],[累计净值]]</f>
        <v>1.724</v>
      </c>
      <c r="G244" s="20">
        <f>IF(表2_367162629303891213141516[[#This Row],[累计净值]]&gt;1.217,0.7*(表2_367162629303891213141516[[#This Row],[累计净值]]-1.217)/1.217,(表2_367162629303891213141516[[#This Row],[累计净值]]-1.217)/1.217)</f>
        <v>0.29161873459326199</v>
      </c>
    </row>
    <row r="245" spans="1:7" x14ac:dyDescent="0.2">
      <c r="A245" s="15">
        <v>44285</v>
      </c>
      <c r="B245" s="112">
        <v>1.726</v>
      </c>
      <c r="C245" s="108">
        <f t="shared" si="75"/>
        <v>2.0000000000000018E-3</v>
      </c>
      <c r="D245" s="109" t="str">
        <f t="shared" si="76"/>
        <v>/</v>
      </c>
      <c r="E245" s="109">
        <f ca="1">IF(表2_367162629303891213141516[[#This Row],[累计净值]]/MAX(INDIRECT("B21:B" &amp; ROW()))-1&lt;E244,表2_367162629303891213141516[[#This Row],[累计净值]]/MAX(INDIRECT("B21:B" &amp; ROW()))-1,E244)</f>
        <v>-1.1156782149148614E-2</v>
      </c>
      <c r="F245" s="110">
        <f>表2_367162629303891213141516[[#This Row],[累计净值]]</f>
        <v>1.726</v>
      </c>
      <c r="G245" s="20">
        <f>IF(表2_367162629303891213141516[[#This Row],[累计净值]]&gt;1.217,0.7*(表2_367162629303891213141516[[#This Row],[累计净值]]-1.217)/1.217,(表2_367162629303891213141516[[#This Row],[累计净值]]-1.217)/1.217)</f>
        <v>0.29276910435497111</v>
      </c>
    </row>
    <row r="246" spans="1:7" x14ac:dyDescent="0.2">
      <c r="A246" s="15">
        <v>44286</v>
      </c>
      <c r="B246" s="112">
        <v>1.7270000000000001</v>
      </c>
      <c r="C246" s="108">
        <f t="shared" si="75"/>
        <v>1.0000000000001119E-3</v>
      </c>
      <c r="D246" s="109" t="str">
        <f t="shared" si="76"/>
        <v>/</v>
      </c>
      <c r="E246" s="109">
        <f ca="1">IF(表2_367162629303891213141516[[#This Row],[累计净值]]/MAX(INDIRECT("B21:B" &amp; ROW()))-1&lt;E245,表2_367162629303891213141516[[#This Row],[累计净值]]/MAX(INDIRECT("B21:B" &amp; ROW()))-1,E245)</f>
        <v>-1.1156782149148614E-2</v>
      </c>
      <c r="F246" s="110">
        <f>表2_367162629303891213141516[[#This Row],[累计净值]]</f>
        <v>1.7270000000000001</v>
      </c>
      <c r="G246" s="20">
        <f>IF(表2_367162629303891213141516[[#This Row],[累计净值]]&gt;1.217,0.7*(表2_367162629303891213141516[[#This Row],[累计净值]]-1.217)/1.217,(表2_367162629303891213141516[[#This Row],[累计净值]]-1.217)/1.217)</f>
        <v>0.29334428923582578</v>
      </c>
    </row>
    <row r="247" spans="1:7" x14ac:dyDescent="0.2">
      <c r="A247" s="15">
        <v>44287</v>
      </c>
      <c r="B247" s="112">
        <v>1.73</v>
      </c>
      <c r="C247" s="108">
        <f t="shared" si="75"/>
        <v>2.9999999999998916E-3</v>
      </c>
      <c r="D247" s="109" t="str">
        <f t="shared" si="76"/>
        <v>/</v>
      </c>
      <c r="E247" s="109">
        <f ca="1">IF(表2_367162629303891213141516[[#This Row],[累计净值]]/MAX(INDIRECT("B21:B" &amp; ROW()))-1&lt;E246,表2_367162629303891213141516[[#This Row],[累计净值]]/MAX(INDIRECT("B21:B" &amp; ROW()))-1,E246)</f>
        <v>-1.1156782149148614E-2</v>
      </c>
      <c r="F247" s="110">
        <f>表2_367162629303891213141516[[#This Row],[累计净值]]</f>
        <v>1.73</v>
      </c>
      <c r="G247" s="20">
        <f>IF(表2_367162629303891213141516[[#This Row],[累计净值]]&gt;1.217,0.7*(表2_367162629303891213141516[[#This Row],[累计净值]]-1.217)/1.217,(表2_367162629303891213141516[[#This Row],[累计净值]]-1.217)/1.217)</f>
        <v>0.29506984387838942</v>
      </c>
    </row>
    <row r="248" spans="1:7" x14ac:dyDescent="0.2">
      <c r="A248" s="15">
        <v>44288</v>
      </c>
      <c r="B248" s="112">
        <v>1.7330000000000001</v>
      </c>
      <c r="C248" s="108">
        <f t="shared" si="75"/>
        <v>3.0000000000001137E-3</v>
      </c>
      <c r="D248" s="109" t="str">
        <f t="shared" si="76"/>
        <v>/</v>
      </c>
      <c r="E248" s="109">
        <f ca="1">IF(表2_367162629303891213141516[[#This Row],[累计净值]]/MAX(INDIRECT("B21:B" &amp; ROW()))-1&lt;E247,表2_367162629303891213141516[[#This Row],[累计净值]]/MAX(INDIRECT("B21:B" &amp; ROW()))-1,E247)</f>
        <v>-1.1156782149148614E-2</v>
      </c>
      <c r="F248" s="110">
        <f>表2_367162629303891213141516[[#This Row],[累计净值]]</f>
        <v>1.7330000000000001</v>
      </c>
      <c r="G248" s="20">
        <f>IF(表2_367162629303891213141516[[#This Row],[累计净值]]&gt;1.217,0.7*(表2_367162629303891213141516[[#This Row],[累计净值]]-1.217)/1.217,(表2_367162629303891213141516[[#This Row],[累计净值]]-1.217)/1.217)</f>
        <v>0.2967953985209531</v>
      </c>
    </row>
    <row r="249" spans="1:7" x14ac:dyDescent="0.2">
      <c r="A249" s="15">
        <v>44292</v>
      </c>
      <c r="B249" s="112">
        <v>1.732</v>
      </c>
      <c r="C249" s="108">
        <f t="shared" si="75"/>
        <v>-1.0000000000001119E-3</v>
      </c>
      <c r="D249" s="109">
        <f t="shared" si="76"/>
        <v>-1.0000000000001119E-3</v>
      </c>
      <c r="E249" s="109">
        <f ca="1">IF(表2_367162629303891213141516[[#This Row],[累计净值]]/MAX(INDIRECT("B21:B" &amp; ROW()))-1&lt;E248,表2_367162629303891213141516[[#This Row],[累计净值]]/MAX(INDIRECT("B21:B" &amp; ROW()))-1,E248)</f>
        <v>-1.1156782149148614E-2</v>
      </c>
      <c r="F249" s="110">
        <f>表2_367162629303891213141516[[#This Row],[累计净值]]</f>
        <v>1.732</v>
      </c>
      <c r="G249" s="20">
        <f>IF(表2_367162629303891213141516[[#This Row],[累计净值]]&gt;1.217,0.7*(表2_367162629303891213141516[[#This Row],[累计净值]]-1.217)/1.217,(表2_367162629303891213141516[[#This Row],[累计净值]]-1.217)/1.217)</f>
        <v>0.29622021364009854</v>
      </c>
    </row>
    <row r="250" spans="1:7" x14ac:dyDescent="0.2">
      <c r="A250" s="15">
        <v>44293</v>
      </c>
      <c r="B250" s="112">
        <v>1.7330000000000001</v>
      </c>
      <c r="C250" s="108">
        <f t="shared" si="75"/>
        <v>1.0000000000001119E-3</v>
      </c>
      <c r="D250" s="109" t="str">
        <f t="shared" si="76"/>
        <v>/</v>
      </c>
      <c r="E250" s="109">
        <f ca="1">IF(表2_367162629303891213141516[[#This Row],[累计净值]]/MAX(INDIRECT("B21:B" &amp; ROW()))-1&lt;E249,表2_367162629303891213141516[[#This Row],[累计净值]]/MAX(INDIRECT("B21:B" &amp; ROW()))-1,E249)</f>
        <v>-1.1156782149148614E-2</v>
      </c>
      <c r="F250" s="110">
        <f>表2_367162629303891213141516[[#This Row],[累计净值]]</f>
        <v>1.7330000000000001</v>
      </c>
      <c r="G250" s="20">
        <f>IF(表2_367162629303891213141516[[#This Row],[累计净值]]&gt;1.217,0.7*(表2_367162629303891213141516[[#This Row],[累计净值]]-1.217)/1.217,(表2_367162629303891213141516[[#This Row],[累计净值]]-1.217)/1.217)</f>
        <v>0.2967953985209531</v>
      </c>
    </row>
    <row r="251" spans="1:7" x14ac:dyDescent="0.2">
      <c r="A251" s="15">
        <v>44294</v>
      </c>
      <c r="B251" s="117">
        <v>1.738</v>
      </c>
      <c r="C251" s="108">
        <f t="shared" ref="C251:C256" si="77">IFERROR(B251-B250,0)</f>
        <v>4.9999999999998934E-3</v>
      </c>
      <c r="D251" s="109" t="str">
        <f t="shared" ref="D251:D256" si="78">IF(C251&lt;0,C251,"/")</f>
        <v>/</v>
      </c>
      <c r="E251" s="109">
        <f ca="1">IF(表2_367162629303891213141516[[#This Row],[累计净值]]/MAX(INDIRECT("B21:B" &amp; ROW()))-1&lt;E250,表2_367162629303891213141516[[#This Row],[累计净值]]/MAX(INDIRECT("B21:B" &amp; ROW()))-1,E250)</f>
        <v>-1.1156782149148614E-2</v>
      </c>
      <c r="F251" s="110">
        <f>表2_367162629303891213141516[[#This Row],[累计净值]]</f>
        <v>1.738</v>
      </c>
      <c r="G251" s="20">
        <f>IF(表2_367162629303891213141516[[#This Row],[累计净值]]&gt;1.217,0.7*(表2_367162629303891213141516[[#This Row],[累计净值]]-1.217)/1.217,(表2_367162629303891213141516[[#This Row],[累计净值]]-1.217)/1.217)</f>
        <v>0.29967132292522586</v>
      </c>
    </row>
    <row r="252" spans="1:7" x14ac:dyDescent="0.2">
      <c r="A252" s="15">
        <v>44295</v>
      </c>
      <c r="B252" s="112">
        <v>1.736</v>
      </c>
      <c r="C252" s="108">
        <f t="shared" si="77"/>
        <v>-2.0000000000000018E-3</v>
      </c>
      <c r="D252" s="109">
        <f t="shared" si="78"/>
        <v>-2.0000000000000018E-3</v>
      </c>
      <c r="E252" s="109">
        <f ca="1">IF(表2_367162629303891213141516[[#This Row],[累计净值]]/MAX(INDIRECT("B21:B" &amp; ROW()))-1&lt;E251,表2_367162629303891213141516[[#This Row],[累计净值]]/MAX(INDIRECT("B21:B" &amp; ROW()))-1,E251)</f>
        <v>-1.1156782149148614E-2</v>
      </c>
      <c r="F252" s="110">
        <f>表2_367162629303891213141516[[#This Row],[累计净值]]</f>
        <v>1.736</v>
      </c>
      <c r="G252" s="20">
        <f>IF(表2_367162629303891213141516[[#This Row],[累计净值]]&gt;1.217,0.7*(表2_367162629303891213141516[[#This Row],[累计净值]]-1.217)/1.217,(表2_367162629303891213141516[[#This Row],[累计净值]]-1.217)/1.217)</f>
        <v>0.29852095316351673</v>
      </c>
    </row>
    <row r="253" spans="1:7" x14ac:dyDescent="0.2">
      <c r="A253" s="15">
        <v>44298</v>
      </c>
      <c r="B253" s="112">
        <v>1.732</v>
      </c>
      <c r="C253" s="108">
        <f t="shared" si="77"/>
        <v>-4.0000000000000036E-3</v>
      </c>
      <c r="D253" s="109">
        <f t="shared" si="78"/>
        <v>-4.0000000000000036E-3</v>
      </c>
      <c r="E253" s="109">
        <f ca="1">IF(表2_367162629303891213141516[[#This Row],[累计净值]]/MAX(INDIRECT("B21:B" &amp; ROW()))-1&lt;E252,表2_367162629303891213141516[[#This Row],[累计净值]]/MAX(INDIRECT("B21:B" &amp; ROW()))-1,E252)</f>
        <v>-1.1156782149148614E-2</v>
      </c>
      <c r="F253" s="110">
        <f>表2_367162629303891213141516[[#This Row],[累计净值]]</f>
        <v>1.732</v>
      </c>
      <c r="G253" s="20">
        <f>IF(表2_367162629303891213141516[[#This Row],[累计净值]]&gt;1.217,0.7*(表2_367162629303891213141516[[#This Row],[累计净值]]-1.217)/1.217,(表2_367162629303891213141516[[#This Row],[累计净值]]-1.217)/1.217)</f>
        <v>0.29622021364009854</v>
      </c>
    </row>
    <row r="254" spans="1:7" x14ac:dyDescent="0.2">
      <c r="A254" s="15">
        <v>44299</v>
      </c>
      <c r="B254" s="112">
        <v>1.7330000000000001</v>
      </c>
      <c r="C254" s="108">
        <f t="shared" si="77"/>
        <v>1.0000000000001119E-3</v>
      </c>
      <c r="D254" s="109" t="str">
        <f t="shared" si="78"/>
        <v>/</v>
      </c>
      <c r="E254" s="109">
        <f ca="1">IF(表2_367162629303891213141516[[#This Row],[累计净值]]/MAX(INDIRECT("B21:B" &amp; ROW()))-1&lt;E253,表2_367162629303891213141516[[#This Row],[累计净值]]/MAX(INDIRECT("B21:B" &amp; ROW()))-1,E253)</f>
        <v>-1.1156782149148614E-2</v>
      </c>
      <c r="F254" s="110">
        <f>表2_367162629303891213141516[[#This Row],[累计净值]]</f>
        <v>1.7330000000000001</v>
      </c>
      <c r="G254" s="20">
        <f>IF(表2_367162629303891213141516[[#This Row],[累计净值]]&gt;1.217,0.7*(表2_367162629303891213141516[[#This Row],[累计净值]]-1.217)/1.217,(表2_367162629303891213141516[[#This Row],[累计净值]]-1.217)/1.217)</f>
        <v>0.2967953985209531</v>
      </c>
    </row>
    <row r="255" spans="1:7" x14ac:dyDescent="0.2">
      <c r="A255" s="15">
        <v>44300</v>
      </c>
      <c r="B255" s="112">
        <v>1.7350000000000001</v>
      </c>
      <c r="C255" s="108">
        <f t="shared" si="77"/>
        <v>2.0000000000000018E-3</v>
      </c>
      <c r="D255" s="109" t="str">
        <f t="shared" si="78"/>
        <v>/</v>
      </c>
      <c r="E255" s="109">
        <f ca="1">IF(表2_367162629303891213141516[[#This Row],[累计净值]]/MAX(INDIRECT("B21:B" &amp; ROW()))-1&lt;E254,表2_367162629303891213141516[[#This Row],[累计净值]]/MAX(INDIRECT("B21:B" &amp; ROW()))-1,E254)</f>
        <v>-1.1156782149148614E-2</v>
      </c>
      <c r="F255" s="110">
        <f>表2_367162629303891213141516[[#This Row],[累计净值]]</f>
        <v>1.7350000000000001</v>
      </c>
      <c r="G255" s="20">
        <f>IF(表2_367162629303891213141516[[#This Row],[累计净值]]&gt;1.217,0.7*(表2_367162629303891213141516[[#This Row],[累计净值]]-1.217)/1.217,(表2_367162629303891213141516[[#This Row],[累计净值]]-1.217)/1.217)</f>
        <v>0.29794576828266223</v>
      </c>
    </row>
    <row r="256" spans="1:7" x14ac:dyDescent="0.2">
      <c r="A256" s="15">
        <v>44301</v>
      </c>
      <c r="B256" s="112">
        <v>1.7330000000000001</v>
      </c>
      <c r="C256" s="108">
        <f t="shared" si="77"/>
        <v>-2.0000000000000018E-3</v>
      </c>
      <c r="D256" s="109">
        <f t="shared" si="78"/>
        <v>-2.0000000000000018E-3</v>
      </c>
      <c r="E256" s="109">
        <f ca="1">IF(表2_367162629303891213141516[[#This Row],[累计净值]]/MAX(INDIRECT("B21:B" &amp; ROW()))-1&lt;E255,表2_367162629303891213141516[[#This Row],[累计净值]]/MAX(INDIRECT("B21:B" &amp; ROW()))-1,E255)</f>
        <v>-1.1156782149148614E-2</v>
      </c>
      <c r="F256" s="110">
        <f>表2_367162629303891213141516[[#This Row],[累计净值]]</f>
        <v>1.7330000000000001</v>
      </c>
      <c r="G256" s="20">
        <f>IF(表2_367162629303891213141516[[#This Row],[累计净值]]&gt;1.217,0.7*(表2_367162629303891213141516[[#This Row],[累计净值]]-1.217)/1.217,(表2_367162629303891213141516[[#This Row],[累计净值]]-1.217)/1.217)</f>
        <v>0.2967953985209531</v>
      </c>
    </row>
    <row r="257" spans="1:7" x14ac:dyDescent="0.2">
      <c r="A257" s="15">
        <v>44302</v>
      </c>
      <c r="B257" s="112">
        <v>1.74</v>
      </c>
      <c r="C257" s="108">
        <f>IFERROR(B257-B256,0)</f>
        <v>6.9999999999998952E-3</v>
      </c>
      <c r="D257" s="109" t="str">
        <f>IF(C257&lt;0,C257,"/")</f>
        <v>/</v>
      </c>
      <c r="E257" s="109">
        <f ca="1">IF(表2_367162629303891213141516[[#This Row],[累计净值]]/MAX(INDIRECT("B21:B" &amp; ROW()))-1&lt;E256,表2_367162629303891213141516[[#This Row],[累计净值]]/MAX(INDIRECT("B21:B" &amp; ROW()))-1,E256)</f>
        <v>-1.1156782149148614E-2</v>
      </c>
      <c r="F257" s="110">
        <f>表2_367162629303891213141516[[#This Row],[累计净值]]</f>
        <v>1.74</v>
      </c>
      <c r="G257" s="20">
        <f>IF(表2_367162629303891213141516[[#This Row],[累计净值]]&gt;1.217,0.7*(表2_367162629303891213141516[[#This Row],[累计净值]]-1.217)/1.217,(表2_367162629303891213141516[[#This Row],[累计净值]]-1.217)/1.217)</f>
        <v>0.30082169268693498</v>
      </c>
    </row>
    <row r="258" spans="1:7" x14ac:dyDescent="0.2">
      <c r="A258" s="15">
        <v>44305</v>
      </c>
      <c r="B258" s="112">
        <v>1.744</v>
      </c>
      <c r="C258" s="108">
        <f>IFERROR(B258-B257,0)</f>
        <v>4.0000000000000036E-3</v>
      </c>
      <c r="D258" s="109" t="str">
        <f>IF(C258&lt;0,C258,"/")</f>
        <v>/</v>
      </c>
      <c r="E258" s="109">
        <f ca="1">IF(表2_367162629303891213141516[[#This Row],[累计净值]]/MAX(INDIRECT("B21:B" &amp; ROW()))-1&lt;E257,表2_367162629303891213141516[[#This Row],[累计净值]]/MAX(INDIRECT("B21:B" &amp; ROW()))-1,E257)</f>
        <v>-1.1156782149148614E-2</v>
      </c>
      <c r="F258" s="110">
        <f>表2_367162629303891213141516[[#This Row],[累计净值]]</f>
        <v>1.744</v>
      </c>
      <c r="G258" s="20">
        <f>IF(表2_367162629303891213141516[[#This Row],[累计净值]]&gt;1.217,0.7*(表2_367162629303891213141516[[#This Row],[累计净值]]-1.217)/1.217,(表2_367162629303891213141516[[#This Row],[累计净值]]-1.217)/1.217)</f>
        <v>0.30312243221035323</v>
      </c>
    </row>
    <row r="259" spans="1:7" x14ac:dyDescent="0.2">
      <c r="A259" s="15">
        <v>44306</v>
      </c>
      <c r="B259" s="112">
        <v>1.7450000000000001</v>
      </c>
      <c r="C259" s="108">
        <f>IFERROR(B259-B258,0)</f>
        <v>1.0000000000001119E-3</v>
      </c>
      <c r="D259" s="109" t="str">
        <f>IF(C259&lt;0,C259,"/")</f>
        <v>/</v>
      </c>
      <c r="E259" s="109">
        <f ca="1">IF(表2_367162629303891213141516[[#This Row],[累计净值]]/MAX(INDIRECT("B21:B" &amp; ROW()))-1&lt;E258,表2_367162629303891213141516[[#This Row],[累计净值]]/MAX(INDIRECT("B21:B" &amp; ROW()))-1,E258)</f>
        <v>-1.1156782149148614E-2</v>
      </c>
      <c r="F259" s="110">
        <f>表2_367162629303891213141516[[#This Row],[累计净值]]</f>
        <v>1.7450000000000001</v>
      </c>
      <c r="G259" s="20">
        <f>IF(表2_367162629303891213141516[[#This Row],[累计净值]]&gt;1.217,0.7*(表2_367162629303891213141516[[#This Row],[累计净值]]-1.217)/1.217,(表2_367162629303891213141516[[#This Row],[累计净值]]-1.217)/1.217)</f>
        <v>0.30369761709120785</v>
      </c>
    </row>
    <row r="260" spans="1:7" x14ac:dyDescent="0.2">
      <c r="A260" s="15">
        <v>44307</v>
      </c>
      <c r="B260" s="112">
        <v>1.746</v>
      </c>
      <c r="C260" s="108">
        <f>IFERROR(B260-B259,0)</f>
        <v>9.9999999999988987E-4</v>
      </c>
      <c r="D260" s="109" t="str">
        <f>IF(C260&lt;0,C260,"/")</f>
        <v>/</v>
      </c>
      <c r="E260" s="109">
        <f ca="1">IF(表2_367162629303891213141516[[#This Row],[累计净值]]/MAX(INDIRECT("B21:B" &amp; ROW()))-1&lt;E259,表2_367162629303891213141516[[#This Row],[累计净值]]/MAX(INDIRECT("B21:B" &amp; ROW()))-1,E259)</f>
        <v>-1.1156782149148614E-2</v>
      </c>
      <c r="F260" s="110">
        <f>表2_367162629303891213141516[[#This Row],[累计净值]]</f>
        <v>1.746</v>
      </c>
      <c r="G260" s="20">
        <f>IF(表2_367162629303891213141516[[#This Row],[累计净值]]&gt;1.217,0.7*(表2_367162629303891213141516[[#This Row],[累计净值]]-1.217)/1.217,(表2_367162629303891213141516[[#This Row],[累计净值]]-1.217)/1.217)</f>
        <v>0.30427280197206236</v>
      </c>
    </row>
    <row r="261" spans="1:7" x14ac:dyDescent="0.2">
      <c r="A261" s="15">
        <v>44308</v>
      </c>
      <c r="B261" s="112">
        <v>1.7470000000000001</v>
      </c>
      <c r="C261" s="108">
        <f>IFERROR(B261-B260,0)</f>
        <v>1.0000000000001119E-3</v>
      </c>
      <c r="D261" s="109" t="str">
        <f>IF(C261&lt;0,C261,"/")</f>
        <v>/</v>
      </c>
      <c r="E261" s="109">
        <f ca="1">IF(表2_367162629303891213141516[[#This Row],[累计净值]]/MAX(INDIRECT("B21:B" &amp; ROW()))-1&lt;E260,表2_367162629303891213141516[[#This Row],[累计净值]]/MAX(INDIRECT("B21:B" &amp; ROW()))-1,E260)</f>
        <v>-1.1156782149148614E-2</v>
      </c>
      <c r="F261" s="110">
        <f>表2_367162629303891213141516[[#This Row],[累计净值]]</f>
        <v>1.7470000000000001</v>
      </c>
      <c r="G261" s="20">
        <f>IF(表2_367162629303891213141516[[#This Row],[累计净值]]&gt;1.217,0.7*(表2_367162629303891213141516[[#This Row],[累计净值]]-1.217)/1.217,(表2_367162629303891213141516[[#This Row],[累计净值]]-1.217)/1.217)</f>
        <v>0.30484798685291697</v>
      </c>
    </row>
    <row r="262" spans="1:7" x14ac:dyDescent="0.2">
      <c r="A262" s="15">
        <v>44309</v>
      </c>
      <c r="B262" s="112">
        <v>1.75</v>
      </c>
      <c r="C262" s="108">
        <f t="shared" ref="C262:C263" si="79">IFERROR(B262-B261,0)</f>
        <v>2.9999999999998916E-3</v>
      </c>
      <c r="D262" s="109" t="str">
        <f t="shared" ref="D262:D263" si="80">IF(C262&lt;0,C262,"/")</f>
        <v>/</v>
      </c>
      <c r="E262" s="109">
        <f ca="1">IF(表2_367162629303891213141516[[#This Row],[累计净值]]/MAX(INDIRECT("B21:B" &amp; ROW()))-1&lt;E261,表2_367162629303891213141516[[#This Row],[累计净值]]/MAX(INDIRECT("B21:B" &amp; ROW()))-1,E261)</f>
        <v>-1.1156782149148614E-2</v>
      </c>
      <c r="F262" s="110">
        <f>表2_367162629303891213141516[[#This Row],[累计净值]]</f>
        <v>1.75</v>
      </c>
      <c r="G262" s="20">
        <f>IF(表2_367162629303891213141516[[#This Row],[累计净值]]&gt;1.217,0.7*(表2_367162629303891213141516[[#This Row],[累计净值]]-1.217)/1.217,(表2_367162629303891213141516[[#This Row],[累计净值]]-1.217)/1.217)</f>
        <v>0.30657354149548061</v>
      </c>
    </row>
    <row r="263" spans="1:7" x14ac:dyDescent="0.2">
      <c r="A263" s="15">
        <v>44312</v>
      </c>
      <c r="B263" s="112">
        <v>1.7509999999999999</v>
      </c>
      <c r="C263" s="108">
        <f t="shared" si="79"/>
        <v>9.9999999999988987E-4</v>
      </c>
      <c r="D263" s="109" t="str">
        <f t="shared" si="80"/>
        <v>/</v>
      </c>
      <c r="E263" s="109">
        <f ca="1">IF(表2_367162629303891213141516[[#This Row],[累计净值]]/MAX(INDIRECT("B21:B" &amp; ROW()))-1&lt;E262,表2_367162629303891213141516[[#This Row],[累计净值]]/MAX(INDIRECT("B21:B" &amp; ROW()))-1,E262)</f>
        <v>-1.1156782149148614E-2</v>
      </c>
      <c r="F263" s="110">
        <f>表2_367162629303891213141516[[#This Row],[累计净值]]</f>
        <v>1.7509999999999999</v>
      </c>
      <c r="G263" s="20">
        <f>IF(表2_367162629303891213141516[[#This Row],[累计净值]]&gt;1.217,0.7*(表2_367162629303891213141516[[#This Row],[累计净值]]-1.217)/1.217,(表2_367162629303891213141516[[#This Row],[累计净值]]-1.217)/1.217)</f>
        <v>0.30714872637633511</v>
      </c>
    </row>
    <row r="264" spans="1:7" x14ac:dyDescent="0.2">
      <c r="A264" s="15">
        <v>44313</v>
      </c>
      <c r="B264" s="112">
        <v>1.756</v>
      </c>
      <c r="C264" s="108">
        <f>IFERROR(B264-B263,0)</f>
        <v>5.0000000000001155E-3</v>
      </c>
      <c r="D264" s="109" t="str">
        <f>IF(C264&lt;0,C264,"/")</f>
        <v>/</v>
      </c>
      <c r="E264" s="109">
        <f ca="1">IF(表2_367162629303891213141516[[#This Row],[累计净值]]/MAX(INDIRECT("B21:B" &amp; ROW()))-1&lt;E263,表2_367162629303891213141516[[#This Row],[累计净值]]/MAX(INDIRECT("B21:B" &amp; ROW()))-1,E263)</f>
        <v>-1.1156782149148614E-2</v>
      </c>
      <c r="F264" s="110">
        <f>表2_367162629303891213141516[[#This Row],[累计净值]]</f>
        <v>1.756</v>
      </c>
      <c r="G264" s="20">
        <f>IF(表2_367162629303891213141516[[#This Row],[累计净值]]&gt;1.217,0.7*(表2_367162629303891213141516[[#This Row],[累计净值]]-1.217)/1.217,(表2_367162629303891213141516[[#This Row],[累计净值]]-1.217)/1.217)</f>
        <v>0.31002465078060798</v>
      </c>
    </row>
    <row r="265" spans="1:7" x14ac:dyDescent="0.2">
      <c r="A265" s="15">
        <v>44314</v>
      </c>
      <c r="B265" s="112">
        <v>1.758</v>
      </c>
      <c r="C265" s="108">
        <f>IFERROR(B265-B264,0)</f>
        <v>2.0000000000000018E-3</v>
      </c>
      <c r="D265" s="109" t="str">
        <f>IF(C265&lt;0,C265,"/")</f>
        <v>/</v>
      </c>
      <c r="E265" s="109">
        <f ca="1">IF(表2_367162629303891213141516[[#This Row],[累计净值]]/MAX(INDIRECT("B21:B" &amp; ROW()))-1&lt;E264,表2_367162629303891213141516[[#This Row],[累计净值]]/MAX(INDIRECT("B21:B" &amp; ROW()))-1,E264)</f>
        <v>-1.1156782149148614E-2</v>
      </c>
      <c r="F265" s="110">
        <f>表2_367162629303891213141516[[#This Row],[累计净值]]</f>
        <v>1.758</v>
      </c>
      <c r="G265" s="20">
        <f>IF(表2_367162629303891213141516[[#This Row],[累计净值]]&gt;1.217,0.7*(表2_367162629303891213141516[[#This Row],[累计净值]]-1.217)/1.217,(表2_367162629303891213141516[[#This Row],[累计净值]]-1.217)/1.217)</f>
        <v>0.3111750205423171</v>
      </c>
    </row>
    <row r="266" spans="1:7" x14ac:dyDescent="0.2">
      <c r="A266" s="15">
        <v>44315</v>
      </c>
      <c r="B266" s="117">
        <v>1.7589999999999999</v>
      </c>
      <c r="C266" s="108">
        <f t="shared" ref="C266:C268" si="81">IFERROR(B266-B265,0)</f>
        <v>9.9999999999988987E-4</v>
      </c>
      <c r="D266" s="109" t="str">
        <f t="shared" ref="D266:D268" si="82">IF(C266&lt;0,C266,"/")</f>
        <v>/</v>
      </c>
      <c r="E266" s="109">
        <f ca="1">IF(表2_367162629303891213141516[[#This Row],[累计净值]]/MAX(INDIRECT("B21:B" &amp; ROW()))-1&lt;E265,表2_367162629303891213141516[[#This Row],[累计净值]]/MAX(INDIRECT("B21:B" &amp; ROW()))-1,E265)</f>
        <v>-1.1156782149148614E-2</v>
      </c>
      <c r="F266" s="110">
        <f>表2_367162629303891213141516[[#This Row],[累计净值]]</f>
        <v>1.7589999999999999</v>
      </c>
      <c r="G266" s="20">
        <f>IF(表2_367162629303891213141516[[#This Row],[累计净值]]&gt;1.217,0.7*(表2_367162629303891213141516[[#This Row],[累计净值]]-1.217)/1.217,(表2_367162629303891213141516[[#This Row],[累计净值]]-1.217)/1.217)</f>
        <v>0.31175020542317161</v>
      </c>
    </row>
    <row r="267" spans="1:7" x14ac:dyDescent="0.2">
      <c r="A267" s="15">
        <v>44316</v>
      </c>
      <c r="B267" s="112">
        <v>1.7589999999999999</v>
      </c>
      <c r="C267" s="108">
        <f t="shared" si="81"/>
        <v>0</v>
      </c>
      <c r="D267" s="109" t="str">
        <f t="shared" si="82"/>
        <v>/</v>
      </c>
      <c r="E267" s="109">
        <f ca="1">IF(表2_367162629303891213141516[[#This Row],[累计净值]]/MAX(INDIRECT("B21:B" &amp; ROW()))-1&lt;E266,表2_367162629303891213141516[[#This Row],[累计净值]]/MAX(INDIRECT("B21:B" &amp; ROW()))-1,E266)</f>
        <v>-1.1156782149148614E-2</v>
      </c>
      <c r="F267" s="110">
        <f>表2_367162629303891213141516[[#This Row],[累计净值]]</f>
        <v>1.7589999999999999</v>
      </c>
      <c r="G267" s="20">
        <f>IF(表2_367162629303891213141516[[#This Row],[累计净值]]&gt;1.217,0.7*(表2_367162629303891213141516[[#This Row],[累计净值]]-1.217)/1.217,(表2_367162629303891213141516[[#This Row],[累计净值]]-1.217)/1.217)</f>
        <v>0.31175020542317161</v>
      </c>
    </row>
    <row r="268" spans="1:7" x14ac:dyDescent="0.2">
      <c r="A268" s="15">
        <v>44322</v>
      </c>
      <c r="B268" s="112">
        <v>1.754</v>
      </c>
      <c r="C268" s="108">
        <f t="shared" si="81"/>
        <v>-4.9999999999998934E-3</v>
      </c>
      <c r="D268" s="109">
        <f t="shared" si="82"/>
        <v>-4.9999999999998934E-3</v>
      </c>
      <c r="E268" s="109">
        <f ca="1">IF(表2_367162629303891213141516[[#This Row],[累计净值]]/MAX(INDIRECT("B21:B" &amp; ROW()))-1&lt;E267,表2_367162629303891213141516[[#This Row],[累计净值]]/MAX(INDIRECT("B21:B" &amp; ROW()))-1,E267)</f>
        <v>-1.1156782149148614E-2</v>
      </c>
      <c r="F268" s="110">
        <f>表2_367162629303891213141516[[#This Row],[累计净值]]</f>
        <v>1.754</v>
      </c>
      <c r="G268" s="20">
        <f>IF(表2_367162629303891213141516[[#This Row],[累计净值]]&gt;1.217,0.7*(表2_367162629303891213141516[[#This Row],[累计净值]]-1.217)/1.217,(表2_367162629303891213141516[[#This Row],[累计净值]]-1.217)/1.217)</f>
        <v>0.30887428101889886</v>
      </c>
    </row>
    <row r="269" spans="1:7" x14ac:dyDescent="0.2">
      <c r="A269" s="15">
        <v>44323</v>
      </c>
      <c r="B269" s="112">
        <v>1.7490000000000001</v>
      </c>
      <c r="C269" s="108">
        <f t="shared" ref="C269:C274" si="83">IFERROR(B269-B268,0)</f>
        <v>-4.9999999999998934E-3</v>
      </c>
      <c r="D269" s="109">
        <f t="shared" ref="D269:D274" si="84">IF(C269&lt;0,C269,"/")</f>
        <v>-4.9999999999998934E-3</v>
      </c>
      <c r="E269" s="109">
        <f ca="1">IF(表2_367162629303891213141516[[#This Row],[累计净值]]/MAX(INDIRECT("B21:B" &amp; ROW()))-1&lt;E268,表2_367162629303891213141516[[#This Row],[累计净值]]/MAX(INDIRECT("B21:B" &amp; ROW()))-1,E268)</f>
        <v>-1.1156782149148614E-2</v>
      </c>
      <c r="F269" s="110">
        <f>表2_367162629303891213141516[[#This Row],[累计净值]]</f>
        <v>1.7490000000000001</v>
      </c>
      <c r="G269" s="20">
        <f>IF(表2_367162629303891213141516[[#This Row],[累计净值]]&gt;1.217,0.7*(表2_367162629303891213141516[[#This Row],[累计净值]]-1.217)/1.217,(表2_367162629303891213141516[[#This Row],[累计净值]]-1.217)/1.217)</f>
        <v>0.3059983566146261</v>
      </c>
    </row>
    <row r="270" spans="1:7" x14ac:dyDescent="0.2">
      <c r="A270" s="15">
        <v>44326</v>
      </c>
      <c r="B270" s="112">
        <v>1.7470000000000001</v>
      </c>
      <c r="C270" s="108">
        <f t="shared" si="83"/>
        <v>-2.0000000000000018E-3</v>
      </c>
      <c r="D270" s="109">
        <f t="shared" si="84"/>
        <v>-2.0000000000000018E-3</v>
      </c>
      <c r="E270" s="109">
        <f ca="1">IF(表2_367162629303891213141516[[#This Row],[累计净值]]/MAX(INDIRECT("B21:B" &amp; ROW()))-1&lt;E269,表2_367162629303891213141516[[#This Row],[累计净值]]/MAX(INDIRECT("B21:B" &amp; ROW()))-1,E269)</f>
        <v>-1.1156782149148614E-2</v>
      </c>
      <c r="F270" s="110">
        <f>表2_367162629303891213141516[[#This Row],[累计净值]]</f>
        <v>1.7470000000000001</v>
      </c>
      <c r="G270" s="20">
        <f>IF(表2_367162629303891213141516[[#This Row],[累计净值]]&gt;1.217,0.7*(表2_367162629303891213141516[[#This Row],[累计净值]]-1.217)/1.217,(表2_367162629303891213141516[[#This Row],[累计净值]]-1.217)/1.217)</f>
        <v>0.30484798685291697</v>
      </c>
    </row>
    <row r="271" spans="1:7" x14ac:dyDescent="0.2">
      <c r="A271" s="15">
        <v>44327</v>
      </c>
      <c r="B271" s="112">
        <v>1.752</v>
      </c>
      <c r="C271" s="108">
        <f t="shared" si="83"/>
        <v>4.9999999999998934E-3</v>
      </c>
      <c r="D271" s="109" t="str">
        <f t="shared" si="84"/>
        <v>/</v>
      </c>
      <c r="E271" s="109">
        <f ca="1">IF(表2_367162629303891213141516[[#This Row],[累计净值]]/MAX(INDIRECT("B21:B" &amp; ROW()))-1&lt;E270,表2_367162629303891213141516[[#This Row],[累计净值]]/MAX(INDIRECT("B21:B" &amp; ROW()))-1,E270)</f>
        <v>-1.1156782149148614E-2</v>
      </c>
      <c r="F271" s="110">
        <f>表2_367162629303891213141516[[#This Row],[累计净值]]</f>
        <v>1.752</v>
      </c>
      <c r="G271" s="20">
        <f>IF(表2_367162629303891213141516[[#This Row],[累计净值]]&gt;1.217,0.7*(表2_367162629303891213141516[[#This Row],[累计净值]]-1.217)/1.217,(表2_367162629303891213141516[[#This Row],[累计净值]]-1.217)/1.217)</f>
        <v>0.30772391125718973</v>
      </c>
    </row>
    <row r="272" spans="1:7" x14ac:dyDescent="0.2">
      <c r="A272" s="15">
        <v>44328</v>
      </c>
      <c r="B272" s="112">
        <v>1.7569999999999999</v>
      </c>
      <c r="C272" s="108">
        <f t="shared" si="83"/>
        <v>4.9999999999998934E-3</v>
      </c>
      <c r="D272" s="109" t="str">
        <f t="shared" si="84"/>
        <v>/</v>
      </c>
      <c r="E272" s="109">
        <f ca="1">IF(表2_367162629303891213141516[[#This Row],[累计净值]]/MAX(INDIRECT("B21:B" &amp; ROW()))-1&lt;E271,表2_367162629303891213141516[[#This Row],[累计净值]]/MAX(INDIRECT("B21:B" &amp; ROW()))-1,E271)</f>
        <v>-1.1156782149148614E-2</v>
      </c>
      <c r="F272" s="110">
        <f>表2_367162629303891213141516[[#This Row],[累计净值]]</f>
        <v>1.7569999999999999</v>
      </c>
      <c r="G272" s="20">
        <f>IF(表2_367162629303891213141516[[#This Row],[累计净值]]&gt;1.217,0.7*(表2_367162629303891213141516[[#This Row],[累计净值]]-1.217)/1.217,(表2_367162629303891213141516[[#This Row],[累计净值]]-1.217)/1.217)</f>
        <v>0.31059983566146243</v>
      </c>
    </row>
    <row r="273" spans="1:7" x14ac:dyDescent="0.2">
      <c r="A273" s="15">
        <v>44329</v>
      </c>
      <c r="B273" s="112">
        <v>1.7549999999999999</v>
      </c>
      <c r="C273" s="108">
        <f t="shared" si="83"/>
        <v>-2.0000000000000018E-3</v>
      </c>
      <c r="D273" s="109">
        <f t="shared" si="84"/>
        <v>-2.0000000000000018E-3</v>
      </c>
      <c r="E273" s="109">
        <f ca="1">IF(表2_367162629303891213141516[[#This Row],[累计净值]]/MAX(INDIRECT("B21:B" &amp; ROW()))-1&lt;E272,表2_367162629303891213141516[[#This Row],[累计净值]]/MAX(INDIRECT("B21:B" &amp; ROW()))-1,E272)</f>
        <v>-1.1156782149148614E-2</v>
      </c>
      <c r="F273" s="110">
        <f>表2_367162629303891213141516[[#This Row],[累计净值]]</f>
        <v>1.7549999999999999</v>
      </c>
      <c r="G273" s="20">
        <f>IF(表2_367162629303891213141516[[#This Row],[累计净值]]&gt;1.217,0.7*(表2_367162629303891213141516[[#This Row],[累计净值]]-1.217)/1.217,(表2_367162629303891213141516[[#This Row],[累计净值]]-1.217)/1.217)</f>
        <v>0.30944946589975331</v>
      </c>
    </row>
    <row r="274" spans="1:7" x14ac:dyDescent="0.2">
      <c r="A274" s="15">
        <v>44330</v>
      </c>
      <c r="B274" s="112">
        <v>1.7609999999999999</v>
      </c>
      <c r="C274" s="108">
        <f t="shared" si="83"/>
        <v>6.0000000000000053E-3</v>
      </c>
      <c r="D274" s="109" t="str">
        <f t="shared" si="84"/>
        <v>/</v>
      </c>
      <c r="E274" s="109">
        <f ca="1">IF(表2_367162629303891213141516[[#This Row],[累计净值]]/MAX(INDIRECT("B21:B" &amp; ROW()))-1&lt;E273,表2_367162629303891213141516[[#This Row],[累计净值]]/MAX(INDIRECT("B21:B" &amp; ROW()))-1,E273)</f>
        <v>-1.1156782149148614E-2</v>
      </c>
      <c r="F274" s="110">
        <f>表2_367162629303891213141516[[#This Row],[累计净值]]</f>
        <v>1.7609999999999999</v>
      </c>
      <c r="G274" s="20">
        <f>IF(表2_367162629303891213141516[[#This Row],[累计净值]]&gt;1.217,0.7*(表2_367162629303891213141516[[#This Row],[累计净值]]-1.217)/1.217,(表2_367162629303891213141516[[#This Row],[累计净值]]-1.217)/1.217)</f>
        <v>0.31290057518488074</v>
      </c>
    </row>
  </sheetData>
  <mergeCells count="1">
    <mergeCell ref="G2:G3"/>
  </mergeCells>
  <phoneticPr fontId="24" type="noConversion"/>
  <pageMargins left="0.7" right="0.7" top="0.75" bottom="0.75" header="0.3" footer="0.3"/>
  <pageSetup paperSize="9" orientation="portrait" horizontalDpi="200" verticalDpi="20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J271"/>
  <sheetViews>
    <sheetView workbookViewId="0">
      <pane xSplit="1" ySplit="20" topLeftCell="B254" activePane="bottomRight" state="frozen"/>
      <selection pane="topRight" activeCell="B1" sqref="B1"/>
      <selection pane="bottomLeft" activeCell="A21" sqref="A21"/>
      <selection pane="bottomRight" activeCell="I269" sqref="I269"/>
    </sheetView>
  </sheetViews>
  <sheetFormatPr defaultColWidth="9" defaultRowHeight="14.25" x14ac:dyDescent="0.2"/>
  <cols>
    <col min="1" max="1" width="11.625" style="1" bestFit="1" customWidth="1"/>
    <col min="2" max="2" width="13" style="1" customWidth="1"/>
    <col min="3" max="4" width="13.5" style="1" bestFit="1" customWidth="1"/>
    <col min="5" max="5" width="10.75" style="1" customWidth="1"/>
    <col min="6" max="6" width="11.125" style="1" customWidth="1"/>
    <col min="7" max="7" width="18.875" style="2" customWidth="1"/>
    <col min="8" max="8" width="14.25" style="1" customWidth="1"/>
    <col min="9" max="9" width="12" style="1" bestFit="1" customWidth="1"/>
    <col min="10" max="16384" width="9" style="1"/>
  </cols>
  <sheetData>
    <row r="1" spans="1:7" ht="15" thickBot="1" x14ac:dyDescent="0.25"/>
    <row r="2" spans="1:7" ht="15" thickBot="1" x14ac:dyDescent="0.25">
      <c r="A2" s="23" t="s">
        <v>0</v>
      </c>
      <c r="B2" s="24">
        <f>COUNT(表2_36716262930389121314151617[每日盈亏])</f>
        <v>251</v>
      </c>
      <c r="C2" s="27"/>
      <c r="D2" s="3" t="s">
        <v>1</v>
      </c>
      <c r="E2" s="28"/>
      <c r="F2" s="1" t="s">
        <v>2</v>
      </c>
      <c r="G2" s="394" t="s">
        <v>3</v>
      </c>
    </row>
    <row r="3" spans="1:7" x14ac:dyDescent="0.2">
      <c r="A3" s="25" t="s">
        <v>4</v>
      </c>
      <c r="B3" s="26">
        <f>COUNTIF(表2_36716262930389121314151617[每日盈亏],"&gt;0")</f>
        <v>160</v>
      </c>
      <c r="C3" s="29"/>
      <c r="D3" s="30" t="s">
        <v>5</v>
      </c>
      <c r="E3" s="31">
        <f>245^0.5*(B10-0.025/365)/E10</f>
        <v>4.7044046448493191</v>
      </c>
      <c r="G3" s="394"/>
    </row>
    <row r="4" spans="1:7" x14ac:dyDescent="0.2">
      <c r="A4" s="25" t="s">
        <v>6</v>
      </c>
      <c r="B4" s="26">
        <f>COUNTIF(表2_36716262930389121314151617[每日盈亏],"&lt;0")</f>
        <v>76</v>
      </c>
      <c r="C4" s="29"/>
      <c r="D4" s="32" t="s">
        <v>7</v>
      </c>
      <c r="E4" s="31">
        <f ca="1">-B9/E8</f>
        <v>11.341974932115731</v>
      </c>
      <c r="G4" s="2">
        <f>LOOKUP(999^10,表2_36716262930389121314151617[累计净值])</f>
        <v>1.2143999999999999</v>
      </c>
    </row>
    <row r="5" spans="1:7" x14ac:dyDescent="0.2">
      <c r="A5" s="25" t="s">
        <v>8</v>
      </c>
      <c r="B5" s="26">
        <f>B2-B3-B4</f>
        <v>15</v>
      </c>
      <c r="C5" s="29"/>
      <c r="D5" s="33" t="s">
        <v>9</v>
      </c>
      <c r="E5" s="4">
        <f>245^0.5*(B10-0.025/365)/E9</f>
        <v>7.4536154975420024</v>
      </c>
    </row>
    <row r="6" spans="1:7" ht="15" thickBot="1" x14ac:dyDescent="0.25">
      <c r="A6" s="34"/>
      <c r="B6" s="35"/>
      <c r="C6" s="35"/>
      <c r="D6" s="35"/>
      <c r="E6" s="36"/>
    </row>
    <row r="7" spans="1:7" ht="15" thickBot="1" x14ac:dyDescent="0.25">
      <c r="A7" s="5" t="s">
        <v>10</v>
      </c>
      <c r="B7" s="35"/>
      <c r="C7" s="35"/>
      <c r="D7" s="3" t="s">
        <v>11</v>
      </c>
      <c r="E7" s="37"/>
    </row>
    <row r="8" spans="1:7" x14ac:dyDescent="0.2">
      <c r="A8" s="38" t="s">
        <v>12</v>
      </c>
      <c r="B8" s="39">
        <f>LOOKUP(999^10,表2_36716262930389121314151617[累计净值])/$B$21-1</f>
        <v>0.21452145214521434</v>
      </c>
      <c r="C8" s="40"/>
      <c r="D8" s="30" t="s">
        <v>13</v>
      </c>
      <c r="E8" s="41">
        <f ca="1">MIN(表2_36716262930389121314151617[最大回撤])</f>
        <v>-1.8461815561959583E-2</v>
      </c>
    </row>
    <row r="9" spans="1:7" x14ac:dyDescent="0.2">
      <c r="A9" s="25" t="s">
        <v>14</v>
      </c>
      <c r="B9" s="32">
        <f>B8*245/B2</f>
        <v>0.20939344930508969</v>
      </c>
      <c r="C9" s="40"/>
      <c r="D9" s="33" t="s">
        <v>15</v>
      </c>
      <c r="E9" s="6">
        <f>STDEV(表2_36716262930389121314151617[下跌幅度])</f>
        <v>1.6457537067124874E-3</v>
      </c>
    </row>
    <row r="10" spans="1:7" x14ac:dyDescent="0.2">
      <c r="A10" s="42" t="s">
        <v>16</v>
      </c>
      <c r="B10" s="43">
        <f>AVERAGE(表2_36716262930389121314151617[每日盈亏])</f>
        <v>8.5219123505976091E-4</v>
      </c>
      <c r="C10" s="44"/>
      <c r="D10" s="33" t="s">
        <v>17</v>
      </c>
      <c r="E10" s="6">
        <f>STDEV(表2_36716262930389121314151617[每日盈亏])</f>
        <v>2.6075170525392366E-3</v>
      </c>
    </row>
    <row r="11" spans="1:7" x14ac:dyDescent="0.2">
      <c r="A11" s="7" t="s">
        <v>18</v>
      </c>
      <c r="B11" s="32">
        <f>B3/B2</f>
        <v>0.63745019920318724</v>
      </c>
      <c r="C11" s="40"/>
      <c r="D11" s="32" t="s">
        <v>19</v>
      </c>
      <c r="E11" s="41">
        <f>245^0.5*E10</f>
        <v>4.0814097673773364E-2</v>
      </c>
    </row>
    <row r="12" spans="1:7" ht="15" thickBot="1" x14ac:dyDescent="0.25">
      <c r="A12" s="45" t="s">
        <v>20</v>
      </c>
      <c r="B12" s="46">
        <f>-(SUMIF(表2_36716262930389121314151617[每日盈亏],"&gt;=0")/B3)/(SUMIF(表2_36716262930389121314151617[每日盈亏],"&lt;0")/B4)</f>
        <v>1.2638392857142786</v>
      </c>
      <c r="C12" s="47"/>
      <c r="D12" s="48"/>
      <c r="E12" s="49"/>
    </row>
    <row r="14" spans="1:7" ht="28.5" x14ac:dyDescent="0.2">
      <c r="A14" s="50" t="s">
        <v>21</v>
      </c>
      <c r="B14" s="50" t="s">
        <v>14</v>
      </c>
      <c r="C14" s="51" t="s">
        <v>19</v>
      </c>
      <c r="D14" s="51" t="s">
        <v>13</v>
      </c>
      <c r="E14" s="51" t="s">
        <v>5</v>
      </c>
      <c r="F14" s="51" t="s">
        <v>7</v>
      </c>
    </row>
    <row r="15" spans="1:7" x14ac:dyDescent="0.2">
      <c r="A15" s="78">
        <f>B2</f>
        <v>251</v>
      </c>
      <c r="B15" s="53">
        <f>B9</f>
        <v>0.20939344930508969</v>
      </c>
      <c r="C15" s="53">
        <f>E11</f>
        <v>4.0814097673773364E-2</v>
      </c>
      <c r="D15" s="53">
        <f ca="1">E8</f>
        <v>-1.8461815561959583E-2</v>
      </c>
      <c r="E15" s="54">
        <f>E3</f>
        <v>4.7044046448493191</v>
      </c>
      <c r="F15" s="54">
        <f ca="1">E4</f>
        <v>11.341974932115731</v>
      </c>
    </row>
    <row r="19" spans="1:7" x14ac:dyDescent="0.2">
      <c r="A19" s="8"/>
      <c r="B19" s="1" t="s">
        <v>22</v>
      </c>
    </row>
    <row r="20" spans="1:7" ht="15.75" x14ac:dyDescent="0.2">
      <c r="A20" s="22" t="s">
        <v>23</v>
      </c>
      <c r="B20" s="22" t="s">
        <v>24</v>
      </c>
      <c r="C20" s="22" t="s">
        <v>25</v>
      </c>
      <c r="D20" s="22" t="s">
        <v>26</v>
      </c>
      <c r="E20" s="22" t="s">
        <v>27</v>
      </c>
      <c r="F20" s="22" t="s">
        <v>28</v>
      </c>
      <c r="G20" s="22" t="s">
        <v>29</v>
      </c>
    </row>
    <row r="21" spans="1:7" x14ac:dyDescent="0.2">
      <c r="A21" s="15">
        <v>43951</v>
      </c>
      <c r="B21" s="16">
        <v>0.99990000000000001</v>
      </c>
      <c r="C21" s="11">
        <f>IFERROR(B21-B20,0)</f>
        <v>0</v>
      </c>
      <c r="D21" s="12" t="str">
        <f>IF(C21&lt;0,C21,"/")</f>
        <v>/</v>
      </c>
      <c r="E21" s="12">
        <f ca="1">IF(表2_36716262930389121314151617[[#This Row],[累计净值]]/MAX(INDIRECT("B21:B" &amp; ROW()))-1&lt;E20,表2_36716262930389121314151617[[#This Row],[累计净值]]/MAX(INDIRECT("B21:B" &amp; ROW()))-1,E20)</f>
        <v>0</v>
      </c>
      <c r="F21" s="13">
        <f>表2_36716262930389121314151617[[#This Row],[累计净值]]</f>
        <v>0.99990000000000001</v>
      </c>
      <c r="G21" s="14" t="s">
        <v>30</v>
      </c>
    </row>
    <row r="22" spans="1:7" x14ac:dyDescent="0.2">
      <c r="A22" s="15">
        <v>43957</v>
      </c>
      <c r="B22" s="16">
        <v>0.99990000000000001</v>
      </c>
      <c r="C22" s="17">
        <f>IFERROR(B22-B21,0)</f>
        <v>0</v>
      </c>
      <c r="D22" s="18" t="str">
        <f>IF(C22&lt;0,C22,"/")</f>
        <v>/</v>
      </c>
      <c r="E22" s="18">
        <f ca="1">IF(表2_36716262930389121314151617[[#This Row],[累计净值]]/MAX(INDIRECT("B21:B" &amp; ROW()))-1&lt;E21,表2_36716262930389121314151617[[#This Row],[累计净值]]/MAX(INDIRECT("B21:B" &amp; ROW()))-1,E21)</f>
        <v>0</v>
      </c>
      <c r="F22" s="19">
        <f>表2_36716262930389121314151617[[#This Row],[累计净值]]</f>
        <v>0.99990000000000001</v>
      </c>
      <c r="G22" s="20">
        <f>IF(表2_36716262930389121314151617[[#This Row],[累计净值]]&gt;0.9999,0.7*(表2_36716262930389121314151617[[#This Row],[累计净值]]-0.9999),表2_36716262930389121314151617[[#This Row],[累计净值]]-0.9999)</f>
        <v>0</v>
      </c>
    </row>
    <row r="23" spans="1:7" x14ac:dyDescent="0.2">
      <c r="A23" s="15">
        <v>43958</v>
      </c>
      <c r="B23" s="16">
        <v>0.99990000000000001</v>
      </c>
      <c r="C23" s="73">
        <f>IFERROR(B23-B22,0)</f>
        <v>0</v>
      </c>
      <c r="D23" s="18" t="str">
        <f t="shared" ref="D23:D28" si="0">IF(C23&lt;0,C23,"/")</f>
        <v>/</v>
      </c>
      <c r="E23" s="18">
        <f ca="1">IF(表2_36716262930389121314151617[[#This Row],[累计净值]]/MAX(INDIRECT("B21:B" &amp; ROW()))-1&lt;E22,表2_36716262930389121314151617[[#This Row],[累计净值]]/MAX(INDIRECT("B21:B" &amp; ROW()))-1,E22)</f>
        <v>0</v>
      </c>
      <c r="F23" s="62">
        <f>表2_36716262930389121314151617[[#This Row],[累计净值]]</f>
        <v>0.99990000000000001</v>
      </c>
      <c r="G23" s="20">
        <f>IF(表2_36716262930389121314151617[[#This Row],[累计净值]]&gt;0.9999,0.7*(表2_36716262930389121314151617[[#This Row],[累计净值]]-0.9999),表2_36716262930389121314151617[[#This Row],[累计净值]]-0.9999)</f>
        <v>0</v>
      </c>
    </row>
    <row r="24" spans="1:7" x14ac:dyDescent="0.2">
      <c r="A24" s="15">
        <v>43959</v>
      </c>
      <c r="B24" s="16">
        <v>1</v>
      </c>
      <c r="C24" s="73">
        <f>IFERROR(B24-B23,0)</f>
        <v>9.9999999999988987E-5</v>
      </c>
      <c r="D24" s="18" t="str">
        <f t="shared" si="0"/>
        <v>/</v>
      </c>
      <c r="E24" s="18">
        <f ca="1">IF(表2_36716262930389121314151617[[#This Row],[累计净值]]/MAX(INDIRECT("B21:B" &amp; ROW()))-1&lt;E23,表2_36716262930389121314151617[[#This Row],[累计净值]]/MAX(INDIRECT("B21:B" &amp; ROW()))-1,E23)</f>
        <v>0</v>
      </c>
      <c r="F24" s="62">
        <f>表2_36716262930389121314151617[[#This Row],[累计净值]]</f>
        <v>1</v>
      </c>
      <c r="G24" s="20">
        <f>IF(表2_36716262930389121314151617[[#This Row],[累计净值]]&gt;0.9999,0.7*(表2_36716262930389121314151617[[#This Row],[累计净值]]-0.9999),表2_36716262930389121314151617[[#This Row],[累计净值]]-0.9999)</f>
        <v>6.9999999999992282E-5</v>
      </c>
    </row>
    <row r="25" spans="1:7" x14ac:dyDescent="0.2">
      <c r="A25" s="15">
        <v>43962</v>
      </c>
      <c r="B25" s="96">
        <v>1.0005999999999999</v>
      </c>
      <c r="C25" s="94">
        <f>IFERROR(B25-#REF!,0)</f>
        <v>0</v>
      </c>
      <c r="D25" s="95" t="str">
        <f t="shared" si="0"/>
        <v>/</v>
      </c>
      <c r="E25" s="18">
        <f ca="1">IF(表2_36716262930389121314151617[[#This Row],[累计净值]]/MAX(INDIRECT("B21:B" &amp; ROW()))-1&lt;E24,表2_36716262930389121314151617[[#This Row],[累计净值]]/MAX(INDIRECT("B21:B" &amp; ROW()))-1,E24)</f>
        <v>0</v>
      </c>
      <c r="F25" s="97">
        <f>表2_36716262930389121314151617[[#This Row],[累计净值]]</f>
        <v>1.0005999999999999</v>
      </c>
      <c r="G25" s="20">
        <f>IF(表2_36716262930389121314151617[[#This Row],[累计净值]]&gt;0.9999,0.7*(表2_36716262930389121314151617[[#This Row],[累计净值]]-0.9999),表2_36716262930389121314151617[[#This Row],[累计净值]]-0.9999)</f>
        <v>4.8999999999994599E-4</v>
      </c>
    </row>
    <row r="26" spans="1:7" x14ac:dyDescent="0.2">
      <c r="A26" s="15">
        <v>43963</v>
      </c>
      <c r="B26" s="104">
        <v>1.0011000000000001</v>
      </c>
      <c r="C26" s="101">
        <f t="shared" ref="C26:C32" si="1">IFERROR(B26-B25,0)</f>
        <v>5.0000000000016698E-4</v>
      </c>
      <c r="D26" s="102" t="str">
        <f t="shared" si="0"/>
        <v>/</v>
      </c>
      <c r="E26" s="102">
        <f ca="1">IF(表2_36716262930389121314151617[[#This Row],[累计净值]]/MAX(INDIRECT("B21:B" &amp; ROW()))-1&lt;E25,表2_36716262930389121314151617[[#This Row],[累计净值]]/MAX(INDIRECT("B21:B" &amp; ROW()))-1,E25)</f>
        <v>0</v>
      </c>
      <c r="F26" s="103">
        <f>表2_36716262930389121314151617[[#This Row],[累计净值]]</f>
        <v>1.0011000000000001</v>
      </c>
      <c r="G26" s="20">
        <f>IF(表2_36716262930389121314151617[[#This Row],[累计净值]]&gt;0.9999,0.7*(表2_36716262930389121314151617[[#This Row],[累计净值]]-0.9999),表2_36716262930389121314151617[[#This Row],[累计净值]]-0.9999)</f>
        <v>8.4000000000006292E-4</v>
      </c>
    </row>
    <row r="27" spans="1:7" x14ac:dyDescent="0.2">
      <c r="A27" s="15">
        <v>43964</v>
      </c>
      <c r="B27" s="104">
        <v>1.0013000000000001</v>
      </c>
      <c r="C27" s="101">
        <f t="shared" si="1"/>
        <v>1.9999999999997797E-4</v>
      </c>
      <c r="D27" s="102" t="str">
        <f t="shared" si="0"/>
        <v>/</v>
      </c>
      <c r="E27" s="102">
        <f ca="1">IF(表2_36716262930389121314151617[[#This Row],[累计净值]]/MAX(INDIRECT("B21:B" &amp; ROW()))-1&lt;E26,表2_36716262930389121314151617[[#This Row],[累计净值]]/MAX(INDIRECT("B21:B" &amp; ROW()))-1,E26)</f>
        <v>0</v>
      </c>
      <c r="F27" s="103">
        <f>表2_36716262930389121314151617[[#This Row],[累计净值]]</f>
        <v>1.0013000000000001</v>
      </c>
      <c r="G27" s="20">
        <f>IF(表2_36716262930389121314151617[[#This Row],[累计净值]]&gt;0.9999,0.7*(表2_36716262930389121314151617[[#This Row],[累计净值]]-0.9999),表2_36716262930389121314151617[[#This Row],[累计净值]]-0.9999)</f>
        <v>9.8000000000004746E-4</v>
      </c>
    </row>
    <row r="28" spans="1:7" x14ac:dyDescent="0.2">
      <c r="A28" s="15">
        <v>43965</v>
      </c>
      <c r="B28" s="104">
        <v>1.0018</v>
      </c>
      <c r="C28" s="101">
        <f t="shared" si="1"/>
        <v>4.9999999999994493E-4</v>
      </c>
      <c r="D28" s="102" t="str">
        <f t="shared" si="0"/>
        <v>/</v>
      </c>
      <c r="E28" s="102">
        <f ca="1">IF(表2_36716262930389121314151617[[#This Row],[累计净值]]/MAX(INDIRECT("B21:B" &amp; ROW()))-1&lt;E27,表2_36716262930389121314151617[[#This Row],[累计净值]]/MAX(INDIRECT("B21:B" &amp; ROW()))-1,E27)</f>
        <v>0</v>
      </c>
      <c r="F28" s="103">
        <f>表2_36716262930389121314151617[[#This Row],[累计净值]]</f>
        <v>1.0018</v>
      </c>
      <c r="G28" s="20">
        <f>IF(表2_36716262930389121314151617[[#This Row],[累计净值]]&gt;0.9999,0.7*(表2_36716262930389121314151617[[#This Row],[累计净值]]-0.9999),表2_36716262930389121314151617[[#This Row],[累计净值]]-0.9999)</f>
        <v>1.3300000000000089E-3</v>
      </c>
    </row>
    <row r="29" spans="1:7" x14ac:dyDescent="0.2">
      <c r="A29" s="15">
        <v>43966</v>
      </c>
      <c r="B29" s="104">
        <v>1.0036</v>
      </c>
      <c r="C29" s="101">
        <f t="shared" si="1"/>
        <v>1.8000000000000238E-3</v>
      </c>
      <c r="D29" s="102" t="str">
        <f t="shared" ref="D29:D34" si="2">IF(C29&lt;0,C29,"/")</f>
        <v>/</v>
      </c>
      <c r="E29" s="102">
        <f ca="1">IF(表2_36716262930389121314151617[[#This Row],[累计净值]]/MAX(INDIRECT("B21:B" &amp; ROW()))-1&lt;E28,表2_36716262930389121314151617[[#This Row],[累计净值]]/MAX(INDIRECT("B21:B" &amp; ROW()))-1,E28)</f>
        <v>0</v>
      </c>
      <c r="F29" s="103">
        <f>表2_36716262930389121314151617[[#This Row],[累计净值]]</f>
        <v>1.0036</v>
      </c>
      <c r="G29" s="20">
        <f>IF(表2_36716262930389121314151617[[#This Row],[累计净值]]&gt;0.9999,0.7*(表2_36716262930389121314151617[[#This Row],[累计净值]]-0.9999),表2_36716262930389121314151617[[#This Row],[累计净值]]-0.9999)</f>
        <v>2.5900000000000254E-3</v>
      </c>
    </row>
    <row r="30" spans="1:7" x14ac:dyDescent="0.2">
      <c r="A30" s="15">
        <v>43969</v>
      </c>
      <c r="B30" s="104">
        <v>1.0044999999999999</v>
      </c>
      <c r="C30" s="101">
        <f t="shared" si="1"/>
        <v>8.9999999999990088E-4</v>
      </c>
      <c r="D30" s="102" t="str">
        <f t="shared" si="2"/>
        <v>/</v>
      </c>
      <c r="E30" s="102">
        <f ca="1">IF(表2_36716262930389121314151617[[#This Row],[累计净值]]/MAX(INDIRECT("B21:B" &amp; ROW()))-1&lt;E29,表2_36716262930389121314151617[[#This Row],[累计净值]]/MAX(INDIRECT("B21:B" &amp; ROW()))-1,E29)</f>
        <v>0</v>
      </c>
      <c r="F30" s="103">
        <f>表2_36716262930389121314151617[[#This Row],[累计净值]]</f>
        <v>1.0044999999999999</v>
      </c>
      <c r="G30" s="20">
        <f>IF(表2_36716262930389121314151617[[#This Row],[累计净值]]&gt;0.9999,0.7*(表2_36716262930389121314151617[[#This Row],[累计净值]]-0.9999),表2_36716262930389121314151617[[#This Row],[累计净值]]-0.9999)</f>
        <v>3.219999999999956E-3</v>
      </c>
    </row>
    <row r="31" spans="1:7" x14ac:dyDescent="0.2">
      <c r="A31" s="15">
        <v>43970</v>
      </c>
      <c r="B31" s="104">
        <v>1.0032000000000001</v>
      </c>
      <c r="C31" s="101">
        <f t="shared" si="1"/>
        <v>-1.2999999999998568E-3</v>
      </c>
      <c r="D31" s="102">
        <f t="shared" si="2"/>
        <v>-1.2999999999998568E-3</v>
      </c>
      <c r="E31" s="102">
        <f ca="1">IF(表2_36716262930389121314151617[[#This Row],[累计净值]]/MAX(INDIRECT("B21:B" &amp; ROW()))-1&lt;E30,表2_36716262930389121314151617[[#This Row],[累计净值]]/MAX(INDIRECT("B21:B" &amp; ROW()))-1,E30)</f>
        <v>-1.2941762070680651E-3</v>
      </c>
      <c r="F31" s="103">
        <f>表2_36716262930389121314151617[[#This Row],[累计净值]]</f>
        <v>1.0032000000000001</v>
      </c>
      <c r="G31" s="20">
        <f>IF(表2_36716262930389121314151617[[#This Row],[累计净值]]&gt;0.9999,0.7*(表2_36716262930389121314151617[[#This Row],[累计净值]]-0.9999),表2_36716262930389121314151617[[#This Row],[累计净值]]-0.9999)</f>
        <v>2.3100000000000564E-3</v>
      </c>
    </row>
    <row r="32" spans="1:7" x14ac:dyDescent="0.2">
      <c r="A32" s="15">
        <v>43971</v>
      </c>
      <c r="B32" s="104">
        <v>1.0049999999999999</v>
      </c>
      <c r="C32" s="101">
        <f t="shared" si="1"/>
        <v>1.7999999999998018E-3</v>
      </c>
      <c r="D32" s="102" t="str">
        <f t="shared" si="2"/>
        <v>/</v>
      </c>
      <c r="E32" s="102">
        <f ca="1">IF(表2_36716262930389121314151617[[#This Row],[累计净值]]/MAX(INDIRECT("B21:B" &amp; ROW()))-1&lt;E31,表2_36716262930389121314151617[[#This Row],[累计净值]]/MAX(INDIRECT("B21:B" &amp; ROW()))-1,E31)</f>
        <v>-1.2941762070680651E-3</v>
      </c>
      <c r="F32" s="103">
        <f>表2_36716262930389121314151617[[#This Row],[累计净值]]</f>
        <v>1.0049999999999999</v>
      </c>
      <c r="G32" s="20">
        <f>IF(表2_36716262930389121314151617[[#This Row],[累计净值]]&gt;0.9999,0.7*(表2_36716262930389121314151617[[#This Row],[累计净值]]-0.9999),表2_36716262930389121314151617[[#This Row],[累计净值]]-0.9999)</f>
        <v>3.5699999999999174E-3</v>
      </c>
    </row>
    <row r="33" spans="1:10" x14ac:dyDescent="0.2">
      <c r="A33" s="15">
        <v>43972</v>
      </c>
      <c r="B33" s="112">
        <v>1.0044</v>
      </c>
      <c r="C33" s="108">
        <f t="shared" ref="C33:C38" si="3">IFERROR(B33-B32,0)</f>
        <v>-5.9999999999993392E-4</v>
      </c>
      <c r="D33" s="109">
        <f t="shared" si="2"/>
        <v>-5.9999999999993392E-4</v>
      </c>
      <c r="E33" s="109">
        <f ca="1">IF(表2_36716262930389121314151617[[#This Row],[累计净值]]/MAX(INDIRECT("B21:B" &amp; ROW()))-1&lt;E32,表2_36716262930389121314151617[[#This Row],[累计净值]]/MAX(INDIRECT("B21:B" &amp; ROW()))-1,E32)</f>
        <v>-1.2941762070680651E-3</v>
      </c>
      <c r="F33" s="110">
        <f>表2_36716262930389121314151617[[#This Row],[累计净值]]</f>
        <v>1.0044</v>
      </c>
      <c r="G33" s="20">
        <f>IF(表2_36716262930389121314151617[[#This Row],[累计净值]]&gt;0.9999,0.7*(表2_36716262930389121314151617[[#This Row],[累计净值]]-0.9999),表2_36716262930389121314151617[[#This Row],[累计净值]]-0.9999)</f>
        <v>3.1499999999999636E-3</v>
      </c>
    </row>
    <row r="34" spans="1:10" x14ac:dyDescent="0.2">
      <c r="A34" s="15">
        <v>43973</v>
      </c>
      <c r="B34" s="112">
        <v>1.0063</v>
      </c>
      <c r="C34" s="108">
        <f t="shared" si="3"/>
        <v>1.9000000000000128E-3</v>
      </c>
      <c r="D34" s="109" t="str">
        <f t="shared" si="2"/>
        <v>/</v>
      </c>
      <c r="E34" s="109">
        <f ca="1">IF(表2_36716262930389121314151617[[#This Row],[累计净值]]/MAX(INDIRECT("B21:B" &amp; ROW()))-1&lt;E33,表2_36716262930389121314151617[[#This Row],[累计净值]]/MAX(INDIRECT("B21:B" &amp; ROW()))-1,E33)</f>
        <v>-1.2941762070680651E-3</v>
      </c>
      <c r="F34" s="110">
        <f>表2_36716262930389121314151617[[#This Row],[累计净值]]</f>
        <v>1.0063</v>
      </c>
      <c r="G34" s="20">
        <f>IF(表2_36716262930389121314151617[[#This Row],[累计净值]]&gt;0.9999,0.7*(表2_36716262930389121314151617[[#This Row],[累计净值]]-0.9999),表2_36716262930389121314151617[[#This Row],[累计净值]]-0.9999)</f>
        <v>4.4799999999999727E-3</v>
      </c>
    </row>
    <row r="35" spans="1:10" x14ac:dyDescent="0.2">
      <c r="A35" s="15">
        <v>43976</v>
      </c>
      <c r="B35" s="112">
        <v>1.0051000000000001</v>
      </c>
      <c r="C35" s="108">
        <f t="shared" si="3"/>
        <v>-1.1999999999998678E-3</v>
      </c>
      <c r="D35" s="109">
        <f t="shared" ref="D35:D40" si="4">IF(C35&lt;0,C35,"/")</f>
        <v>-1.1999999999998678E-3</v>
      </c>
      <c r="E35" s="109">
        <f ca="1">IF(表2_36716262930389121314151617[[#This Row],[累计净值]]/MAX(INDIRECT("B21:B" &amp; ROW()))-1&lt;E34,表2_36716262930389121314151617[[#This Row],[累计净值]]/MAX(INDIRECT("B21:B" &amp; ROW()))-1,E34)</f>
        <v>-1.2941762070680651E-3</v>
      </c>
      <c r="F35" s="110">
        <f>表2_36716262930389121314151617[[#This Row],[累计净值]]</f>
        <v>1.0051000000000001</v>
      </c>
      <c r="G35" s="20">
        <f>IF(表2_36716262930389121314151617[[#This Row],[累计净值]]&gt;0.9999,0.7*(表2_36716262930389121314151617[[#This Row],[累计净值]]-0.9999),表2_36716262930389121314151617[[#This Row],[累计净值]]-0.9999)</f>
        <v>3.6400000000000651E-3</v>
      </c>
    </row>
    <row r="36" spans="1:10" x14ac:dyDescent="0.2">
      <c r="A36" s="15">
        <v>43977</v>
      </c>
      <c r="B36" s="112">
        <v>1.0065999999999999</v>
      </c>
      <c r="C36" s="108">
        <f t="shared" si="3"/>
        <v>1.4999999999998348E-3</v>
      </c>
      <c r="D36" s="109" t="str">
        <f t="shared" si="4"/>
        <v>/</v>
      </c>
      <c r="E36" s="109">
        <f ca="1">IF(表2_36716262930389121314151617[[#This Row],[累计净值]]/MAX(INDIRECT("B21:B" &amp; ROW()))-1&lt;E35,表2_36716262930389121314151617[[#This Row],[累计净值]]/MAX(INDIRECT("B21:B" &amp; ROW()))-1,E35)</f>
        <v>-1.2941762070680651E-3</v>
      </c>
      <c r="F36" s="110">
        <f>表2_36716262930389121314151617[[#This Row],[累计净值]]</f>
        <v>1.0065999999999999</v>
      </c>
      <c r="G36" s="20">
        <f>IF(表2_36716262930389121314151617[[#This Row],[累计净值]]&gt;0.9999,0.7*(表2_36716262930389121314151617[[#This Row],[累计净值]]-0.9999),表2_36716262930389121314151617[[#This Row],[累计净值]]-0.9999)</f>
        <v>4.6899999999999494E-3</v>
      </c>
    </row>
    <row r="37" spans="1:10" x14ac:dyDescent="0.2">
      <c r="A37" s="15">
        <v>43978</v>
      </c>
      <c r="B37" s="112">
        <v>1.0068999999999999</v>
      </c>
      <c r="C37" s="108">
        <f t="shared" si="3"/>
        <v>2.9999999999996696E-4</v>
      </c>
      <c r="D37" s="109" t="str">
        <f t="shared" si="4"/>
        <v>/</v>
      </c>
      <c r="E37" s="109">
        <f ca="1">IF(表2_36716262930389121314151617[[#This Row],[累计净值]]/MAX(INDIRECT("B21:B" &amp; ROW()))-1&lt;E36,表2_36716262930389121314151617[[#This Row],[累计净值]]/MAX(INDIRECT("B21:B" &amp; ROW()))-1,E36)</f>
        <v>-1.2941762070680651E-3</v>
      </c>
      <c r="F37" s="110">
        <f>表2_36716262930389121314151617[[#This Row],[累计净值]]</f>
        <v>1.0068999999999999</v>
      </c>
      <c r="G37" s="20">
        <f>IF(表2_36716262930389121314151617[[#This Row],[累计净值]]&gt;0.9999,0.7*(表2_36716262930389121314151617[[#This Row],[累计净值]]-0.9999),表2_36716262930389121314151617[[#This Row],[累计净值]]-0.9999)</f>
        <v>4.8999999999999261E-3</v>
      </c>
    </row>
    <row r="38" spans="1:10" x14ac:dyDescent="0.2">
      <c r="A38" s="15">
        <v>43979</v>
      </c>
      <c r="B38" s="112">
        <v>1.008</v>
      </c>
      <c r="C38" s="108">
        <f t="shared" si="3"/>
        <v>1.1000000000001009E-3</v>
      </c>
      <c r="D38" s="109" t="str">
        <f t="shared" si="4"/>
        <v>/</v>
      </c>
      <c r="E38" s="109">
        <f ca="1">IF(表2_36716262930389121314151617[[#This Row],[累计净值]]/MAX(INDIRECT("B21:B" &amp; ROW()))-1&lt;E37,表2_36716262930389121314151617[[#This Row],[累计净值]]/MAX(INDIRECT("B21:B" &amp; ROW()))-1,E37)</f>
        <v>-1.2941762070680651E-3</v>
      </c>
      <c r="F38" s="110">
        <f>表2_36716262930389121314151617[[#This Row],[累计净值]]</f>
        <v>1.008</v>
      </c>
      <c r="G38" s="20">
        <f>IF(表2_36716262930389121314151617[[#This Row],[累计净值]]&gt;0.9999,0.7*(表2_36716262930389121314151617[[#This Row],[累计净值]]-0.9999),表2_36716262930389121314151617[[#This Row],[累计净值]]-0.9999)</f>
        <v>5.6699999999999971E-3</v>
      </c>
    </row>
    <row r="39" spans="1:10" x14ac:dyDescent="0.2">
      <c r="A39" s="15">
        <v>43980</v>
      </c>
      <c r="B39" s="112">
        <v>1.0068999999999999</v>
      </c>
      <c r="C39" s="108">
        <f t="shared" ref="C39:C45" si="5">IFERROR(B39-B38,0)</f>
        <v>-1.1000000000001009E-3</v>
      </c>
      <c r="D39" s="109">
        <f t="shared" si="4"/>
        <v>-1.1000000000001009E-3</v>
      </c>
      <c r="E39" s="109">
        <f ca="1">IF(表2_36716262930389121314151617[[#This Row],[累计净值]]/MAX(INDIRECT("B21:B" &amp; ROW()))-1&lt;E38,表2_36716262930389121314151617[[#This Row],[累计净值]]/MAX(INDIRECT("B21:B" &amp; ROW()))-1,E38)</f>
        <v>-1.2941762070680651E-3</v>
      </c>
      <c r="F39" s="110">
        <f>表2_36716262930389121314151617[[#This Row],[累计净值]]</f>
        <v>1.0068999999999999</v>
      </c>
      <c r="G39" s="20">
        <f>IF(表2_36716262930389121314151617[[#This Row],[累计净值]]&gt;0.9999,0.7*(表2_36716262930389121314151617[[#This Row],[累计净值]]-0.9999),表2_36716262930389121314151617[[#This Row],[累计净值]]-0.9999)</f>
        <v>4.8999999999999261E-3</v>
      </c>
    </row>
    <row r="40" spans="1:10" x14ac:dyDescent="0.2">
      <c r="A40" s="15">
        <v>43983</v>
      </c>
      <c r="B40" s="112">
        <v>1.0106999999999999</v>
      </c>
      <c r="C40" s="108">
        <f t="shared" si="5"/>
        <v>3.8000000000000256E-3</v>
      </c>
      <c r="D40" s="109" t="str">
        <f t="shared" si="4"/>
        <v>/</v>
      </c>
      <c r="E40" s="109">
        <f ca="1">IF(表2_36716262930389121314151617[[#This Row],[累计净值]]/MAX(INDIRECT("B21:B" &amp; ROW()))-1&lt;E39,表2_36716262930389121314151617[[#This Row],[累计净值]]/MAX(INDIRECT("B21:B" &amp; ROW()))-1,E39)</f>
        <v>-1.2941762070680651E-3</v>
      </c>
      <c r="F40" s="110">
        <f>表2_36716262930389121314151617[[#This Row],[累计净值]]</f>
        <v>1.0106999999999999</v>
      </c>
      <c r="G40" s="20">
        <f>IF(表2_36716262930389121314151617[[#This Row],[累计净值]]&gt;0.9999,0.7*(表2_36716262930389121314151617[[#This Row],[累计净值]]-0.9999),表2_36716262930389121314151617[[#This Row],[累计净值]]-0.9999)</f>
        <v>7.5599999999999444E-3</v>
      </c>
    </row>
    <row r="41" spans="1:10" x14ac:dyDescent="0.2">
      <c r="A41" s="15">
        <v>43984</v>
      </c>
      <c r="B41" s="112">
        <v>1.0082</v>
      </c>
      <c r="C41" s="108">
        <f t="shared" si="5"/>
        <v>-2.4999999999999467E-3</v>
      </c>
      <c r="D41" s="109">
        <f t="shared" ref="D41:D47" si="6">IF(C41&lt;0,C41,"/")</f>
        <v>-2.4999999999999467E-3</v>
      </c>
      <c r="E41" s="109">
        <f ca="1">IF(表2_36716262930389121314151617[[#This Row],[累计净值]]/MAX(INDIRECT("B21:B" &amp; ROW()))-1&lt;E40,表2_36716262930389121314151617[[#This Row],[累计净值]]/MAX(INDIRECT("B21:B" &amp; ROW()))-1,E40)</f>
        <v>-2.4735331948154693E-3</v>
      </c>
      <c r="F41" s="110">
        <f>表2_36716262930389121314151617[[#This Row],[累计净值]]</f>
        <v>1.0082</v>
      </c>
      <c r="G41" s="20">
        <f>IF(表2_36716262930389121314151617[[#This Row],[累计净值]]&gt;0.9999,0.7*(表2_36716262930389121314151617[[#This Row],[累计净值]]-0.9999),表2_36716262930389121314151617[[#This Row],[累计净值]]-0.9999)</f>
        <v>5.8099999999999818E-3</v>
      </c>
    </row>
    <row r="42" spans="1:10" x14ac:dyDescent="0.2">
      <c r="A42" s="15">
        <v>43985</v>
      </c>
      <c r="B42" s="112">
        <v>1.0065999999999999</v>
      </c>
      <c r="C42" s="108">
        <f t="shared" si="5"/>
        <v>-1.6000000000000458E-3</v>
      </c>
      <c r="D42" s="109">
        <f t="shared" si="6"/>
        <v>-1.6000000000000458E-3</v>
      </c>
      <c r="E42" s="109">
        <f ca="1">IF(表2_36716262930389121314151617[[#This Row],[累计净值]]/MAX(INDIRECT("B21:B" &amp; ROW()))-1&lt;E41,表2_36716262930389121314151617[[#This Row],[累计净值]]/MAX(INDIRECT("B21:B" &amp; ROW()))-1,E41)</f>
        <v>-4.0565944394973519E-3</v>
      </c>
      <c r="F42" s="110">
        <f>表2_36716262930389121314151617[[#This Row],[累计净值]]</f>
        <v>1.0065999999999999</v>
      </c>
      <c r="G42" s="20">
        <f>IF(表2_36716262930389121314151617[[#This Row],[累计净值]]&gt;0.9999,0.7*(表2_36716262930389121314151617[[#This Row],[累计净值]]-0.9999),表2_36716262930389121314151617[[#This Row],[累计净值]]-0.9999)</f>
        <v>4.6899999999999494E-3</v>
      </c>
    </row>
    <row r="43" spans="1:10" x14ac:dyDescent="0.2">
      <c r="A43" s="15">
        <v>43986</v>
      </c>
      <c r="B43" s="112">
        <v>1.0059</v>
      </c>
      <c r="C43" s="108">
        <f t="shared" si="5"/>
        <v>-6.9999999999992291E-4</v>
      </c>
      <c r="D43" s="109">
        <f t="shared" si="6"/>
        <v>-6.9999999999992291E-4</v>
      </c>
      <c r="E43" s="109">
        <f ca="1">IF(表2_36716262930389121314151617[[#This Row],[累计净值]]/MAX(INDIRECT("B21:B" &amp; ROW()))-1&lt;E42,表2_36716262930389121314151617[[#This Row],[累计净值]]/MAX(INDIRECT("B21:B" &amp; ROW()))-1,E42)</f>
        <v>-4.7491837340456478E-3</v>
      </c>
      <c r="F43" s="110">
        <f>表2_36716262930389121314151617[[#This Row],[累计净值]]</f>
        <v>1.0059</v>
      </c>
      <c r="G43" s="20">
        <f>IF(表2_36716262930389121314151617[[#This Row],[累计净值]]&gt;0.9999,0.7*(表2_36716262930389121314151617[[#This Row],[累计净值]]-0.9999),表2_36716262930389121314151617[[#This Row],[累计净值]]-0.9999)</f>
        <v>4.2000000000000032E-3</v>
      </c>
    </row>
    <row r="44" spans="1:10" x14ac:dyDescent="0.2">
      <c r="A44" s="15">
        <v>43987</v>
      </c>
      <c r="B44" s="112">
        <v>1.0067999999999999</v>
      </c>
      <c r="C44" s="108">
        <f t="shared" si="5"/>
        <v>8.9999999999990088E-4</v>
      </c>
      <c r="D44" s="109" t="str">
        <f t="shared" si="6"/>
        <v>/</v>
      </c>
      <c r="E44" s="109">
        <f ca="1">IF(表2_36716262930389121314151617[[#This Row],[累计净值]]/MAX(INDIRECT("B21:B" &amp; ROW()))-1&lt;E43,表2_36716262930389121314151617[[#This Row],[累计净值]]/MAX(INDIRECT("B21:B" &amp; ROW()))-1,E43)</f>
        <v>-4.7491837340456478E-3</v>
      </c>
      <c r="F44" s="110">
        <f>表2_36716262930389121314151617[[#This Row],[累计净值]]</f>
        <v>1.0067999999999999</v>
      </c>
      <c r="G44" s="20">
        <f>IF(表2_36716262930389121314151617[[#This Row],[累计净值]]&gt;0.9999,0.7*(表2_36716262930389121314151617[[#This Row],[累计净值]]-0.9999),表2_36716262930389121314151617[[#This Row],[累计净值]]-0.9999)</f>
        <v>4.8299999999999342E-3</v>
      </c>
      <c r="J44" s="60"/>
    </row>
    <row r="45" spans="1:10" x14ac:dyDescent="0.2">
      <c r="A45" s="15">
        <v>43990</v>
      </c>
      <c r="B45" s="112">
        <v>1.0084</v>
      </c>
      <c r="C45" s="108">
        <f t="shared" si="5"/>
        <v>1.6000000000000458E-3</v>
      </c>
      <c r="D45" s="109" t="str">
        <f t="shared" si="6"/>
        <v>/</v>
      </c>
      <c r="E45" s="109">
        <f ca="1">IF(表2_36716262930389121314151617[[#This Row],[累计净值]]/MAX(INDIRECT("B21:B" &amp; ROW()))-1&lt;E44,表2_36716262930389121314151617[[#This Row],[累计净值]]/MAX(INDIRECT("B21:B" &amp; ROW()))-1,E44)</f>
        <v>-4.7491837340456478E-3</v>
      </c>
      <c r="F45" s="110">
        <f>表2_36716262930389121314151617[[#This Row],[累计净值]]</f>
        <v>1.0084</v>
      </c>
      <c r="G45" s="20">
        <f>IF(表2_36716262930389121314151617[[#This Row],[累计净值]]&gt;0.9999,0.7*(表2_36716262930389121314151617[[#This Row],[累计净值]]-0.9999),表2_36716262930389121314151617[[#This Row],[累计净值]]-0.9999)</f>
        <v>5.9499999999999657E-3</v>
      </c>
    </row>
    <row r="46" spans="1:10" x14ac:dyDescent="0.2">
      <c r="A46" s="15">
        <v>43991</v>
      </c>
      <c r="B46" s="112">
        <v>1.0086999999999999</v>
      </c>
      <c r="C46" s="108">
        <f t="shared" ref="C46:C51" si="7">IFERROR(B46-B45,0)</f>
        <v>2.9999999999996696E-4</v>
      </c>
      <c r="D46" s="109" t="str">
        <f t="shared" si="6"/>
        <v>/</v>
      </c>
      <c r="E46" s="109">
        <f ca="1">IF(表2_36716262930389121314151617[[#This Row],[累计净值]]/MAX(INDIRECT("B21:B" &amp; ROW()))-1&lt;E45,表2_36716262930389121314151617[[#This Row],[累计净值]]/MAX(INDIRECT("B21:B" &amp; ROW()))-1,E45)</f>
        <v>-4.7491837340456478E-3</v>
      </c>
      <c r="F46" s="110">
        <f>表2_36716262930389121314151617[[#This Row],[累计净值]]</f>
        <v>1.0086999999999999</v>
      </c>
      <c r="G46" s="20">
        <f>IF(表2_36716262930389121314151617[[#This Row],[累计净值]]&gt;0.9999,0.7*(表2_36716262930389121314151617[[#This Row],[累计净值]]-0.9999),表2_36716262930389121314151617[[#This Row],[累计净值]]-0.9999)</f>
        <v>6.1599999999999433E-3</v>
      </c>
    </row>
    <row r="47" spans="1:10" x14ac:dyDescent="0.2">
      <c r="A47" s="15">
        <v>43992</v>
      </c>
      <c r="B47" s="112">
        <v>1.0097</v>
      </c>
      <c r="C47" s="108">
        <f t="shared" si="7"/>
        <v>1.0000000000001119E-3</v>
      </c>
      <c r="D47" s="109" t="str">
        <f t="shared" si="6"/>
        <v>/</v>
      </c>
      <c r="E47" s="109">
        <f ca="1">IF(表2_36716262930389121314151617[[#This Row],[累计净值]]/MAX(INDIRECT("B21:B" &amp; ROW()))-1&lt;E46,表2_36716262930389121314151617[[#This Row],[累计净值]]/MAX(INDIRECT("B21:B" &amp; ROW()))-1,E46)</f>
        <v>-4.7491837340456478E-3</v>
      </c>
      <c r="F47" s="110">
        <f>表2_36716262930389121314151617[[#This Row],[累计净值]]</f>
        <v>1.0097</v>
      </c>
      <c r="G47" s="20">
        <f>IF(表2_36716262930389121314151617[[#This Row],[累计净值]]&gt;0.9999,0.7*(表2_36716262930389121314151617[[#This Row],[累计净值]]-0.9999),表2_36716262930389121314151617[[#This Row],[累计净值]]-0.9999)</f>
        <v>6.8600000000000215E-3</v>
      </c>
    </row>
    <row r="48" spans="1:10" x14ac:dyDescent="0.2">
      <c r="A48" s="15">
        <v>43993</v>
      </c>
      <c r="B48" s="112">
        <v>1.0099</v>
      </c>
      <c r="C48" s="108">
        <f t="shared" si="7"/>
        <v>1.9999999999997797E-4</v>
      </c>
      <c r="D48" s="109" t="str">
        <f t="shared" ref="D48:D53" si="8">IF(C48&lt;0,C48,"/")</f>
        <v>/</v>
      </c>
      <c r="E48" s="109">
        <f ca="1">IF(表2_36716262930389121314151617[[#This Row],[累计净值]]/MAX(INDIRECT("B21:B" &amp; ROW()))-1&lt;E47,表2_36716262930389121314151617[[#This Row],[累计净值]]/MAX(INDIRECT("B21:B" &amp; ROW()))-1,E47)</f>
        <v>-4.7491837340456478E-3</v>
      </c>
      <c r="F48" s="110">
        <f>表2_36716262930389121314151617[[#This Row],[累计净值]]</f>
        <v>1.0099</v>
      </c>
      <c r="G48" s="20">
        <f>IF(表2_36716262930389121314151617[[#This Row],[累计净值]]&gt;0.9999,0.7*(表2_36716262930389121314151617[[#This Row],[累计净值]]-0.9999),表2_36716262930389121314151617[[#This Row],[累计净值]]-0.9999)</f>
        <v>7.0000000000000053E-3</v>
      </c>
    </row>
    <row r="49" spans="1:7" x14ac:dyDescent="0.2">
      <c r="A49" s="15">
        <v>43994</v>
      </c>
      <c r="B49" s="112">
        <v>1.0082</v>
      </c>
      <c r="C49" s="108">
        <f t="shared" si="7"/>
        <v>-1.7000000000000348E-3</v>
      </c>
      <c r="D49" s="109">
        <f t="shared" si="8"/>
        <v>-1.7000000000000348E-3</v>
      </c>
      <c r="E49" s="109">
        <f ca="1">IF(表2_36716262930389121314151617[[#This Row],[累计净值]]/MAX(INDIRECT("B21:B" &amp; ROW()))-1&lt;E48,表2_36716262930389121314151617[[#This Row],[累计净值]]/MAX(INDIRECT("B21:B" &amp; ROW()))-1,E48)</f>
        <v>-4.7491837340456478E-3</v>
      </c>
      <c r="F49" s="110">
        <f>表2_36716262930389121314151617[[#This Row],[累计净值]]</f>
        <v>1.0082</v>
      </c>
      <c r="G49" s="20">
        <f>IF(表2_36716262930389121314151617[[#This Row],[累计净值]]&gt;0.9999,0.7*(表2_36716262930389121314151617[[#This Row],[累计净值]]-0.9999),表2_36716262930389121314151617[[#This Row],[累计净值]]-0.9999)</f>
        <v>5.8099999999999818E-3</v>
      </c>
    </row>
    <row r="50" spans="1:7" x14ac:dyDescent="0.2">
      <c r="A50" s="15">
        <v>43997</v>
      </c>
      <c r="B50" s="112">
        <v>1.0107999999999999</v>
      </c>
      <c r="C50" s="108">
        <f t="shared" si="7"/>
        <v>2.5999999999999357E-3</v>
      </c>
      <c r="D50" s="109" t="str">
        <f t="shared" si="8"/>
        <v>/</v>
      </c>
      <c r="E50" s="109">
        <f ca="1">IF(表2_36716262930389121314151617[[#This Row],[累计净值]]/MAX(INDIRECT("B21:B" &amp; ROW()))-1&lt;E49,表2_36716262930389121314151617[[#This Row],[累计净值]]/MAX(INDIRECT("B21:B" &amp; ROW()))-1,E49)</f>
        <v>-4.7491837340456478E-3</v>
      </c>
      <c r="F50" s="110">
        <f>表2_36716262930389121314151617[[#This Row],[累计净值]]</f>
        <v>1.0107999999999999</v>
      </c>
      <c r="G50" s="20">
        <f>IF(表2_36716262930389121314151617[[#This Row],[累计净值]]&gt;0.9999,0.7*(表2_36716262930389121314151617[[#This Row],[累计净值]]-0.9999),表2_36716262930389121314151617[[#This Row],[累计净值]]-0.9999)</f>
        <v>7.6299999999999363E-3</v>
      </c>
    </row>
    <row r="51" spans="1:7" x14ac:dyDescent="0.2">
      <c r="A51" s="15">
        <v>43998</v>
      </c>
      <c r="B51" s="112">
        <v>1.0130999999999999</v>
      </c>
      <c r="C51" s="108">
        <f t="shared" si="7"/>
        <v>2.2999999999999687E-3</v>
      </c>
      <c r="D51" s="109" t="str">
        <f t="shared" si="8"/>
        <v>/</v>
      </c>
      <c r="E51" s="109">
        <f ca="1">IF(表2_36716262930389121314151617[[#This Row],[累计净值]]/MAX(INDIRECT("B21:B" &amp; ROW()))-1&lt;E50,表2_36716262930389121314151617[[#This Row],[累计净值]]/MAX(INDIRECT("B21:B" &amp; ROW()))-1,E50)</f>
        <v>-4.7491837340456478E-3</v>
      </c>
      <c r="F51" s="110">
        <f>表2_36716262930389121314151617[[#This Row],[累计净值]]</f>
        <v>1.0130999999999999</v>
      </c>
      <c r="G51" s="20">
        <f>IF(表2_36716262930389121314151617[[#This Row],[累计净值]]&gt;0.9999,0.7*(表2_36716262930389121314151617[[#This Row],[累计净值]]-0.9999),表2_36716262930389121314151617[[#This Row],[累计净值]]-0.9999)</f>
        <v>9.2399999999999149E-3</v>
      </c>
    </row>
    <row r="52" spans="1:7" x14ac:dyDescent="0.2">
      <c r="A52" s="15">
        <v>43999</v>
      </c>
      <c r="B52" s="112">
        <v>1.0137</v>
      </c>
      <c r="C52" s="108">
        <f t="shared" ref="C52:C57" si="9">IFERROR(B52-B51,0)</f>
        <v>6.0000000000015596E-4</v>
      </c>
      <c r="D52" s="109" t="str">
        <f t="shared" si="8"/>
        <v>/</v>
      </c>
      <c r="E52" s="109">
        <f ca="1">IF(表2_36716262930389121314151617[[#This Row],[累计净值]]/MAX(INDIRECT("B21:B" &amp; ROW()))-1&lt;E51,表2_36716262930389121314151617[[#This Row],[累计净值]]/MAX(INDIRECT("B21:B" &amp; ROW()))-1,E51)</f>
        <v>-4.7491837340456478E-3</v>
      </c>
      <c r="F52" s="110">
        <f>表2_36716262930389121314151617[[#This Row],[累计净值]]</f>
        <v>1.0137</v>
      </c>
      <c r="G52" s="20">
        <f>IF(表2_36716262930389121314151617[[#This Row],[累计净值]]&gt;0.9999,0.7*(表2_36716262930389121314151617[[#This Row],[累计净值]]-0.9999),表2_36716262930389121314151617[[#This Row],[累计净值]]-0.9999)</f>
        <v>9.6600000000000227E-3</v>
      </c>
    </row>
    <row r="53" spans="1:7" x14ac:dyDescent="0.2">
      <c r="A53" s="15">
        <v>44000</v>
      </c>
      <c r="B53" s="112">
        <v>1.0136000000000001</v>
      </c>
      <c r="C53" s="108">
        <f t="shared" si="9"/>
        <v>-9.9999999999988987E-5</v>
      </c>
      <c r="D53" s="109">
        <f t="shared" si="8"/>
        <v>-9.9999999999988987E-5</v>
      </c>
      <c r="E53" s="109">
        <f ca="1">IF(表2_36716262930389121314151617[[#This Row],[累计净值]]/MAX(INDIRECT("B21:B" &amp; ROW()))-1&lt;E52,表2_36716262930389121314151617[[#This Row],[累计净值]]/MAX(INDIRECT("B21:B" &amp; ROW()))-1,E52)</f>
        <v>-4.7491837340456478E-3</v>
      </c>
      <c r="F53" s="110">
        <f>表2_36716262930389121314151617[[#This Row],[累计净值]]</f>
        <v>1.0136000000000001</v>
      </c>
      <c r="G53" s="20">
        <f>IF(表2_36716262930389121314151617[[#This Row],[累计净值]]&gt;0.9999,0.7*(表2_36716262930389121314151617[[#This Row],[累计净值]]-0.9999),表2_36716262930389121314151617[[#This Row],[累计净值]]-0.9999)</f>
        <v>9.5900000000000308E-3</v>
      </c>
    </row>
    <row r="54" spans="1:7" x14ac:dyDescent="0.2">
      <c r="A54" s="15">
        <v>44001</v>
      </c>
      <c r="B54" s="112">
        <v>1.0105</v>
      </c>
      <c r="C54" s="108">
        <f t="shared" si="9"/>
        <v>-3.1000000000001027E-3</v>
      </c>
      <c r="D54" s="109">
        <f t="shared" ref="D54:D59" si="10">IF(C54&lt;0,C54,"/")</f>
        <v>-3.1000000000001027E-3</v>
      </c>
      <c r="E54" s="109">
        <f ca="1">IF(表2_36716262930389121314151617[[#This Row],[累计净值]]/MAX(INDIRECT("B21:B" &amp; ROW()))-1&lt;E53,表2_36716262930389121314151617[[#This Row],[累计净值]]/MAX(INDIRECT("B21:B" &amp; ROW()))-1,E53)</f>
        <v>-4.7491837340456478E-3</v>
      </c>
      <c r="F54" s="110">
        <f>表2_36716262930389121314151617[[#This Row],[累计净值]]</f>
        <v>1.0105</v>
      </c>
      <c r="G54" s="20">
        <f>IF(表2_36716262930389121314151617[[#This Row],[累计净值]]&gt;0.9999,0.7*(表2_36716262930389121314151617[[#This Row],[累计净值]]-0.9999),表2_36716262930389121314151617[[#This Row],[累计净值]]-0.9999)</f>
        <v>7.4199999999999596E-3</v>
      </c>
    </row>
    <row r="55" spans="1:7" x14ac:dyDescent="0.2">
      <c r="A55" s="15">
        <v>44004</v>
      </c>
      <c r="B55" s="112">
        <v>1.0102</v>
      </c>
      <c r="C55" s="108">
        <f t="shared" si="9"/>
        <v>-2.9999999999996696E-4</v>
      </c>
      <c r="D55" s="109">
        <f t="shared" si="10"/>
        <v>-2.9999999999996696E-4</v>
      </c>
      <c r="E55" s="109">
        <f ca="1">IF(表2_36716262930389121314151617[[#This Row],[累计净值]]/MAX(INDIRECT("B21:B" &amp; ROW()))-1&lt;E54,表2_36716262930389121314151617[[#This Row],[累计净值]]/MAX(INDIRECT("B21:B" &amp; ROW()))-1,E54)</f>
        <v>-4.7491837340456478E-3</v>
      </c>
      <c r="F55" s="110">
        <f>表2_36716262930389121314151617[[#This Row],[累计净值]]</f>
        <v>1.0102</v>
      </c>
      <c r="G55" s="20">
        <f>IF(表2_36716262930389121314151617[[#This Row],[累计净值]]&gt;0.9999,0.7*(表2_36716262930389121314151617[[#This Row],[累计净值]]-0.9999),表2_36716262930389121314151617[[#This Row],[累计净值]]-0.9999)</f>
        <v>7.2099999999999829E-3</v>
      </c>
    </row>
    <row r="56" spans="1:7" x14ac:dyDescent="0.2">
      <c r="A56" s="15">
        <v>44005</v>
      </c>
      <c r="B56" s="112">
        <v>1.0133000000000001</v>
      </c>
      <c r="C56" s="108">
        <f t="shared" si="9"/>
        <v>3.1000000000001027E-3</v>
      </c>
      <c r="D56" s="109" t="str">
        <f t="shared" si="10"/>
        <v>/</v>
      </c>
      <c r="E56" s="109">
        <f ca="1">IF(表2_36716262930389121314151617[[#This Row],[累计净值]]/MAX(INDIRECT("B21:B" &amp; ROW()))-1&lt;E55,表2_36716262930389121314151617[[#This Row],[累计净值]]/MAX(INDIRECT("B21:B" &amp; ROW()))-1,E55)</f>
        <v>-4.7491837340456478E-3</v>
      </c>
      <c r="F56" s="110">
        <f>表2_36716262930389121314151617[[#This Row],[累计净值]]</f>
        <v>1.0133000000000001</v>
      </c>
      <c r="G56" s="20">
        <f>IF(表2_36716262930389121314151617[[#This Row],[累计净值]]&gt;0.9999,0.7*(表2_36716262930389121314151617[[#This Row],[累计净值]]-0.9999),表2_36716262930389121314151617[[#This Row],[累计净值]]-0.9999)</f>
        <v>9.380000000000055E-3</v>
      </c>
    </row>
    <row r="57" spans="1:7" x14ac:dyDescent="0.2">
      <c r="A57" s="15">
        <v>44006</v>
      </c>
      <c r="B57" s="113">
        <v>1.0158</v>
      </c>
      <c r="C57" s="108">
        <f t="shared" si="9"/>
        <v>2.4999999999999467E-3</v>
      </c>
      <c r="D57" s="109" t="str">
        <f t="shared" si="10"/>
        <v>/</v>
      </c>
      <c r="E57" s="109">
        <f ca="1">IF(表2_36716262930389121314151617[[#This Row],[累计净值]]/MAX(INDIRECT("B21:B" &amp; ROW()))-1&lt;E56,表2_36716262930389121314151617[[#This Row],[累计净值]]/MAX(INDIRECT("B21:B" &amp; ROW()))-1,E56)</f>
        <v>-4.7491837340456478E-3</v>
      </c>
      <c r="F57" s="110">
        <f>表2_36716262930389121314151617[[#This Row],[累计净值]]</f>
        <v>1.0158</v>
      </c>
      <c r="G57" s="20">
        <f>IF(表2_36716262930389121314151617[[#This Row],[累计净值]]&gt;0.9999,0.7*(表2_36716262930389121314151617[[#This Row],[累计净值]]-0.9999),表2_36716262930389121314151617[[#This Row],[累计净值]]-0.9999)</f>
        <v>1.1130000000000017E-2</v>
      </c>
    </row>
    <row r="58" spans="1:7" x14ac:dyDescent="0.2">
      <c r="A58" s="15">
        <v>44011</v>
      </c>
      <c r="B58" s="113">
        <v>1.0158</v>
      </c>
      <c r="C58" s="108">
        <f t="shared" ref="C58:C63" si="11">IFERROR(B58-B57,0)</f>
        <v>0</v>
      </c>
      <c r="D58" s="109" t="str">
        <f t="shared" si="10"/>
        <v>/</v>
      </c>
      <c r="E58" s="109">
        <f ca="1">IF(表2_36716262930389121314151617[[#This Row],[累计净值]]/MAX(INDIRECT("B21:B" &amp; ROW()))-1&lt;E57,表2_36716262930389121314151617[[#This Row],[累计净值]]/MAX(INDIRECT("B21:B" &amp; ROW()))-1,E57)</f>
        <v>-4.7491837340456478E-3</v>
      </c>
      <c r="F58" s="110">
        <f>表2_36716262930389121314151617[[#This Row],[累计净值]]</f>
        <v>1.0158</v>
      </c>
      <c r="G58" s="20">
        <f>IF(表2_36716262930389121314151617[[#This Row],[累计净值]]&gt;0.9999,0.7*(表2_36716262930389121314151617[[#This Row],[累计净值]]-0.9999),表2_36716262930389121314151617[[#This Row],[累计净值]]-0.9999)</f>
        <v>1.1130000000000017E-2</v>
      </c>
    </row>
    <row r="59" spans="1:7" x14ac:dyDescent="0.2">
      <c r="A59" s="15">
        <v>44012</v>
      </c>
      <c r="B59" s="113">
        <v>1.0161</v>
      </c>
      <c r="C59" s="108">
        <f t="shared" si="11"/>
        <v>2.9999999999996696E-4</v>
      </c>
      <c r="D59" s="109" t="str">
        <f t="shared" si="10"/>
        <v>/</v>
      </c>
      <c r="E59" s="109">
        <f ca="1">IF(表2_36716262930389121314151617[[#This Row],[累计净值]]/MAX(INDIRECT("B21:B" &amp; ROW()))-1&lt;E58,表2_36716262930389121314151617[[#This Row],[累计净值]]/MAX(INDIRECT("B21:B" &amp; ROW()))-1,E58)</f>
        <v>-4.7491837340456478E-3</v>
      </c>
      <c r="F59" s="110">
        <f>表2_36716262930389121314151617[[#This Row],[累计净值]]</f>
        <v>1.0161</v>
      </c>
      <c r="G59" s="20">
        <f>IF(表2_36716262930389121314151617[[#This Row],[累计净值]]&gt;0.9999,0.7*(表2_36716262930389121314151617[[#This Row],[累计净值]]-0.9999),表2_36716262930389121314151617[[#This Row],[累计净值]]-0.9999)</f>
        <v>1.1339999999999994E-2</v>
      </c>
    </row>
    <row r="60" spans="1:7" x14ac:dyDescent="0.2">
      <c r="A60" s="15">
        <v>44013</v>
      </c>
      <c r="B60" s="113">
        <v>1.0161</v>
      </c>
      <c r="C60" s="108">
        <f t="shared" si="11"/>
        <v>0</v>
      </c>
      <c r="D60" s="109" t="str">
        <f>IF(C60&lt;0,C60,"/")</f>
        <v>/</v>
      </c>
      <c r="E60" s="109">
        <f ca="1">IF(表2_36716262930389121314151617[[#This Row],[累计净值]]/MAX(INDIRECT("B21:B" &amp; ROW()))-1&lt;E59,表2_36716262930389121314151617[[#This Row],[累计净值]]/MAX(INDIRECT("B21:B" &amp; ROW()))-1,E59)</f>
        <v>-4.7491837340456478E-3</v>
      </c>
      <c r="F60" s="110">
        <f>表2_36716262930389121314151617[[#This Row],[累计净值]]</f>
        <v>1.0161</v>
      </c>
      <c r="G60" s="20">
        <f>IF(表2_36716262930389121314151617[[#This Row],[累计净值]]&gt;0.9999,0.7*(表2_36716262930389121314151617[[#This Row],[累计净值]]-0.9999),表2_36716262930389121314151617[[#This Row],[累计净值]]-0.9999)</f>
        <v>1.1339999999999994E-2</v>
      </c>
    </row>
    <row r="61" spans="1:7" x14ac:dyDescent="0.2">
      <c r="A61" s="15">
        <v>44014</v>
      </c>
      <c r="B61" s="113">
        <v>1.0147999999999999</v>
      </c>
      <c r="C61" s="108">
        <f t="shared" si="11"/>
        <v>-1.3000000000000789E-3</v>
      </c>
      <c r="D61" s="109">
        <f>IF(C61&lt;0,C61,"/")</f>
        <v>-1.3000000000000789E-3</v>
      </c>
      <c r="E61" s="109">
        <f ca="1">IF(表2_36716262930389121314151617[[#This Row],[累计净值]]/MAX(INDIRECT("B21:B" &amp; ROW()))-1&lt;E60,表2_36716262930389121314151617[[#This Row],[累计净值]]/MAX(INDIRECT("B21:B" &amp; ROW()))-1,E60)</f>
        <v>-4.7491837340456478E-3</v>
      </c>
      <c r="F61" s="110">
        <f>表2_36716262930389121314151617[[#This Row],[累计净值]]</f>
        <v>1.0147999999999999</v>
      </c>
      <c r="G61" s="20">
        <f>IF(表2_36716262930389121314151617[[#This Row],[累计净值]]&gt;0.9999,0.7*(表2_36716262930389121314151617[[#This Row],[累计净值]]-0.9999),表2_36716262930389121314151617[[#This Row],[累计净值]]-0.9999)</f>
        <v>1.0429999999999939E-2</v>
      </c>
    </row>
    <row r="62" spans="1:7" x14ac:dyDescent="0.2">
      <c r="A62" s="15">
        <v>44015</v>
      </c>
      <c r="B62" s="113">
        <v>1.0159</v>
      </c>
      <c r="C62" s="108">
        <f t="shared" si="11"/>
        <v>1.1000000000001009E-3</v>
      </c>
      <c r="D62" s="109" t="str">
        <f>IF(C62&lt;0,C62,"/")</f>
        <v>/</v>
      </c>
      <c r="E62" s="109">
        <f ca="1">IF(表2_36716262930389121314151617[[#This Row],[累计净值]]/MAX(INDIRECT("B21:B" &amp; ROW()))-1&lt;E61,表2_36716262930389121314151617[[#This Row],[累计净值]]/MAX(INDIRECT("B21:B" &amp; ROW()))-1,E61)</f>
        <v>-4.7491837340456478E-3</v>
      </c>
      <c r="F62" s="110">
        <f>表2_36716262930389121314151617[[#This Row],[累计净值]]</f>
        <v>1.0159</v>
      </c>
      <c r="G62" s="20">
        <f>IF(表2_36716262930389121314151617[[#This Row],[累计净值]]&gt;0.9999,0.7*(表2_36716262930389121314151617[[#This Row],[累计净值]]-0.9999),表2_36716262930389121314151617[[#This Row],[累计净值]]-0.9999)</f>
        <v>1.1200000000000009E-2</v>
      </c>
    </row>
    <row r="63" spans="1:7" x14ac:dyDescent="0.2">
      <c r="A63" s="15">
        <v>44018</v>
      </c>
      <c r="B63" s="113">
        <v>1.0181</v>
      </c>
      <c r="C63" s="108">
        <f t="shared" si="11"/>
        <v>2.1999999999999797E-3</v>
      </c>
      <c r="D63" s="109" t="str">
        <f>IF(C63&lt;0,C63,"/")</f>
        <v>/</v>
      </c>
      <c r="E63" s="109">
        <f ca="1">IF(表2_36716262930389121314151617[[#This Row],[累计净值]]/MAX(INDIRECT("B21:B" &amp; ROW()))-1&lt;E62,表2_36716262930389121314151617[[#This Row],[累计净值]]/MAX(INDIRECT("B21:B" &amp; ROW()))-1,E62)</f>
        <v>-4.7491837340456478E-3</v>
      </c>
      <c r="F63" s="110">
        <f>表2_36716262930389121314151617[[#This Row],[累计净值]]</f>
        <v>1.0181</v>
      </c>
      <c r="G63" s="20">
        <f>IF(表2_36716262930389121314151617[[#This Row],[累计净值]]&gt;0.9999,0.7*(表2_36716262930389121314151617[[#This Row],[累计净值]]-0.9999),表2_36716262930389121314151617[[#This Row],[累计净值]]-0.9999)</f>
        <v>1.2739999999999994E-2</v>
      </c>
    </row>
    <row r="64" spans="1:7" x14ac:dyDescent="0.2">
      <c r="A64" s="15">
        <v>44019</v>
      </c>
      <c r="B64" s="113">
        <v>1.0258</v>
      </c>
      <c r="C64" s="108">
        <f t="shared" ref="C64:C69" si="12">IFERROR(B64-B63,0)</f>
        <v>7.7000000000000401E-3</v>
      </c>
      <c r="D64" s="109" t="str">
        <f t="shared" ref="D64:D69" si="13">IF(C64&lt;0,C64,"/")</f>
        <v>/</v>
      </c>
      <c r="E64" s="109">
        <f ca="1">IF(表2_36716262930389121314151617[[#This Row],[累计净值]]/MAX(INDIRECT("B21:B" &amp; ROW()))-1&lt;E63,表2_36716262930389121314151617[[#This Row],[累计净值]]/MAX(INDIRECT("B21:B" &amp; ROW()))-1,E63)</f>
        <v>-4.7491837340456478E-3</v>
      </c>
      <c r="F64" s="110">
        <f>表2_36716262930389121314151617[[#This Row],[累计净值]]</f>
        <v>1.0258</v>
      </c>
      <c r="G64" s="20">
        <f>IF(表2_36716262930389121314151617[[#This Row],[累计净值]]&gt;0.9999,0.7*(表2_36716262930389121314151617[[#This Row],[累计净值]]-0.9999),表2_36716262930389121314151617[[#This Row],[累计净值]]-0.9999)</f>
        <v>1.8130000000000021E-2</v>
      </c>
    </row>
    <row r="65" spans="1:7" x14ac:dyDescent="0.2">
      <c r="A65" s="15">
        <v>44020</v>
      </c>
      <c r="B65" s="113">
        <v>1.0293000000000001</v>
      </c>
      <c r="C65" s="108">
        <f t="shared" si="12"/>
        <v>3.5000000000000586E-3</v>
      </c>
      <c r="D65" s="109" t="str">
        <f t="shared" si="13"/>
        <v>/</v>
      </c>
      <c r="E65" s="109">
        <f ca="1">IF(表2_36716262930389121314151617[[#This Row],[累计净值]]/MAX(INDIRECT("B21:B" &amp; ROW()))-1&lt;E64,表2_36716262930389121314151617[[#This Row],[累计净值]]/MAX(INDIRECT("B21:B" &amp; ROW()))-1,E64)</f>
        <v>-4.7491837340456478E-3</v>
      </c>
      <c r="F65" s="110">
        <f>表2_36716262930389121314151617[[#This Row],[累计净值]]</f>
        <v>1.0293000000000001</v>
      </c>
      <c r="G65" s="20">
        <f>IF(表2_36716262930389121314151617[[#This Row],[累计净值]]&gt;0.9999,0.7*(表2_36716262930389121314151617[[#This Row],[累计净值]]-0.9999),表2_36716262930389121314151617[[#This Row],[累计净值]]-0.9999)</f>
        <v>2.0580000000000064E-2</v>
      </c>
    </row>
    <row r="66" spans="1:7" x14ac:dyDescent="0.2">
      <c r="A66" s="15">
        <v>44021</v>
      </c>
      <c r="B66" s="113">
        <v>1.0301</v>
      </c>
      <c r="C66" s="108">
        <f t="shared" si="12"/>
        <v>7.9999999999991189E-4</v>
      </c>
      <c r="D66" s="109" t="str">
        <f t="shared" si="13"/>
        <v>/</v>
      </c>
      <c r="E66" s="109">
        <f ca="1">IF(表2_36716262930389121314151617[[#This Row],[累计净值]]/MAX(INDIRECT("B21:B" &amp; ROW()))-1&lt;E65,表2_36716262930389121314151617[[#This Row],[累计净值]]/MAX(INDIRECT("B21:B" &amp; ROW()))-1,E65)</f>
        <v>-4.7491837340456478E-3</v>
      </c>
      <c r="F66" s="110">
        <f>表2_36716262930389121314151617[[#This Row],[累计净值]]</f>
        <v>1.0301</v>
      </c>
      <c r="G66" s="20">
        <f>IF(表2_36716262930389121314151617[[#This Row],[累计净值]]&gt;0.9999,0.7*(表2_36716262930389121314151617[[#This Row],[累计净值]]-0.9999),表2_36716262930389121314151617[[#This Row],[累计净值]]-0.9999)</f>
        <v>2.1140000000000003E-2</v>
      </c>
    </row>
    <row r="67" spans="1:7" x14ac:dyDescent="0.2">
      <c r="A67" s="15">
        <v>44022</v>
      </c>
      <c r="B67" s="113">
        <v>1.0324</v>
      </c>
      <c r="C67" s="108">
        <f t="shared" si="12"/>
        <v>2.2999999999999687E-3</v>
      </c>
      <c r="D67" s="109" t="str">
        <f t="shared" si="13"/>
        <v>/</v>
      </c>
      <c r="E67" s="109">
        <f ca="1">IF(表2_36716262930389121314151617[[#This Row],[累计净值]]/MAX(INDIRECT("B21:B" &amp; ROW()))-1&lt;E66,表2_36716262930389121314151617[[#This Row],[累计净值]]/MAX(INDIRECT("B21:B" &amp; ROW()))-1,E66)</f>
        <v>-4.7491837340456478E-3</v>
      </c>
      <c r="F67" s="110">
        <f>表2_36716262930389121314151617[[#This Row],[累计净值]]</f>
        <v>1.0324</v>
      </c>
      <c r="G67" s="20">
        <f>IF(表2_36716262930389121314151617[[#This Row],[累计净值]]&gt;0.9999,0.7*(表2_36716262930389121314151617[[#This Row],[累计净值]]-0.9999),表2_36716262930389121314151617[[#This Row],[累计净值]]-0.9999)</f>
        <v>2.2749999999999979E-2</v>
      </c>
    </row>
    <row r="68" spans="1:7" x14ac:dyDescent="0.2">
      <c r="A68" s="15">
        <v>44025</v>
      </c>
      <c r="B68" s="113">
        <v>1.0327</v>
      </c>
      <c r="C68" s="108">
        <f t="shared" si="12"/>
        <v>2.9999999999996696E-4</v>
      </c>
      <c r="D68" s="109" t="str">
        <f t="shared" si="13"/>
        <v>/</v>
      </c>
      <c r="E68" s="109">
        <f ca="1">IF(表2_36716262930389121314151617[[#This Row],[累计净值]]/MAX(INDIRECT("B21:B" &amp; ROW()))-1&lt;E67,表2_36716262930389121314151617[[#This Row],[累计净值]]/MAX(INDIRECT("B21:B" &amp; ROW()))-1,E67)</f>
        <v>-4.7491837340456478E-3</v>
      </c>
      <c r="F68" s="110">
        <f>表2_36716262930389121314151617[[#This Row],[累计净值]]</f>
        <v>1.0327</v>
      </c>
      <c r="G68" s="20">
        <f>IF(表2_36716262930389121314151617[[#This Row],[累计净值]]&gt;0.9999,0.7*(表2_36716262930389121314151617[[#This Row],[累计净值]]-0.9999),表2_36716262930389121314151617[[#This Row],[累计净值]]-0.9999)</f>
        <v>2.2959999999999956E-2</v>
      </c>
    </row>
    <row r="69" spans="1:7" x14ac:dyDescent="0.2">
      <c r="A69" s="15">
        <v>44026</v>
      </c>
      <c r="B69" s="113">
        <v>1.0363</v>
      </c>
      <c r="C69" s="108">
        <f t="shared" si="12"/>
        <v>3.6000000000000476E-3</v>
      </c>
      <c r="D69" s="109" t="str">
        <f t="shared" si="13"/>
        <v>/</v>
      </c>
      <c r="E69" s="109">
        <f ca="1">IF(表2_36716262930389121314151617[[#This Row],[累计净值]]/MAX(INDIRECT("B21:B" &amp; ROW()))-1&lt;E68,表2_36716262930389121314151617[[#This Row],[累计净值]]/MAX(INDIRECT("B21:B" &amp; ROW()))-1,E68)</f>
        <v>-4.7491837340456478E-3</v>
      </c>
      <c r="F69" s="110">
        <f>表2_36716262930389121314151617[[#This Row],[累计净值]]</f>
        <v>1.0363</v>
      </c>
      <c r="G69" s="20">
        <f>IF(表2_36716262930389121314151617[[#This Row],[累计净值]]&gt;0.9999,0.7*(表2_36716262930389121314151617[[#This Row],[累计净值]]-0.9999),表2_36716262930389121314151617[[#This Row],[累计净值]]-0.9999)</f>
        <v>2.5479999999999989E-2</v>
      </c>
    </row>
    <row r="70" spans="1:7" x14ac:dyDescent="0.2">
      <c r="A70" s="15">
        <v>44027</v>
      </c>
      <c r="B70" s="112">
        <v>1.0376000000000001</v>
      </c>
      <c r="C70" s="108">
        <f t="shared" ref="C70:C76" si="14">IFERROR(B70-B69,0)</f>
        <v>1.3000000000000789E-3</v>
      </c>
      <c r="D70" s="109" t="str">
        <f t="shared" ref="D70:D76" si="15">IF(C70&lt;0,C70,"/")</f>
        <v>/</v>
      </c>
      <c r="E70" s="109">
        <f ca="1">IF(表2_36716262930389121314151617[[#This Row],[累计净值]]/MAX(INDIRECT("B21:B" &amp; ROW()))-1&lt;E69,表2_36716262930389121314151617[[#This Row],[累计净值]]/MAX(INDIRECT("B21:B" &amp; ROW()))-1,E69)</f>
        <v>-4.7491837340456478E-3</v>
      </c>
      <c r="F70" s="110">
        <f>表2_36716262930389121314151617[[#This Row],[累计净值]]</f>
        <v>1.0376000000000001</v>
      </c>
      <c r="G70" s="20">
        <f>IF(表2_36716262930389121314151617[[#This Row],[累计净值]]&gt;0.9999,0.7*(表2_36716262930389121314151617[[#This Row],[累计净值]]-0.9999),表2_36716262930389121314151617[[#This Row],[累计净值]]-0.9999)</f>
        <v>2.6390000000000045E-2</v>
      </c>
    </row>
    <row r="71" spans="1:7" x14ac:dyDescent="0.2">
      <c r="A71" s="15">
        <v>44028</v>
      </c>
      <c r="B71" s="112">
        <v>1.0468999999999999</v>
      </c>
      <c r="C71" s="108">
        <f t="shared" si="14"/>
        <v>9.2999999999998639E-3</v>
      </c>
      <c r="D71" s="109" t="str">
        <f t="shared" si="15"/>
        <v>/</v>
      </c>
      <c r="E71" s="109">
        <f ca="1">IF(表2_36716262930389121314151617[[#This Row],[累计净值]]/MAX(INDIRECT("B21:B" &amp; ROW()))-1&lt;E70,表2_36716262930389121314151617[[#This Row],[累计净值]]/MAX(INDIRECT("B21:B" &amp; ROW()))-1,E70)</f>
        <v>-4.7491837340456478E-3</v>
      </c>
      <c r="F71" s="110">
        <f>表2_36716262930389121314151617[[#This Row],[累计净值]]</f>
        <v>1.0468999999999999</v>
      </c>
      <c r="G71" s="20">
        <f>IF(表2_36716262930389121314151617[[#This Row],[累计净值]]&gt;0.9999,0.7*(表2_36716262930389121314151617[[#This Row],[累计净值]]-0.9999),表2_36716262930389121314151617[[#This Row],[累计净值]]-0.9999)</f>
        <v>3.289999999999995E-2</v>
      </c>
    </row>
    <row r="72" spans="1:7" x14ac:dyDescent="0.2">
      <c r="A72" s="15">
        <v>44029</v>
      </c>
      <c r="B72" s="112">
        <v>1.0504</v>
      </c>
      <c r="C72" s="108">
        <f t="shared" si="14"/>
        <v>3.5000000000000586E-3</v>
      </c>
      <c r="D72" s="109" t="str">
        <f t="shared" si="15"/>
        <v>/</v>
      </c>
      <c r="E72" s="109">
        <f ca="1">IF(表2_36716262930389121314151617[[#This Row],[累计净值]]/MAX(INDIRECT("B21:B" &amp; ROW()))-1&lt;E71,表2_36716262930389121314151617[[#This Row],[累计净值]]/MAX(INDIRECT("B21:B" &amp; ROW()))-1,E71)</f>
        <v>-4.7491837340456478E-3</v>
      </c>
      <c r="F72" s="110">
        <f>表2_36716262930389121314151617[[#This Row],[累计净值]]</f>
        <v>1.0504</v>
      </c>
      <c r="G72" s="20">
        <f>IF(表2_36716262930389121314151617[[#This Row],[累计净值]]&gt;0.9999,0.7*(表2_36716262930389121314151617[[#This Row],[累计净值]]-0.9999),表2_36716262930389121314151617[[#This Row],[累计净值]]-0.9999)</f>
        <v>3.5349999999999993E-2</v>
      </c>
    </row>
    <row r="73" spans="1:7" x14ac:dyDescent="0.2">
      <c r="A73" s="15">
        <v>44032</v>
      </c>
      <c r="B73" s="112">
        <v>1.0515000000000001</v>
      </c>
      <c r="C73" s="108">
        <f t="shared" si="14"/>
        <v>1.1000000000001009E-3</v>
      </c>
      <c r="D73" s="109" t="str">
        <f t="shared" si="15"/>
        <v>/</v>
      </c>
      <c r="E73" s="109">
        <f ca="1">IF(表2_36716262930389121314151617[[#This Row],[累计净值]]/MAX(INDIRECT("B21:B" &amp; ROW()))-1&lt;E72,表2_36716262930389121314151617[[#This Row],[累计净值]]/MAX(INDIRECT("B21:B" &amp; ROW()))-1,E72)</f>
        <v>-4.7491837340456478E-3</v>
      </c>
      <c r="F73" s="110">
        <f>表2_36716262930389121314151617[[#This Row],[累计净值]]</f>
        <v>1.0515000000000001</v>
      </c>
      <c r="G73" s="20">
        <f>IF(表2_36716262930389121314151617[[#This Row],[累计净值]]&gt;0.9999,0.7*(表2_36716262930389121314151617[[#This Row],[累计净值]]-0.9999),表2_36716262930389121314151617[[#This Row],[累计净值]]-0.9999)</f>
        <v>3.6120000000000062E-2</v>
      </c>
    </row>
    <row r="74" spans="1:7" x14ac:dyDescent="0.2">
      <c r="A74" s="15">
        <v>44033</v>
      </c>
      <c r="B74" s="112">
        <v>1.054</v>
      </c>
      <c r="C74" s="108">
        <f t="shared" si="14"/>
        <v>2.4999999999999467E-3</v>
      </c>
      <c r="D74" s="109" t="str">
        <f t="shared" si="15"/>
        <v>/</v>
      </c>
      <c r="E74" s="109">
        <f ca="1">IF(表2_36716262930389121314151617[[#This Row],[累计净值]]/MAX(INDIRECT("B21:B" &amp; ROW()))-1&lt;E73,表2_36716262930389121314151617[[#This Row],[累计净值]]/MAX(INDIRECT("B21:B" &amp; ROW()))-1,E73)</f>
        <v>-4.7491837340456478E-3</v>
      </c>
      <c r="F74" s="110">
        <f>表2_36716262930389121314151617[[#This Row],[累计净值]]</f>
        <v>1.054</v>
      </c>
      <c r="G74" s="20">
        <f>IF(表2_36716262930389121314151617[[#This Row],[累计净值]]&gt;0.9999,0.7*(表2_36716262930389121314151617[[#This Row],[累计净值]]-0.9999),表2_36716262930389121314151617[[#This Row],[累计净值]]-0.9999)</f>
        <v>3.7870000000000022E-2</v>
      </c>
    </row>
    <row r="75" spans="1:7" x14ac:dyDescent="0.2">
      <c r="A75" s="15">
        <v>44034</v>
      </c>
      <c r="B75" s="112">
        <v>1.0551999999999999</v>
      </c>
      <c r="C75" s="108">
        <f t="shared" si="14"/>
        <v>1.1999999999998678E-3</v>
      </c>
      <c r="D75" s="109" t="str">
        <f t="shared" si="15"/>
        <v>/</v>
      </c>
      <c r="E75" s="109">
        <f ca="1">IF(表2_36716262930389121314151617[[#This Row],[累计净值]]/MAX(INDIRECT("B21:B" &amp; ROW()))-1&lt;E74,表2_36716262930389121314151617[[#This Row],[累计净值]]/MAX(INDIRECT("B21:B" &amp; ROW()))-1,E74)</f>
        <v>-4.7491837340456478E-3</v>
      </c>
      <c r="F75" s="110">
        <f>表2_36716262930389121314151617[[#This Row],[累计净值]]</f>
        <v>1.0551999999999999</v>
      </c>
      <c r="G75" s="20">
        <f>IF(表2_36716262930389121314151617[[#This Row],[累计净值]]&gt;0.9999,0.7*(表2_36716262930389121314151617[[#This Row],[累计净值]]-0.9999),表2_36716262930389121314151617[[#This Row],[累计净值]]-0.9999)</f>
        <v>3.8709999999999932E-2</v>
      </c>
    </row>
    <row r="76" spans="1:7" x14ac:dyDescent="0.2">
      <c r="A76" s="15">
        <v>44035</v>
      </c>
      <c r="B76" s="112">
        <v>1.0599000000000001</v>
      </c>
      <c r="C76" s="108">
        <f t="shared" si="14"/>
        <v>4.7000000000001485E-3</v>
      </c>
      <c r="D76" s="109" t="str">
        <f t="shared" si="15"/>
        <v>/</v>
      </c>
      <c r="E76" s="109">
        <f ca="1">IF(表2_36716262930389121314151617[[#This Row],[累计净值]]/MAX(INDIRECT("B21:B" &amp; ROW()))-1&lt;E75,表2_36716262930389121314151617[[#This Row],[累计净值]]/MAX(INDIRECT("B21:B" &amp; ROW()))-1,E75)</f>
        <v>-4.7491837340456478E-3</v>
      </c>
      <c r="F76" s="110">
        <f>表2_36716262930389121314151617[[#This Row],[累计净值]]</f>
        <v>1.0599000000000001</v>
      </c>
      <c r="G76" s="20">
        <f>IF(表2_36716262930389121314151617[[#This Row],[累计净值]]&gt;0.9999,0.7*(表2_36716262930389121314151617[[#This Row],[累计净值]]-0.9999),表2_36716262930389121314151617[[#This Row],[累计净值]]-0.9999)</f>
        <v>4.2000000000000037E-2</v>
      </c>
    </row>
    <row r="77" spans="1:7" x14ac:dyDescent="0.2">
      <c r="A77" s="15">
        <v>44036</v>
      </c>
      <c r="B77" s="112">
        <v>1.0636000000000001</v>
      </c>
      <c r="C77" s="108">
        <f t="shared" ref="C77:C82" si="16">IFERROR(B77-B76,0)</f>
        <v>3.7000000000000366E-3</v>
      </c>
      <c r="D77" s="109" t="str">
        <f t="shared" ref="D77:D82" si="17">IF(C77&lt;0,C77,"/")</f>
        <v>/</v>
      </c>
      <c r="E77" s="109">
        <f ca="1">IF(表2_36716262930389121314151617[[#This Row],[累计净值]]/MAX(INDIRECT("B21:B" &amp; ROW()))-1&lt;E76,表2_36716262930389121314151617[[#This Row],[累计净值]]/MAX(INDIRECT("B21:B" &amp; ROW()))-1,E76)</f>
        <v>-4.7491837340456478E-3</v>
      </c>
      <c r="F77" s="110">
        <f>表2_36716262930389121314151617[[#This Row],[累计净值]]</f>
        <v>1.0636000000000001</v>
      </c>
      <c r="G77" s="20">
        <f>IF(表2_36716262930389121314151617[[#This Row],[累计净值]]&gt;0.9999,0.7*(表2_36716262930389121314151617[[#This Row],[累计净值]]-0.9999),表2_36716262930389121314151617[[#This Row],[累计净值]]-0.9999)</f>
        <v>4.459000000000006E-2</v>
      </c>
    </row>
    <row r="78" spans="1:7" x14ac:dyDescent="0.2">
      <c r="A78" s="15">
        <v>44039</v>
      </c>
      <c r="B78" s="112">
        <v>1.0642</v>
      </c>
      <c r="C78" s="108">
        <f t="shared" si="16"/>
        <v>5.9999999999993392E-4</v>
      </c>
      <c r="D78" s="109" t="str">
        <f t="shared" si="17"/>
        <v>/</v>
      </c>
      <c r="E78" s="109">
        <f ca="1">IF(表2_36716262930389121314151617[[#This Row],[累计净值]]/MAX(INDIRECT("B21:B" &amp; ROW()))-1&lt;E77,表2_36716262930389121314151617[[#This Row],[累计净值]]/MAX(INDIRECT("B21:B" &amp; ROW()))-1,E77)</f>
        <v>-4.7491837340456478E-3</v>
      </c>
      <c r="F78" s="110">
        <f>表2_36716262930389121314151617[[#This Row],[累计净值]]</f>
        <v>1.0642</v>
      </c>
      <c r="G78" s="20">
        <f>IF(表2_36716262930389121314151617[[#This Row],[累计净值]]&gt;0.9999,0.7*(表2_36716262930389121314151617[[#This Row],[累计净值]]-0.9999),表2_36716262930389121314151617[[#This Row],[累计净值]]-0.9999)</f>
        <v>4.5010000000000015E-2</v>
      </c>
    </row>
    <row r="79" spans="1:7" x14ac:dyDescent="0.2">
      <c r="A79" s="15">
        <v>44040</v>
      </c>
      <c r="B79" s="112">
        <v>1.0634999999999999</v>
      </c>
      <c r="C79" s="108">
        <f t="shared" si="16"/>
        <v>-7.0000000000014495E-4</v>
      </c>
      <c r="D79" s="109">
        <f t="shared" si="17"/>
        <v>-7.0000000000014495E-4</v>
      </c>
      <c r="E79" s="109">
        <f ca="1">IF(表2_36716262930389121314151617[[#This Row],[累计净值]]/MAX(INDIRECT("B21:B" &amp; ROW()))-1&lt;E78,表2_36716262930389121314151617[[#This Row],[累计净值]]/MAX(INDIRECT("B21:B" &amp; ROW()))-1,E78)</f>
        <v>-4.7491837340456478E-3</v>
      </c>
      <c r="F79" s="110">
        <f>表2_36716262930389121314151617[[#This Row],[累计净值]]</f>
        <v>1.0634999999999999</v>
      </c>
      <c r="G79" s="20">
        <f>IF(表2_36716262930389121314151617[[#This Row],[累计净值]]&gt;0.9999,0.7*(表2_36716262930389121314151617[[#This Row],[累计净值]]-0.9999),表2_36716262930389121314151617[[#This Row],[累计净值]]-0.9999)</f>
        <v>4.4519999999999914E-2</v>
      </c>
    </row>
    <row r="80" spans="1:7" x14ac:dyDescent="0.2">
      <c r="A80" s="15">
        <v>44041</v>
      </c>
      <c r="B80" s="112">
        <v>1.0638000000000001</v>
      </c>
      <c r="C80" s="108">
        <f t="shared" si="16"/>
        <v>3.00000000000189E-4</v>
      </c>
      <c r="D80" s="109" t="str">
        <f t="shared" si="17"/>
        <v>/</v>
      </c>
      <c r="E80" s="109">
        <f ca="1">IF(表2_36716262930389121314151617[[#This Row],[累计净值]]/MAX(INDIRECT("B21:B" &amp; ROW()))-1&lt;E79,表2_36716262930389121314151617[[#This Row],[累计净值]]/MAX(INDIRECT("B21:B" &amp; ROW()))-1,E79)</f>
        <v>-4.7491837340456478E-3</v>
      </c>
      <c r="F80" s="110">
        <f>表2_36716262930389121314151617[[#This Row],[累计净值]]</f>
        <v>1.0638000000000001</v>
      </c>
      <c r="G80" s="20">
        <f>IF(表2_36716262930389121314151617[[#This Row],[累计净值]]&gt;0.9999,0.7*(表2_36716262930389121314151617[[#This Row],[累计净值]]-0.9999),表2_36716262930389121314151617[[#This Row],[累计净值]]-0.9999)</f>
        <v>4.4730000000000047E-2</v>
      </c>
    </row>
    <row r="81" spans="1:7" x14ac:dyDescent="0.2">
      <c r="A81" s="15">
        <v>44042</v>
      </c>
      <c r="B81" s="112">
        <v>1.0645</v>
      </c>
      <c r="C81" s="108">
        <f t="shared" si="16"/>
        <v>6.9999999999992291E-4</v>
      </c>
      <c r="D81" s="109" t="str">
        <f t="shared" si="17"/>
        <v>/</v>
      </c>
      <c r="E81" s="109">
        <f ca="1">IF(表2_36716262930389121314151617[[#This Row],[累计净值]]/MAX(INDIRECT("B21:B" &amp; ROW()))-1&lt;E80,表2_36716262930389121314151617[[#This Row],[累计净值]]/MAX(INDIRECT("B21:B" &amp; ROW()))-1,E80)</f>
        <v>-4.7491837340456478E-3</v>
      </c>
      <c r="F81" s="110">
        <f>表2_36716262930389121314151617[[#This Row],[累计净值]]</f>
        <v>1.0645</v>
      </c>
      <c r="G81" s="20">
        <f>IF(表2_36716262930389121314151617[[#This Row],[累计净值]]&gt;0.9999,0.7*(表2_36716262930389121314151617[[#This Row],[累计净值]]-0.9999),表2_36716262930389121314151617[[#This Row],[累计净值]]-0.9999)</f>
        <v>4.5219999999999989E-2</v>
      </c>
    </row>
    <row r="82" spans="1:7" x14ac:dyDescent="0.2">
      <c r="A82" s="15">
        <v>44043</v>
      </c>
      <c r="B82" s="112">
        <v>1.0680000000000001</v>
      </c>
      <c r="C82" s="108">
        <f t="shared" si="16"/>
        <v>3.5000000000000586E-3</v>
      </c>
      <c r="D82" s="109" t="str">
        <f t="shared" si="17"/>
        <v>/</v>
      </c>
      <c r="E82" s="109">
        <f ca="1">IF(表2_36716262930389121314151617[[#This Row],[累计净值]]/MAX(INDIRECT("B21:B" &amp; ROW()))-1&lt;E81,表2_36716262930389121314151617[[#This Row],[累计净值]]/MAX(INDIRECT("B21:B" &amp; ROW()))-1,E81)</f>
        <v>-4.7491837340456478E-3</v>
      </c>
      <c r="F82" s="110">
        <f>表2_36716262930389121314151617[[#This Row],[累计净值]]</f>
        <v>1.0680000000000001</v>
      </c>
      <c r="G82" s="20">
        <f>IF(表2_36716262930389121314151617[[#This Row],[累计净值]]&gt;0.9999,0.7*(表2_36716262930389121314151617[[#This Row],[累计净值]]-0.9999),表2_36716262930389121314151617[[#This Row],[累计净值]]-0.9999)</f>
        <v>4.7670000000000032E-2</v>
      </c>
    </row>
    <row r="83" spans="1:7" x14ac:dyDescent="0.2">
      <c r="A83" s="15">
        <v>44046</v>
      </c>
      <c r="B83" s="112">
        <v>1.0680000000000001</v>
      </c>
      <c r="C83" s="108">
        <f t="shared" ref="C83:C88" si="18">IFERROR(B83-B82,0)</f>
        <v>0</v>
      </c>
      <c r="D83" s="109" t="str">
        <f t="shared" ref="D83:D88" si="19">IF(C83&lt;0,C83,"/")</f>
        <v>/</v>
      </c>
      <c r="E83" s="109">
        <f ca="1">IF(表2_36716262930389121314151617[[#This Row],[累计净值]]/MAX(INDIRECT("B21:B" &amp; ROW()))-1&lt;E82,表2_36716262930389121314151617[[#This Row],[累计净值]]/MAX(INDIRECT("B21:B" &amp; ROW()))-1,E82)</f>
        <v>-4.7491837340456478E-3</v>
      </c>
      <c r="F83" s="110">
        <f>表2_36716262930389121314151617[[#This Row],[累计净值]]</f>
        <v>1.0680000000000001</v>
      </c>
      <c r="G83" s="20">
        <f>IF(表2_36716262930389121314151617[[#This Row],[累计净值]]&gt;0.9999,0.7*(表2_36716262930389121314151617[[#This Row],[累计净值]]-0.9999),表2_36716262930389121314151617[[#This Row],[累计净值]]-0.9999)</f>
        <v>4.7670000000000032E-2</v>
      </c>
    </row>
    <row r="84" spans="1:7" x14ac:dyDescent="0.2">
      <c r="A84" s="15">
        <v>44047</v>
      </c>
      <c r="B84" s="112">
        <v>1.0652999999999999</v>
      </c>
      <c r="C84" s="108">
        <f t="shared" si="18"/>
        <v>-2.7000000000001467E-3</v>
      </c>
      <c r="D84" s="109">
        <f t="shared" si="19"/>
        <v>-2.7000000000001467E-3</v>
      </c>
      <c r="E84" s="109">
        <f ca="1">IF(表2_36716262930389121314151617[[#This Row],[累计净值]]/MAX(INDIRECT("B21:B" &amp; ROW()))-1&lt;E83,表2_36716262930389121314151617[[#This Row],[累计净值]]/MAX(INDIRECT("B21:B" &amp; ROW()))-1,E83)</f>
        <v>-4.7491837340456478E-3</v>
      </c>
      <c r="F84" s="110">
        <f>表2_36716262930389121314151617[[#This Row],[累计净值]]</f>
        <v>1.0652999999999999</v>
      </c>
      <c r="G84" s="20">
        <f>IF(表2_36716262930389121314151617[[#This Row],[累计净值]]&gt;0.9999,0.7*(表2_36716262930389121314151617[[#This Row],[累计净值]]-0.9999),表2_36716262930389121314151617[[#This Row],[累计净值]]-0.9999)</f>
        <v>4.5779999999999932E-2</v>
      </c>
    </row>
    <row r="85" spans="1:7" x14ac:dyDescent="0.2">
      <c r="A85" s="15">
        <v>44048</v>
      </c>
      <c r="B85" s="112">
        <v>1.0662</v>
      </c>
      <c r="C85" s="108">
        <f t="shared" si="18"/>
        <v>9.0000000000012292E-4</v>
      </c>
      <c r="D85" s="109" t="str">
        <f t="shared" si="19"/>
        <v>/</v>
      </c>
      <c r="E85" s="109">
        <f ca="1">IF(表2_36716262930389121314151617[[#This Row],[累计净值]]/MAX(INDIRECT("B21:B" &amp; ROW()))-1&lt;E84,表2_36716262930389121314151617[[#This Row],[累计净值]]/MAX(INDIRECT("B21:B" &amp; ROW()))-1,E84)</f>
        <v>-4.7491837340456478E-3</v>
      </c>
      <c r="F85" s="110">
        <f>表2_36716262930389121314151617[[#This Row],[累计净值]]</f>
        <v>1.0662</v>
      </c>
      <c r="G85" s="20">
        <f>IF(表2_36716262930389121314151617[[#This Row],[累计净值]]&gt;0.9999,0.7*(表2_36716262930389121314151617[[#This Row],[累计净值]]-0.9999),表2_36716262930389121314151617[[#This Row],[累计净值]]-0.9999)</f>
        <v>4.6410000000000014E-2</v>
      </c>
    </row>
    <row r="86" spans="1:7" x14ac:dyDescent="0.2">
      <c r="A86" s="15">
        <v>44049</v>
      </c>
      <c r="B86" s="112">
        <v>1.0671999999999999</v>
      </c>
      <c r="C86" s="108">
        <f t="shared" si="18"/>
        <v>9.9999999999988987E-4</v>
      </c>
      <c r="D86" s="109" t="str">
        <f t="shared" si="19"/>
        <v>/</v>
      </c>
      <c r="E86" s="109">
        <f ca="1">IF(表2_36716262930389121314151617[[#This Row],[累计净值]]/MAX(INDIRECT("B21:B" &amp; ROW()))-1&lt;E85,表2_36716262930389121314151617[[#This Row],[累计净值]]/MAX(INDIRECT("B21:B" &amp; ROW()))-1,E85)</f>
        <v>-4.7491837340456478E-3</v>
      </c>
      <c r="F86" s="110">
        <f>表2_36716262930389121314151617[[#This Row],[累计净值]]</f>
        <v>1.0671999999999999</v>
      </c>
      <c r="G86" s="20">
        <f>IF(表2_36716262930389121314151617[[#This Row],[累计净值]]&gt;0.9999,0.7*(表2_36716262930389121314151617[[#This Row],[累计净值]]-0.9999),表2_36716262930389121314151617[[#This Row],[累计净值]]-0.9999)</f>
        <v>4.7109999999999937E-2</v>
      </c>
    </row>
    <row r="87" spans="1:7" x14ac:dyDescent="0.2">
      <c r="A87" s="15">
        <v>44050</v>
      </c>
      <c r="B87" s="112">
        <v>1.0650999999999999</v>
      </c>
      <c r="C87" s="108">
        <f t="shared" si="18"/>
        <v>-2.0999999999999908E-3</v>
      </c>
      <c r="D87" s="109">
        <f t="shared" si="19"/>
        <v>-2.0999999999999908E-3</v>
      </c>
      <c r="E87" s="109">
        <f ca="1">IF(表2_36716262930389121314151617[[#This Row],[累计净值]]/MAX(INDIRECT("B21:B" &amp; ROW()))-1&lt;E86,表2_36716262930389121314151617[[#This Row],[累计净值]]/MAX(INDIRECT("B21:B" &amp; ROW()))-1,E86)</f>
        <v>-4.7491837340456478E-3</v>
      </c>
      <c r="F87" s="110">
        <f>表2_36716262930389121314151617[[#This Row],[累计净值]]</f>
        <v>1.0650999999999999</v>
      </c>
      <c r="G87" s="20">
        <f>IF(表2_36716262930389121314151617[[#This Row],[累计净值]]&gt;0.9999,0.7*(表2_36716262930389121314151617[[#This Row],[累计净值]]-0.9999),表2_36716262930389121314151617[[#This Row],[累计净值]]-0.9999)</f>
        <v>4.5639999999999945E-2</v>
      </c>
    </row>
    <row r="88" spans="1:7" x14ac:dyDescent="0.2">
      <c r="A88" s="15">
        <v>44053</v>
      </c>
      <c r="B88" s="112">
        <v>1.0651999999999999</v>
      </c>
      <c r="C88" s="108">
        <f t="shared" si="18"/>
        <v>9.9999999999988987E-5</v>
      </c>
      <c r="D88" s="109" t="str">
        <f t="shared" si="19"/>
        <v>/</v>
      </c>
      <c r="E88" s="109">
        <f ca="1">IF(表2_36716262930389121314151617[[#This Row],[累计净值]]/MAX(INDIRECT("B21:B" &amp; ROW()))-1&lt;E87,表2_36716262930389121314151617[[#This Row],[累计净值]]/MAX(INDIRECT("B21:B" &amp; ROW()))-1,E87)</f>
        <v>-4.7491837340456478E-3</v>
      </c>
      <c r="F88" s="110">
        <f>表2_36716262930389121314151617[[#This Row],[累计净值]]</f>
        <v>1.0651999999999999</v>
      </c>
      <c r="G88" s="20">
        <f>IF(表2_36716262930389121314151617[[#This Row],[累计净值]]&gt;0.9999,0.7*(表2_36716262930389121314151617[[#This Row],[累计净值]]-0.9999),表2_36716262930389121314151617[[#This Row],[累计净值]]-0.9999)</f>
        <v>4.5709999999999938E-2</v>
      </c>
    </row>
    <row r="89" spans="1:7" x14ac:dyDescent="0.2">
      <c r="A89" s="15">
        <v>44054</v>
      </c>
      <c r="B89" s="112">
        <v>1.0632999999999999</v>
      </c>
      <c r="C89" s="108">
        <f t="shared" ref="C89:C94" si="20">IFERROR(B89-B88,0)</f>
        <v>-1.9000000000000128E-3</v>
      </c>
      <c r="D89" s="109">
        <f t="shared" ref="D89:D94" si="21">IF(C89&lt;0,C89,"/")</f>
        <v>-1.9000000000000128E-3</v>
      </c>
      <c r="E89" s="109">
        <f ca="1">IF(表2_36716262930389121314151617[[#This Row],[累计净值]]/MAX(INDIRECT("B21:B" &amp; ROW()))-1&lt;E88,表2_36716262930389121314151617[[#This Row],[累计净值]]/MAX(INDIRECT("B21:B" &amp; ROW()))-1,E88)</f>
        <v>-4.7491837340456478E-3</v>
      </c>
      <c r="F89" s="110">
        <f>表2_36716262930389121314151617[[#This Row],[累计净值]]</f>
        <v>1.0632999999999999</v>
      </c>
      <c r="G89" s="20">
        <f>IF(表2_36716262930389121314151617[[#This Row],[累计净值]]&gt;0.9999,0.7*(表2_36716262930389121314151617[[#This Row],[累计净值]]-0.9999),表2_36716262930389121314151617[[#This Row],[累计净值]]-0.9999)</f>
        <v>4.4379999999999926E-2</v>
      </c>
    </row>
    <row r="90" spans="1:7" x14ac:dyDescent="0.2">
      <c r="A90" s="15">
        <v>44055</v>
      </c>
      <c r="B90" s="112">
        <v>1.0686</v>
      </c>
      <c r="C90" s="108">
        <f t="shared" si="20"/>
        <v>5.3000000000000824E-3</v>
      </c>
      <c r="D90" s="109" t="str">
        <f t="shared" si="21"/>
        <v>/</v>
      </c>
      <c r="E90" s="109">
        <f ca="1">IF(表2_36716262930389121314151617[[#This Row],[累计净值]]/MAX(INDIRECT("B21:B" &amp; ROW()))-1&lt;E89,表2_36716262930389121314151617[[#This Row],[累计净值]]/MAX(INDIRECT("B21:B" &amp; ROW()))-1,E89)</f>
        <v>-4.7491837340456478E-3</v>
      </c>
      <c r="F90" s="110">
        <f>表2_36716262930389121314151617[[#This Row],[累计净值]]</f>
        <v>1.0686</v>
      </c>
      <c r="G90" s="20">
        <f>IF(表2_36716262930389121314151617[[#This Row],[累计净值]]&gt;0.9999,0.7*(表2_36716262930389121314151617[[#This Row],[累计净值]]-0.9999),表2_36716262930389121314151617[[#This Row],[累计净值]]-0.9999)</f>
        <v>4.8089999999999987E-2</v>
      </c>
    </row>
    <row r="91" spans="1:7" x14ac:dyDescent="0.2">
      <c r="A91" s="15">
        <v>44056</v>
      </c>
      <c r="B91" s="112">
        <v>1.0690999999999999</v>
      </c>
      <c r="C91" s="108">
        <f t="shared" si="20"/>
        <v>4.9999999999994493E-4</v>
      </c>
      <c r="D91" s="109" t="str">
        <f t="shared" si="21"/>
        <v>/</v>
      </c>
      <c r="E91" s="109">
        <f ca="1">IF(表2_36716262930389121314151617[[#This Row],[累计净值]]/MAX(INDIRECT("B21:B" &amp; ROW()))-1&lt;E90,表2_36716262930389121314151617[[#This Row],[累计净值]]/MAX(INDIRECT("B21:B" &amp; ROW()))-1,E90)</f>
        <v>-4.7491837340456478E-3</v>
      </c>
      <c r="F91" s="110">
        <f>表2_36716262930389121314151617[[#This Row],[累计净值]]</f>
        <v>1.0690999999999999</v>
      </c>
      <c r="G91" s="20">
        <f>IF(表2_36716262930389121314151617[[#This Row],[累计净值]]&gt;0.9999,0.7*(表2_36716262930389121314151617[[#This Row],[累计净值]]-0.9999),表2_36716262930389121314151617[[#This Row],[累计净值]]-0.9999)</f>
        <v>4.8439999999999948E-2</v>
      </c>
    </row>
    <row r="92" spans="1:7" x14ac:dyDescent="0.2">
      <c r="A92" s="15">
        <v>44057</v>
      </c>
      <c r="B92" s="117">
        <v>1.0703</v>
      </c>
      <c r="C92" s="108">
        <f t="shared" si="20"/>
        <v>1.2000000000000899E-3</v>
      </c>
      <c r="D92" s="109" t="str">
        <f t="shared" si="21"/>
        <v>/</v>
      </c>
      <c r="E92" s="109">
        <f ca="1">IF(表2_36716262930389121314151617[[#This Row],[累计净值]]/MAX(INDIRECT("B21:B" &amp; ROW()))-1&lt;E91,表2_36716262930389121314151617[[#This Row],[累计净值]]/MAX(INDIRECT("B21:B" &amp; ROW()))-1,E91)</f>
        <v>-4.7491837340456478E-3</v>
      </c>
      <c r="F92" s="110">
        <f>表2_36716262930389121314151617[[#This Row],[累计净值]]</f>
        <v>1.0703</v>
      </c>
      <c r="G92" s="20">
        <f>IF(表2_36716262930389121314151617[[#This Row],[累计净值]]&gt;0.9999,0.7*(表2_36716262930389121314151617[[#This Row],[累计净值]]-0.9999),表2_36716262930389121314151617[[#This Row],[累计净值]]-0.9999)</f>
        <v>4.9280000000000011E-2</v>
      </c>
    </row>
    <row r="93" spans="1:7" x14ac:dyDescent="0.2">
      <c r="A93" s="15">
        <v>44060</v>
      </c>
      <c r="B93" s="112">
        <v>1.0653999999999999</v>
      </c>
      <c r="C93" s="108">
        <f t="shared" si="20"/>
        <v>-4.9000000000001265E-3</v>
      </c>
      <c r="D93" s="109">
        <f t="shared" si="21"/>
        <v>-4.9000000000001265E-3</v>
      </c>
      <c r="E93" s="109">
        <f ca="1">IF(表2_36716262930389121314151617[[#This Row],[累计净值]]/MAX(INDIRECT("B21:B" &amp; ROW()))-1&lt;E92,表2_36716262930389121314151617[[#This Row],[累计净值]]/MAX(INDIRECT("B21:B" &amp; ROW()))-1,E92)</f>
        <v>-4.7491837340456478E-3</v>
      </c>
      <c r="F93" s="110">
        <f>表2_36716262930389121314151617[[#This Row],[累计净值]]</f>
        <v>1.0653999999999999</v>
      </c>
      <c r="G93" s="20">
        <f>IF(表2_36716262930389121314151617[[#This Row],[累计净值]]&gt;0.9999,0.7*(表2_36716262930389121314151617[[#This Row],[累计净值]]-0.9999),表2_36716262930389121314151617[[#This Row],[累计净值]]-0.9999)</f>
        <v>4.5849999999999919E-2</v>
      </c>
    </row>
    <row r="94" spans="1:7" x14ac:dyDescent="0.2">
      <c r="A94" s="15">
        <v>44061</v>
      </c>
      <c r="B94" s="112">
        <v>1.0598000000000001</v>
      </c>
      <c r="C94" s="108">
        <f t="shared" si="20"/>
        <v>-5.5999999999998273E-3</v>
      </c>
      <c r="D94" s="109">
        <f t="shared" si="21"/>
        <v>-5.5999999999998273E-3</v>
      </c>
      <c r="E94" s="109">
        <f ca="1">IF(表2_36716262930389121314151617[[#This Row],[累计净值]]/MAX(INDIRECT("B21:B" &amp; ROW()))-1&lt;E93,表2_36716262930389121314151617[[#This Row],[累计净值]]/MAX(INDIRECT("B21:B" &amp; ROW()))-1,E93)</f>
        <v>-9.8103335513407552E-3</v>
      </c>
      <c r="F94" s="110">
        <f>表2_36716262930389121314151617[[#This Row],[累计净值]]</f>
        <v>1.0598000000000001</v>
      </c>
      <c r="G94" s="20">
        <f>IF(表2_36716262930389121314151617[[#This Row],[累计净值]]&gt;0.9999,0.7*(表2_36716262930389121314151617[[#This Row],[累计净值]]-0.9999),表2_36716262930389121314151617[[#This Row],[累计净值]]-0.9999)</f>
        <v>4.1930000000000044E-2</v>
      </c>
    </row>
    <row r="95" spans="1:7" x14ac:dyDescent="0.2">
      <c r="A95" s="15">
        <v>44062</v>
      </c>
      <c r="B95" s="112">
        <v>1.0593999999999999</v>
      </c>
      <c r="C95" s="108">
        <f t="shared" ref="C95:C100" si="22">IFERROR(B95-B94,0)</f>
        <v>-4.0000000000017799E-4</v>
      </c>
      <c r="D95" s="109">
        <f t="shared" ref="D95:D100" si="23">IF(C95&lt;0,C95,"/")</f>
        <v>-4.0000000000017799E-4</v>
      </c>
      <c r="E95" s="109">
        <f ca="1">IF(表2_36716262930389121314151617[[#This Row],[累计净值]]/MAX(INDIRECT("B21:B" &amp; ROW()))-1&lt;E94,表2_36716262930389121314151617[[#This Row],[累计净值]]/MAX(INDIRECT("B21:B" &amp; ROW()))-1,E94)</f>
        <v>-1.0184060543772855E-2</v>
      </c>
      <c r="F95" s="110">
        <f>表2_36716262930389121314151617[[#This Row],[累计净值]]</f>
        <v>1.0593999999999999</v>
      </c>
      <c r="G95" s="20">
        <f>IF(表2_36716262930389121314151617[[#This Row],[累计净值]]&gt;0.9999,0.7*(表2_36716262930389121314151617[[#This Row],[累计净值]]-0.9999),表2_36716262930389121314151617[[#This Row],[累计净值]]-0.9999)</f>
        <v>4.1649999999999916E-2</v>
      </c>
    </row>
    <row r="96" spans="1:7" x14ac:dyDescent="0.2">
      <c r="A96" s="15">
        <v>44063</v>
      </c>
      <c r="B96" s="112">
        <v>1.0593999999999999</v>
      </c>
      <c r="C96" s="108">
        <f t="shared" si="22"/>
        <v>0</v>
      </c>
      <c r="D96" s="109" t="str">
        <f t="shared" si="23"/>
        <v>/</v>
      </c>
      <c r="E96" s="109">
        <f ca="1">IF(表2_36716262930389121314151617[[#This Row],[累计净值]]/MAX(INDIRECT("B21:B" &amp; ROW()))-1&lt;E95,表2_36716262930389121314151617[[#This Row],[累计净值]]/MAX(INDIRECT("B21:B" &amp; ROW()))-1,E95)</f>
        <v>-1.0184060543772855E-2</v>
      </c>
      <c r="F96" s="110">
        <f>表2_36716262930389121314151617[[#This Row],[累计净值]]</f>
        <v>1.0593999999999999</v>
      </c>
      <c r="G96" s="20">
        <f>IF(表2_36716262930389121314151617[[#This Row],[累计净值]]&gt;0.9999,0.7*(表2_36716262930389121314151617[[#This Row],[累计净值]]-0.9999),表2_36716262930389121314151617[[#This Row],[累计净值]]-0.9999)</f>
        <v>4.1649999999999916E-2</v>
      </c>
    </row>
    <row r="97" spans="1:7" x14ac:dyDescent="0.2">
      <c r="A97" s="15">
        <v>44064</v>
      </c>
      <c r="B97" s="112">
        <v>1.0609</v>
      </c>
      <c r="C97" s="108">
        <f t="shared" si="22"/>
        <v>1.5000000000000568E-3</v>
      </c>
      <c r="D97" s="109" t="str">
        <f t="shared" si="23"/>
        <v>/</v>
      </c>
      <c r="E97" s="109">
        <f ca="1">IF(表2_36716262930389121314151617[[#This Row],[累计净值]]/MAX(INDIRECT("B21:B" &amp; ROW()))-1&lt;E96,表2_36716262930389121314151617[[#This Row],[累计净值]]/MAX(INDIRECT("B21:B" &amp; ROW()))-1,E96)</f>
        <v>-1.0184060543772855E-2</v>
      </c>
      <c r="F97" s="110">
        <f>表2_36716262930389121314151617[[#This Row],[累计净值]]</f>
        <v>1.0609</v>
      </c>
      <c r="G97" s="20">
        <f>IF(表2_36716262930389121314151617[[#This Row],[累计净值]]&gt;0.9999,0.7*(表2_36716262930389121314151617[[#This Row],[累计净值]]-0.9999),表2_36716262930389121314151617[[#This Row],[累计净值]]-0.9999)</f>
        <v>4.269999999999996E-2</v>
      </c>
    </row>
    <row r="98" spans="1:7" x14ac:dyDescent="0.2">
      <c r="A98" s="15">
        <v>44067</v>
      </c>
      <c r="B98" s="112">
        <v>1.0622</v>
      </c>
      <c r="C98" s="108">
        <f t="shared" si="22"/>
        <v>1.3000000000000789E-3</v>
      </c>
      <c r="D98" s="109" t="str">
        <f t="shared" si="23"/>
        <v>/</v>
      </c>
      <c r="E98" s="109">
        <f ca="1">IF(表2_36716262930389121314151617[[#This Row],[累计净值]]/MAX(INDIRECT("B21:B" &amp; ROW()))-1&lt;E97,表2_36716262930389121314151617[[#This Row],[累计净值]]/MAX(INDIRECT("B21:B" &amp; ROW()))-1,E97)</f>
        <v>-1.0184060543772855E-2</v>
      </c>
      <c r="F98" s="110">
        <f>表2_36716262930389121314151617[[#This Row],[累计净值]]</f>
        <v>1.0622</v>
      </c>
      <c r="G98" s="20">
        <f>IF(表2_36716262930389121314151617[[#This Row],[累计净值]]&gt;0.9999,0.7*(表2_36716262930389121314151617[[#This Row],[累计净值]]-0.9999),表2_36716262930389121314151617[[#This Row],[累计净值]]-0.9999)</f>
        <v>4.361000000000001E-2</v>
      </c>
    </row>
    <row r="99" spans="1:7" x14ac:dyDescent="0.2">
      <c r="A99" s="15">
        <v>44068</v>
      </c>
      <c r="B99" s="112">
        <v>1.0629</v>
      </c>
      <c r="C99" s="108">
        <f t="shared" si="22"/>
        <v>6.9999999999992291E-4</v>
      </c>
      <c r="D99" s="109" t="str">
        <f t="shared" si="23"/>
        <v>/</v>
      </c>
      <c r="E99" s="109">
        <f ca="1">IF(表2_36716262930389121314151617[[#This Row],[累计净值]]/MAX(INDIRECT("B21:B" &amp; ROW()))-1&lt;E98,表2_36716262930389121314151617[[#This Row],[累计净值]]/MAX(INDIRECT("B21:B" &amp; ROW()))-1,E98)</f>
        <v>-1.0184060543772855E-2</v>
      </c>
      <c r="F99" s="110">
        <f>表2_36716262930389121314151617[[#This Row],[累计净值]]</f>
        <v>1.0629</v>
      </c>
      <c r="G99" s="20">
        <f>IF(表2_36716262930389121314151617[[#This Row],[累计净值]]&gt;0.9999,0.7*(表2_36716262930389121314151617[[#This Row],[累计净值]]-0.9999),表2_36716262930389121314151617[[#This Row],[累计净值]]-0.9999)</f>
        <v>4.4099999999999959E-2</v>
      </c>
    </row>
    <row r="100" spans="1:7" x14ac:dyDescent="0.2">
      <c r="A100" s="15">
        <v>44069</v>
      </c>
      <c r="B100" s="112">
        <v>1.0629999999999999</v>
      </c>
      <c r="C100" s="108">
        <f t="shared" si="22"/>
        <v>9.9999999999988987E-5</v>
      </c>
      <c r="D100" s="109" t="str">
        <f t="shared" si="23"/>
        <v>/</v>
      </c>
      <c r="E100" s="109">
        <f ca="1">IF(表2_36716262930389121314151617[[#This Row],[累计净值]]/MAX(INDIRECT("B21:B" &amp; ROW()))-1&lt;E99,表2_36716262930389121314151617[[#This Row],[累计净值]]/MAX(INDIRECT("B21:B" &amp; ROW()))-1,E99)</f>
        <v>-1.0184060543772855E-2</v>
      </c>
      <c r="F100" s="110">
        <f>表2_36716262930389121314151617[[#This Row],[累计净值]]</f>
        <v>1.0629999999999999</v>
      </c>
      <c r="G100" s="20">
        <f>IF(表2_36716262930389121314151617[[#This Row],[累计净值]]&gt;0.9999,0.7*(表2_36716262930389121314151617[[#This Row],[累计净值]]-0.9999),表2_36716262930389121314151617[[#This Row],[累计净值]]-0.9999)</f>
        <v>4.4169999999999952E-2</v>
      </c>
    </row>
    <row r="101" spans="1:7" x14ac:dyDescent="0.2">
      <c r="A101" s="15">
        <v>44070</v>
      </c>
      <c r="B101" s="112">
        <v>1.0629999999999999</v>
      </c>
      <c r="C101" s="108">
        <f t="shared" ref="C101:C106" si="24">IFERROR(B101-B100,0)</f>
        <v>0</v>
      </c>
      <c r="D101" s="109" t="str">
        <f t="shared" ref="D101:D106" si="25">IF(C101&lt;0,C101,"/")</f>
        <v>/</v>
      </c>
      <c r="E101" s="109">
        <f ca="1">IF(表2_36716262930389121314151617[[#This Row],[累计净值]]/MAX(INDIRECT("B21:B" &amp; ROW()))-1&lt;E100,表2_36716262930389121314151617[[#This Row],[累计净值]]/MAX(INDIRECT("B21:B" &amp; ROW()))-1,E100)</f>
        <v>-1.0184060543772855E-2</v>
      </c>
      <c r="F101" s="110">
        <f>表2_36716262930389121314151617[[#This Row],[累计净值]]</f>
        <v>1.0629999999999999</v>
      </c>
      <c r="G101" s="20">
        <f>IF(表2_36716262930389121314151617[[#This Row],[累计净值]]&gt;0.9999,0.7*(表2_36716262930389121314151617[[#This Row],[累计净值]]-0.9999),表2_36716262930389121314151617[[#This Row],[累计净值]]-0.9999)</f>
        <v>4.4169999999999952E-2</v>
      </c>
    </row>
    <row r="102" spans="1:7" x14ac:dyDescent="0.2">
      <c r="A102" s="15">
        <v>44071</v>
      </c>
      <c r="B102" s="112">
        <v>1.0638000000000001</v>
      </c>
      <c r="C102" s="108">
        <f t="shared" si="24"/>
        <v>8.0000000000013394E-4</v>
      </c>
      <c r="D102" s="109" t="str">
        <f t="shared" si="25"/>
        <v>/</v>
      </c>
      <c r="E102" s="109">
        <f ca="1">IF(表2_36716262930389121314151617[[#This Row],[累计净值]]/MAX(INDIRECT("B21:B" &amp; ROW()))-1&lt;E101,表2_36716262930389121314151617[[#This Row],[累计净值]]/MAX(INDIRECT("B21:B" &amp; ROW()))-1,E101)</f>
        <v>-1.0184060543772855E-2</v>
      </c>
      <c r="F102" s="110">
        <f>表2_36716262930389121314151617[[#This Row],[累计净值]]</f>
        <v>1.0638000000000001</v>
      </c>
      <c r="G102" s="20">
        <f>IF(表2_36716262930389121314151617[[#This Row],[累计净值]]&gt;0.9999,0.7*(表2_36716262930389121314151617[[#This Row],[累计净值]]-0.9999),表2_36716262930389121314151617[[#This Row],[累计净值]]-0.9999)</f>
        <v>4.4730000000000047E-2</v>
      </c>
    </row>
    <row r="103" spans="1:7" x14ac:dyDescent="0.2">
      <c r="A103" s="15">
        <v>44074</v>
      </c>
      <c r="B103" s="112">
        <v>1.0636000000000001</v>
      </c>
      <c r="C103" s="108">
        <f t="shared" si="24"/>
        <v>-1.9999999999997797E-4</v>
      </c>
      <c r="D103" s="109">
        <f t="shared" si="25"/>
        <v>-1.9999999999997797E-4</v>
      </c>
      <c r="E103" s="109">
        <f ca="1">IF(表2_36716262930389121314151617[[#This Row],[累计净值]]/MAX(INDIRECT("B21:B" &amp; ROW()))-1&lt;E102,表2_36716262930389121314151617[[#This Row],[累计净值]]/MAX(INDIRECT("B21:B" &amp; ROW()))-1,E102)</f>
        <v>-1.0184060543772855E-2</v>
      </c>
      <c r="F103" s="110">
        <f>表2_36716262930389121314151617[[#This Row],[累计净值]]</f>
        <v>1.0636000000000001</v>
      </c>
      <c r="G103" s="20">
        <f>IF(表2_36716262930389121314151617[[#This Row],[累计净值]]&gt;0.9999,0.7*(表2_36716262930389121314151617[[#This Row],[累计净值]]-0.9999),表2_36716262930389121314151617[[#This Row],[累计净值]]-0.9999)</f>
        <v>4.459000000000006E-2</v>
      </c>
    </row>
    <row r="104" spans="1:7" x14ac:dyDescent="0.2">
      <c r="A104" s="15">
        <v>44075</v>
      </c>
      <c r="B104" s="112">
        <v>1.0641</v>
      </c>
      <c r="C104" s="108">
        <f t="shared" si="24"/>
        <v>4.9999999999994493E-4</v>
      </c>
      <c r="D104" s="109" t="str">
        <f t="shared" si="25"/>
        <v>/</v>
      </c>
      <c r="E104" s="109">
        <f ca="1">IF(表2_36716262930389121314151617[[#This Row],[累计净值]]/MAX(INDIRECT("B21:B" &amp; ROW()))-1&lt;E103,表2_36716262930389121314151617[[#This Row],[累计净值]]/MAX(INDIRECT("B21:B" &amp; ROW()))-1,E103)</f>
        <v>-1.0184060543772855E-2</v>
      </c>
      <c r="F104" s="110">
        <f>表2_36716262930389121314151617[[#This Row],[累计净值]]</f>
        <v>1.0641</v>
      </c>
      <c r="G104" s="20">
        <f>IF(表2_36716262930389121314151617[[#This Row],[累计净值]]&gt;0.9999,0.7*(表2_36716262930389121314151617[[#This Row],[累计净值]]-0.9999),表2_36716262930389121314151617[[#This Row],[累计净值]]-0.9999)</f>
        <v>4.4940000000000022E-2</v>
      </c>
    </row>
    <row r="105" spans="1:7" x14ac:dyDescent="0.2">
      <c r="A105" s="15">
        <v>44076</v>
      </c>
      <c r="B105" s="112">
        <v>1.0629</v>
      </c>
      <c r="C105" s="108">
        <f t="shared" si="24"/>
        <v>-1.2000000000000899E-3</v>
      </c>
      <c r="D105" s="109">
        <f t="shared" si="25"/>
        <v>-1.2000000000000899E-3</v>
      </c>
      <c r="E105" s="109">
        <f ca="1">IF(表2_36716262930389121314151617[[#This Row],[累计净值]]/MAX(INDIRECT("B21:B" &amp; ROW()))-1&lt;E104,表2_36716262930389121314151617[[#This Row],[累计净值]]/MAX(INDIRECT("B21:B" &amp; ROW()))-1,E104)</f>
        <v>-1.0184060543772855E-2</v>
      </c>
      <c r="F105" s="110">
        <f>表2_36716262930389121314151617[[#This Row],[累计净值]]</f>
        <v>1.0629</v>
      </c>
      <c r="G105" s="20">
        <f>IF(表2_36716262930389121314151617[[#This Row],[累计净值]]&gt;0.9999,0.7*(表2_36716262930389121314151617[[#This Row],[累计净值]]-0.9999),表2_36716262930389121314151617[[#This Row],[累计净值]]-0.9999)</f>
        <v>4.4099999999999959E-2</v>
      </c>
    </row>
    <row r="106" spans="1:7" x14ac:dyDescent="0.2">
      <c r="A106" s="15">
        <v>44077</v>
      </c>
      <c r="B106" s="112">
        <v>1.0658000000000001</v>
      </c>
      <c r="C106" s="108">
        <f t="shared" si="24"/>
        <v>2.9000000000001247E-3</v>
      </c>
      <c r="D106" s="109" t="str">
        <f t="shared" si="25"/>
        <v>/</v>
      </c>
      <c r="E106" s="109">
        <f ca="1">IF(表2_36716262930389121314151617[[#This Row],[累计净值]]/MAX(INDIRECT("B21:B" &amp; ROW()))-1&lt;E105,表2_36716262930389121314151617[[#This Row],[累计净值]]/MAX(INDIRECT("B21:B" &amp; ROW()))-1,E105)</f>
        <v>-1.0184060543772855E-2</v>
      </c>
      <c r="F106" s="110">
        <f>表2_36716262930389121314151617[[#This Row],[累计净值]]</f>
        <v>1.0658000000000001</v>
      </c>
      <c r="G106" s="20">
        <f>IF(表2_36716262930389121314151617[[#This Row],[累计净值]]&gt;0.9999,0.7*(表2_36716262930389121314151617[[#This Row],[累计净值]]-0.9999),表2_36716262930389121314151617[[#This Row],[累计净值]]-0.9999)</f>
        <v>4.6130000000000046E-2</v>
      </c>
    </row>
    <row r="107" spans="1:7" x14ac:dyDescent="0.2">
      <c r="A107" s="15">
        <v>44078</v>
      </c>
      <c r="B107" s="112">
        <v>1.0666</v>
      </c>
      <c r="C107" s="108">
        <f t="shared" ref="C107:C112" si="26">IFERROR(B107-B106,0)</f>
        <v>7.9999999999991189E-4</v>
      </c>
      <c r="D107" s="109" t="str">
        <f t="shared" ref="D107:D112" si="27">IF(C107&lt;0,C107,"/")</f>
        <v>/</v>
      </c>
      <c r="E107" s="109">
        <f ca="1">IF(表2_36716262930389121314151617[[#This Row],[累计净值]]/MAX(INDIRECT("B21:B" &amp; ROW()))-1&lt;E106,表2_36716262930389121314151617[[#This Row],[累计净值]]/MAX(INDIRECT("B21:B" &amp; ROW()))-1,E106)</f>
        <v>-1.0184060543772855E-2</v>
      </c>
      <c r="F107" s="110">
        <f>表2_36716262930389121314151617[[#This Row],[累计净值]]</f>
        <v>1.0666</v>
      </c>
      <c r="G107" s="20">
        <f>IF(表2_36716262930389121314151617[[#This Row],[累计净值]]&gt;0.9999,0.7*(表2_36716262930389121314151617[[#This Row],[累计净值]]-0.9999),表2_36716262930389121314151617[[#This Row],[累计净值]]-0.9999)</f>
        <v>4.6689999999999982E-2</v>
      </c>
    </row>
    <row r="108" spans="1:7" x14ac:dyDescent="0.2">
      <c r="A108" s="15">
        <v>44081</v>
      </c>
      <c r="B108" s="112">
        <v>1.0673999999999999</v>
      </c>
      <c r="C108" s="108">
        <f t="shared" si="26"/>
        <v>7.9999999999991189E-4</v>
      </c>
      <c r="D108" s="109" t="str">
        <f t="shared" si="27"/>
        <v>/</v>
      </c>
      <c r="E108" s="109">
        <f ca="1">IF(表2_36716262930389121314151617[[#This Row],[累计净值]]/MAX(INDIRECT("B21:B" &amp; ROW()))-1&lt;E107,表2_36716262930389121314151617[[#This Row],[累计净值]]/MAX(INDIRECT("B21:B" &amp; ROW()))-1,E107)</f>
        <v>-1.0184060543772855E-2</v>
      </c>
      <c r="F108" s="110">
        <f>表2_36716262930389121314151617[[#This Row],[累计净值]]</f>
        <v>1.0673999999999999</v>
      </c>
      <c r="G108" s="20">
        <f>IF(表2_36716262930389121314151617[[#This Row],[累计净值]]&gt;0.9999,0.7*(表2_36716262930389121314151617[[#This Row],[累计净值]]-0.9999),表2_36716262930389121314151617[[#This Row],[累计净值]]-0.9999)</f>
        <v>4.7249999999999924E-2</v>
      </c>
    </row>
    <row r="109" spans="1:7" x14ac:dyDescent="0.2">
      <c r="A109" s="15">
        <v>44082</v>
      </c>
      <c r="B109" s="112">
        <v>1.0663</v>
      </c>
      <c r="C109" s="108">
        <f t="shared" si="26"/>
        <v>-1.0999999999998789E-3</v>
      </c>
      <c r="D109" s="109">
        <f t="shared" si="27"/>
        <v>-1.0999999999998789E-3</v>
      </c>
      <c r="E109" s="109">
        <f ca="1">IF(表2_36716262930389121314151617[[#This Row],[累计净值]]/MAX(INDIRECT("B21:B" &amp; ROW()))-1&lt;E108,表2_36716262930389121314151617[[#This Row],[累计净值]]/MAX(INDIRECT("B21:B" &amp; ROW()))-1,E108)</f>
        <v>-1.0184060543772855E-2</v>
      </c>
      <c r="F109" s="110">
        <f>表2_36716262930389121314151617[[#This Row],[累计净值]]</f>
        <v>1.0663</v>
      </c>
      <c r="G109" s="20">
        <f>IF(表2_36716262930389121314151617[[#This Row],[累计净值]]&gt;0.9999,0.7*(表2_36716262930389121314151617[[#This Row],[累计净值]]-0.9999),表2_36716262930389121314151617[[#This Row],[累计净值]]-0.9999)</f>
        <v>4.6480000000000007E-2</v>
      </c>
    </row>
    <row r="110" spans="1:7" x14ac:dyDescent="0.2">
      <c r="A110" s="15">
        <v>44083</v>
      </c>
      <c r="B110" s="112">
        <v>1.0699000000000001</v>
      </c>
      <c r="C110" s="108">
        <f t="shared" si="26"/>
        <v>3.6000000000000476E-3</v>
      </c>
      <c r="D110" s="109" t="str">
        <f t="shared" si="27"/>
        <v>/</v>
      </c>
      <c r="E110" s="109">
        <f ca="1">IF(表2_36716262930389121314151617[[#This Row],[累计净值]]/MAX(INDIRECT("B21:B" &amp; ROW()))-1&lt;E109,表2_36716262930389121314151617[[#This Row],[累计净值]]/MAX(INDIRECT("B21:B" &amp; ROW()))-1,E109)</f>
        <v>-1.0184060543772855E-2</v>
      </c>
      <c r="F110" s="110">
        <f>表2_36716262930389121314151617[[#This Row],[累计净值]]</f>
        <v>1.0699000000000001</v>
      </c>
      <c r="G110" s="20">
        <f>IF(表2_36716262930389121314151617[[#This Row],[累计净值]]&gt;0.9999,0.7*(表2_36716262930389121314151617[[#This Row],[累计净值]]-0.9999),表2_36716262930389121314151617[[#This Row],[累计净值]]-0.9999)</f>
        <v>4.9000000000000044E-2</v>
      </c>
    </row>
    <row r="111" spans="1:7" x14ac:dyDescent="0.2">
      <c r="A111" s="15">
        <v>44084</v>
      </c>
      <c r="B111" s="112">
        <v>1.0676000000000001</v>
      </c>
      <c r="C111" s="108">
        <f t="shared" si="26"/>
        <v>-2.2999999999999687E-3</v>
      </c>
      <c r="D111" s="109">
        <f t="shared" si="27"/>
        <v>-2.2999999999999687E-3</v>
      </c>
      <c r="E111" s="109">
        <f ca="1">IF(表2_36716262930389121314151617[[#This Row],[累计净值]]/MAX(INDIRECT("B21:B" &amp; ROW()))-1&lt;E110,表2_36716262930389121314151617[[#This Row],[累计净值]]/MAX(INDIRECT("B21:B" &amp; ROW()))-1,E110)</f>
        <v>-1.0184060543772855E-2</v>
      </c>
      <c r="F111" s="110">
        <f>表2_36716262930389121314151617[[#This Row],[累计净值]]</f>
        <v>1.0676000000000001</v>
      </c>
      <c r="G111" s="20">
        <f>IF(表2_36716262930389121314151617[[#This Row],[累计净值]]&gt;0.9999,0.7*(表2_36716262930389121314151617[[#This Row],[累计净值]]-0.9999),表2_36716262930389121314151617[[#This Row],[累计净值]]-0.9999)</f>
        <v>4.7390000000000064E-2</v>
      </c>
    </row>
    <row r="112" spans="1:7" x14ac:dyDescent="0.2">
      <c r="A112" s="15">
        <v>44085</v>
      </c>
      <c r="B112" s="112">
        <v>1.0699000000000001</v>
      </c>
      <c r="C112" s="108">
        <f t="shared" si="26"/>
        <v>2.2999999999999687E-3</v>
      </c>
      <c r="D112" s="109" t="str">
        <f t="shared" si="27"/>
        <v>/</v>
      </c>
      <c r="E112" s="109">
        <f ca="1">IF(表2_36716262930389121314151617[[#This Row],[累计净值]]/MAX(INDIRECT("B21:B" &amp; ROW()))-1&lt;E111,表2_36716262930389121314151617[[#This Row],[累计净值]]/MAX(INDIRECT("B21:B" &amp; ROW()))-1,E111)</f>
        <v>-1.0184060543772855E-2</v>
      </c>
      <c r="F112" s="110">
        <f>表2_36716262930389121314151617[[#This Row],[累计净值]]</f>
        <v>1.0699000000000001</v>
      </c>
      <c r="G112" s="20">
        <f>IF(表2_36716262930389121314151617[[#This Row],[累计净值]]&gt;0.9999,0.7*(表2_36716262930389121314151617[[#This Row],[累计净值]]-0.9999),表2_36716262930389121314151617[[#This Row],[累计净值]]-0.9999)</f>
        <v>4.9000000000000044E-2</v>
      </c>
    </row>
    <row r="113" spans="1:7" x14ac:dyDescent="0.2">
      <c r="A113" s="15">
        <v>44088</v>
      </c>
      <c r="B113" s="112">
        <v>1.0703</v>
      </c>
      <c r="C113" s="108">
        <f t="shared" ref="C113:C118" si="28">IFERROR(B113-B112,0)</f>
        <v>3.9999999999995595E-4</v>
      </c>
      <c r="D113" s="109" t="str">
        <f t="shared" ref="D113:D118" si="29">IF(C113&lt;0,C113,"/")</f>
        <v>/</v>
      </c>
      <c r="E113" s="109">
        <f ca="1">IF(表2_36716262930389121314151617[[#This Row],[累计净值]]/MAX(INDIRECT("B21:B" &amp; ROW()))-1&lt;E112,表2_36716262930389121314151617[[#This Row],[累计净值]]/MAX(INDIRECT("B21:B" &amp; ROW()))-1,E112)</f>
        <v>-1.0184060543772855E-2</v>
      </c>
      <c r="F113" s="110">
        <f>表2_36716262930389121314151617[[#This Row],[累计净值]]</f>
        <v>1.0703</v>
      </c>
      <c r="G113" s="20">
        <f>IF(表2_36716262930389121314151617[[#This Row],[累计净值]]&gt;0.9999,0.7*(表2_36716262930389121314151617[[#This Row],[累计净值]]-0.9999),表2_36716262930389121314151617[[#This Row],[累计净值]]-0.9999)</f>
        <v>4.9280000000000011E-2</v>
      </c>
    </row>
    <row r="114" spans="1:7" x14ac:dyDescent="0.2">
      <c r="A114" s="15">
        <v>44089</v>
      </c>
      <c r="B114" s="112">
        <v>1.0696000000000001</v>
      </c>
      <c r="C114" s="108">
        <f t="shared" si="28"/>
        <v>-6.9999999999992291E-4</v>
      </c>
      <c r="D114" s="109">
        <f t="shared" si="29"/>
        <v>-6.9999999999992291E-4</v>
      </c>
      <c r="E114" s="109">
        <f ca="1">IF(表2_36716262930389121314151617[[#This Row],[累计净值]]/MAX(INDIRECT("B21:B" &amp; ROW()))-1&lt;E113,表2_36716262930389121314151617[[#This Row],[累计净值]]/MAX(INDIRECT("B21:B" &amp; ROW()))-1,E113)</f>
        <v>-1.0184060543772855E-2</v>
      </c>
      <c r="F114" s="110">
        <f>表2_36716262930389121314151617[[#This Row],[累计净值]]</f>
        <v>1.0696000000000001</v>
      </c>
      <c r="G114" s="20">
        <f>IF(表2_36716262930389121314151617[[#This Row],[累计净值]]&gt;0.9999,0.7*(表2_36716262930389121314151617[[#This Row],[累计净值]]-0.9999),表2_36716262930389121314151617[[#This Row],[累计净值]]-0.9999)</f>
        <v>4.8790000000000062E-2</v>
      </c>
    </row>
    <row r="115" spans="1:7" x14ac:dyDescent="0.2">
      <c r="A115" s="15">
        <v>44090</v>
      </c>
      <c r="B115" s="112">
        <v>1.069</v>
      </c>
      <c r="C115" s="108">
        <f t="shared" si="28"/>
        <v>-6.0000000000015596E-4</v>
      </c>
      <c r="D115" s="109">
        <f t="shared" si="29"/>
        <v>-6.0000000000015596E-4</v>
      </c>
      <c r="E115" s="109">
        <f ca="1">IF(表2_36716262930389121314151617[[#This Row],[累计净值]]/MAX(INDIRECT("B21:B" &amp; ROW()))-1&lt;E114,表2_36716262930389121314151617[[#This Row],[累计净值]]/MAX(INDIRECT("B21:B" &amp; ROW()))-1,E114)</f>
        <v>-1.0184060543772855E-2</v>
      </c>
      <c r="F115" s="110">
        <f>表2_36716262930389121314151617[[#This Row],[累计净值]]</f>
        <v>1.069</v>
      </c>
      <c r="G115" s="20">
        <f>IF(表2_36716262930389121314151617[[#This Row],[累计净值]]&gt;0.9999,0.7*(表2_36716262930389121314151617[[#This Row],[累计净值]]-0.9999),表2_36716262930389121314151617[[#This Row],[累计净值]]-0.9999)</f>
        <v>4.8369999999999955E-2</v>
      </c>
    </row>
    <row r="116" spans="1:7" x14ac:dyDescent="0.2">
      <c r="A116" s="15">
        <v>44091</v>
      </c>
      <c r="B116" s="112">
        <v>1.0710999999999999</v>
      </c>
      <c r="C116" s="108">
        <f t="shared" si="28"/>
        <v>2.0999999999999908E-3</v>
      </c>
      <c r="D116" s="109" t="str">
        <f t="shared" si="29"/>
        <v>/</v>
      </c>
      <c r="E116" s="109">
        <f ca="1">IF(表2_36716262930389121314151617[[#This Row],[累计净值]]/MAX(INDIRECT("B21:B" &amp; ROW()))-1&lt;E115,表2_36716262930389121314151617[[#This Row],[累计净值]]/MAX(INDIRECT("B21:B" &amp; ROW()))-1,E115)</f>
        <v>-1.0184060543772855E-2</v>
      </c>
      <c r="F116" s="110">
        <f>表2_36716262930389121314151617[[#This Row],[累计净值]]</f>
        <v>1.0710999999999999</v>
      </c>
      <c r="G116" s="20">
        <f>IF(表2_36716262930389121314151617[[#This Row],[累计净值]]&gt;0.9999,0.7*(表2_36716262930389121314151617[[#This Row],[累计净值]]-0.9999),表2_36716262930389121314151617[[#This Row],[累计净值]]-0.9999)</f>
        <v>4.9839999999999947E-2</v>
      </c>
    </row>
    <row r="117" spans="1:7" x14ac:dyDescent="0.2">
      <c r="A117" s="15">
        <v>44092</v>
      </c>
      <c r="B117" s="112">
        <v>1.0708</v>
      </c>
      <c r="C117" s="108">
        <f t="shared" si="28"/>
        <v>-2.9999999999996696E-4</v>
      </c>
      <c r="D117" s="109">
        <f t="shared" si="29"/>
        <v>-2.9999999999996696E-4</v>
      </c>
      <c r="E117" s="109">
        <f ca="1">IF(表2_36716262930389121314151617[[#This Row],[累计净值]]/MAX(INDIRECT("B21:B" &amp; ROW()))-1&lt;E116,表2_36716262930389121314151617[[#This Row],[累计净值]]/MAX(INDIRECT("B21:B" &amp; ROW()))-1,E116)</f>
        <v>-1.0184060543772855E-2</v>
      </c>
      <c r="F117" s="110">
        <f>表2_36716262930389121314151617[[#This Row],[累计净值]]</f>
        <v>1.0708</v>
      </c>
      <c r="G117" s="20">
        <f>IF(表2_36716262930389121314151617[[#This Row],[累计净值]]&gt;0.9999,0.7*(表2_36716262930389121314151617[[#This Row],[累计净值]]-0.9999),表2_36716262930389121314151617[[#This Row],[累计净值]]-0.9999)</f>
        <v>4.9629999999999973E-2</v>
      </c>
    </row>
    <row r="118" spans="1:7" x14ac:dyDescent="0.2">
      <c r="A118" s="15">
        <v>44095</v>
      </c>
      <c r="B118" s="112">
        <v>1.0710999999999999</v>
      </c>
      <c r="C118" s="108">
        <f t="shared" si="28"/>
        <v>2.9999999999996696E-4</v>
      </c>
      <c r="D118" s="109" t="str">
        <f t="shared" si="29"/>
        <v>/</v>
      </c>
      <c r="E118" s="109">
        <f ca="1">IF(表2_36716262930389121314151617[[#This Row],[累计净值]]/MAX(INDIRECT("B21:B" &amp; ROW()))-1&lt;E117,表2_36716262930389121314151617[[#This Row],[累计净值]]/MAX(INDIRECT("B21:B" &amp; ROW()))-1,E117)</f>
        <v>-1.0184060543772855E-2</v>
      </c>
      <c r="F118" s="110">
        <f>表2_36716262930389121314151617[[#This Row],[累计净值]]</f>
        <v>1.0710999999999999</v>
      </c>
      <c r="G118" s="20">
        <f>IF(表2_36716262930389121314151617[[#This Row],[累计净值]]&gt;0.9999,0.7*(表2_36716262930389121314151617[[#This Row],[累计净值]]-0.9999),表2_36716262930389121314151617[[#This Row],[累计净值]]-0.9999)</f>
        <v>4.9839999999999947E-2</v>
      </c>
    </row>
    <row r="119" spans="1:7" x14ac:dyDescent="0.2">
      <c r="A119" s="15">
        <v>44096</v>
      </c>
      <c r="B119" s="112">
        <v>1.0720000000000001</v>
      </c>
      <c r="C119" s="108">
        <f t="shared" ref="C119:C123" si="30">IFERROR(B119-B118,0)</f>
        <v>9.0000000000012292E-4</v>
      </c>
      <c r="D119" s="109" t="str">
        <f t="shared" ref="D119:D123" si="31">IF(C119&lt;0,C119,"/")</f>
        <v>/</v>
      </c>
      <c r="E119" s="109">
        <f ca="1">IF(表2_36716262930389121314151617[[#This Row],[累计净值]]/MAX(INDIRECT("B21:B" &amp; ROW()))-1&lt;E118,表2_36716262930389121314151617[[#This Row],[累计净值]]/MAX(INDIRECT("B21:B" &amp; ROW()))-1,E118)</f>
        <v>-1.0184060543772855E-2</v>
      </c>
      <c r="F119" s="110">
        <f>表2_36716262930389121314151617[[#This Row],[累计净值]]</f>
        <v>1.0720000000000001</v>
      </c>
      <c r="G119" s="20">
        <f>IF(表2_36716262930389121314151617[[#This Row],[累计净值]]&gt;0.9999,0.7*(表2_36716262930389121314151617[[#This Row],[累计净值]]-0.9999),表2_36716262930389121314151617[[#This Row],[累计净值]]-0.9999)</f>
        <v>5.0470000000000036E-2</v>
      </c>
    </row>
    <row r="120" spans="1:7" x14ac:dyDescent="0.2">
      <c r="A120" s="15">
        <v>44097</v>
      </c>
      <c r="B120" s="112">
        <v>1.0720000000000001</v>
      </c>
      <c r="C120" s="108">
        <f t="shared" si="30"/>
        <v>0</v>
      </c>
      <c r="D120" s="109" t="str">
        <f t="shared" si="31"/>
        <v>/</v>
      </c>
      <c r="E120" s="109">
        <f ca="1">IF(表2_36716262930389121314151617[[#This Row],[累计净值]]/MAX(INDIRECT("B21:B" &amp; ROW()))-1&lt;E119,表2_36716262930389121314151617[[#This Row],[累计净值]]/MAX(INDIRECT("B21:B" &amp; ROW()))-1,E119)</f>
        <v>-1.0184060543772855E-2</v>
      </c>
      <c r="F120" s="110">
        <f>表2_36716262930389121314151617[[#This Row],[累计净值]]</f>
        <v>1.0720000000000001</v>
      </c>
      <c r="G120" s="20">
        <f>IF(表2_36716262930389121314151617[[#This Row],[累计净值]]&gt;0.9999,0.7*(表2_36716262930389121314151617[[#This Row],[累计净值]]-0.9999),表2_36716262930389121314151617[[#This Row],[累计净值]]-0.9999)</f>
        <v>5.0470000000000036E-2</v>
      </c>
    </row>
    <row r="121" spans="1:7" x14ac:dyDescent="0.2">
      <c r="A121" s="15">
        <v>44098</v>
      </c>
      <c r="B121" s="112">
        <v>1.0716000000000001</v>
      </c>
      <c r="C121" s="108">
        <f t="shared" si="30"/>
        <v>-3.9999999999995595E-4</v>
      </c>
      <c r="D121" s="109">
        <f t="shared" si="31"/>
        <v>-3.9999999999995595E-4</v>
      </c>
      <c r="E121" s="109">
        <f ca="1">IF(表2_36716262930389121314151617[[#This Row],[累计净值]]/MAX(INDIRECT("B21:B" &amp; ROW()))-1&lt;E120,表2_36716262930389121314151617[[#This Row],[累计净值]]/MAX(INDIRECT("B21:B" &amp; ROW()))-1,E120)</f>
        <v>-1.0184060543772855E-2</v>
      </c>
      <c r="F121" s="110">
        <f>表2_36716262930389121314151617[[#This Row],[累计净值]]</f>
        <v>1.0716000000000001</v>
      </c>
      <c r="G121" s="20">
        <f>IF(表2_36716262930389121314151617[[#This Row],[累计净值]]&gt;0.9999,0.7*(表2_36716262930389121314151617[[#This Row],[累计净值]]-0.9999),表2_36716262930389121314151617[[#This Row],[累计净值]]-0.9999)</f>
        <v>5.0190000000000068E-2</v>
      </c>
    </row>
    <row r="122" spans="1:7" x14ac:dyDescent="0.2">
      <c r="A122" s="15">
        <v>44099</v>
      </c>
      <c r="B122" s="112">
        <v>1.0709</v>
      </c>
      <c r="C122" s="108">
        <f t="shared" si="30"/>
        <v>-7.0000000000014495E-4</v>
      </c>
      <c r="D122" s="109">
        <f t="shared" si="31"/>
        <v>-7.0000000000014495E-4</v>
      </c>
      <c r="E122" s="109">
        <f ca="1">IF(表2_36716262930389121314151617[[#This Row],[累计净值]]/MAX(INDIRECT("B21:B" &amp; ROW()))-1&lt;E121,表2_36716262930389121314151617[[#This Row],[累计净值]]/MAX(INDIRECT("B21:B" &amp; ROW()))-1,E121)</f>
        <v>-1.0184060543772855E-2</v>
      </c>
      <c r="F122" s="110">
        <f>表2_36716262930389121314151617[[#This Row],[累计净值]]</f>
        <v>1.0709</v>
      </c>
      <c r="G122" s="20">
        <f>IF(表2_36716262930389121314151617[[#This Row],[累计净值]]&gt;0.9999,0.7*(表2_36716262930389121314151617[[#This Row],[累计净值]]-0.9999),表2_36716262930389121314151617[[#This Row],[累计净值]]-0.9999)</f>
        <v>4.9699999999999966E-2</v>
      </c>
    </row>
    <row r="123" spans="1:7" x14ac:dyDescent="0.2">
      <c r="A123" s="15">
        <v>44102</v>
      </c>
      <c r="B123" s="112">
        <v>1.0713999999999999</v>
      </c>
      <c r="C123" s="108">
        <f t="shared" si="30"/>
        <v>4.9999999999994493E-4</v>
      </c>
      <c r="D123" s="109" t="str">
        <f t="shared" si="31"/>
        <v>/</v>
      </c>
      <c r="E123" s="109">
        <f ca="1">IF(表2_36716262930389121314151617[[#This Row],[累计净值]]/MAX(INDIRECT("B21:B" &amp; ROW()))-1&lt;E122,表2_36716262930389121314151617[[#This Row],[累计净值]]/MAX(INDIRECT("B21:B" &amp; ROW()))-1,E122)</f>
        <v>-1.0184060543772855E-2</v>
      </c>
      <c r="F123" s="110">
        <f>表2_36716262930389121314151617[[#This Row],[累计净值]]</f>
        <v>1.0713999999999999</v>
      </c>
      <c r="G123" s="20">
        <f>IF(表2_36716262930389121314151617[[#This Row],[累计净值]]&gt;0.9999,0.7*(表2_36716262930389121314151617[[#This Row],[累计净值]]-0.9999),表2_36716262930389121314151617[[#This Row],[累计净值]]-0.9999)</f>
        <v>5.0049999999999928E-2</v>
      </c>
    </row>
    <row r="124" spans="1:7" x14ac:dyDescent="0.2">
      <c r="A124" s="15">
        <v>44103</v>
      </c>
      <c r="B124" s="112">
        <v>1.0719000000000001</v>
      </c>
      <c r="C124" s="108">
        <f t="shared" ref="C124:C125" si="32">IFERROR(B124-B123,0)</f>
        <v>5.0000000000016698E-4</v>
      </c>
      <c r="D124" s="109" t="str">
        <f t="shared" ref="D124:D125" si="33">IF(C124&lt;0,C124,"/")</f>
        <v>/</v>
      </c>
      <c r="E124" s="109">
        <f ca="1">IF(表2_36716262930389121314151617[[#This Row],[累计净值]]/MAX(INDIRECT("B21:B" &amp; ROW()))-1&lt;E123,表2_36716262930389121314151617[[#This Row],[累计净值]]/MAX(INDIRECT("B21:B" &amp; ROW()))-1,E123)</f>
        <v>-1.0184060543772855E-2</v>
      </c>
      <c r="F124" s="110">
        <f>表2_36716262930389121314151617[[#This Row],[累计净值]]</f>
        <v>1.0719000000000001</v>
      </c>
      <c r="G124" s="20">
        <f>IF(表2_36716262930389121314151617[[#This Row],[累计净值]]&gt;0.9999,0.7*(表2_36716262930389121314151617[[#This Row],[累计净值]]-0.9999),表2_36716262930389121314151617[[#This Row],[累计净值]]-0.9999)</f>
        <v>5.0400000000000042E-2</v>
      </c>
    </row>
    <row r="125" spans="1:7" x14ac:dyDescent="0.2">
      <c r="A125" s="15">
        <v>44104</v>
      </c>
      <c r="B125" s="112">
        <v>1.0718000000000001</v>
      </c>
      <c r="C125" s="108">
        <f t="shared" si="32"/>
        <v>-9.9999999999988987E-5</v>
      </c>
      <c r="D125" s="109">
        <f t="shared" si="33"/>
        <v>-9.9999999999988987E-5</v>
      </c>
      <c r="E125" s="109">
        <f ca="1">IF(表2_36716262930389121314151617[[#This Row],[累计净值]]/MAX(INDIRECT("B21:B" &amp; ROW()))-1&lt;E124,表2_36716262930389121314151617[[#This Row],[累计净值]]/MAX(INDIRECT("B21:B" &amp; ROW()))-1,E124)</f>
        <v>-1.0184060543772855E-2</v>
      </c>
      <c r="F125" s="110">
        <f>表2_36716262930389121314151617[[#This Row],[累计净值]]</f>
        <v>1.0718000000000001</v>
      </c>
      <c r="G125" s="20">
        <f>IF(表2_36716262930389121314151617[[#This Row],[累计净值]]&gt;0.9999,0.7*(表2_36716262930389121314151617[[#This Row],[累计净值]]-0.9999),表2_36716262930389121314151617[[#This Row],[累计净值]]-0.9999)</f>
        <v>5.0330000000000048E-2</v>
      </c>
    </row>
    <row r="126" spans="1:7" x14ac:dyDescent="0.2">
      <c r="A126" s="15">
        <v>44113</v>
      </c>
      <c r="B126" s="112">
        <v>1.0729</v>
      </c>
      <c r="C126" s="108">
        <f t="shared" ref="C126:C131" si="34">IFERROR(B126-B125,0)</f>
        <v>1.0999999999998789E-3</v>
      </c>
      <c r="D126" s="109" t="str">
        <f t="shared" ref="D126:D131" si="35">IF(C126&lt;0,C126,"/")</f>
        <v>/</v>
      </c>
      <c r="E126" s="109">
        <f ca="1">IF(表2_36716262930389121314151617[[#This Row],[累计净值]]/MAX(INDIRECT("B21:B" &amp; ROW()))-1&lt;E125,表2_36716262930389121314151617[[#This Row],[累计净值]]/MAX(INDIRECT("B21:B" &amp; ROW()))-1,E125)</f>
        <v>-1.0184060543772855E-2</v>
      </c>
      <c r="F126" s="110">
        <f>表2_36716262930389121314151617[[#This Row],[累计净值]]</f>
        <v>1.0729</v>
      </c>
      <c r="G126" s="20">
        <f>IF(表2_36716262930389121314151617[[#This Row],[累计净值]]&gt;0.9999,0.7*(表2_36716262930389121314151617[[#This Row],[累计净值]]-0.9999),表2_36716262930389121314151617[[#This Row],[累计净值]]-0.9999)</f>
        <v>5.1099999999999965E-2</v>
      </c>
    </row>
    <row r="127" spans="1:7" x14ac:dyDescent="0.2">
      <c r="A127" s="15">
        <v>44116</v>
      </c>
      <c r="B127" s="112">
        <v>1.0738000000000001</v>
      </c>
      <c r="C127" s="108">
        <f t="shared" si="34"/>
        <v>9.0000000000012292E-4</v>
      </c>
      <c r="D127" s="109" t="str">
        <f t="shared" si="35"/>
        <v>/</v>
      </c>
      <c r="E127" s="109">
        <f ca="1">IF(表2_36716262930389121314151617[[#This Row],[累计净值]]/MAX(INDIRECT("B21:B" &amp; ROW()))-1&lt;E126,表2_36716262930389121314151617[[#This Row],[累计净值]]/MAX(INDIRECT("B21:B" &amp; ROW()))-1,E126)</f>
        <v>-1.0184060543772855E-2</v>
      </c>
      <c r="F127" s="110">
        <f>表2_36716262930389121314151617[[#This Row],[累计净值]]</f>
        <v>1.0738000000000001</v>
      </c>
      <c r="G127" s="20">
        <f>IF(表2_36716262930389121314151617[[#This Row],[累计净值]]&gt;0.9999,0.7*(表2_36716262930389121314151617[[#This Row],[累计净值]]-0.9999),表2_36716262930389121314151617[[#This Row],[累计净值]]-0.9999)</f>
        <v>5.1730000000000054E-2</v>
      </c>
    </row>
    <row r="128" spans="1:7" x14ac:dyDescent="0.2">
      <c r="A128" s="15">
        <v>44117</v>
      </c>
      <c r="B128" s="112">
        <v>1.075</v>
      </c>
      <c r="C128" s="108">
        <f t="shared" si="34"/>
        <v>1.1999999999998678E-3</v>
      </c>
      <c r="D128" s="109" t="str">
        <f t="shared" si="35"/>
        <v>/</v>
      </c>
      <c r="E128" s="109">
        <f ca="1">IF(表2_36716262930389121314151617[[#This Row],[累计净值]]/MAX(INDIRECT("B21:B" &amp; ROW()))-1&lt;E127,表2_36716262930389121314151617[[#This Row],[累计净值]]/MAX(INDIRECT("B21:B" &amp; ROW()))-1,E127)</f>
        <v>-1.0184060543772855E-2</v>
      </c>
      <c r="F128" s="110">
        <f>表2_36716262930389121314151617[[#This Row],[累计净值]]</f>
        <v>1.075</v>
      </c>
      <c r="G128" s="20">
        <f>IF(表2_36716262930389121314151617[[#This Row],[累计净值]]&gt;0.9999,0.7*(表2_36716262930389121314151617[[#This Row],[累计净值]]-0.9999),表2_36716262930389121314151617[[#This Row],[累计净值]]-0.9999)</f>
        <v>5.2569999999999957E-2</v>
      </c>
    </row>
    <row r="129" spans="1:7" x14ac:dyDescent="0.2">
      <c r="A129" s="15">
        <v>44118</v>
      </c>
      <c r="B129" s="112">
        <v>1.075</v>
      </c>
      <c r="C129" s="108">
        <f t="shared" si="34"/>
        <v>0</v>
      </c>
      <c r="D129" s="109" t="str">
        <f t="shared" si="35"/>
        <v>/</v>
      </c>
      <c r="E129" s="109">
        <f ca="1">IF(表2_36716262930389121314151617[[#This Row],[累计净值]]/MAX(INDIRECT("B21:B" &amp; ROW()))-1&lt;E128,表2_36716262930389121314151617[[#This Row],[累计净值]]/MAX(INDIRECT("B21:B" &amp; ROW()))-1,E128)</f>
        <v>-1.0184060543772855E-2</v>
      </c>
      <c r="F129" s="110">
        <f>表2_36716262930389121314151617[[#This Row],[累计净值]]</f>
        <v>1.075</v>
      </c>
      <c r="G129" s="20">
        <f>IF(表2_36716262930389121314151617[[#This Row],[累计净值]]&gt;0.9999,0.7*(表2_36716262930389121314151617[[#This Row],[累计净值]]-0.9999),表2_36716262930389121314151617[[#This Row],[累计净值]]-0.9999)</f>
        <v>5.2569999999999957E-2</v>
      </c>
    </row>
    <row r="130" spans="1:7" x14ac:dyDescent="0.2">
      <c r="A130" s="15">
        <v>44119</v>
      </c>
      <c r="B130" s="112">
        <v>1.0755999999999999</v>
      </c>
      <c r="C130" s="108">
        <f t="shared" si="34"/>
        <v>5.9999999999993392E-4</v>
      </c>
      <c r="D130" s="109" t="str">
        <f t="shared" si="35"/>
        <v>/</v>
      </c>
      <c r="E130" s="109">
        <f ca="1">IF(表2_36716262930389121314151617[[#This Row],[累计净值]]/MAX(INDIRECT("B21:B" &amp; ROW()))-1&lt;E129,表2_36716262930389121314151617[[#This Row],[累计净值]]/MAX(INDIRECT("B21:B" &amp; ROW()))-1,E129)</f>
        <v>-1.0184060543772855E-2</v>
      </c>
      <c r="F130" s="110">
        <f>表2_36716262930389121314151617[[#This Row],[累计净值]]</f>
        <v>1.0755999999999999</v>
      </c>
      <c r="G130" s="20">
        <f>IF(表2_36716262930389121314151617[[#This Row],[累计净值]]&gt;0.9999,0.7*(表2_36716262930389121314151617[[#This Row],[累计净值]]-0.9999),表2_36716262930389121314151617[[#This Row],[累计净值]]-0.9999)</f>
        <v>5.2989999999999912E-2</v>
      </c>
    </row>
    <row r="131" spans="1:7" x14ac:dyDescent="0.2">
      <c r="A131" s="15">
        <v>44120</v>
      </c>
      <c r="B131" s="112">
        <v>1.0782</v>
      </c>
      <c r="C131" s="108">
        <f t="shared" si="34"/>
        <v>2.6000000000001577E-3</v>
      </c>
      <c r="D131" s="109" t="str">
        <f t="shared" si="35"/>
        <v>/</v>
      </c>
      <c r="E131" s="109">
        <f ca="1">IF(表2_36716262930389121314151617[[#This Row],[累计净值]]/MAX(INDIRECT("B21:B" &amp; ROW()))-1&lt;E130,表2_36716262930389121314151617[[#This Row],[累计净值]]/MAX(INDIRECT("B21:B" &amp; ROW()))-1,E130)</f>
        <v>-1.0184060543772855E-2</v>
      </c>
      <c r="F131" s="110">
        <f>表2_36716262930389121314151617[[#This Row],[累计净值]]</f>
        <v>1.0782</v>
      </c>
      <c r="G131" s="20">
        <f>IF(表2_36716262930389121314151617[[#This Row],[累计净值]]&gt;0.9999,0.7*(表2_36716262930389121314151617[[#This Row],[累计净值]]-0.9999),表2_36716262930389121314151617[[#This Row],[累计净值]]-0.9999)</f>
        <v>5.4810000000000018E-2</v>
      </c>
    </row>
    <row r="132" spans="1:7" x14ac:dyDescent="0.2">
      <c r="A132" s="15">
        <v>44123</v>
      </c>
      <c r="B132" s="112">
        <v>1.0769</v>
      </c>
      <c r="C132" s="108">
        <f t="shared" ref="C132:C137" si="36">IFERROR(B132-B131,0)</f>
        <v>-1.3000000000000789E-3</v>
      </c>
      <c r="D132" s="109">
        <f t="shared" ref="D132:D137" si="37">IF(C132&lt;0,C132,"/")</f>
        <v>-1.3000000000000789E-3</v>
      </c>
      <c r="E132" s="109">
        <f ca="1">IF(表2_36716262930389121314151617[[#This Row],[累计净值]]/MAX(INDIRECT("B21:B" &amp; ROW()))-1&lt;E131,表2_36716262930389121314151617[[#This Row],[累计净值]]/MAX(INDIRECT("B21:B" &amp; ROW()))-1,E131)</f>
        <v>-1.0184060543772855E-2</v>
      </c>
      <c r="F132" s="110">
        <f>表2_36716262930389121314151617[[#This Row],[累计净值]]</f>
        <v>1.0769</v>
      </c>
      <c r="G132" s="20">
        <f>IF(表2_36716262930389121314151617[[#This Row],[累计净值]]&gt;0.9999,0.7*(表2_36716262930389121314151617[[#This Row],[累计净值]]-0.9999),表2_36716262930389121314151617[[#This Row],[累计净值]]-0.9999)</f>
        <v>5.3899999999999969E-2</v>
      </c>
    </row>
    <row r="133" spans="1:7" x14ac:dyDescent="0.2">
      <c r="A133" s="15">
        <v>44124</v>
      </c>
      <c r="B133" s="112">
        <v>1.0762</v>
      </c>
      <c r="C133" s="108">
        <f t="shared" si="36"/>
        <v>-6.9999999999992291E-4</v>
      </c>
      <c r="D133" s="109">
        <f t="shared" si="37"/>
        <v>-6.9999999999992291E-4</v>
      </c>
      <c r="E133" s="109">
        <f ca="1">IF(表2_36716262930389121314151617[[#This Row],[累计净值]]/MAX(INDIRECT("B21:B" &amp; ROW()))-1&lt;E132,表2_36716262930389121314151617[[#This Row],[累计净值]]/MAX(INDIRECT("B21:B" &amp; ROW()))-1,E132)</f>
        <v>-1.0184060543772855E-2</v>
      </c>
      <c r="F133" s="110">
        <f>表2_36716262930389121314151617[[#This Row],[累计净值]]</f>
        <v>1.0762</v>
      </c>
      <c r="G133" s="20">
        <f>IF(表2_36716262930389121314151617[[#This Row],[累计净值]]&gt;0.9999,0.7*(表2_36716262930389121314151617[[#This Row],[累计净值]]-0.9999),表2_36716262930389121314151617[[#This Row],[累计净值]]-0.9999)</f>
        <v>5.341000000000002E-2</v>
      </c>
    </row>
    <row r="134" spans="1:7" x14ac:dyDescent="0.2">
      <c r="A134" s="15">
        <v>44125</v>
      </c>
      <c r="B134" s="112">
        <v>1.077</v>
      </c>
      <c r="C134" s="108">
        <f t="shared" si="36"/>
        <v>7.9999999999991189E-4</v>
      </c>
      <c r="D134" s="109" t="str">
        <f t="shared" si="37"/>
        <v>/</v>
      </c>
      <c r="E134" s="109">
        <f ca="1">IF(表2_36716262930389121314151617[[#This Row],[累计净值]]/MAX(INDIRECT("B21:B" &amp; ROW()))-1&lt;E133,表2_36716262930389121314151617[[#This Row],[累计净值]]/MAX(INDIRECT("B21:B" &amp; ROW()))-1,E133)</f>
        <v>-1.0184060543772855E-2</v>
      </c>
      <c r="F134" s="110">
        <f>表2_36716262930389121314151617[[#This Row],[累计净值]]</f>
        <v>1.077</v>
      </c>
      <c r="G134" s="20">
        <f>IF(表2_36716262930389121314151617[[#This Row],[累计净值]]&gt;0.9999,0.7*(表2_36716262930389121314151617[[#This Row],[累计净值]]-0.9999),表2_36716262930389121314151617[[#This Row],[累计净值]]-0.9999)</f>
        <v>5.3969999999999962E-2</v>
      </c>
    </row>
    <row r="135" spans="1:7" x14ac:dyDescent="0.2">
      <c r="A135" s="15">
        <v>44126</v>
      </c>
      <c r="B135" s="112">
        <v>1.0786</v>
      </c>
      <c r="C135" s="108">
        <f t="shared" si="36"/>
        <v>1.6000000000000458E-3</v>
      </c>
      <c r="D135" s="109" t="str">
        <f t="shared" si="37"/>
        <v>/</v>
      </c>
      <c r="E135" s="109">
        <f ca="1">IF(表2_36716262930389121314151617[[#This Row],[累计净值]]/MAX(INDIRECT("B21:B" &amp; ROW()))-1&lt;E134,表2_36716262930389121314151617[[#This Row],[累计净值]]/MAX(INDIRECT("B21:B" &amp; ROW()))-1,E134)</f>
        <v>-1.0184060543772855E-2</v>
      </c>
      <c r="F135" s="110">
        <f>表2_36716262930389121314151617[[#This Row],[累计净值]]</f>
        <v>1.0786</v>
      </c>
      <c r="G135" s="20">
        <f>IF(表2_36716262930389121314151617[[#This Row],[累计净值]]&gt;0.9999,0.7*(表2_36716262930389121314151617[[#This Row],[累计净值]]-0.9999),表2_36716262930389121314151617[[#This Row],[累计净值]]-0.9999)</f>
        <v>5.5089999999999993E-2</v>
      </c>
    </row>
    <row r="136" spans="1:7" x14ac:dyDescent="0.2">
      <c r="A136" s="15">
        <v>44127</v>
      </c>
      <c r="B136" s="112">
        <v>1.0775999999999999</v>
      </c>
      <c r="C136" s="108">
        <f t="shared" si="36"/>
        <v>-1.0000000000001119E-3</v>
      </c>
      <c r="D136" s="109">
        <f t="shared" si="37"/>
        <v>-1.0000000000001119E-3</v>
      </c>
      <c r="E136" s="109">
        <f ca="1">IF(表2_36716262930389121314151617[[#This Row],[累计净值]]/MAX(INDIRECT("B21:B" &amp; ROW()))-1&lt;E135,表2_36716262930389121314151617[[#This Row],[累计净值]]/MAX(INDIRECT("B21:B" &amp; ROW()))-1,E135)</f>
        <v>-1.0184060543772855E-2</v>
      </c>
      <c r="F136" s="110">
        <f>表2_36716262930389121314151617[[#This Row],[累计净值]]</f>
        <v>1.0775999999999999</v>
      </c>
      <c r="G136" s="20">
        <f>IF(表2_36716262930389121314151617[[#This Row],[累计净值]]&gt;0.9999,0.7*(表2_36716262930389121314151617[[#This Row],[累计净值]]-0.9999),表2_36716262930389121314151617[[#This Row],[累计净值]]-0.9999)</f>
        <v>5.4389999999999911E-2</v>
      </c>
    </row>
    <row r="137" spans="1:7" x14ac:dyDescent="0.2">
      <c r="A137" s="15">
        <v>44130</v>
      </c>
      <c r="B137" s="112">
        <v>1.08</v>
      </c>
      <c r="C137" s="108">
        <f t="shared" si="36"/>
        <v>2.4000000000001798E-3</v>
      </c>
      <c r="D137" s="109" t="str">
        <f t="shared" si="37"/>
        <v>/</v>
      </c>
      <c r="E137" s="109">
        <f ca="1">IF(表2_36716262930389121314151617[[#This Row],[累计净值]]/MAX(INDIRECT("B21:B" &amp; ROW()))-1&lt;E136,表2_36716262930389121314151617[[#This Row],[累计净值]]/MAX(INDIRECT("B21:B" &amp; ROW()))-1,E136)</f>
        <v>-1.0184060543772855E-2</v>
      </c>
      <c r="F137" s="110">
        <f>表2_36716262930389121314151617[[#This Row],[累计净值]]</f>
        <v>1.08</v>
      </c>
      <c r="G137" s="20">
        <f>IF(表2_36716262930389121314151617[[#This Row],[累计净值]]&gt;0.9999,0.7*(表2_36716262930389121314151617[[#This Row],[累计净值]]-0.9999),表2_36716262930389121314151617[[#This Row],[累计净值]]-0.9999)</f>
        <v>5.6070000000000036E-2</v>
      </c>
    </row>
    <row r="138" spans="1:7" x14ac:dyDescent="0.2">
      <c r="A138" s="15">
        <v>44131</v>
      </c>
      <c r="B138" s="112">
        <v>1.0808</v>
      </c>
      <c r="C138" s="108">
        <f t="shared" ref="C138:C143" si="38">IFERROR(B138-B137,0)</f>
        <v>7.9999999999991189E-4</v>
      </c>
      <c r="D138" s="109" t="str">
        <f t="shared" ref="D138:D143" si="39">IF(C138&lt;0,C138,"/")</f>
        <v>/</v>
      </c>
      <c r="E138" s="109">
        <f ca="1">IF(表2_36716262930389121314151617[[#This Row],[累计净值]]/MAX(INDIRECT("B21:B" &amp; ROW()))-1&lt;E137,表2_36716262930389121314151617[[#This Row],[累计净值]]/MAX(INDIRECT("B21:B" &amp; ROW()))-1,E137)</f>
        <v>-1.0184060543772855E-2</v>
      </c>
      <c r="F138" s="110">
        <f>表2_36716262930389121314151617[[#This Row],[累计净值]]</f>
        <v>1.0808</v>
      </c>
      <c r="G138" s="20">
        <f>IF(表2_36716262930389121314151617[[#This Row],[累计净值]]&gt;0.9999,0.7*(表2_36716262930389121314151617[[#This Row],[累计净值]]-0.9999),表2_36716262930389121314151617[[#This Row],[累计净值]]-0.9999)</f>
        <v>5.6629999999999979E-2</v>
      </c>
    </row>
    <row r="139" spans="1:7" x14ac:dyDescent="0.2">
      <c r="A139" s="15">
        <v>44132</v>
      </c>
      <c r="B139" s="112">
        <v>1.0817000000000001</v>
      </c>
      <c r="C139" s="108">
        <f t="shared" si="38"/>
        <v>9.0000000000012292E-4</v>
      </c>
      <c r="D139" s="109" t="str">
        <f t="shared" si="39"/>
        <v>/</v>
      </c>
      <c r="E139" s="109">
        <f ca="1">IF(表2_36716262930389121314151617[[#This Row],[累计净值]]/MAX(INDIRECT("B21:B" &amp; ROW()))-1&lt;E138,表2_36716262930389121314151617[[#This Row],[累计净值]]/MAX(INDIRECT("B21:B" &amp; ROW()))-1,E138)</f>
        <v>-1.0184060543772855E-2</v>
      </c>
      <c r="F139" s="110">
        <f>表2_36716262930389121314151617[[#This Row],[累计净值]]</f>
        <v>1.0817000000000001</v>
      </c>
      <c r="G139" s="20">
        <f>IF(表2_36716262930389121314151617[[#This Row],[累计净值]]&gt;0.9999,0.7*(表2_36716262930389121314151617[[#This Row],[累计净值]]-0.9999),表2_36716262930389121314151617[[#This Row],[累计净值]]-0.9999)</f>
        <v>5.7260000000000061E-2</v>
      </c>
    </row>
    <row r="140" spans="1:7" x14ac:dyDescent="0.2">
      <c r="A140" s="15">
        <v>44133</v>
      </c>
      <c r="B140" s="112">
        <v>1.0853999999999999</v>
      </c>
      <c r="C140" s="108">
        <f t="shared" si="38"/>
        <v>3.6999999999998145E-3</v>
      </c>
      <c r="D140" s="109" t="str">
        <f t="shared" si="39"/>
        <v>/</v>
      </c>
      <c r="E140" s="109">
        <f ca="1">IF(表2_36716262930389121314151617[[#This Row],[累计净值]]/MAX(INDIRECT("B21:B" &amp; ROW()))-1&lt;E139,表2_36716262930389121314151617[[#This Row],[累计净值]]/MAX(INDIRECT("B21:B" &amp; ROW()))-1,E139)</f>
        <v>-1.0184060543772855E-2</v>
      </c>
      <c r="F140" s="110">
        <f>表2_36716262930389121314151617[[#This Row],[累计净值]]</f>
        <v>1.0853999999999999</v>
      </c>
      <c r="G140" s="20">
        <f>IF(表2_36716262930389121314151617[[#This Row],[累计净值]]&gt;0.9999,0.7*(表2_36716262930389121314151617[[#This Row],[累计净值]]-0.9999),表2_36716262930389121314151617[[#This Row],[累计净值]]-0.9999)</f>
        <v>5.9849999999999931E-2</v>
      </c>
    </row>
    <row r="141" spans="1:7" x14ac:dyDescent="0.2">
      <c r="A141" s="15">
        <v>44134</v>
      </c>
      <c r="B141" s="112">
        <v>1.0864</v>
      </c>
      <c r="C141" s="108">
        <f t="shared" si="38"/>
        <v>1.0000000000001119E-3</v>
      </c>
      <c r="D141" s="109" t="str">
        <f t="shared" si="39"/>
        <v>/</v>
      </c>
      <c r="E141" s="109">
        <f ca="1">IF(表2_36716262930389121314151617[[#This Row],[累计净值]]/MAX(INDIRECT("B21:B" &amp; ROW()))-1&lt;E140,表2_36716262930389121314151617[[#This Row],[累计净值]]/MAX(INDIRECT("B21:B" &amp; ROW()))-1,E140)</f>
        <v>-1.0184060543772855E-2</v>
      </c>
      <c r="F141" s="110">
        <f>表2_36716262930389121314151617[[#This Row],[累计净值]]</f>
        <v>1.0864</v>
      </c>
      <c r="G141" s="20">
        <f>IF(表2_36716262930389121314151617[[#This Row],[累计净值]]&gt;0.9999,0.7*(表2_36716262930389121314151617[[#This Row],[累计净值]]-0.9999),表2_36716262930389121314151617[[#This Row],[累计净值]]-0.9999)</f>
        <v>6.0550000000000014E-2</v>
      </c>
    </row>
    <row r="142" spans="1:7" x14ac:dyDescent="0.2">
      <c r="A142" s="15">
        <v>44137</v>
      </c>
      <c r="B142" s="112">
        <v>1.0867</v>
      </c>
      <c r="C142" s="108">
        <f t="shared" si="38"/>
        <v>2.9999999999996696E-4</v>
      </c>
      <c r="D142" s="109" t="str">
        <f t="shared" si="39"/>
        <v>/</v>
      </c>
      <c r="E142" s="109">
        <f ca="1">IF(表2_36716262930389121314151617[[#This Row],[累计净值]]/MAX(INDIRECT("B21:B" &amp; ROW()))-1&lt;E141,表2_36716262930389121314151617[[#This Row],[累计净值]]/MAX(INDIRECT("B21:B" &amp; ROW()))-1,E141)</f>
        <v>-1.0184060543772855E-2</v>
      </c>
      <c r="F142" s="110">
        <f>表2_36716262930389121314151617[[#This Row],[累计净值]]</f>
        <v>1.0867</v>
      </c>
      <c r="G142" s="20">
        <f>IF(表2_36716262930389121314151617[[#This Row],[累计净值]]&gt;0.9999,0.7*(表2_36716262930389121314151617[[#This Row],[累计净值]]-0.9999),表2_36716262930389121314151617[[#This Row],[累计净值]]-0.9999)</f>
        <v>6.0759999999999988E-2</v>
      </c>
    </row>
    <row r="143" spans="1:7" x14ac:dyDescent="0.2">
      <c r="A143" s="15">
        <v>44138</v>
      </c>
      <c r="B143" s="112">
        <v>1.0888</v>
      </c>
      <c r="C143" s="108">
        <f t="shared" si="38"/>
        <v>2.0999999999999908E-3</v>
      </c>
      <c r="D143" s="109" t="str">
        <f t="shared" si="39"/>
        <v>/</v>
      </c>
      <c r="E143" s="109">
        <f ca="1">IF(表2_36716262930389121314151617[[#This Row],[累计净值]]/MAX(INDIRECT("B21:B" &amp; ROW()))-1&lt;E142,表2_36716262930389121314151617[[#This Row],[累计净值]]/MAX(INDIRECT("B21:B" &amp; ROW()))-1,E142)</f>
        <v>-1.0184060543772855E-2</v>
      </c>
      <c r="F143" s="110">
        <f>表2_36716262930389121314151617[[#This Row],[累计净值]]</f>
        <v>1.0888</v>
      </c>
      <c r="G143" s="20">
        <f>IF(表2_36716262930389121314151617[[#This Row],[累计净值]]&gt;0.9999,0.7*(表2_36716262930389121314151617[[#This Row],[累计净值]]-0.9999),表2_36716262930389121314151617[[#This Row],[累计净值]]-0.9999)</f>
        <v>6.222999999999998E-2</v>
      </c>
    </row>
    <row r="144" spans="1:7" x14ac:dyDescent="0.2">
      <c r="A144" s="15">
        <v>44139</v>
      </c>
      <c r="B144" s="112">
        <v>1.0893999999999999</v>
      </c>
      <c r="C144" s="108">
        <f t="shared" ref="C144:C149" si="40">IFERROR(B144-B143,0)</f>
        <v>5.9999999999993392E-4</v>
      </c>
      <c r="D144" s="109" t="str">
        <f t="shared" ref="D144:D149" si="41">IF(C144&lt;0,C144,"/")</f>
        <v>/</v>
      </c>
      <c r="E144" s="109">
        <f ca="1">IF(表2_36716262930389121314151617[[#This Row],[累计净值]]/MAX(INDIRECT("B21:B" &amp; ROW()))-1&lt;E143,表2_36716262930389121314151617[[#This Row],[累计净值]]/MAX(INDIRECT("B21:B" &amp; ROW()))-1,E143)</f>
        <v>-1.0184060543772855E-2</v>
      </c>
      <c r="F144" s="110">
        <f>表2_36716262930389121314151617[[#This Row],[累计净值]]</f>
        <v>1.0893999999999999</v>
      </c>
      <c r="G144" s="20">
        <f>IF(表2_36716262930389121314151617[[#This Row],[累计净值]]&gt;0.9999,0.7*(表2_36716262930389121314151617[[#This Row],[累计净值]]-0.9999),表2_36716262930389121314151617[[#This Row],[累计净值]]-0.9999)</f>
        <v>6.2649999999999942E-2</v>
      </c>
    </row>
    <row r="145" spans="1:7" x14ac:dyDescent="0.2">
      <c r="A145" s="15">
        <v>44140</v>
      </c>
      <c r="B145" s="112">
        <v>1.0904</v>
      </c>
      <c r="C145" s="108">
        <f t="shared" si="40"/>
        <v>1.0000000000001119E-3</v>
      </c>
      <c r="D145" s="109" t="str">
        <f t="shared" si="41"/>
        <v>/</v>
      </c>
      <c r="E145" s="109">
        <f ca="1">IF(表2_36716262930389121314151617[[#This Row],[累计净值]]/MAX(INDIRECT("B21:B" &amp; ROW()))-1&lt;E144,表2_36716262930389121314151617[[#This Row],[累计净值]]/MAX(INDIRECT("B21:B" &amp; ROW()))-1,E144)</f>
        <v>-1.0184060543772855E-2</v>
      </c>
      <c r="F145" s="110">
        <f>表2_36716262930389121314151617[[#This Row],[累计净值]]</f>
        <v>1.0904</v>
      </c>
      <c r="G145" s="20">
        <f>IF(表2_36716262930389121314151617[[#This Row],[累计净值]]&gt;0.9999,0.7*(表2_36716262930389121314151617[[#This Row],[累计净值]]-0.9999),表2_36716262930389121314151617[[#This Row],[累计净值]]-0.9999)</f>
        <v>6.3350000000000017E-2</v>
      </c>
    </row>
    <row r="146" spans="1:7" x14ac:dyDescent="0.2">
      <c r="A146" s="15">
        <v>44141</v>
      </c>
      <c r="B146" s="112">
        <v>1.091</v>
      </c>
      <c r="C146" s="108">
        <f t="shared" si="40"/>
        <v>5.9999999999993392E-4</v>
      </c>
      <c r="D146" s="109" t="str">
        <f t="shared" si="41"/>
        <v>/</v>
      </c>
      <c r="E146" s="109">
        <f ca="1">IF(表2_36716262930389121314151617[[#This Row],[累计净值]]/MAX(INDIRECT("B21:B" &amp; ROW()))-1&lt;E145,表2_36716262930389121314151617[[#This Row],[累计净值]]/MAX(INDIRECT("B21:B" &amp; ROW()))-1,E145)</f>
        <v>-1.0184060543772855E-2</v>
      </c>
      <c r="F146" s="110">
        <f>表2_36716262930389121314151617[[#This Row],[累计净值]]</f>
        <v>1.091</v>
      </c>
      <c r="G146" s="20">
        <f>IF(表2_36716262930389121314151617[[#This Row],[累计净值]]&gt;0.9999,0.7*(表2_36716262930389121314151617[[#This Row],[累计净值]]-0.9999),表2_36716262930389121314151617[[#This Row],[累计净值]]-0.9999)</f>
        <v>6.3769999999999966E-2</v>
      </c>
    </row>
    <row r="147" spans="1:7" x14ac:dyDescent="0.2">
      <c r="A147" s="15">
        <v>44144</v>
      </c>
      <c r="B147" s="112">
        <v>1.0940000000000001</v>
      </c>
      <c r="C147" s="108">
        <f t="shared" si="40"/>
        <v>3.0000000000001137E-3</v>
      </c>
      <c r="D147" s="109" t="str">
        <f t="shared" si="41"/>
        <v>/</v>
      </c>
      <c r="E147" s="109">
        <f ca="1">IF(表2_36716262930389121314151617[[#This Row],[累计净值]]/MAX(INDIRECT("B21:B" &amp; ROW()))-1&lt;E146,表2_36716262930389121314151617[[#This Row],[累计净值]]/MAX(INDIRECT("B21:B" &amp; ROW()))-1,E146)</f>
        <v>-1.0184060543772855E-2</v>
      </c>
      <c r="F147" s="110">
        <f>表2_36716262930389121314151617[[#This Row],[累计净值]]</f>
        <v>1.0940000000000001</v>
      </c>
      <c r="G147" s="20">
        <f>IF(表2_36716262930389121314151617[[#This Row],[累计净值]]&gt;0.9999,0.7*(表2_36716262930389121314151617[[#This Row],[累计净值]]-0.9999),表2_36716262930389121314151617[[#This Row],[累计净值]]-0.9999)</f>
        <v>6.587000000000004E-2</v>
      </c>
    </row>
    <row r="148" spans="1:7" x14ac:dyDescent="0.2">
      <c r="A148" s="15">
        <v>44145</v>
      </c>
      <c r="B148" s="112">
        <v>1.097</v>
      </c>
      <c r="C148" s="108">
        <f t="shared" si="40"/>
        <v>2.9999999999998916E-3</v>
      </c>
      <c r="D148" s="109" t="str">
        <f t="shared" si="41"/>
        <v>/</v>
      </c>
      <c r="E148" s="109">
        <f ca="1">IF(表2_36716262930389121314151617[[#This Row],[累计净值]]/MAX(INDIRECT("B21:B" &amp; ROW()))-1&lt;E147,表2_36716262930389121314151617[[#This Row],[累计净值]]/MAX(INDIRECT("B21:B" &amp; ROW()))-1,E147)</f>
        <v>-1.0184060543772855E-2</v>
      </c>
      <c r="F148" s="110">
        <f>表2_36716262930389121314151617[[#This Row],[累计净值]]</f>
        <v>1.097</v>
      </c>
      <c r="G148" s="20">
        <f>IF(表2_36716262930389121314151617[[#This Row],[累计净值]]&gt;0.9999,0.7*(表2_36716262930389121314151617[[#This Row],[累计净值]]-0.9999),表2_36716262930389121314151617[[#This Row],[累计净值]]-0.9999)</f>
        <v>6.7969999999999975E-2</v>
      </c>
    </row>
    <row r="149" spans="1:7" x14ac:dyDescent="0.2">
      <c r="A149" s="15">
        <v>44146</v>
      </c>
      <c r="B149" s="112">
        <v>1.0980000000000001</v>
      </c>
      <c r="C149" s="108">
        <f t="shared" si="40"/>
        <v>1.0000000000001119E-3</v>
      </c>
      <c r="D149" s="109" t="str">
        <f t="shared" si="41"/>
        <v>/</v>
      </c>
      <c r="E149" s="109">
        <f ca="1">IF(表2_36716262930389121314151617[[#This Row],[累计净值]]/MAX(INDIRECT("B21:B" &amp; ROW()))-1&lt;E148,表2_36716262930389121314151617[[#This Row],[累计净值]]/MAX(INDIRECT("B21:B" &amp; ROW()))-1,E148)</f>
        <v>-1.0184060543772855E-2</v>
      </c>
      <c r="F149" s="110">
        <f>表2_36716262930389121314151617[[#This Row],[累计净值]]</f>
        <v>1.0980000000000001</v>
      </c>
      <c r="G149" s="20">
        <f>IF(表2_36716262930389121314151617[[#This Row],[累计净值]]&gt;0.9999,0.7*(表2_36716262930389121314151617[[#This Row],[累计净值]]-0.9999),表2_36716262930389121314151617[[#This Row],[累计净值]]-0.9999)</f>
        <v>6.867000000000005E-2</v>
      </c>
    </row>
    <row r="150" spans="1:7" x14ac:dyDescent="0.2">
      <c r="A150" s="15">
        <v>44147</v>
      </c>
      <c r="B150" s="112">
        <v>1.0975999999999999</v>
      </c>
      <c r="C150" s="108">
        <f t="shared" ref="C150:C155" si="42">IFERROR(B150-B149,0)</f>
        <v>-4.0000000000017799E-4</v>
      </c>
      <c r="D150" s="109">
        <f t="shared" ref="D150:D155" si="43">IF(C150&lt;0,C150,"/")</f>
        <v>-4.0000000000017799E-4</v>
      </c>
      <c r="E150" s="109">
        <f ca="1">IF(表2_36716262930389121314151617[[#This Row],[累计净值]]/MAX(INDIRECT("B21:B" &amp; ROW()))-1&lt;E149,表2_36716262930389121314151617[[#This Row],[累计净值]]/MAX(INDIRECT("B21:B" &amp; ROW()))-1,E149)</f>
        <v>-1.0184060543772855E-2</v>
      </c>
      <c r="F150" s="110">
        <f>表2_36716262930389121314151617[[#This Row],[累计净值]]</f>
        <v>1.0975999999999999</v>
      </c>
      <c r="G150" s="20">
        <f>IF(表2_36716262930389121314151617[[#This Row],[累计净值]]&gt;0.9999,0.7*(表2_36716262930389121314151617[[#This Row],[累计净值]]-0.9999),表2_36716262930389121314151617[[#This Row],[累计净值]]-0.9999)</f>
        <v>6.8389999999999923E-2</v>
      </c>
    </row>
    <row r="151" spans="1:7" x14ac:dyDescent="0.2">
      <c r="A151" s="15">
        <v>44148</v>
      </c>
      <c r="B151" s="112">
        <v>1.0981000000000001</v>
      </c>
      <c r="C151" s="108">
        <f t="shared" si="42"/>
        <v>5.0000000000016698E-4</v>
      </c>
      <c r="D151" s="109" t="str">
        <f t="shared" si="43"/>
        <v>/</v>
      </c>
      <c r="E151" s="109">
        <f ca="1">IF(表2_36716262930389121314151617[[#This Row],[累计净值]]/MAX(INDIRECT("B21:B" &amp; ROW()))-1&lt;E150,表2_36716262930389121314151617[[#This Row],[累计净值]]/MAX(INDIRECT("B21:B" &amp; ROW()))-1,E150)</f>
        <v>-1.0184060543772855E-2</v>
      </c>
      <c r="F151" s="110">
        <f>表2_36716262930389121314151617[[#This Row],[累计净值]]</f>
        <v>1.0981000000000001</v>
      </c>
      <c r="G151" s="20">
        <f>IF(表2_36716262930389121314151617[[#This Row],[累计净值]]&gt;0.9999,0.7*(表2_36716262930389121314151617[[#This Row],[累计净值]]-0.9999),表2_36716262930389121314151617[[#This Row],[累计净值]]-0.9999)</f>
        <v>6.8740000000000037E-2</v>
      </c>
    </row>
    <row r="152" spans="1:7" x14ac:dyDescent="0.2">
      <c r="A152" s="15">
        <v>44151</v>
      </c>
      <c r="B152" s="112">
        <v>1.0972</v>
      </c>
      <c r="C152" s="108">
        <f t="shared" si="42"/>
        <v>-9.0000000000012292E-4</v>
      </c>
      <c r="D152" s="109">
        <f t="shared" si="43"/>
        <v>-9.0000000000012292E-4</v>
      </c>
      <c r="E152" s="109">
        <f ca="1">IF(表2_36716262930389121314151617[[#This Row],[累计净值]]/MAX(INDIRECT("B21:B" &amp; ROW()))-1&lt;E151,表2_36716262930389121314151617[[#This Row],[累计净值]]/MAX(INDIRECT("B21:B" &amp; ROW()))-1,E151)</f>
        <v>-1.0184060543772855E-2</v>
      </c>
      <c r="F152" s="110">
        <f>表2_36716262930389121314151617[[#This Row],[累计净值]]</f>
        <v>1.0972</v>
      </c>
      <c r="G152" s="20">
        <f>IF(表2_36716262930389121314151617[[#This Row],[累计净值]]&gt;0.9999,0.7*(表2_36716262930389121314151617[[#This Row],[累计净值]]-0.9999),表2_36716262930389121314151617[[#This Row],[累计净值]]-0.9999)</f>
        <v>6.8109999999999948E-2</v>
      </c>
    </row>
    <row r="153" spans="1:7" x14ac:dyDescent="0.2">
      <c r="A153" s="15">
        <v>44152</v>
      </c>
      <c r="B153" s="112">
        <v>1.1032999999999999</v>
      </c>
      <c r="C153" s="108">
        <f t="shared" si="42"/>
        <v>6.0999999999999943E-3</v>
      </c>
      <c r="D153" s="109" t="str">
        <f t="shared" si="43"/>
        <v>/</v>
      </c>
      <c r="E153" s="109">
        <f ca="1">IF(表2_36716262930389121314151617[[#This Row],[累计净值]]/MAX(INDIRECT("B21:B" &amp; ROW()))-1&lt;E152,表2_36716262930389121314151617[[#This Row],[累计净值]]/MAX(INDIRECT("B21:B" &amp; ROW()))-1,E152)</f>
        <v>-1.0184060543772855E-2</v>
      </c>
      <c r="F153" s="110">
        <f>表2_36716262930389121314151617[[#This Row],[累计净值]]</f>
        <v>1.1032999999999999</v>
      </c>
      <c r="G153" s="20">
        <f>IF(表2_36716262930389121314151617[[#This Row],[累计净值]]&gt;0.9999,0.7*(表2_36716262930389121314151617[[#This Row],[累计净值]]-0.9999),表2_36716262930389121314151617[[#This Row],[累计净值]]-0.9999)</f>
        <v>7.2379999999999944E-2</v>
      </c>
    </row>
    <row r="154" spans="1:7" x14ac:dyDescent="0.2">
      <c r="A154" s="15">
        <v>44153</v>
      </c>
      <c r="B154" s="112">
        <v>1.1004</v>
      </c>
      <c r="C154" s="108">
        <f t="shared" si="42"/>
        <v>-2.8999999999999027E-3</v>
      </c>
      <c r="D154" s="109">
        <f t="shared" si="43"/>
        <v>-2.8999999999999027E-3</v>
      </c>
      <c r="E154" s="109">
        <f ca="1">IF(表2_36716262930389121314151617[[#This Row],[累计净值]]/MAX(INDIRECT("B21:B" &amp; ROW()))-1&lt;E153,表2_36716262930389121314151617[[#This Row],[累计净值]]/MAX(INDIRECT("B21:B" &amp; ROW()))-1,E153)</f>
        <v>-1.0184060543772855E-2</v>
      </c>
      <c r="F154" s="110">
        <f>表2_36716262930389121314151617[[#This Row],[累计净值]]</f>
        <v>1.1004</v>
      </c>
      <c r="G154" s="20">
        <f>IF(表2_36716262930389121314151617[[#This Row],[累计净值]]&gt;0.9999,0.7*(表2_36716262930389121314151617[[#This Row],[累计净值]]-0.9999),表2_36716262930389121314151617[[#This Row],[累计净值]]-0.9999)</f>
        <v>7.0350000000000024E-2</v>
      </c>
    </row>
    <row r="155" spans="1:7" x14ac:dyDescent="0.2">
      <c r="A155" s="15">
        <v>44154</v>
      </c>
      <c r="B155" s="112">
        <v>1.1028</v>
      </c>
      <c r="C155" s="108">
        <f t="shared" si="42"/>
        <v>2.3999999999999577E-3</v>
      </c>
      <c r="D155" s="109" t="str">
        <f t="shared" si="43"/>
        <v>/</v>
      </c>
      <c r="E155" s="109">
        <f ca="1">IF(表2_36716262930389121314151617[[#This Row],[累计净值]]/MAX(INDIRECT("B21:B" &amp; ROW()))-1&lt;E154,表2_36716262930389121314151617[[#This Row],[累计净值]]/MAX(INDIRECT("B21:B" &amp; ROW()))-1,E154)</f>
        <v>-1.0184060543772855E-2</v>
      </c>
      <c r="F155" s="110">
        <f>表2_36716262930389121314151617[[#This Row],[累计净值]]</f>
        <v>1.1028</v>
      </c>
      <c r="G155" s="20">
        <f>IF(表2_36716262930389121314151617[[#This Row],[累计净值]]&gt;0.9999,0.7*(表2_36716262930389121314151617[[#This Row],[累计净值]]-0.9999),表2_36716262930389121314151617[[#This Row],[累计净值]]-0.9999)</f>
        <v>7.2029999999999983E-2</v>
      </c>
    </row>
    <row r="156" spans="1:7" x14ac:dyDescent="0.2">
      <c r="A156" s="15">
        <v>44155</v>
      </c>
      <c r="B156" s="112">
        <v>1.1028</v>
      </c>
      <c r="C156" s="108">
        <f t="shared" ref="C156:C161" si="44">IFERROR(B156-B155,0)</f>
        <v>0</v>
      </c>
      <c r="D156" s="109" t="str">
        <f t="shared" ref="D156:D161" si="45">IF(C156&lt;0,C156,"/")</f>
        <v>/</v>
      </c>
      <c r="E156" s="109">
        <f ca="1">IF(表2_36716262930389121314151617[[#This Row],[累计净值]]/MAX(INDIRECT("B21:B" &amp; ROW()))-1&lt;E155,表2_36716262930389121314151617[[#This Row],[累计净值]]/MAX(INDIRECT("B21:B" &amp; ROW()))-1,E155)</f>
        <v>-1.0184060543772855E-2</v>
      </c>
      <c r="F156" s="110">
        <f>表2_36716262930389121314151617[[#This Row],[累计净值]]</f>
        <v>1.1028</v>
      </c>
      <c r="G156" s="20">
        <f>IF(表2_36716262930389121314151617[[#This Row],[累计净值]]&gt;0.9999,0.7*(表2_36716262930389121314151617[[#This Row],[累计净值]]-0.9999),表2_36716262930389121314151617[[#This Row],[累计净值]]-0.9999)</f>
        <v>7.2029999999999983E-2</v>
      </c>
    </row>
    <row r="157" spans="1:7" x14ac:dyDescent="0.2">
      <c r="A157" s="15">
        <v>44158</v>
      </c>
      <c r="B157" s="112">
        <v>1.0993999999999999</v>
      </c>
      <c r="C157" s="108">
        <f t="shared" si="44"/>
        <v>-3.4000000000000696E-3</v>
      </c>
      <c r="D157" s="109">
        <f t="shared" si="45"/>
        <v>-3.4000000000000696E-3</v>
      </c>
      <c r="E157" s="109">
        <f ca="1">IF(表2_36716262930389121314151617[[#This Row],[累计净值]]/MAX(INDIRECT("B21:B" &amp; ROW()))-1&lt;E156,表2_36716262930389121314151617[[#This Row],[累计净值]]/MAX(INDIRECT("B21:B" &amp; ROW()))-1,E156)</f>
        <v>-1.0184060543772855E-2</v>
      </c>
      <c r="F157" s="110">
        <f>表2_36716262930389121314151617[[#This Row],[累计净值]]</f>
        <v>1.0993999999999999</v>
      </c>
      <c r="G157" s="20">
        <f>IF(表2_36716262930389121314151617[[#This Row],[累计净值]]&gt;0.9999,0.7*(表2_36716262930389121314151617[[#This Row],[累计净值]]-0.9999),表2_36716262930389121314151617[[#This Row],[累计净值]]-0.9999)</f>
        <v>6.9649999999999934E-2</v>
      </c>
    </row>
    <row r="158" spans="1:7" x14ac:dyDescent="0.2">
      <c r="A158" s="15">
        <v>44159</v>
      </c>
      <c r="B158" s="112">
        <v>1.1017999999999999</v>
      </c>
      <c r="C158" s="108">
        <f t="shared" si="44"/>
        <v>2.3999999999999577E-3</v>
      </c>
      <c r="D158" s="109" t="str">
        <f t="shared" si="45"/>
        <v>/</v>
      </c>
      <c r="E158" s="109">
        <f ca="1">IF(表2_36716262930389121314151617[[#This Row],[累计净值]]/MAX(INDIRECT("B21:B" &amp; ROW()))-1&lt;E157,表2_36716262930389121314151617[[#This Row],[累计净值]]/MAX(INDIRECT("B21:B" &amp; ROW()))-1,E157)</f>
        <v>-1.0184060543772855E-2</v>
      </c>
      <c r="F158" s="110">
        <f>表2_36716262930389121314151617[[#This Row],[累计净值]]</f>
        <v>1.1017999999999999</v>
      </c>
      <c r="G158" s="20">
        <f>IF(表2_36716262930389121314151617[[#This Row],[累计净值]]&gt;0.9999,0.7*(表2_36716262930389121314151617[[#This Row],[累计净值]]-0.9999),表2_36716262930389121314151617[[#This Row],[累计净值]]-0.9999)</f>
        <v>7.1329999999999907E-2</v>
      </c>
    </row>
    <row r="159" spans="1:7" x14ac:dyDescent="0.2">
      <c r="A159" s="15">
        <v>44160</v>
      </c>
      <c r="B159" s="112">
        <v>1.0956999999999999</v>
      </c>
      <c r="C159" s="108">
        <f t="shared" si="44"/>
        <v>-6.0999999999999943E-3</v>
      </c>
      <c r="D159" s="109">
        <f t="shared" si="45"/>
        <v>-6.0999999999999943E-3</v>
      </c>
      <c r="E159" s="109">
        <f ca="1">IF(表2_36716262930389121314151617[[#This Row],[累计净值]]/MAX(INDIRECT("B21:B" &amp; ROW()))-1&lt;E158,表2_36716262930389121314151617[[#This Row],[累计净值]]/MAX(INDIRECT("B21:B" &amp; ROW()))-1,E158)</f>
        <v>-1.0184060543772855E-2</v>
      </c>
      <c r="F159" s="110">
        <f>表2_36716262930389121314151617[[#This Row],[累计净值]]</f>
        <v>1.0956999999999999</v>
      </c>
      <c r="G159" s="20">
        <f>IF(表2_36716262930389121314151617[[#This Row],[累计净值]]&gt;0.9999,0.7*(表2_36716262930389121314151617[[#This Row],[累计净值]]-0.9999),表2_36716262930389121314151617[[#This Row],[累计净值]]-0.9999)</f>
        <v>6.7059999999999911E-2</v>
      </c>
    </row>
    <row r="160" spans="1:7" x14ac:dyDescent="0.2">
      <c r="A160" s="15">
        <v>44161</v>
      </c>
      <c r="B160" s="112">
        <v>1.1032</v>
      </c>
      <c r="C160" s="108">
        <f t="shared" si="44"/>
        <v>7.5000000000000622E-3</v>
      </c>
      <c r="D160" s="109" t="str">
        <f t="shared" si="45"/>
        <v>/</v>
      </c>
      <c r="E160" s="109">
        <f ca="1">IF(表2_36716262930389121314151617[[#This Row],[累计净值]]/MAX(INDIRECT("B21:B" &amp; ROW()))-1&lt;E159,表2_36716262930389121314151617[[#This Row],[累计净值]]/MAX(INDIRECT("B21:B" &amp; ROW()))-1,E159)</f>
        <v>-1.0184060543772855E-2</v>
      </c>
      <c r="F160" s="110">
        <f>表2_36716262930389121314151617[[#This Row],[累计净值]]</f>
        <v>1.1032</v>
      </c>
      <c r="G160" s="20">
        <f>IF(表2_36716262930389121314151617[[#This Row],[累计净值]]&gt;0.9999,0.7*(表2_36716262930389121314151617[[#This Row],[累计净值]]-0.9999),表2_36716262930389121314151617[[#This Row],[累计净值]]-0.9999)</f>
        <v>7.2309999999999958E-2</v>
      </c>
    </row>
    <row r="161" spans="1:7" x14ac:dyDescent="0.2">
      <c r="A161" s="15">
        <v>44162</v>
      </c>
      <c r="B161" s="112">
        <v>1.1032999999999999</v>
      </c>
      <c r="C161" s="108">
        <f t="shared" si="44"/>
        <v>9.9999999999988987E-5</v>
      </c>
      <c r="D161" s="109" t="str">
        <f t="shared" si="45"/>
        <v>/</v>
      </c>
      <c r="E161" s="109">
        <f ca="1">IF(表2_36716262930389121314151617[[#This Row],[累计净值]]/MAX(INDIRECT("B21:B" &amp; ROW()))-1&lt;E160,表2_36716262930389121314151617[[#This Row],[累计净值]]/MAX(INDIRECT("B21:B" &amp; ROW()))-1,E160)</f>
        <v>-1.0184060543772855E-2</v>
      </c>
      <c r="F161" s="110">
        <f>表2_36716262930389121314151617[[#This Row],[累计净值]]</f>
        <v>1.1032999999999999</v>
      </c>
      <c r="G161" s="20">
        <f>IF(表2_36716262930389121314151617[[#This Row],[累计净值]]&gt;0.9999,0.7*(表2_36716262930389121314151617[[#This Row],[累计净值]]-0.9999),表2_36716262930389121314151617[[#This Row],[累计净值]]-0.9999)</f>
        <v>7.2379999999999944E-2</v>
      </c>
    </row>
    <row r="162" spans="1:7" x14ac:dyDescent="0.2">
      <c r="A162" s="15">
        <v>44165</v>
      </c>
      <c r="B162" s="117">
        <v>1.1104000000000001</v>
      </c>
      <c r="C162" s="108">
        <f t="shared" ref="C162:C167" si="46">IFERROR(B162-B161,0)</f>
        <v>7.1000000000001062E-3</v>
      </c>
      <c r="D162" s="109" t="str">
        <f t="shared" ref="D162:D167" si="47">IF(C162&lt;0,C162,"/")</f>
        <v>/</v>
      </c>
      <c r="E162" s="109">
        <f ca="1">IF(表2_36716262930389121314151617[[#This Row],[累计净值]]/MAX(INDIRECT("B21:B" &amp; ROW()))-1&lt;E161,表2_36716262930389121314151617[[#This Row],[累计净值]]/MAX(INDIRECT("B21:B" &amp; ROW()))-1,E161)</f>
        <v>-1.0184060543772855E-2</v>
      </c>
      <c r="F162" s="110">
        <f>表2_36716262930389121314151617[[#This Row],[累计净值]]</f>
        <v>1.1104000000000001</v>
      </c>
      <c r="G162" s="20">
        <f>IF(表2_36716262930389121314151617[[#This Row],[累计净值]]&gt;0.9999,0.7*(表2_36716262930389121314151617[[#This Row],[累计净值]]-0.9999),表2_36716262930389121314151617[[#This Row],[累计净值]]-0.9999)</f>
        <v>7.735000000000003E-2</v>
      </c>
    </row>
    <row r="163" spans="1:7" x14ac:dyDescent="0.2">
      <c r="A163" s="15">
        <v>44166</v>
      </c>
      <c r="B163" s="112">
        <v>1.1052</v>
      </c>
      <c r="C163" s="108">
        <f t="shared" si="46"/>
        <v>-5.2000000000000934E-3</v>
      </c>
      <c r="D163" s="109">
        <f t="shared" si="47"/>
        <v>-5.2000000000000934E-3</v>
      </c>
      <c r="E163" s="109">
        <f ca="1">IF(表2_36716262930389121314151617[[#This Row],[累计净值]]/MAX(INDIRECT("B21:B" &amp; ROW()))-1&lt;E162,表2_36716262930389121314151617[[#This Row],[累计净值]]/MAX(INDIRECT("B21:B" &amp; ROW()))-1,E162)</f>
        <v>-1.0184060543772855E-2</v>
      </c>
      <c r="F163" s="110">
        <f>表2_36716262930389121314151617[[#This Row],[累计净值]]</f>
        <v>1.1052</v>
      </c>
      <c r="G163" s="20">
        <f>IF(表2_36716262930389121314151617[[#This Row],[累计净值]]&gt;0.9999,0.7*(表2_36716262930389121314151617[[#This Row],[累计净值]]-0.9999),表2_36716262930389121314151617[[#This Row],[累计净值]]-0.9999)</f>
        <v>7.3709999999999956E-2</v>
      </c>
    </row>
    <row r="164" spans="1:7" x14ac:dyDescent="0.2">
      <c r="A164" s="15">
        <v>44167</v>
      </c>
      <c r="B164" s="112">
        <v>1.1007</v>
      </c>
      <c r="C164" s="108">
        <f t="shared" si="46"/>
        <v>-4.4999999999999485E-3</v>
      </c>
      <c r="D164" s="109">
        <f t="shared" si="47"/>
        <v>-4.4999999999999485E-3</v>
      </c>
      <c r="E164" s="109">
        <f ca="1">IF(表2_36716262930389121314151617[[#This Row],[累计净值]]/MAX(INDIRECT("B21:B" &amp; ROW()))-1&lt;E163,表2_36716262930389121314151617[[#This Row],[累计净值]]/MAX(INDIRECT("B21:B" &amp; ROW()))-1,E163)</f>
        <v>-1.0184060543772855E-2</v>
      </c>
      <c r="F164" s="110">
        <f>表2_36716262930389121314151617[[#This Row],[累计净值]]</f>
        <v>1.1007</v>
      </c>
      <c r="G164" s="20">
        <f>IF(表2_36716262930389121314151617[[#This Row],[累计净值]]&gt;0.9999,0.7*(表2_36716262930389121314151617[[#This Row],[累计净值]]-0.9999),表2_36716262930389121314151617[[#This Row],[累计净值]]-0.9999)</f>
        <v>7.0559999999999998E-2</v>
      </c>
    </row>
    <row r="165" spans="1:7" x14ac:dyDescent="0.2">
      <c r="A165" s="15">
        <v>44168</v>
      </c>
      <c r="B165" s="112">
        <v>1.1023000000000001</v>
      </c>
      <c r="C165" s="108">
        <f t="shared" si="46"/>
        <v>1.6000000000000458E-3</v>
      </c>
      <c r="D165" s="109" t="str">
        <f t="shared" si="47"/>
        <v>/</v>
      </c>
      <c r="E165" s="109">
        <f ca="1">IF(表2_36716262930389121314151617[[#This Row],[累计净值]]/MAX(INDIRECT("B21:B" &amp; ROW()))-1&lt;E164,表2_36716262930389121314151617[[#This Row],[累计净值]]/MAX(INDIRECT("B21:B" &amp; ROW()))-1,E164)</f>
        <v>-1.0184060543772855E-2</v>
      </c>
      <c r="F165" s="110">
        <f>表2_36716262930389121314151617[[#This Row],[累计净值]]</f>
        <v>1.1023000000000001</v>
      </c>
      <c r="G165" s="20">
        <f>IF(表2_36716262930389121314151617[[#This Row],[累计净值]]&gt;0.9999,0.7*(表2_36716262930389121314151617[[#This Row],[累计净值]]-0.9999),表2_36716262930389121314151617[[#This Row],[累计净值]]-0.9999)</f>
        <v>7.1680000000000021E-2</v>
      </c>
    </row>
    <row r="166" spans="1:7" x14ac:dyDescent="0.2">
      <c r="A166" s="15">
        <v>44169</v>
      </c>
      <c r="B166" s="112">
        <v>1.099</v>
      </c>
      <c r="C166" s="108">
        <f t="shared" si="46"/>
        <v>-3.3000000000000806E-3</v>
      </c>
      <c r="D166" s="109">
        <f t="shared" si="47"/>
        <v>-3.3000000000000806E-3</v>
      </c>
      <c r="E166" s="109">
        <f ca="1">IF(表2_36716262930389121314151617[[#This Row],[累计净值]]/MAX(INDIRECT("B21:B" &amp; ROW()))-1&lt;E165,表2_36716262930389121314151617[[#This Row],[累计净值]]/MAX(INDIRECT("B21:B" &amp; ROW()))-1,E165)</f>
        <v>-1.0266570605187431E-2</v>
      </c>
      <c r="F166" s="110">
        <f>表2_36716262930389121314151617[[#This Row],[累计净值]]-0.09</f>
        <v>1.0089999999999999</v>
      </c>
      <c r="G166" s="20">
        <f>IF(表2_36716262930389121314151617[[#This Row],[累计净值]]&gt;0.9999,0.7*(表2_36716262930389121314151617[[#This Row],[累计净值]]-0.9999),表2_36716262930389121314151617[[#This Row],[累计净值]]-0.9999)</f>
        <v>6.9369999999999973E-2</v>
      </c>
    </row>
    <row r="167" spans="1:7" x14ac:dyDescent="0.2">
      <c r="A167" s="15">
        <v>44172</v>
      </c>
      <c r="B167" s="112">
        <v>1.0942000000000001</v>
      </c>
      <c r="C167" s="108">
        <f t="shared" si="46"/>
        <v>-4.7999999999999154E-3</v>
      </c>
      <c r="D167" s="109">
        <f t="shared" si="47"/>
        <v>-4.7999999999999154E-3</v>
      </c>
      <c r="E167" s="109">
        <f ca="1">IF(表2_36716262930389121314151617[[#This Row],[累计净值]]/MAX(INDIRECT("B21:B" &amp; ROW()))-1&lt;E166,表2_36716262930389121314151617[[#This Row],[累计净值]]/MAX(INDIRECT("B21:B" &amp; ROW()))-1,E166)</f>
        <v>-1.4589337175792472E-2</v>
      </c>
      <c r="F167" s="110">
        <f>表2_36716262930389121314151617[[#This Row],[累计净值]]-0.09</f>
        <v>1.0042</v>
      </c>
      <c r="G167" s="20">
        <f>IF(表2_36716262930389121314151617[[#This Row],[累计净值]]&gt;0.9999,0.7*(表2_36716262930389121314151617[[#This Row],[累计净值]]-0.9999),表2_36716262930389121314151617[[#This Row],[累计净值]]-0.9999)</f>
        <v>6.6010000000000027E-2</v>
      </c>
    </row>
    <row r="168" spans="1:7" x14ac:dyDescent="0.2">
      <c r="A168" s="15">
        <v>44173</v>
      </c>
      <c r="B168" s="112">
        <v>1.0899000000000001</v>
      </c>
      <c r="C168" s="108">
        <f t="shared" ref="C168:C173" si="48">IFERROR(B168-B167,0)</f>
        <v>-4.2999999999999705E-3</v>
      </c>
      <c r="D168" s="109">
        <f t="shared" ref="D168:D173" si="49">IF(C168&lt;0,C168,"/")</f>
        <v>-4.2999999999999705E-3</v>
      </c>
      <c r="E168" s="109">
        <f ca="1">IF(表2_36716262930389121314151617[[#This Row],[累计净值]]/MAX(INDIRECT("B21:B" &amp; ROW()))-1&lt;E167,表2_36716262930389121314151617[[#This Row],[累计净值]]/MAX(INDIRECT("B21:B" &amp; ROW()))-1,E167)</f>
        <v>-1.8461815561959583E-2</v>
      </c>
      <c r="F168" s="110">
        <f>表2_36716262930389121314151617[[#This Row],[累计净值]]-0.09</f>
        <v>0.99990000000000012</v>
      </c>
      <c r="G168" s="20">
        <f>IF(表2_36716262930389121314151617[[#This Row],[累计净值]]&gt;0.9999,0.7*(表2_36716262930389121314151617[[#This Row],[累计净值]]-0.9999),表2_36716262930389121314151617[[#This Row],[累计净值]]-0.9999)</f>
        <v>6.3000000000000056E-2</v>
      </c>
    </row>
    <row r="169" spans="1:7" x14ac:dyDescent="0.2">
      <c r="A169" s="15">
        <v>44174</v>
      </c>
      <c r="B169" s="112">
        <v>1.0908</v>
      </c>
      <c r="C169" s="108">
        <f t="shared" si="48"/>
        <v>8.9999999999990088E-4</v>
      </c>
      <c r="D169" s="109" t="str">
        <f t="shared" si="49"/>
        <v>/</v>
      </c>
      <c r="E169" s="109">
        <f ca="1">IF(表2_36716262930389121314151617[[#This Row],[累计净值]]/MAX(INDIRECT("B21:B" &amp; ROW()))-1&lt;E168,表2_36716262930389121314151617[[#This Row],[累计净值]]/MAX(INDIRECT("B21:B" &amp; ROW()))-1,E168)</f>
        <v>-1.8461815561959583E-2</v>
      </c>
      <c r="F169" s="110">
        <f>表2_36716262930389121314151617[[#This Row],[累计净值]]-0.09</f>
        <v>1.0007999999999999</v>
      </c>
      <c r="G169" s="20">
        <f>IF(表2_36716262930389121314151617[[#This Row],[累计净值]]&gt;0.9999,0.7*(表2_36716262930389121314151617[[#This Row],[累计净值]]-0.9999),表2_36716262930389121314151617[[#This Row],[累计净值]]-0.9999)</f>
        <v>6.3629999999999978E-2</v>
      </c>
    </row>
    <row r="170" spans="1:7" x14ac:dyDescent="0.2">
      <c r="A170" s="15">
        <v>44175</v>
      </c>
      <c r="B170" s="112">
        <v>1.0943000000000001</v>
      </c>
      <c r="C170" s="108">
        <f t="shared" si="48"/>
        <v>3.5000000000000586E-3</v>
      </c>
      <c r="D170" s="109" t="str">
        <f t="shared" si="49"/>
        <v>/</v>
      </c>
      <c r="E170" s="109">
        <f ca="1">IF(表2_36716262930389121314151617[[#This Row],[累计净值]]/MAX(INDIRECT("B21:B" &amp; ROW()))-1&lt;E169,表2_36716262930389121314151617[[#This Row],[累计净值]]/MAX(INDIRECT("B21:B" &amp; ROW()))-1,E169)</f>
        <v>-1.8461815561959583E-2</v>
      </c>
      <c r="F170" s="110">
        <f>表2_36716262930389121314151617[[#This Row],[累计净值]]-0.09</f>
        <v>1.0043</v>
      </c>
      <c r="G170" s="20">
        <f>IF(表2_36716262930389121314151617[[#This Row],[累计净值]]&gt;0.9999,0.7*(表2_36716262930389121314151617[[#This Row],[累计净值]]-0.9999),表2_36716262930389121314151617[[#This Row],[累计净值]]-0.9999)</f>
        <v>6.6080000000000028E-2</v>
      </c>
    </row>
    <row r="171" spans="1:7" x14ac:dyDescent="0.2">
      <c r="A171" s="15">
        <v>44176</v>
      </c>
      <c r="B171" s="112">
        <v>1.105</v>
      </c>
      <c r="C171" s="108">
        <f t="shared" si="48"/>
        <v>1.0699999999999932E-2</v>
      </c>
      <c r="D171" s="109" t="str">
        <f t="shared" si="49"/>
        <v>/</v>
      </c>
      <c r="E171" s="109">
        <f ca="1">IF(表2_36716262930389121314151617[[#This Row],[累计净值]]/MAX(INDIRECT("B21:B" &amp; ROW()))-1&lt;E170,表2_36716262930389121314151617[[#This Row],[累计净值]]/MAX(INDIRECT("B21:B" &amp; ROW()))-1,E170)</f>
        <v>-1.8461815561959583E-2</v>
      </c>
      <c r="F171" s="110">
        <f>表2_36716262930389121314151617[[#This Row],[累计净值]]-0.09</f>
        <v>1.0149999999999999</v>
      </c>
      <c r="G171" s="20">
        <f>IF(表2_36716262930389121314151617[[#This Row],[累计净值]]&gt;0.9999,0.7*(表2_36716262930389121314151617[[#This Row],[累计净值]]-0.9999),表2_36716262930389121314151617[[#This Row],[累计净值]]-0.9999)</f>
        <v>7.3569999999999969E-2</v>
      </c>
    </row>
    <row r="172" spans="1:7" x14ac:dyDescent="0.2">
      <c r="A172" s="15">
        <v>44179</v>
      </c>
      <c r="B172" s="112">
        <v>1.1015999999999999</v>
      </c>
      <c r="C172" s="108">
        <f t="shared" si="48"/>
        <v>-3.4000000000000696E-3</v>
      </c>
      <c r="D172" s="109">
        <f t="shared" si="49"/>
        <v>-3.4000000000000696E-3</v>
      </c>
      <c r="E172" s="109">
        <f ca="1">IF(表2_36716262930389121314151617[[#This Row],[累计净值]]/MAX(INDIRECT("B21:B" &amp; ROW()))-1&lt;E171,表2_36716262930389121314151617[[#This Row],[累计净值]]/MAX(INDIRECT("B21:B" &amp; ROW()))-1,E171)</f>
        <v>-1.8461815561959583E-2</v>
      </c>
      <c r="F172" s="110">
        <f>表2_36716262930389121314151617[[#This Row],[累计净值]]-0.09</f>
        <v>1.0115999999999998</v>
      </c>
      <c r="G172" s="20">
        <f>IF(表2_36716262930389121314151617[[#This Row],[累计净值]]&gt;0.9999,0.7*(表2_36716262930389121314151617[[#This Row],[累计净值]]-0.9999),表2_36716262930389121314151617[[#This Row],[累计净值]]-0.9999)</f>
        <v>7.118999999999992E-2</v>
      </c>
    </row>
    <row r="173" spans="1:7" x14ac:dyDescent="0.2">
      <c r="A173" s="15">
        <v>44180</v>
      </c>
      <c r="B173" s="112">
        <v>1.1046</v>
      </c>
      <c r="C173" s="108">
        <f t="shared" si="48"/>
        <v>3.0000000000001137E-3</v>
      </c>
      <c r="D173" s="109" t="str">
        <f t="shared" si="49"/>
        <v>/</v>
      </c>
      <c r="E173" s="109">
        <f ca="1">IF(表2_36716262930389121314151617[[#This Row],[累计净值]]/MAX(INDIRECT("B21:B" &amp; ROW()))-1&lt;E172,表2_36716262930389121314151617[[#This Row],[累计净值]]/MAX(INDIRECT("B21:B" &amp; ROW()))-1,E172)</f>
        <v>-1.8461815561959583E-2</v>
      </c>
      <c r="F173" s="110">
        <f>表2_36716262930389121314151617[[#This Row],[累计净值]]-0.09</f>
        <v>1.0145999999999999</v>
      </c>
      <c r="G173" s="20">
        <f>IF(表2_36716262930389121314151617[[#This Row],[累计净值]]&gt;0.9999,0.7*(表2_36716262930389121314151617[[#This Row],[累计净值]]-0.9999),表2_36716262930389121314151617[[#This Row],[累计净值]]-0.9999)</f>
        <v>7.3290000000000008E-2</v>
      </c>
    </row>
    <row r="174" spans="1:7" x14ac:dyDescent="0.2">
      <c r="A174" s="15">
        <v>44181</v>
      </c>
      <c r="B174" s="112">
        <v>1.1077999999999999</v>
      </c>
      <c r="C174" s="108">
        <f t="shared" ref="C174:C179" si="50">IFERROR(B174-B173,0)</f>
        <v>3.1999999999998696E-3</v>
      </c>
      <c r="D174" s="109" t="str">
        <f t="shared" ref="D174:D179" si="51">IF(C174&lt;0,C174,"/")</f>
        <v>/</v>
      </c>
      <c r="E174" s="109">
        <f ca="1">IF(表2_36716262930389121314151617[[#This Row],[累计净值]]/MAX(INDIRECT("B21:B" &amp; ROW()))-1&lt;E173,表2_36716262930389121314151617[[#This Row],[累计净值]]/MAX(INDIRECT("B21:B" &amp; ROW()))-1,E173)</f>
        <v>-1.8461815561959583E-2</v>
      </c>
      <c r="F174" s="110">
        <f>表2_36716262930389121314151617[[#This Row],[累计净值]]-0.09</f>
        <v>1.0177999999999998</v>
      </c>
      <c r="G174" s="20">
        <f>IF(表2_36716262930389121314151617[[#This Row],[累计净值]]&gt;0.9999,0.7*(表2_36716262930389121314151617[[#This Row],[累计净值]]-0.9999),表2_36716262930389121314151617[[#This Row],[累计净值]]-0.9999)</f>
        <v>7.5529999999999917E-2</v>
      </c>
    </row>
    <row r="175" spans="1:7" x14ac:dyDescent="0.2">
      <c r="A175" s="15">
        <v>44182</v>
      </c>
      <c r="B175" s="112">
        <v>1.1096999999999999</v>
      </c>
      <c r="C175" s="108">
        <f t="shared" si="50"/>
        <v>1.9000000000000128E-3</v>
      </c>
      <c r="D175" s="109" t="str">
        <f t="shared" si="51"/>
        <v>/</v>
      </c>
      <c r="E175" s="109">
        <f ca="1">IF(表2_36716262930389121314151617[[#This Row],[累计净值]]/MAX(INDIRECT("B21:B" &amp; ROW()))-1&lt;E174,表2_36716262930389121314151617[[#This Row],[累计净值]]/MAX(INDIRECT("B21:B" &amp; ROW()))-1,E174)</f>
        <v>-1.8461815561959583E-2</v>
      </c>
      <c r="F175" s="110">
        <f>表2_36716262930389121314151617[[#This Row],[累计净值]]-0.09</f>
        <v>1.0196999999999998</v>
      </c>
      <c r="G175" s="20">
        <f>IF(表2_36716262930389121314151617[[#This Row],[累计净值]]&gt;0.9999,0.7*(表2_36716262930389121314151617[[#This Row],[累计净值]]-0.9999),表2_36716262930389121314151617[[#This Row],[累计净值]]-0.9999)</f>
        <v>7.6859999999999928E-2</v>
      </c>
    </row>
    <row r="176" spans="1:7" x14ac:dyDescent="0.2">
      <c r="A176" s="15">
        <v>44183</v>
      </c>
      <c r="B176" s="112">
        <v>1.1117999999999999</v>
      </c>
      <c r="C176" s="108">
        <f t="shared" si="50"/>
        <v>2.0999999999999908E-3</v>
      </c>
      <c r="D176" s="109" t="str">
        <f t="shared" si="51"/>
        <v>/</v>
      </c>
      <c r="E176" s="109">
        <f ca="1">IF(表2_36716262930389121314151617[[#This Row],[累计净值]]/MAX(INDIRECT("B21:B" &amp; ROW()))-1&lt;E175,表2_36716262930389121314151617[[#This Row],[累计净值]]/MAX(INDIRECT("B21:B" &amp; ROW()))-1,E175)</f>
        <v>-1.8461815561959583E-2</v>
      </c>
      <c r="F176" s="110">
        <f>表2_36716262930389121314151617[[#This Row],[累计净值]]-0.09</f>
        <v>1.0217999999999998</v>
      </c>
      <c r="G176" s="20">
        <f>IF(表2_36716262930389121314151617[[#This Row],[累计净值]]&gt;0.9999,0.7*(表2_36716262930389121314151617[[#This Row],[累计净值]]-0.9999),表2_36716262930389121314151617[[#This Row],[累计净值]]-0.9999)</f>
        <v>7.8329999999999914E-2</v>
      </c>
    </row>
    <row r="177" spans="1:7" x14ac:dyDescent="0.2">
      <c r="A177" s="15">
        <v>44186</v>
      </c>
      <c r="B177" s="112">
        <v>1.1189</v>
      </c>
      <c r="C177" s="108">
        <f t="shared" si="50"/>
        <v>7.1000000000001062E-3</v>
      </c>
      <c r="D177" s="109" t="str">
        <f t="shared" si="51"/>
        <v>/</v>
      </c>
      <c r="E177" s="109">
        <f ca="1">IF(表2_36716262930389121314151617[[#This Row],[累计净值]]/MAX(INDIRECT("B21:B" &amp; ROW()))-1&lt;E176,表2_36716262930389121314151617[[#This Row],[累计净值]]/MAX(INDIRECT("B21:B" &amp; ROW()))-1,E176)</f>
        <v>-1.8461815561959583E-2</v>
      </c>
      <c r="F177" s="110">
        <f>表2_36716262930389121314151617[[#This Row],[累计净值]]-0.09</f>
        <v>1.0288999999999999</v>
      </c>
      <c r="G177" s="20">
        <f>IF(表2_36716262930389121314151617[[#This Row],[累计净值]]&gt;0.9999,0.7*(表2_36716262930389121314151617[[#This Row],[累计净值]]-0.9999),表2_36716262930389121314151617[[#This Row],[累计净值]]-0.9999)</f>
        <v>8.3299999999999985E-2</v>
      </c>
    </row>
    <row r="178" spans="1:7" x14ac:dyDescent="0.2">
      <c r="A178" s="15">
        <v>44187</v>
      </c>
      <c r="B178" s="112">
        <v>1.1243000000000001</v>
      </c>
      <c r="C178" s="108">
        <f t="shared" si="50"/>
        <v>5.4000000000000714E-3</v>
      </c>
      <c r="D178" s="109" t="str">
        <f t="shared" si="51"/>
        <v>/</v>
      </c>
      <c r="E178" s="109">
        <f ca="1">IF(表2_36716262930389121314151617[[#This Row],[累计净值]]/MAX(INDIRECT("B21:B" &amp; ROW()))-1&lt;E177,表2_36716262930389121314151617[[#This Row],[累计净值]]/MAX(INDIRECT("B21:B" &amp; ROW()))-1,E177)</f>
        <v>-1.8461815561959583E-2</v>
      </c>
      <c r="F178" s="110">
        <f>表2_36716262930389121314151617[[#This Row],[累计净值]]-0.09</f>
        <v>1.0343</v>
      </c>
      <c r="G178" s="20">
        <f>IF(表2_36716262930389121314151617[[#This Row],[累计净值]]&gt;0.9999,0.7*(表2_36716262930389121314151617[[#This Row],[累计净值]]-0.9999),表2_36716262930389121314151617[[#This Row],[累计净值]]-0.9999)</f>
        <v>8.7080000000000046E-2</v>
      </c>
    </row>
    <row r="179" spans="1:7" x14ac:dyDescent="0.2">
      <c r="A179" s="15">
        <v>44188</v>
      </c>
      <c r="B179" s="112">
        <v>1.1315</v>
      </c>
      <c r="C179" s="108">
        <f t="shared" si="50"/>
        <v>7.1999999999998732E-3</v>
      </c>
      <c r="D179" s="109" t="str">
        <f t="shared" si="51"/>
        <v>/</v>
      </c>
      <c r="E179" s="109">
        <f ca="1">IF(表2_36716262930389121314151617[[#This Row],[累计净值]]/MAX(INDIRECT("B21:B" &amp; ROW()))-1&lt;E178,表2_36716262930389121314151617[[#This Row],[累计净值]]/MAX(INDIRECT("B21:B" &amp; ROW()))-1,E178)</f>
        <v>-1.8461815561959583E-2</v>
      </c>
      <c r="F179" s="110">
        <f>表2_36716262930389121314151617[[#This Row],[累计净值]]-0.09</f>
        <v>1.0414999999999999</v>
      </c>
      <c r="G179" s="20">
        <f>IF(表2_36716262930389121314151617[[#This Row],[累计净值]]&gt;0.9999,0.7*(表2_36716262930389121314151617[[#This Row],[累计净值]]-0.9999),表2_36716262930389121314151617[[#This Row],[累计净值]]-0.9999)</f>
        <v>9.2119999999999952E-2</v>
      </c>
    </row>
    <row r="180" spans="1:7" x14ac:dyDescent="0.2">
      <c r="A180" s="15">
        <v>44189</v>
      </c>
      <c r="B180" s="112">
        <v>1.1308</v>
      </c>
      <c r="C180" s="108">
        <f t="shared" ref="C180:C181" si="52">IFERROR(B180-B179,0)</f>
        <v>-6.9999999999992291E-4</v>
      </c>
      <c r="D180" s="109">
        <f t="shared" ref="D180:D181" si="53">IF(C180&lt;0,C180,"/")</f>
        <v>-6.9999999999992291E-4</v>
      </c>
      <c r="E180" s="109">
        <f ca="1">IF(表2_36716262930389121314151617[[#This Row],[累计净值]]/MAX(INDIRECT("B21:B" &amp; ROW()))-1&lt;E179,表2_36716262930389121314151617[[#This Row],[累计净值]]/MAX(INDIRECT("B21:B" &amp; ROW()))-1,E179)</f>
        <v>-1.8461815561959583E-2</v>
      </c>
      <c r="F180" s="110">
        <f>表2_36716262930389121314151617[[#This Row],[累计净值]]-0.09</f>
        <v>1.0407999999999999</v>
      </c>
      <c r="G180" s="20">
        <f>IF(表2_36716262930389121314151617[[#This Row],[累计净值]]&gt;0.9999,0.7*(表2_36716262930389121314151617[[#This Row],[累计净值]]-0.9999),表2_36716262930389121314151617[[#This Row],[累计净值]]-0.9999)</f>
        <v>9.1630000000000003E-2</v>
      </c>
    </row>
    <row r="181" spans="1:7" x14ac:dyDescent="0.2">
      <c r="A181" s="15">
        <v>44190</v>
      </c>
      <c r="B181" s="112">
        <v>1.1291</v>
      </c>
      <c r="C181" s="108">
        <f t="shared" si="52"/>
        <v>-1.7000000000000348E-3</v>
      </c>
      <c r="D181" s="109">
        <f t="shared" si="53"/>
        <v>-1.7000000000000348E-3</v>
      </c>
      <c r="E181" s="109">
        <f ca="1">IF(表2_36716262930389121314151617[[#This Row],[累计净值]]/MAX(INDIRECT("B21:B" &amp; ROW()))-1&lt;E180,表2_36716262930389121314151617[[#This Row],[累计净值]]/MAX(INDIRECT("B21:B" &amp; ROW()))-1,E180)</f>
        <v>-1.8461815561959583E-2</v>
      </c>
      <c r="F181" s="110">
        <f>表2_36716262930389121314151617[[#This Row],[累计净值]]-0.09</f>
        <v>1.0390999999999999</v>
      </c>
      <c r="G181" s="20">
        <f>IF(表2_36716262930389121314151617[[#This Row],[累计净值]]&gt;0.9999,0.7*(表2_36716262930389121314151617[[#This Row],[累计净值]]-0.9999),表2_36716262930389121314151617[[#This Row],[累计净值]]-0.9999)</f>
        <v>9.0439999999999979E-2</v>
      </c>
    </row>
    <row r="182" spans="1:7" x14ac:dyDescent="0.2">
      <c r="A182" s="15">
        <v>44193</v>
      </c>
      <c r="B182" s="112">
        <v>1.1304000000000001</v>
      </c>
      <c r="C182" s="108">
        <f t="shared" ref="C182:C187" si="54">IFERROR(B182-B181,0)</f>
        <v>1.3000000000000789E-3</v>
      </c>
      <c r="D182" s="109" t="str">
        <f t="shared" ref="D182:D187" si="55">IF(C182&lt;0,C182,"/")</f>
        <v>/</v>
      </c>
      <c r="E182" s="109">
        <f ca="1">IF(表2_36716262930389121314151617[[#This Row],[累计净值]]/MAX(INDIRECT("B21:B" &amp; ROW()))-1&lt;E181,表2_36716262930389121314151617[[#This Row],[累计净值]]/MAX(INDIRECT("B21:B" &amp; ROW()))-1,E181)</f>
        <v>-1.8461815561959583E-2</v>
      </c>
      <c r="F182" s="110">
        <f>表2_36716262930389121314151617[[#This Row],[累计净值]]-0.09</f>
        <v>1.0404</v>
      </c>
      <c r="G182" s="20">
        <f>IF(表2_36716262930389121314151617[[#This Row],[累计净值]]&gt;0.9999,0.7*(表2_36716262930389121314151617[[#This Row],[累计净值]]-0.9999),表2_36716262930389121314151617[[#This Row],[累计净值]]-0.9999)</f>
        <v>9.1350000000000042E-2</v>
      </c>
    </row>
    <row r="183" spans="1:7" x14ac:dyDescent="0.2">
      <c r="A183" s="15">
        <v>44194</v>
      </c>
      <c r="B183" s="112">
        <v>1.1302000000000001</v>
      </c>
      <c r="C183" s="108">
        <f t="shared" si="54"/>
        <v>-1.9999999999997797E-4</v>
      </c>
      <c r="D183" s="109">
        <f t="shared" si="55"/>
        <v>-1.9999999999997797E-4</v>
      </c>
      <c r="E183" s="109">
        <f ca="1">IF(表2_36716262930389121314151617[[#This Row],[累计净值]]/MAX(INDIRECT("B21:B" &amp; ROW()))-1&lt;E182,表2_36716262930389121314151617[[#This Row],[累计净值]]/MAX(INDIRECT("B21:B" &amp; ROW()))-1,E182)</f>
        <v>-1.8461815561959583E-2</v>
      </c>
      <c r="F183" s="110">
        <f>表2_36716262930389121314151617[[#This Row],[累计净值]]-0.09</f>
        <v>1.0402</v>
      </c>
      <c r="G183" s="20">
        <f>IF(表2_36716262930389121314151617[[#This Row],[累计净值]]&gt;0.9999,0.7*(表2_36716262930389121314151617[[#This Row],[累计净值]]-0.9999),表2_36716262930389121314151617[[#This Row],[累计净值]]-0.9999)</f>
        <v>9.1210000000000055E-2</v>
      </c>
    </row>
    <row r="184" spans="1:7" x14ac:dyDescent="0.2">
      <c r="A184" s="15">
        <v>44195</v>
      </c>
      <c r="B184" s="112">
        <v>1.1317999999999999</v>
      </c>
      <c r="C184" s="108">
        <f t="shared" si="54"/>
        <v>1.5999999999998238E-3</v>
      </c>
      <c r="D184" s="109" t="str">
        <f t="shared" si="55"/>
        <v>/</v>
      </c>
      <c r="E184" s="109">
        <f ca="1">IF(表2_36716262930389121314151617[[#This Row],[累计净值]]/MAX(INDIRECT("B21:B" &amp; ROW()))-1&lt;E183,表2_36716262930389121314151617[[#This Row],[累计净值]]/MAX(INDIRECT("B21:B" &amp; ROW()))-1,E183)</f>
        <v>-1.8461815561959583E-2</v>
      </c>
      <c r="F184" s="110">
        <f>表2_36716262930389121314151617[[#This Row],[累计净值]]-0.09</f>
        <v>1.0417999999999998</v>
      </c>
      <c r="G184" s="20">
        <f>IF(表2_36716262930389121314151617[[#This Row],[累计净值]]&gt;0.9999,0.7*(表2_36716262930389121314151617[[#This Row],[累计净值]]-0.9999),表2_36716262930389121314151617[[#This Row],[累计净值]]-0.9999)</f>
        <v>9.2329999999999926E-2</v>
      </c>
    </row>
    <row r="185" spans="1:7" x14ac:dyDescent="0.2">
      <c r="A185" s="15">
        <v>44196</v>
      </c>
      <c r="B185" s="112">
        <v>1.1341000000000001</v>
      </c>
      <c r="C185" s="108">
        <f t="shared" si="54"/>
        <v>2.3000000000001908E-3</v>
      </c>
      <c r="D185" s="109" t="str">
        <f t="shared" si="55"/>
        <v>/</v>
      </c>
      <c r="E185" s="109">
        <f ca="1">IF(表2_36716262930389121314151617[[#This Row],[累计净值]]/MAX(INDIRECT("B21:B" &amp; ROW()))-1&lt;E184,表2_36716262930389121314151617[[#This Row],[累计净值]]/MAX(INDIRECT("B21:B" &amp; ROW()))-1,E184)</f>
        <v>-1.8461815561959583E-2</v>
      </c>
      <c r="F185" s="110">
        <f>表2_36716262930389121314151617[[#This Row],[累计净值]]-0.09</f>
        <v>1.0441</v>
      </c>
      <c r="G185" s="20">
        <f>IF(表2_36716262930389121314151617[[#This Row],[累计净值]]&gt;0.9999,0.7*(表2_36716262930389121314151617[[#This Row],[累计净值]]-0.9999),表2_36716262930389121314151617[[#This Row],[累计净值]]-0.9999)</f>
        <v>9.3940000000000065E-2</v>
      </c>
    </row>
    <row r="186" spans="1:7" x14ac:dyDescent="0.2">
      <c r="A186" s="15">
        <v>44200</v>
      </c>
      <c r="B186" s="112">
        <v>1.1318999999999999</v>
      </c>
      <c r="C186" s="108">
        <f t="shared" si="54"/>
        <v>-2.2000000000002018E-3</v>
      </c>
      <c r="D186" s="109">
        <f t="shared" si="55"/>
        <v>-2.2000000000002018E-3</v>
      </c>
      <c r="E186" s="109">
        <f ca="1">IF(表2_36716262930389121314151617[[#This Row],[累计净值]]/MAX(INDIRECT("B21:B" &amp; ROW()))-1&lt;E185,表2_36716262930389121314151617[[#This Row],[累计净值]]/MAX(INDIRECT("B21:B" &amp; ROW()))-1,E185)</f>
        <v>-1.8461815561959583E-2</v>
      </c>
      <c r="F186" s="110">
        <f>表2_36716262930389121314151617[[#This Row],[累计净值]]-0.09</f>
        <v>1.0418999999999998</v>
      </c>
      <c r="G186" s="20">
        <f>IF(表2_36716262930389121314151617[[#This Row],[累计净值]]&gt;0.9999,0.7*(表2_36716262930389121314151617[[#This Row],[累计净值]]-0.9999),表2_36716262930389121314151617[[#This Row],[累计净值]]-0.9999)</f>
        <v>9.2399999999999927E-2</v>
      </c>
    </row>
    <row r="187" spans="1:7" x14ac:dyDescent="0.2">
      <c r="A187" s="15">
        <v>44201</v>
      </c>
      <c r="B187" s="112">
        <v>1.1321000000000001</v>
      </c>
      <c r="C187" s="108">
        <f t="shared" si="54"/>
        <v>2.0000000000020002E-4</v>
      </c>
      <c r="D187" s="109" t="str">
        <f t="shared" si="55"/>
        <v>/</v>
      </c>
      <c r="E187" s="109">
        <f ca="1">IF(表2_36716262930389121314151617[[#This Row],[累计净值]]/MAX(INDIRECT("B21:B" &amp; ROW()))-1&lt;E186,表2_36716262930389121314151617[[#This Row],[累计净值]]/MAX(INDIRECT("B21:B" &amp; ROW()))-1,E186)</f>
        <v>-1.8461815561959583E-2</v>
      </c>
      <c r="F187" s="110">
        <f>表2_36716262930389121314151617[[#This Row],[累计净值]]-0.09</f>
        <v>1.0421</v>
      </c>
      <c r="G187" s="20">
        <f>IF(表2_36716262930389121314151617[[#This Row],[累计净值]]&gt;0.9999,0.7*(表2_36716262930389121314151617[[#This Row],[累计净值]]-0.9999),表2_36716262930389121314151617[[#This Row],[累计净值]]-0.9999)</f>
        <v>9.2540000000000067E-2</v>
      </c>
    </row>
    <row r="188" spans="1:7" x14ac:dyDescent="0.2">
      <c r="A188" s="15">
        <v>44202</v>
      </c>
      <c r="B188" s="112">
        <v>1.1344000000000001</v>
      </c>
      <c r="C188" s="108">
        <f>IFERROR(B188-B187,0)</f>
        <v>2.2999999999999687E-3</v>
      </c>
      <c r="D188" s="109" t="str">
        <f>IF(C188&lt;0,C188,"/")</f>
        <v>/</v>
      </c>
      <c r="E188" s="109">
        <f ca="1">IF(表2_36716262930389121314151617[[#This Row],[累计净值]]/MAX(INDIRECT("B21:B" &amp; ROW()))-1&lt;E187,表2_36716262930389121314151617[[#This Row],[累计净值]]/MAX(INDIRECT("B21:B" &amp; ROW()))-1,E187)</f>
        <v>-1.8461815561959583E-2</v>
      </c>
      <c r="F188" s="110">
        <f>表2_36716262930389121314151617[[#This Row],[累计净值]]-0.09</f>
        <v>1.0444</v>
      </c>
      <c r="G188" s="20">
        <f>IF(表2_36716262930389121314151617[[#This Row],[累计净值]]&gt;0.9999,0.7*(表2_36716262930389121314151617[[#This Row],[累计净值]]-0.9999),表2_36716262930389121314151617[[#This Row],[累计净值]]-0.9999)</f>
        <v>9.4150000000000039E-2</v>
      </c>
    </row>
    <row r="189" spans="1:7" x14ac:dyDescent="0.2">
      <c r="A189" s="15">
        <v>44203</v>
      </c>
      <c r="B189" s="112">
        <v>1.1351</v>
      </c>
      <c r="C189" s="108">
        <f t="shared" ref="C189:C190" si="56">IFERROR(B189-B188,0)</f>
        <v>6.9999999999992291E-4</v>
      </c>
      <c r="D189" s="109" t="str">
        <f t="shared" ref="D189:D190" si="57">IF(C189&lt;0,C189,"/")</f>
        <v>/</v>
      </c>
      <c r="E189" s="109">
        <f ca="1">IF(表2_36716262930389121314151617[[#This Row],[累计净值]]/MAX(INDIRECT("B21:B" &amp; ROW()))-1&lt;E188,表2_36716262930389121314151617[[#This Row],[累计净值]]/MAX(INDIRECT("B21:B" &amp; ROW()))-1,E188)</f>
        <v>-1.8461815561959583E-2</v>
      </c>
      <c r="F189" s="110">
        <f>表2_36716262930389121314151617[[#This Row],[累计净值]]-0.09</f>
        <v>1.0450999999999999</v>
      </c>
      <c r="G189" s="20">
        <f>IF(表2_36716262930389121314151617[[#This Row],[累计净值]]&gt;0.9999,0.7*(表2_36716262930389121314151617[[#This Row],[累计净值]]-0.9999),表2_36716262930389121314151617[[#This Row],[累计净值]]-0.9999)</f>
        <v>9.4639999999999988E-2</v>
      </c>
    </row>
    <row r="190" spans="1:7" x14ac:dyDescent="0.2">
      <c r="A190" s="15">
        <v>44204</v>
      </c>
      <c r="B190" s="112">
        <v>1.1279999999999999</v>
      </c>
      <c r="C190" s="108">
        <f t="shared" si="56"/>
        <v>-7.1000000000001062E-3</v>
      </c>
      <c r="D190" s="109">
        <f t="shared" si="57"/>
        <v>-7.1000000000001062E-3</v>
      </c>
      <c r="E190" s="109">
        <f ca="1">IF(表2_36716262930389121314151617[[#This Row],[累计净值]]/MAX(INDIRECT("B21:B" &amp; ROW()))-1&lt;E189,表2_36716262930389121314151617[[#This Row],[累计净值]]/MAX(INDIRECT("B21:B" &amp; ROW()))-1,E189)</f>
        <v>-1.8461815561959583E-2</v>
      </c>
      <c r="F190" s="110">
        <f>表2_36716262930389121314151617[[#This Row],[累计净值]]-0.09</f>
        <v>1.0379999999999998</v>
      </c>
      <c r="G190" s="20">
        <f>IF(表2_36716262930389121314151617[[#This Row],[累计净值]]&gt;0.9999,0.7*(表2_36716262930389121314151617[[#This Row],[累计净值]]-0.9999),表2_36716262930389121314151617[[#This Row],[累计净值]]-0.9999)</f>
        <v>8.9669999999999916E-2</v>
      </c>
    </row>
    <row r="191" spans="1:7" x14ac:dyDescent="0.2">
      <c r="A191" s="15">
        <v>44207</v>
      </c>
      <c r="B191" s="112">
        <v>1.1374</v>
      </c>
      <c r="C191" s="108">
        <f t="shared" ref="C191:C196" si="58">IFERROR(B191-B190,0)</f>
        <v>9.400000000000075E-3</v>
      </c>
      <c r="D191" s="109" t="str">
        <f t="shared" ref="D191:D196" si="59">IF(C191&lt;0,C191,"/")</f>
        <v>/</v>
      </c>
      <c r="E191" s="109">
        <f ca="1">IF(表2_36716262930389121314151617[[#This Row],[累计净值]]/MAX(INDIRECT("B21:B" &amp; ROW()))-1&lt;E190,表2_36716262930389121314151617[[#This Row],[累计净值]]/MAX(INDIRECT("B21:B" &amp; ROW()))-1,E190)</f>
        <v>-1.8461815561959583E-2</v>
      </c>
      <c r="F191" s="110">
        <f>表2_36716262930389121314151617[[#This Row],[累计净值]]-0.09</f>
        <v>1.0473999999999999</v>
      </c>
      <c r="G191" s="20">
        <f>IF(表2_36716262930389121314151617[[#This Row],[累计净值]]&gt;0.9999,0.7*(表2_36716262930389121314151617[[#This Row],[累计净值]]-0.9999),表2_36716262930389121314151617[[#This Row],[累计净值]]-0.9999)</f>
        <v>9.6249999999999961E-2</v>
      </c>
    </row>
    <row r="192" spans="1:7" x14ac:dyDescent="0.2">
      <c r="A192" s="15">
        <v>44208</v>
      </c>
      <c r="B192" s="112">
        <v>1.1419999999999999</v>
      </c>
      <c r="C192" s="108">
        <f t="shared" si="58"/>
        <v>4.5999999999999375E-3</v>
      </c>
      <c r="D192" s="109" t="str">
        <f t="shared" si="59"/>
        <v>/</v>
      </c>
      <c r="E192" s="109">
        <f ca="1">IF(表2_36716262930389121314151617[[#This Row],[累计净值]]/MAX(INDIRECT("B21:B" &amp; ROW()))-1&lt;E191,表2_36716262930389121314151617[[#This Row],[累计净值]]/MAX(INDIRECT("B21:B" &amp; ROW()))-1,E191)</f>
        <v>-1.8461815561959583E-2</v>
      </c>
      <c r="F192" s="110">
        <f>表2_36716262930389121314151617[[#This Row],[累计净值]]-0.09</f>
        <v>1.0519999999999998</v>
      </c>
      <c r="G192" s="20">
        <f>IF(表2_36716262930389121314151617[[#This Row],[累计净值]]&gt;0.9999,0.7*(表2_36716262930389121314151617[[#This Row],[累计净值]]-0.9999),表2_36716262930389121314151617[[#This Row],[累计净值]]-0.9999)</f>
        <v>9.946999999999992E-2</v>
      </c>
    </row>
    <row r="193" spans="1:7" x14ac:dyDescent="0.2">
      <c r="A193" s="15">
        <v>44209</v>
      </c>
      <c r="B193" s="112">
        <v>1.137</v>
      </c>
      <c r="C193" s="108">
        <f t="shared" si="58"/>
        <v>-4.9999999999998934E-3</v>
      </c>
      <c r="D193" s="109">
        <f t="shared" si="59"/>
        <v>-4.9999999999998934E-3</v>
      </c>
      <c r="E193" s="109">
        <f ca="1">IF(表2_36716262930389121314151617[[#This Row],[累计净值]]/MAX(INDIRECT("B21:B" &amp; ROW()))-1&lt;E192,表2_36716262930389121314151617[[#This Row],[累计净值]]/MAX(INDIRECT("B21:B" &amp; ROW()))-1,E192)</f>
        <v>-1.8461815561959583E-2</v>
      </c>
      <c r="F193" s="110">
        <f>表2_36716262930389121314151617[[#This Row],[累计净值]]-0.09</f>
        <v>1.0469999999999999</v>
      </c>
      <c r="G193" s="20">
        <f>IF(表2_36716262930389121314151617[[#This Row],[累计净值]]&gt;0.9999,0.7*(表2_36716262930389121314151617[[#This Row],[累计净值]]-0.9999),表2_36716262930389121314151617[[#This Row],[累计净值]]-0.9999)</f>
        <v>9.597E-2</v>
      </c>
    </row>
    <row r="194" spans="1:7" x14ac:dyDescent="0.2">
      <c r="A194" s="15">
        <v>44210</v>
      </c>
      <c r="B194" s="112">
        <v>1.1437999999999999</v>
      </c>
      <c r="C194" s="108">
        <f t="shared" si="58"/>
        <v>6.7999999999999172E-3</v>
      </c>
      <c r="D194" s="109" t="str">
        <f t="shared" si="59"/>
        <v>/</v>
      </c>
      <c r="E194" s="109">
        <f ca="1">IF(表2_36716262930389121314151617[[#This Row],[累计净值]]/MAX(INDIRECT("B21:B" &amp; ROW()))-1&lt;E193,表2_36716262930389121314151617[[#This Row],[累计净值]]/MAX(INDIRECT("B21:B" &amp; ROW()))-1,E193)</f>
        <v>-1.8461815561959583E-2</v>
      </c>
      <c r="F194" s="110">
        <f>表2_36716262930389121314151617[[#This Row],[累计净值]]-0.09</f>
        <v>1.0537999999999998</v>
      </c>
      <c r="G194" s="20">
        <f>IF(表2_36716262930389121314151617[[#This Row],[累计净值]]&gt;0.9999,0.7*(表2_36716262930389121314151617[[#This Row],[累计净值]]-0.9999),表2_36716262930389121314151617[[#This Row],[累计净值]]-0.9999)</f>
        <v>0.10072999999999993</v>
      </c>
    </row>
    <row r="195" spans="1:7" x14ac:dyDescent="0.2">
      <c r="A195" s="15">
        <v>44211</v>
      </c>
      <c r="B195" s="112">
        <v>1.1493</v>
      </c>
      <c r="C195" s="108">
        <f t="shared" si="58"/>
        <v>5.5000000000000604E-3</v>
      </c>
      <c r="D195" s="109" t="str">
        <f t="shared" si="59"/>
        <v>/</v>
      </c>
      <c r="E195" s="109">
        <f ca="1">IF(表2_36716262930389121314151617[[#This Row],[累计净值]]/MAX(INDIRECT("B21:B" &amp; ROW()))-1&lt;E194,表2_36716262930389121314151617[[#This Row],[累计净值]]/MAX(INDIRECT("B21:B" &amp; ROW()))-1,E194)</f>
        <v>-1.8461815561959583E-2</v>
      </c>
      <c r="F195" s="110">
        <f>表2_36716262930389121314151617[[#This Row],[累计净值]]-0.09</f>
        <v>1.0592999999999999</v>
      </c>
      <c r="G195" s="20">
        <f>IF(表2_36716262930389121314151617[[#This Row],[累计净值]]&gt;0.9999,0.7*(表2_36716262930389121314151617[[#This Row],[累计净值]]-0.9999),表2_36716262930389121314151617[[#This Row],[累计净值]]-0.9999)</f>
        <v>0.10457999999999998</v>
      </c>
    </row>
    <row r="196" spans="1:7" x14ac:dyDescent="0.2">
      <c r="A196" s="15">
        <v>44214</v>
      </c>
      <c r="B196" s="112">
        <v>1.1480999999999999</v>
      </c>
      <c r="C196" s="108">
        <f t="shared" si="58"/>
        <v>-1.2000000000000899E-3</v>
      </c>
      <c r="D196" s="109">
        <f t="shared" si="59"/>
        <v>-1.2000000000000899E-3</v>
      </c>
      <c r="E196" s="109">
        <f ca="1">IF(表2_36716262930389121314151617[[#This Row],[累计净值]]/MAX(INDIRECT("B21:B" &amp; ROW()))-1&lt;E195,表2_36716262930389121314151617[[#This Row],[累计净值]]/MAX(INDIRECT("B21:B" &amp; ROW()))-1,E195)</f>
        <v>-1.8461815561959583E-2</v>
      </c>
      <c r="F196" s="110">
        <f>表2_36716262930389121314151617[[#This Row],[累计净值]]-0.09</f>
        <v>1.0580999999999998</v>
      </c>
      <c r="G196" s="20">
        <f>IF(表2_36716262930389121314151617[[#This Row],[累计净值]]&gt;0.9999,0.7*(表2_36716262930389121314151617[[#This Row],[累计净值]]-0.9999),表2_36716262930389121314151617[[#This Row],[累计净值]]-0.9999)</f>
        <v>0.10373999999999992</v>
      </c>
    </row>
    <row r="197" spans="1:7" x14ac:dyDescent="0.2">
      <c r="A197" s="15">
        <v>44215</v>
      </c>
      <c r="B197" s="112">
        <v>1.1456</v>
      </c>
      <c r="C197" s="108">
        <f t="shared" ref="C197:C202" si="60">IFERROR(B197-B196,0)</f>
        <v>-2.4999999999999467E-3</v>
      </c>
      <c r="D197" s="109">
        <f t="shared" ref="D197:D202" si="61">IF(C197&lt;0,C197,"/")</f>
        <v>-2.4999999999999467E-3</v>
      </c>
      <c r="E197" s="109">
        <f ca="1">IF(表2_36716262930389121314151617[[#This Row],[累计净值]]/MAX(INDIRECT("B21:B" &amp; ROW()))-1&lt;E196,表2_36716262930389121314151617[[#This Row],[累计净值]]/MAX(INDIRECT("B21:B" &amp; ROW()))-1,E196)</f>
        <v>-1.8461815561959583E-2</v>
      </c>
      <c r="F197" s="110">
        <f>表2_36716262930389121314151617[[#This Row],[累计净值]]-0.09</f>
        <v>1.0555999999999999</v>
      </c>
      <c r="G197" s="20">
        <f>IF(表2_36716262930389121314151617[[#This Row],[累计净值]]&gt;0.9999,0.7*(表2_36716262930389121314151617[[#This Row],[累计净值]]-0.9999),表2_36716262930389121314151617[[#This Row],[累计净值]]-0.9999)</f>
        <v>0.10198999999999996</v>
      </c>
    </row>
    <row r="198" spans="1:7" x14ac:dyDescent="0.2">
      <c r="A198" s="15">
        <v>44216</v>
      </c>
      <c r="B198" s="112">
        <v>1.1464000000000001</v>
      </c>
      <c r="C198" s="108">
        <f t="shared" si="60"/>
        <v>8.0000000000013394E-4</v>
      </c>
      <c r="D198" s="109" t="str">
        <f t="shared" si="61"/>
        <v>/</v>
      </c>
      <c r="E198" s="109">
        <f ca="1">IF(表2_36716262930389121314151617[[#This Row],[累计净值]]/MAX(INDIRECT("B21:B" &amp; ROW()))-1&lt;E197,表2_36716262930389121314151617[[#This Row],[累计净值]]/MAX(INDIRECT("B21:B" &amp; ROW()))-1,E197)</f>
        <v>-1.8461815561959583E-2</v>
      </c>
      <c r="F198" s="110">
        <f>表2_36716262930389121314151617[[#This Row],[累计净值]]-0.09</f>
        <v>1.0564</v>
      </c>
      <c r="G198" s="20">
        <f>IF(表2_36716262930389121314151617[[#This Row],[累计净值]]&gt;0.9999,0.7*(表2_36716262930389121314151617[[#This Row],[累计净值]]-0.9999),表2_36716262930389121314151617[[#This Row],[累计净值]]-0.9999)</f>
        <v>0.10255000000000004</v>
      </c>
    </row>
    <row r="199" spans="1:7" x14ac:dyDescent="0.2">
      <c r="A199" s="15">
        <v>44217</v>
      </c>
      <c r="B199" s="112">
        <v>1.1484000000000001</v>
      </c>
      <c r="C199" s="108">
        <f t="shared" si="60"/>
        <v>2.0000000000000018E-3</v>
      </c>
      <c r="D199" s="109" t="str">
        <f t="shared" si="61"/>
        <v>/</v>
      </c>
      <c r="E199" s="109">
        <f ca="1">IF(表2_36716262930389121314151617[[#This Row],[累计净值]]/MAX(INDIRECT("B21:B" &amp; ROW()))-1&lt;E198,表2_36716262930389121314151617[[#This Row],[累计净值]]/MAX(INDIRECT("B21:B" &amp; ROW()))-1,E198)</f>
        <v>-1.8461815561959583E-2</v>
      </c>
      <c r="F199" s="110">
        <f>表2_36716262930389121314151617[[#This Row],[累计净值]]-0.09</f>
        <v>1.0584</v>
      </c>
      <c r="G199" s="20">
        <f>IF(表2_36716262930389121314151617[[#This Row],[累计净值]]&gt;0.9999,0.7*(表2_36716262930389121314151617[[#This Row],[累计净值]]-0.9999),表2_36716262930389121314151617[[#This Row],[累计净值]]-0.9999)</f>
        <v>0.10395000000000004</v>
      </c>
    </row>
    <row r="200" spans="1:7" x14ac:dyDescent="0.2">
      <c r="A200" s="15">
        <v>44218</v>
      </c>
      <c r="B200" s="112">
        <v>1.1471</v>
      </c>
      <c r="C200" s="108">
        <f t="shared" si="60"/>
        <v>-1.3000000000000789E-3</v>
      </c>
      <c r="D200" s="109">
        <f t="shared" si="61"/>
        <v>-1.3000000000000789E-3</v>
      </c>
      <c r="E200" s="109">
        <f ca="1">IF(表2_36716262930389121314151617[[#This Row],[累计净值]]/MAX(INDIRECT("B21:B" &amp; ROW()))-1&lt;E199,表2_36716262930389121314151617[[#This Row],[累计净值]]/MAX(INDIRECT("B21:B" &amp; ROW()))-1,E199)</f>
        <v>-1.8461815561959583E-2</v>
      </c>
      <c r="F200" s="110">
        <f>表2_36716262930389121314151617[[#This Row],[累计净值]]-0.09</f>
        <v>1.0570999999999999</v>
      </c>
      <c r="G200" s="20">
        <f>IF(表2_36716262930389121314151617[[#This Row],[累计净值]]&gt;0.9999,0.7*(表2_36716262930389121314151617[[#This Row],[累计净值]]-0.9999),表2_36716262930389121314151617[[#This Row],[累计净值]]-0.9999)</f>
        <v>0.10303999999999999</v>
      </c>
    </row>
    <row r="201" spans="1:7" x14ac:dyDescent="0.2">
      <c r="A201" s="15">
        <v>44221</v>
      </c>
      <c r="B201" s="112">
        <v>1.1569</v>
      </c>
      <c r="C201" s="108">
        <f t="shared" si="60"/>
        <v>9.8000000000000309E-3</v>
      </c>
      <c r="D201" s="109" t="str">
        <f t="shared" si="61"/>
        <v>/</v>
      </c>
      <c r="E201" s="109">
        <f ca="1">IF(表2_36716262930389121314151617[[#This Row],[累计净值]]/MAX(INDIRECT("B21:B" &amp; ROW()))-1&lt;E200,表2_36716262930389121314151617[[#This Row],[累计净值]]/MAX(INDIRECT("B21:B" &amp; ROW()))-1,E200)</f>
        <v>-1.8461815561959583E-2</v>
      </c>
      <c r="F201" s="110">
        <f>表2_36716262930389121314151617[[#This Row],[累计净值]]-0.09</f>
        <v>1.0669</v>
      </c>
      <c r="G201" s="20">
        <f>IF(表2_36716262930389121314151617[[#This Row],[累计净值]]&gt;0.9999,0.7*(表2_36716262930389121314151617[[#This Row],[累计净值]]-0.9999),表2_36716262930389121314151617[[#This Row],[累计净值]]-0.9999)</f>
        <v>0.10990000000000001</v>
      </c>
    </row>
    <row r="202" spans="1:7" x14ac:dyDescent="0.2">
      <c r="A202" s="15">
        <v>44222</v>
      </c>
      <c r="B202" s="112">
        <v>1.1577</v>
      </c>
      <c r="C202" s="108">
        <f t="shared" si="60"/>
        <v>7.9999999999991189E-4</v>
      </c>
      <c r="D202" s="109" t="str">
        <f t="shared" si="61"/>
        <v>/</v>
      </c>
      <c r="E202" s="109">
        <f ca="1">IF(表2_36716262930389121314151617[[#This Row],[累计净值]]/MAX(INDIRECT("B21:B" &amp; ROW()))-1&lt;E201,表2_36716262930389121314151617[[#This Row],[累计净值]]/MAX(INDIRECT("B21:B" &amp; ROW()))-1,E201)</f>
        <v>-1.8461815561959583E-2</v>
      </c>
      <c r="F202" s="110">
        <f>表2_36716262930389121314151617[[#This Row],[累计净值]]-0.09</f>
        <v>1.0676999999999999</v>
      </c>
      <c r="G202" s="20">
        <f>IF(表2_36716262930389121314151617[[#This Row],[累计净值]]&gt;0.9999,0.7*(表2_36716262930389121314151617[[#This Row],[累计净值]]-0.9999),表2_36716262930389121314151617[[#This Row],[累计净值]]-0.9999)</f>
        <v>0.11045999999999995</v>
      </c>
    </row>
    <row r="203" spans="1:7" x14ac:dyDescent="0.2">
      <c r="A203" s="15">
        <v>44223</v>
      </c>
      <c r="B203" s="112">
        <v>1.1586000000000001</v>
      </c>
      <c r="C203" s="108">
        <f t="shared" ref="C203:C208" si="62">IFERROR(B203-B202,0)</f>
        <v>9.0000000000012292E-4</v>
      </c>
      <c r="D203" s="109" t="str">
        <f t="shared" ref="D203:D208" si="63">IF(C203&lt;0,C203,"/")</f>
        <v>/</v>
      </c>
      <c r="E203" s="109">
        <f ca="1">IF(表2_36716262930389121314151617[[#This Row],[累计净值]]/MAX(INDIRECT("B21:B" &amp; ROW()))-1&lt;E202,表2_36716262930389121314151617[[#This Row],[累计净值]]/MAX(INDIRECT("B21:B" &amp; ROW()))-1,E202)</f>
        <v>-1.8461815561959583E-2</v>
      </c>
      <c r="F203" s="110">
        <f>表2_36716262930389121314151617[[#This Row],[累计净值]]-0.09</f>
        <v>1.0686</v>
      </c>
      <c r="G203" s="20">
        <f>IF(表2_36716262930389121314151617[[#This Row],[累计净值]]&gt;0.9999,0.7*(表2_36716262930389121314151617[[#This Row],[累计净值]]-0.9999),表2_36716262930389121314151617[[#This Row],[累计净值]]-0.9999)</f>
        <v>0.11109000000000004</v>
      </c>
    </row>
    <row r="204" spans="1:7" x14ac:dyDescent="0.2">
      <c r="A204" s="15">
        <v>44224</v>
      </c>
      <c r="B204" s="112">
        <v>1.1581999999999999</v>
      </c>
      <c r="C204" s="108">
        <f t="shared" si="62"/>
        <v>-4.0000000000017799E-4</v>
      </c>
      <c r="D204" s="109">
        <f t="shared" si="63"/>
        <v>-4.0000000000017799E-4</v>
      </c>
      <c r="E204" s="109">
        <f ca="1">IF(表2_36716262930389121314151617[[#This Row],[累计净值]]/MAX(INDIRECT("B21:B" &amp; ROW()))-1&lt;E203,表2_36716262930389121314151617[[#This Row],[累计净值]]/MAX(INDIRECT("B21:B" &amp; ROW()))-1,E203)</f>
        <v>-1.8461815561959583E-2</v>
      </c>
      <c r="F204" s="110">
        <f>表2_36716262930389121314151617[[#This Row],[累计净值]]-0.09</f>
        <v>1.0681999999999998</v>
      </c>
      <c r="G204" s="20">
        <f>IF(表2_36716262930389121314151617[[#This Row],[累计净值]]&gt;0.9999,0.7*(表2_36716262930389121314151617[[#This Row],[累计净值]]-0.9999),表2_36716262930389121314151617[[#This Row],[累计净值]]-0.9999)</f>
        <v>0.11080999999999991</v>
      </c>
    </row>
    <row r="205" spans="1:7" x14ac:dyDescent="0.2">
      <c r="A205" s="15">
        <v>44225</v>
      </c>
      <c r="B205" s="112">
        <v>1.1597</v>
      </c>
      <c r="C205" s="108">
        <f t="shared" si="62"/>
        <v>1.5000000000000568E-3</v>
      </c>
      <c r="D205" s="109" t="str">
        <f t="shared" si="63"/>
        <v>/</v>
      </c>
      <c r="E205" s="109">
        <f ca="1">IF(表2_36716262930389121314151617[[#This Row],[累计净值]]/MAX(INDIRECT("B21:B" &amp; ROW()))-1&lt;E204,表2_36716262930389121314151617[[#This Row],[累计净值]]/MAX(INDIRECT("B21:B" &amp; ROW()))-1,E204)</f>
        <v>-1.8461815561959583E-2</v>
      </c>
      <c r="F205" s="110">
        <f>表2_36716262930389121314151617[[#This Row],[累计净值]]-0.09</f>
        <v>1.0696999999999999</v>
      </c>
      <c r="G205" s="20">
        <f>IF(表2_36716262930389121314151617[[#This Row],[累计净值]]&gt;0.9999,0.7*(表2_36716262930389121314151617[[#This Row],[累计净值]]-0.9999),表2_36716262930389121314151617[[#This Row],[累计净值]]-0.9999)</f>
        <v>0.11185999999999995</v>
      </c>
    </row>
    <row r="206" spans="1:7" x14ac:dyDescent="0.2">
      <c r="A206" s="15">
        <v>44228</v>
      </c>
      <c r="B206" s="112">
        <v>1.1597</v>
      </c>
      <c r="C206" s="108">
        <f t="shared" si="62"/>
        <v>0</v>
      </c>
      <c r="D206" s="109" t="str">
        <f t="shared" si="63"/>
        <v>/</v>
      </c>
      <c r="E206" s="109">
        <f ca="1">IF(表2_36716262930389121314151617[[#This Row],[累计净值]]/MAX(INDIRECT("B21:B" &amp; ROW()))-1&lt;E205,表2_36716262930389121314151617[[#This Row],[累计净值]]/MAX(INDIRECT("B21:B" &amp; ROW()))-1,E205)</f>
        <v>-1.8461815561959583E-2</v>
      </c>
      <c r="F206" s="110">
        <f>表2_36716262930389121314151617[[#This Row],[累计净值]]-0.09</f>
        <v>1.0696999999999999</v>
      </c>
      <c r="G206" s="20">
        <f>IF(表2_36716262930389121314151617[[#This Row],[累计净值]]&gt;0.9999,0.7*(表2_36716262930389121314151617[[#This Row],[累计净值]]-0.9999),表2_36716262930389121314151617[[#This Row],[累计净值]]-0.9999)</f>
        <v>0.11185999999999995</v>
      </c>
    </row>
    <row r="207" spans="1:7" x14ac:dyDescent="0.2">
      <c r="A207" s="15">
        <v>44229</v>
      </c>
      <c r="B207" s="112">
        <v>1.1597</v>
      </c>
      <c r="C207" s="108">
        <f t="shared" si="62"/>
        <v>0</v>
      </c>
      <c r="D207" s="109" t="str">
        <f t="shared" si="63"/>
        <v>/</v>
      </c>
      <c r="E207" s="109">
        <f ca="1">IF(表2_36716262930389121314151617[[#This Row],[累计净值]]/MAX(INDIRECT("B21:B" &amp; ROW()))-1&lt;E206,表2_36716262930389121314151617[[#This Row],[累计净值]]/MAX(INDIRECT("B21:B" &amp; ROW()))-1,E206)</f>
        <v>-1.8461815561959583E-2</v>
      </c>
      <c r="F207" s="110">
        <f>表2_36716262930389121314151617[[#This Row],[累计净值]]-0.09</f>
        <v>1.0696999999999999</v>
      </c>
      <c r="G207" s="20">
        <f>IF(表2_36716262930389121314151617[[#This Row],[累计净值]]&gt;0.9999,0.7*(表2_36716262930389121314151617[[#This Row],[累计净值]]-0.9999),表2_36716262930389121314151617[[#This Row],[累计净值]]-0.9999)</f>
        <v>0.11185999999999995</v>
      </c>
    </row>
    <row r="208" spans="1:7" x14ac:dyDescent="0.2">
      <c r="A208" s="15">
        <v>44230</v>
      </c>
      <c r="B208" s="112">
        <v>1.1596</v>
      </c>
      <c r="C208" s="108">
        <f t="shared" si="62"/>
        <v>-9.9999999999988987E-5</v>
      </c>
      <c r="D208" s="109">
        <f t="shared" si="63"/>
        <v>-9.9999999999988987E-5</v>
      </c>
      <c r="E208" s="109">
        <f ca="1">IF(表2_36716262930389121314151617[[#This Row],[累计净值]]/MAX(INDIRECT("B21:B" &amp; ROW()))-1&lt;E207,表2_36716262930389121314151617[[#This Row],[累计净值]]/MAX(INDIRECT("B21:B" &amp; ROW()))-1,E207)</f>
        <v>-1.8461815561959583E-2</v>
      </c>
      <c r="F208" s="110">
        <f>表2_36716262930389121314151617[[#This Row],[累计净值]]-0.09</f>
        <v>1.0695999999999999</v>
      </c>
      <c r="G208" s="20">
        <f>IF(表2_36716262930389121314151617[[#This Row],[累计净值]]&gt;0.9999,0.7*(表2_36716262930389121314151617[[#This Row],[累计净值]]-0.9999),表2_36716262930389121314151617[[#This Row],[累计净值]]-0.9999)</f>
        <v>0.11178999999999996</v>
      </c>
    </row>
    <row r="209" spans="1:7" x14ac:dyDescent="0.2">
      <c r="A209" s="15">
        <v>44231</v>
      </c>
      <c r="B209" s="112">
        <v>1.1595</v>
      </c>
      <c r="C209" s="108">
        <f>IFERROR(B209-B208,0)</f>
        <v>-9.9999999999988987E-5</v>
      </c>
      <c r="D209" s="109">
        <f>IF(C209&lt;0,C209,"/")</f>
        <v>-9.9999999999988987E-5</v>
      </c>
      <c r="E209" s="109">
        <f ca="1">IF(表2_36716262930389121314151617[[#This Row],[累计净值]]/MAX(INDIRECT("B21:B" &amp; ROW()))-1&lt;E208,表2_36716262930389121314151617[[#This Row],[累计净值]]/MAX(INDIRECT("B21:B" &amp; ROW()))-1,E208)</f>
        <v>-1.8461815561959583E-2</v>
      </c>
      <c r="F209" s="110">
        <f>表2_36716262930389121314151617[[#This Row],[累计净值]]-0.09</f>
        <v>1.0694999999999999</v>
      </c>
      <c r="G209" s="20">
        <f>IF(表2_36716262930389121314151617[[#This Row],[累计净值]]&gt;0.9999,0.7*(表2_36716262930389121314151617[[#This Row],[累计净值]]-0.9999),表2_36716262930389121314151617[[#This Row],[累计净值]]-0.9999)</f>
        <v>0.11171999999999997</v>
      </c>
    </row>
    <row r="210" spans="1:7" x14ac:dyDescent="0.2">
      <c r="A210" s="15">
        <v>44232</v>
      </c>
      <c r="B210" s="112">
        <v>1.1592</v>
      </c>
      <c r="C210" s="108">
        <f>IFERROR(B210-B209,0)</f>
        <v>-2.9999999999996696E-4</v>
      </c>
      <c r="D210" s="109">
        <f>IF(C210&lt;0,C210,"/")</f>
        <v>-2.9999999999996696E-4</v>
      </c>
      <c r="E210" s="109">
        <f ca="1">IF(表2_36716262930389121314151617[[#This Row],[累计净值]]/MAX(INDIRECT("B21:B" &amp; ROW()))-1&lt;E209,表2_36716262930389121314151617[[#This Row],[累计净值]]/MAX(INDIRECT("B21:B" &amp; ROW()))-1,E209)</f>
        <v>-1.8461815561959583E-2</v>
      </c>
      <c r="F210" s="110">
        <f>表2_36716262930389121314151617[[#This Row],[累计净值]]-0.09</f>
        <v>1.0691999999999999</v>
      </c>
      <c r="G210" s="20">
        <f>IF(表2_36716262930389121314151617[[#This Row],[累计净值]]&gt;0.9999,0.7*(表2_36716262930389121314151617[[#This Row],[累计净值]]-0.9999),表2_36716262930389121314151617[[#This Row],[累计净值]]-0.9999)</f>
        <v>0.11150999999999998</v>
      </c>
    </row>
    <row r="211" spans="1:7" x14ac:dyDescent="0.2">
      <c r="A211" s="15">
        <v>44235</v>
      </c>
      <c r="B211" s="112">
        <v>1.1588000000000001</v>
      </c>
      <c r="C211" s="108">
        <f>IFERROR(B211-B210,0)</f>
        <v>-3.9999999999995595E-4</v>
      </c>
      <c r="D211" s="109">
        <f>IF(C211&lt;0,C211,"/")</f>
        <v>-3.9999999999995595E-4</v>
      </c>
      <c r="E211" s="109">
        <f ca="1">IF(表2_36716262930389121314151617[[#This Row],[累计净值]]/MAX(INDIRECT("B21:B" &amp; ROW()))-1&lt;E210,表2_36716262930389121314151617[[#This Row],[累计净值]]/MAX(INDIRECT("B21:B" &amp; ROW()))-1,E210)</f>
        <v>-1.8461815561959583E-2</v>
      </c>
      <c r="F211" s="110">
        <f>表2_36716262930389121314151617[[#This Row],[累计净值]]-0.09</f>
        <v>1.0688</v>
      </c>
      <c r="G211" s="20">
        <f>IF(表2_36716262930389121314151617[[#This Row],[累计净值]]&gt;0.9999,0.7*(表2_36716262930389121314151617[[#This Row],[累计净值]]-0.9999),表2_36716262930389121314151617[[#This Row],[累计净值]]-0.9999)</f>
        <v>0.11123000000000002</v>
      </c>
    </row>
    <row r="212" spans="1:7" x14ac:dyDescent="0.2">
      <c r="A212" s="15">
        <v>44236</v>
      </c>
      <c r="B212" s="112">
        <v>1.1588000000000001</v>
      </c>
      <c r="C212" s="108">
        <f t="shared" ref="C212:C214" si="64">IFERROR(B212-B211,0)</f>
        <v>0</v>
      </c>
      <c r="D212" s="109" t="str">
        <f t="shared" ref="D212:D214" si="65">IF(C212&lt;0,C212,"/")</f>
        <v>/</v>
      </c>
      <c r="E212" s="109">
        <f ca="1">IF(表2_36716262930389121314151617[[#This Row],[累计净值]]/MAX(INDIRECT("B21:B" &amp; ROW()))-1&lt;E211,表2_36716262930389121314151617[[#This Row],[累计净值]]/MAX(INDIRECT("B21:B" &amp; ROW()))-1,E211)</f>
        <v>-1.8461815561959583E-2</v>
      </c>
      <c r="F212" s="110">
        <f>表2_36716262930389121314151617[[#This Row],[累计净值]]-0.09</f>
        <v>1.0688</v>
      </c>
      <c r="G212" s="20">
        <f>IF(表2_36716262930389121314151617[[#This Row],[累计净值]]&gt;0.9999,0.7*(表2_36716262930389121314151617[[#This Row],[累计净值]]-0.9999),表2_36716262930389121314151617[[#This Row],[累计净值]]-0.9999)</f>
        <v>0.11123000000000002</v>
      </c>
    </row>
    <row r="213" spans="1:7" x14ac:dyDescent="0.2">
      <c r="A213" s="15">
        <v>44237</v>
      </c>
      <c r="B213" s="112">
        <v>1.1587000000000001</v>
      </c>
      <c r="C213" s="108">
        <f t="shared" si="64"/>
        <v>-9.9999999999988987E-5</v>
      </c>
      <c r="D213" s="109">
        <f t="shared" si="65"/>
        <v>-9.9999999999988987E-5</v>
      </c>
      <c r="E213" s="109">
        <f ca="1">IF(表2_36716262930389121314151617[[#This Row],[累计净值]]/MAX(INDIRECT("B21:B" &amp; ROW()))-1&lt;E212,表2_36716262930389121314151617[[#This Row],[累计净值]]/MAX(INDIRECT("B21:B" &amp; ROW()))-1,E212)</f>
        <v>-1.8461815561959583E-2</v>
      </c>
      <c r="F213" s="110">
        <f>表2_36716262930389121314151617[[#This Row],[累计净值]]-0.09</f>
        <v>1.0687</v>
      </c>
      <c r="G213" s="20">
        <f>IF(表2_36716262930389121314151617[[#This Row],[累计净值]]&gt;0.9999,0.7*(表2_36716262930389121314151617[[#This Row],[累计净值]]-0.9999),表2_36716262930389121314151617[[#This Row],[累计净值]]-0.9999)</f>
        <v>0.11116000000000002</v>
      </c>
    </row>
    <row r="214" spans="1:7" x14ac:dyDescent="0.2">
      <c r="A214" s="15">
        <v>44245</v>
      </c>
      <c r="B214" s="112">
        <v>1.1588000000000001</v>
      </c>
      <c r="C214" s="108">
        <f t="shared" si="64"/>
        <v>9.9999999999988987E-5</v>
      </c>
      <c r="D214" s="109" t="str">
        <f t="shared" si="65"/>
        <v>/</v>
      </c>
      <c r="E214" s="109">
        <f ca="1">IF(表2_36716262930389121314151617[[#This Row],[累计净值]]/MAX(INDIRECT("B21:B" &amp; ROW()))-1&lt;E213,表2_36716262930389121314151617[[#This Row],[累计净值]]/MAX(INDIRECT("B21:B" &amp; ROW()))-1,E213)</f>
        <v>-1.8461815561959583E-2</v>
      </c>
      <c r="F214" s="110">
        <f>表2_36716262930389121314151617[[#This Row],[累计净值]]-0.09</f>
        <v>1.0688</v>
      </c>
      <c r="G214" s="20">
        <f>IF(表2_36716262930389121314151617[[#This Row],[累计净值]]&gt;0.9999,0.7*(表2_36716262930389121314151617[[#This Row],[累计净值]]-0.9999),表2_36716262930389121314151617[[#This Row],[累计净值]]-0.9999)</f>
        <v>0.11123000000000002</v>
      </c>
    </row>
    <row r="215" spans="1:7" x14ac:dyDescent="0.2">
      <c r="A215" s="15">
        <v>44246</v>
      </c>
      <c r="B215" s="112">
        <v>1.1597999999999999</v>
      </c>
      <c r="C215" s="108">
        <f>IFERROR(B215-B214,0)</f>
        <v>9.9999999999988987E-4</v>
      </c>
      <c r="D215" s="109" t="str">
        <f>IF(C215&lt;0,C215,"/")</f>
        <v>/</v>
      </c>
      <c r="E215" s="109">
        <f ca="1">IF(表2_36716262930389121314151617[[#This Row],[累计净值]]/MAX(INDIRECT("B21:B" &amp; ROW()))-1&lt;E214,表2_36716262930389121314151617[[#This Row],[累计净值]]/MAX(INDIRECT("B21:B" &amp; ROW()))-1,E214)</f>
        <v>-1.8461815561959583E-2</v>
      </c>
      <c r="F215" s="110">
        <f>表2_36716262930389121314151617[[#This Row],[累计净值]]-0.09</f>
        <v>1.0697999999999999</v>
      </c>
      <c r="G215" s="20">
        <f>IF(表2_36716262930389121314151617[[#This Row],[累计净值]]&gt;0.9999,0.7*(表2_36716262930389121314151617[[#This Row],[累计净值]]-0.9999),表2_36716262930389121314151617[[#This Row],[累计净值]]-0.9999)</f>
        <v>0.11192999999999995</v>
      </c>
    </row>
    <row r="216" spans="1:7" x14ac:dyDescent="0.2">
      <c r="A216" s="15">
        <v>44249</v>
      </c>
      <c r="B216" s="112">
        <v>1.1596</v>
      </c>
      <c r="C216" s="108">
        <f>IFERROR(B216-B215,0)</f>
        <v>-1.9999999999997797E-4</v>
      </c>
      <c r="D216" s="109">
        <f>IF(C216&lt;0,C216,"/")</f>
        <v>-1.9999999999997797E-4</v>
      </c>
      <c r="E216" s="109">
        <f ca="1">IF(表2_36716262930389121314151617[[#This Row],[累计净值]]/MAX(INDIRECT("B21:B" &amp; ROW()))-1&lt;E215,表2_36716262930389121314151617[[#This Row],[累计净值]]/MAX(INDIRECT("B21:B" &amp; ROW()))-1,E215)</f>
        <v>-1.8461815561959583E-2</v>
      </c>
      <c r="F216" s="110">
        <f>表2_36716262930389121314151617[[#This Row],[累计净值]]-0.09</f>
        <v>1.0695999999999999</v>
      </c>
      <c r="G216" s="20">
        <f>IF(表2_36716262930389121314151617[[#This Row],[累计净值]]&gt;0.9999,0.7*(表2_36716262930389121314151617[[#This Row],[累计净值]]-0.9999),表2_36716262930389121314151617[[#This Row],[累计净值]]-0.9999)</f>
        <v>0.11178999999999996</v>
      </c>
    </row>
    <row r="217" spans="1:7" x14ac:dyDescent="0.2">
      <c r="A217" s="15">
        <v>44250</v>
      </c>
      <c r="B217" s="112">
        <v>1.1651</v>
      </c>
      <c r="C217" s="108">
        <f>IFERROR(B217-B216,0)</f>
        <v>5.5000000000000604E-3</v>
      </c>
      <c r="D217" s="109" t="str">
        <f>IF(C217&lt;0,C217,"/")</f>
        <v>/</v>
      </c>
      <c r="E217" s="109">
        <f ca="1">IF(表2_36716262930389121314151617[[#This Row],[累计净值]]/MAX(INDIRECT("B21:B" &amp; ROW()))-1&lt;E216,表2_36716262930389121314151617[[#This Row],[累计净值]]/MAX(INDIRECT("B21:B" &amp; ROW()))-1,E216)</f>
        <v>-1.8461815561959583E-2</v>
      </c>
      <c r="F217" s="110">
        <f>表2_36716262930389121314151617[[#This Row],[累计净值]]-0.09</f>
        <v>1.0750999999999999</v>
      </c>
      <c r="G217" s="20">
        <f>IF(表2_36716262930389121314151617[[#This Row],[累计净值]]&gt;0.9999,0.7*(表2_36716262930389121314151617[[#This Row],[累计净值]]-0.9999),表2_36716262930389121314151617[[#This Row],[累计净值]]-0.9999)</f>
        <v>0.11564000000000001</v>
      </c>
    </row>
    <row r="218" spans="1:7" x14ac:dyDescent="0.2">
      <c r="A218" s="15">
        <v>44251</v>
      </c>
      <c r="B218" s="226">
        <v>1.1672</v>
      </c>
      <c r="C218" s="108">
        <f t="shared" ref="C218:C221" si="66">IFERROR(B218-B217,0)</f>
        <v>2.0999999999999908E-3</v>
      </c>
      <c r="D218" s="109" t="str">
        <f t="shared" ref="D218:D221" si="67">IF(C218&lt;0,C218,"/")</f>
        <v>/</v>
      </c>
      <c r="E218" s="109">
        <f ca="1">IF(表2_36716262930389121314151617[[#This Row],[累计净值]]/MAX(INDIRECT("B21:B" &amp; ROW()))-1&lt;E217,表2_36716262930389121314151617[[#This Row],[累计净值]]/MAX(INDIRECT("B21:B" &amp; ROW()))-1,E217)</f>
        <v>-1.8461815561959583E-2</v>
      </c>
      <c r="F218" s="110">
        <f>表2_36716262930389121314151617[[#This Row],[累计净值]]-0.09</f>
        <v>1.0771999999999999</v>
      </c>
      <c r="G218" s="20">
        <f>IF(表2_36716262930389121314151617[[#This Row],[累计净值]]&gt;0.9999,0.7*(表2_36716262930389121314151617[[#This Row],[累计净值]]-0.9999),表2_36716262930389121314151617[[#This Row],[累计净值]]-0.9999)</f>
        <v>0.11710999999999999</v>
      </c>
    </row>
    <row r="219" spans="1:7" x14ac:dyDescent="0.2">
      <c r="A219" s="15">
        <v>44252</v>
      </c>
      <c r="B219" s="112">
        <v>1.167</v>
      </c>
      <c r="C219" s="108">
        <f t="shared" si="66"/>
        <v>-1.9999999999997797E-4</v>
      </c>
      <c r="D219" s="109">
        <f t="shared" si="67"/>
        <v>-1.9999999999997797E-4</v>
      </c>
      <c r="E219" s="109">
        <f ca="1">IF(表2_36716262930389121314151617[[#This Row],[累计净值]]/MAX(INDIRECT("B21:B" &amp; ROW()))-1&lt;E218,表2_36716262930389121314151617[[#This Row],[累计净值]]/MAX(INDIRECT("B21:B" &amp; ROW()))-1,E218)</f>
        <v>-1.8461815561959583E-2</v>
      </c>
      <c r="F219" s="110">
        <f>表2_36716262930389121314151617[[#This Row],[累计净值]]-0.09</f>
        <v>1.077</v>
      </c>
      <c r="G219" s="20">
        <f>IF(表2_36716262930389121314151617[[#This Row],[累计净值]]&gt;0.9999,0.7*(表2_36716262930389121314151617[[#This Row],[累计净值]]-0.9999),表2_36716262930389121314151617[[#This Row],[累计净值]]-0.9999)</f>
        <v>0.11697</v>
      </c>
    </row>
    <row r="220" spans="1:7" x14ac:dyDescent="0.2">
      <c r="A220" s="15">
        <v>44253</v>
      </c>
      <c r="B220" s="112">
        <v>1.1716</v>
      </c>
      <c r="C220" s="108">
        <f t="shared" si="66"/>
        <v>4.5999999999999375E-3</v>
      </c>
      <c r="D220" s="109" t="str">
        <f t="shared" si="67"/>
        <v>/</v>
      </c>
      <c r="E220" s="109">
        <f ca="1">IF(表2_36716262930389121314151617[[#This Row],[累计净值]]/MAX(INDIRECT("B21:B" &amp; ROW()))-1&lt;E219,表2_36716262930389121314151617[[#This Row],[累计净值]]/MAX(INDIRECT("B21:B" &amp; ROW()))-1,E219)</f>
        <v>-1.8461815561959583E-2</v>
      </c>
      <c r="F220" s="110">
        <f>表2_36716262930389121314151617[[#This Row],[累计净值]]-0.09</f>
        <v>1.0815999999999999</v>
      </c>
      <c r="G220" s="20">
        <f>IF(表2_36716262930389121314151617[[#This Row],[累计净值]]&gt;0.9999,0.7*(表2_36716262930389121314151617[[#This Row],[累计净值]]-0.9999),表2_36716262930389121314151617[[#This Row],[累计净值]]-0.9999)</f>
        <v>0.12018999999999996</v>
      </c>
    </row>
    <row r="221" spans="1:7" x14ac:dyDescent="0.2">
      <c r="A221" s="15">
        <v>44256</v>
      </c>
      <c r="B221" s="112">
        <v>1.1756</v>
      </c>
      <c r="C221" s="108">
        <f t="shared" si="66"/>
        <v>4.0000000000000036E-3</v>
      </c>
      <c r="D221" s="109" t="str">
        <f t="shared" si="67"/>
        <v>/</v>
      </c>
      <c r="E221" s="109">
        <f ca="1">IF(表2_36716262930389121314151617[[#This Row],[累计净值]]/MAX(INDIRECT("B21:B" &amp; ROW()))-1&lt;E220,表2_36716262930389121314151617[[#This Row],[累计净值]]/MAX(INDIRECT("B21:B" &amp; ROW()))-1,E220)</f>
        <v>-1.8461815561959583E-2</v>
      </c>
      <c r="F221" s="110">
        <f>表2_36716262930389121314151617[[#This Row],[累计净值]]-0.09</f>
        <v>1.0855999999999999</v>
      </c>
      <c r="G221" s="20">
        <f>IF(表2_36716262930389121314151617[[#This Row],[累计净值]]&gt;0.9999,0.7*(表2_36716262930389121314151617[[#This Row],[累计净值]]-0.9999),表2_36716262930389121314151617[[#This Row],[累计净值]]-0.9999)</f>
        <v>0.12298999999999997</v>
      </c>
    </row>
    <row r="222" spans="1:7" x14ac:dyDescent="0.2">
      <c r="A222" s="15">
        <v>44257</v>
      </c>
      <c r="B222" s="112">
        <v>1.1737</v>
      </c>
      <c r="C222" s="108">
        <f t="shared" ref="C222:C223" si="68">IFERROR(B222-B221,0)</f>
        <v>-1.9000000000000128E-3</v>
      </c>
      <c r="D222" s="109">
        <f t="shared" ref="D222:D223" si="69">IF(C222&lt;0,C222,"/")</f>
        <v>-1.9000000000000128E-3</v>
      </c>
      <c r="E222" s="109">
        <f ca="1">IF(表2_36716262930389121314151617[[#This Row],[累计净值]]/MAX(INDIRECT("B21:B" &amp; ROW()))-1&lt;E221,表2_36716262930389121314151617[[#This Row],[累计净值]]/MAX(INDIRECT("B21:B" &amp; ROW()))-1,E221)</f>
        <v>-1.8461815561959583E-2</v>
      </c>
      <c r="F222" s="110">
        <f>表2_36716262930389121314151617[[#This Row],[累计净值]]-0.09</f>
        <v>1.0836999999999999</v>
      </c>
      <c r="G222" s="20">
        <f>IF(表2_36716262930389121314151617[[#This Row],[累计净值]]&gt;0.9999,0.7*(表2_36716262930389121314151617[[#This Row],[累计净值]]-0.9999),表2_36716262930389121314151617[[#This Row],[累计净值]]-0.9999)</f>
        <v>0.12165999999999996</v>
      </c>
    </row>
    <row r="223" spans="1:7" x14ac:dyDescent="0.2">
      <c r="A223" s="15">
        <v>44258</v>
      </c>
      <c r="B223" s="112">
        <v>1.1714</v>
      </c>
      <c r="C223" s="108">
        <f t="shared" si="68"/>
        <v>-2.2999999999999687E-3</v>
      </c>
      <c r="D223" s="109">
        <f t="shared" si="69"/>
        <v>-2.2999999999999687E-3</v>
      </c>
      <c r="E223" s="109">
        <f ca="1">IF(表2_36716262930389121314151617[[#This Row],[累计净值]]/MAX(INDIRECT("B21:B" &amp; ROW()))-1&lt;E222,表2_36716262930389121314151617[[#This Row],[累计净值]]/MAX(INDIRECT("B21:B" &amp; ROW()))-1,E222)</f>
        <v>-1.8461815561959583E-2</v>
      </c>
      <c r="F223" s="110">
        <f>表2_36716262930389121314151617[[#This Row],[累计净值]]-0.09</f>
        <v>1.0813999999999999</v>
      </c>
      <c r="G223" s="20">
        <f>IF(表2_36716262930389121314151617[[#This Row],[累计净值]]&gt;0.9999,0.7*(表2_36716262930389121314151617[[#This Row],[累计净值]]-0.9999),表2_36716262930389121314151617[[#This Row],[累计净值]]-0.9999)</f>
        <v>0.12004999999999998</v>
      </c>
    </row>
    <row r="224" spans="1:7" x14ac:dyDescent="0.2">
      <c r="A224" s="15">
        <v>44259</v>
      </c>
      <c r="B224" s="112">
        <v>1.1718</v>
      </c>
      <c r="C224" s="108">
        <f t="shared" ref="C224:C228" si="70">IFERROR(B224-B223,0)</f>
        <v>3.9999999999995595E-4</v>
      </c>
      <c r="D224" s="109" t="str">
        <f t="shared" ref="D224:D228" si="71">IF(C224&lt;0,C224,"/")</f>
        <v>/</v>
      </c>
      <c r="E224" s="109">
        <f ca="1">IF(表2_36716262930389121314151617[[#This Row],[累计净值]]/MAX(INDIRECT("B21:B" &amp; ROW()))-1&lt;E223,表2_36716262930389121314151617[[#This Row],[累计净值]]/MAX(INDIRECT("B21:B" &amp; ROW()))-1,E223)</f>
        <v>-1.8461815561959583E-2</v>
      </c>
      <c r="F224" s="110">
        <f>表2_36716262930389121314151617[[#This Row],[累计净值]]-0.09</f>
        <v>1.0817999999999999</v>
      </c>
      <c r="G224" s="20">
        <f>IF(表2_36716262930389121314151617[[#This Row],[累计净值]]&gt;0.9999,0.7*(表2_36716262930389121314151617[[#This Row],[累计净值]]-0.9999),表2_36716262930389121314151617[[#This Row],[累计净值]]-0.9999)</f>
        <v>0.12032999999999995</v>
      </c>
    </row>
    <row r="225" spans="1:7" x14ac:dyDescent="0.2">
      <c r="A225" s="15">
        <v>44260</v>
      </c>
      <c r="B225" s="112">
        <v>1.1727000000000001</v>
      </c>
      <c r="C225" s="108">
        <f t="shared" si="70"/>
        <v>9.0000000000012292E-4</v>
      </c>
      <c r="D225" s="109" t="str">
        <f t="shared" si="71"/>
        <v>/</v>
      </c>
      <c r="E225" s="109">
        <f ca="1">IF(表2_36716262930389121314151617[[#This Row],[累计净值]]/MAX(INDIRECT("B21:B" &amp; ROW()))-1&lt;E224,表2_36716262930389121314151617[[#This Row],[累计净值]]/MAX(INDIRECT("B21:B" &amp; ROW()))-1,E224)</f>
        <v>-1.8461815561959583E-2</v>
      </c>
      <c r="F225" s="110">
        <f>表2_36716262930389121314151617[[#This Row],[累计净值]]-0.09</f>
        <v>1.0827</v>
      </c>
      <c r="G225" s="20">
        <f>IF(表2_36716262930389121314151617[[#This Row],[累计净值]]&gt;0.9999,0.7*(表2_36716262930389121314151617[[#This Row],[累计净值]]-0.9999),表2_36716262930389121314151617[[#This Row],[累计净值]]-0.9999)</f>
        <v>0.12096000000000004</v>
      </c>
    </row>
    <row r="226" spans="1:7" x14ac:dyDescent="0.2">
      <c r="A226" s="15">
        <v>44263</v>
      </c>
      <c r="B226" s="112">
        <v>1.1751</v>
      </c>
      <c r="C226" s="108">
        <f t="shared" si="70"/>
        <v>2.3999999999999577E-3</v>
      </c>
      <c r="D226" s="109" t="str">
        <f t="shared" si="71"/>
        <v>/</v>
      </c>
      <c r="E226" s="109">
        <f ca="1">IF(表2_36716262930389121314151617[[#This Row],[累计净值]]/MAX(INDIRECT("B21:B" &amp; ROW()))-1&lt;E225,表2_36716262930389121314151617[[#This Row],[累计净值]]/MAX(INDIRECT("B21:B" &amp; ROW()))-1,E225)</f>
        <v>-1.8461815561959583E-2</v>
      </c>
      <c r="F226" s="110">
        <f>表2_36716262930389121314151617[[#This Row],[累计净值]]-0.09</f>
        <v>1.0851</v>
      </c>
      <c r="G226" s="20">
        <f>IF(表2_36716262930389121314151617[[#This Row],[累计净值]]&gt;0.9999,0.7*(表2_36716262930389121314151617[[#This Row],[累计净值]]-0.9999),表2_36716262930389121314151617[[#This Row],[累计净值]]-0.9999)</f>
        <v>0.12264000000000001</v>
      </c>
    </row>
    <row r="227" spans="1:7" x14ac:dyDescent="0.2">
      <c r="A227" s="15">
        <v>44264</v>
      </c>
      <c r="B227" s="112">
        <v>1.177</v>
      </c>
      <c r="C227" s="108">
        <f t="shared" si="70"/>
        <v>1.9000000000000128E-3</v>
      </c>
      <c r="D227" s="109" t="str">
        <f t="shared" si="71"/>
        <v>/</v>
      </c>
      <c r="E227" s="109">
        <f ca="1">IF(表2_36716262930389121314151617[[#This Row],[累计净值]]/MAX(INDIRECT("B21:B" &amp; ROW()))-1&lt;E226,表2_36716262930389121314151617[[#This Row],[累计净值]]/MAX(INDIRECT("B21:B" &amp; ROW()))-1,E226)</f>
        <v>-1.8461815561959583E-2</v>
      </c>
      <c r="F227" s="110">
        <f>表2_36716262930389121314151617[[#This Row],[累计净值]]-0.09</f>
        <v>1.087</v>
      </c>
      <c r="G227" s="20">
        <f>IF(表2_36716262930389121314151617[[#This Row],[累计净值]]&gt;0.9999,0.7*(表2_36716262930389121314151617[[#This Row],[累计净值]]-0.9999),表2_36716262930389121314151617[[#This Row],[累计净值]]-0.9999)</f>
        <v>0.12397000000000001</v>
      </c>
    </row>
    <row r="228" spans="1:7" x14ac:dyDescent="0.2">
      <c r="A228" s="15">
        <v>44265</v>
      </c>
      <c r="B228" s="112">
        <v>1.1785000000000001</v>
      </c>
      <c r="C228" s="108">
        <f t="shared" si="70"/>
        <v>1.5000000000000568E-3</v>
      </c>
      <c r="D228" s="109" t="str">
        <f t="shared" si="71"/>
        <v>/</v>
      </c>
      <c r="E228" s="109">
        <f ca="1">IF(表2_36716262930389121314151617[[#This Row],[累计净值]]/MAX(INDIRECT("B21:B" &amp; ROW()))-1&lt;E227,表2_36716262930389121314151617[[#This Row],[累计净值]]/MAX(INDIRECT("B21:B" &amp; ROW()))-1,E227)</f>
        <v>-1.8461815561959583E-2</v>
      </c>
      <c r="F228" s="110">
        <f>表2_36716262930389121314151617[[#This Row],[累计净值]]-0.09</f>
        <v>1.0885</v>
      </c>
      <c r="G228" s="20">
        <f>IF(表2_36716262930389121314151617[[#This Row],[累计净值]]&gt;0.9999,0.7*(表2_36716262930389121314151617[[#This Row],[累计净值]]-0.9999),表2_36716262930389121314151617[[#This Row],[累计净值]]-0.9999)</f>
        <v>0.12502000000000005</v>
      </c>
    </row>
    <row r="229" spans="1:7" x14ac:dyDescent="0.2">
      <c r="A229" s="15">
        <v>44266</v>
      </c>
      <c r="B229" s="112">
        <v>1.1773</v>
      </c>
      <c r="C229" s="108">
        <f t="shared" ref="C229:C234" si="72">IFERROR(B229-B228,0)</f>
        <v>-1.2000000000000899E-3</v>
      </c>
      <c r="D229" s="109">
        <f t="shared" ref="D229:D234" si="73">IF(C229&lt;0,C229,"/")</f>
        <v>-1.2000000000000899E-3</v>
      </c>
      <c r="E229" s="109">
        <f ca="1">IF(表2_36716262930389121314151617[[#This Row],[累计净值]]/MAX(INDIRECT("B21:B" &amp; ROW()))-1&lt;E228,表2_36716262930389121314151617[[#This Row],[累计净值]]/MAX(INDIRECT("B21:B" &amp; ROW()))-1,E228)</f>
        <v>-1.8461815561959583E-2</v>
      </c>
      <c r="F229" s="110">
        <f>表2_36716262930389121314151617[[#This Row],[累计净值]]-0.09</f>
        <v>1.0872999999999999</v>
      </c>
      <c r="G229" s="20">
        <f>IF(表2_36716262930389121314151617[[#This Row],[累计净值]]&gt;0.9999,0.7*(表2_36716262930389121314151617[[#This Row],[累计净值]]-0.9999),表2_36716262930389121314151617[[#This Row],[累计净值]]-0.9999)</f>
        <v>0.12418</v>
      </c>
    </row>
    <row r="230" spans="1:7" x14ac:dyDescent="0.2">
      <c r="A230" s="15">
        <v>44267</v>
      </c>
      <c r="B230" s="112">
        <v>1.1778</v>
      </c>
      <c r="C230" s="108">
        <f t="shared" si="72"/>
        <v>4.9999999999994493E-4</v>
      </c>
      <c r="D230" s="109" t="str">
        <f t="shared" si="73"/>
        <v>/</v>
      </c>
      <c r="E230" s="109">
        <f ca="1">IF(表2_36716262930389121314151617[[#This Row],[累计净值]]/MAX(INDIRECT("B21:B" &amp; ROW()))-1&lt;E229,表2_36716262930389121314151617[[#This Row],[累计净值]]/MAX(INDIRECT("B21:B" &amp; ROW()))-1,E229)</f>
        <v>-1.8461815561959583E-2</v>
      </c>
      <c r="F230" s="110">
        <f>表2_36716262930389121314151617[[#This Row],[累计净值]]-0.09</f>
        <v>1.0877999999999999</v>
      </c>
      <c r="G230" s="20">
        <f>IF(表2_36716262930389121314151617[[#This Row],[累计净值]]&gt;0.9999,0.7*(表2_36716262930389121314151617[[#This Row],[累计净值]]-0.9999),表2_36716262930389121314151617[[#This Row],[累计净值]]-0.9999)</f>
        <v>0.12452999999999996</v>
      </c>
    </row>
    <row r="231" spans="1:7" x14ac:dyDescent="0.2">
      <c r="A231" s="15">
        <v>44270</v>
      </c>
      <c r="B231" s="112">
        <v>1.1818</v>
      </c>
      <c r="C231" s="108">
        <f t="shared" si="72"/>
        <v>4.0000000000000036E-3</v>
      </c>
      <c r="D231" s="109" t="str">
        <f t="shared" si="73"/>
        <v>/</v>
      </c>
      <c r="E231" s="109">
        <f ca="1">IF(表2_36716262930389121314151617[[#This Row],[累计净值]]/MAX(INDIRECT("B21:B" &amp; ROW()))-1&lt;E230,表2_36716262930389121314151617[[#This Row],[累计净值]]/MAX(INDIRECT("B21:B" &amp; ROW()))-1,E230)</f>
        <v>-1.8461815561959583E-2</v>
      </c>
      <c r="F231" s="110">
        <f>表2_36716262930389121314151617[[#This Row],[累计净值]]-0.09</f>
        <v>1.0917999999999999</v>
      </c>
      <c r="G231" s="20">
        <f>IF(表2_36716262930389121314151617[[#This Row],[累计净值]]&gt;0.9999,0.7*(表2_36716262930389121314151617[[#This Row],[累计净值]]-0.9999),表2_36716262930389121314151617[[#This Row],[累计净值]]-0.9999)</f>
        <v>0.12732999999999997</v>
      </c>
    </row>
    <row r="232" spans="1:7" x14ac:dyDescent="0.2">
      <c r="A232" s="15">
        <v>44271</v>
      </c>
      <c r="B232" s="112">
        <v>1.1823999999999999</v>
      </c>
      <c r="C232" s="108">
        <f t="shared" si="72"/>
        <v>5.9999999999993392E-4</v>
      </c>
      <c r="D232" s="109" t="str">
        <f t="shared" si="73"/>
        <v>/</v>
      </c>
      <c r="E232" s="109">
        <f ca="1">IF(表2_36716262930389121314151617[[#This Row],[累计净值]]/MAX(INDIRECT("B21:B" &amp; ROW()))-1&lt;E231,表2_36716262930389121314151617[[#This Row],[累计净值]]/MAX(INDIRECT("B21:B" &amp; ROW()))-1,E231)</f>
        <v>-1.8461815561959583E-2</v>
      </c>
      <c r="F232" s="110">
        <f>表2_36716262930389121314151617[[#This Row],[累计净值]]-0.09</f>
        <v>1.0923999999999998</v>
      </c>
      <c r="G232" s="20">
        <f>IF(表2_36716262930389121314151617[[#This Row],[累计净值]]&gt;0.9999,0.7*(表2_36716262930389121314151617[[#This Row],[累计净值]]-0.9999),表2_36716262930389121314151617[[#This Row],[累计净值]]-0.9999)</f>
        <v>0.12774999999999992</v>
      </c>
    </row>
    <row r="233" spans="1:7" x14ac:dyDescent="0.2">
      <c r="A233" s="15">
        <v>44272</v>
      </c>
      <c r="B233" s="112">
        <v>1.1837</v>
      </c>
      <c r="C233" s="108">
        <f t="shared" si="72"/>
        <v>1.3000000000000789E-3</v>
      </c>
      <c r="D233" s="109" t="str">
        <f t="shared" si="73"/>
        <v>/</v>
      </c>
      <c r="E233" s="109">
        <f ca="1">IF(表2_36716262930389121314151617[[#This Row],[累计净值]]/MAX(INDIRECT("B21:B" &amp; ROW()))-1&lt;E232,表2_36716262930389121314151617[[#This Row],[累计净值]]/MAX(INDIRECT("B21:B" &amp; ROW()))-1,E232)</f>
        <v>-1.8461815561959583E-2</v>
      </c>
      <c r="F233" s="110">
        <f>表2_36716262930389121314151617[[#This Row],[累计净值]]-0.09</f>
        <v>1.0936999999999999</v>
      </c>
      <c r="G233" s="20">
        <f>IF(表2_36716262930389121314151617[[#This Row],[累计净值]]&gt;0.9999,0.7*(表2_36716262930389121314151617[[#This Row],[累计净值]]-0.9999),表2_36716262930389121314151617[[#This Row],[累计净值]]-0.9999)</f>
        <v>0.12865999999999997</v>
      </c>
    </row>
    <row r="234" spans="1:7" x14ac:dyDescent="0.2">
      <c r="A234" s="15">
        <v>44273</v>
      </c>
      <c r="B234" s="112">
        <v>1.1831</v>
      </c>
      <c r="C234" s="108">
        <f t="shared" si="72"/>
        <v>-5.9999999999993392E-4</v>
      </c>
      <c r="D234" s="109">
        <f t="shared" si="73"/>
        <v>-5.9999999999993392E-4</v>
      </c>
      <c r="E234" s="109">
        <f ca="1">IF(表2_36716262930389121314151617[[#This Row],[累计净值]]/MAX(INDIRECT("B21:B" &amp; ROW()))-1&lt;E233,表2_36716262930389121314151617[[#This Row],[累计净值]]/MAX(INDIRECT("B21:B" &amp; ROW()))-1,E233)</f>
        <v>-1.8461815561959583E-2</v>
      </c>
      <c r="F234" s="110">
        <f>表2_36716262930389121314151617[[#This Row],[累计净值]]-0.09</f>
        <v>1.0931</v>
      </c>
      <c r="G234" s="20">
        <f>IF(表2_36716262930389121314151617[[#This Row],[累计净值]]&gt;0.9999,0.7*(表2_36716262930389121314151617[[#This Row],[累计净值]]-0.9999),表2_36716262930389121314151617[[#This Row],[累计净值]]-0.9999)</f>
        <v>0.12824000000000002</v>
      </c>
    </row>
    <row r="235" spans="1:7" x14ac:dyDescent="0.2">
      <c r="A235" s="15">
        <v>44274</v>
      </c>
      <c r="B235" s="112">
        <v>1.1851</v>
      </c>
      <c r="C235" s="108">
        <f>IFERROR(B235-B234,0)</f>
        <v>2.0000000000000018E-3</v>
      </c>
      <c r="D235" s="109" t="str">
        <f>IF(C235&lt;0,C235,"/")</f>
        <v>/</v>
      </c>
      <c r="E235" s="109">
        <f ca="1">IF(表2_36716262930389121314151617[[#This Row],[累计净值]]/MAX(INDIRECT("B21:B" &amp; ROW()))-1&lt;E234,表2_36716262930389121314151617[[#This Row],[累计净值]]/MAX(INDIRECT("B21:B" &amp; ROW()))-1,E234)</f>
        <v>-1.8461815561959583E-2</v>
      </c>
      <c r="F235" s="110">
        <f>表2_36716262930389121314151617[[#This Row],[累计净值]]-0.09</f>
        <v>1.0951</v>
      </c>
      <c r="G235" s="20">
        <f>IF(表2_36716262930389121314151617[[#This Row],[累计净值]]&gt;0.9999,0.7*(表2_36716262930389121314151617[[#This Row],[累计净值]]-0.9999),表2_36716262930389121314151617[[#This Row],[累计净值]]-0.9999)</f>
        <v>0.12964000000000001</v>
      </c>
    </row>
    <row r="236" spans="1:7" x14ac:dyDescent="0.2">
      <c r="A236" s="15">
        <v>44277</v>
      </c>
      <c r="B236" s="112">
        <v>1.1843999999999999</v>
      </c>
      <c r="C236" s="108">
        <f>IFERROR(B236-B235,0)</f>
        <v>-7.0000000000014495E-4</v>
      </c>
      <c r="D236" s="109">
        <f>IF(C236&lt;0,C236,"/")</f>
        <v>-7.0000000000014495E-4</v>
      </c>
      <c r="E236" s="109">
        <f ca="1">IF(表2_36716262930389121314151617[[#This Row],[累计净值]]/MAX(INDIRECT("B21:B" &amp; ROW()))-1&lt;E235,表2_36716262930389121314151617[[#This Row],[累计净值]]/MAX(INDIRECT("B21:B" &amp; ROW()))-1,E235)</f>
        <v>-1.8461815561959583E-2</v>
      </c>
      <c r="F236" s="110">
        <f>表2_36716262930389121314151617[[#This Row],[累计净值]]-0.09</f>
        <v>1.0943999999999998</v>
      </c>
      <c r="G236" s="20">
        <f>IF(表2_36716262930389121314151617[[#This Row],[累计净值]]&gt;0.9999,0.7*(表2_36716262930389121314151617[[#This Row],[累计净值]]-0.9999),表2_36716262930389121314151617[[#This Row],[累计净值]]-0.9999)</f>
        <v>0.1291499999999999</v>
      </c>
    </row>
    <row r="237" spans="1:7" x14ac:dyDescent="0.2">
      <c r="A237" s="15">
        <v>44278</v>
      </c>
      <c r="B237" s="112">
        <v>1.1839</v>
      </c>
      <c r="C237" s="108">
        <f t="shared" ref="C237:C240" si="74">IFERROR(B237-B236,0)</f>
        <v>-4.9999999999994493E-4</v>
      </c>
      <c r="D237" s="109">
        <f t="shared" ref="D237:D240" si="75">IF(C237&lt;0,C237,"/")</f>
        <v>-4.9999999999994493E-4</v>
      </c>
      <c r="E237" s="109">
        <f ca="1">IF(表2_36716262930389121314151617[[#This Row],[累计净值]]/MAX(INDIRECT("B21:B" &amp; ROW()))-1&lt;E236,表2_36716262930389121314151617[[#This Row],[累计净值]]/MAX(INDIRECT("B21:B" &amp; ROW()))-1,E236)</f>
        <v>-1.8461815561959583E-2</v>
      </c>
      <c r="F237" s="110">
        <f>表2_36716262930389121314151617[[#This Row],[累计净值]]-0.09</f>
        <v>1.0938999999999999</v>
      </c>
      <c r="G237" s="20">
        <f>IF(表2_36716262930389121314151617[[#This Row],[累计净值]]&gt;0.9999,0.7*(表2_36716262930389121314151617[[#This Row],[累计净值]]-0.9999),表2_36716262930389121314151617[[#This Row],[累计净值]]-0.9999)</f>
        <v>0.12879999999999994</v>
      </c>
    </row>
    <row r="238" spans="1:7" x14ac:dyDescent="0.2">
      <c r="A238" s="15">
        <v>44279</v>
      </c>
      <c r="B238" s="112">
        <v>1.1832</v>
      </c>
      <c r="C238" s="108">
        <f t="shared" si="74"/>
        <v>-6.9999999999992291E-4</v>
      </c>
      <c r="D238" s="109">
        <f t="shared" si="75"/>
        <v>-6.9999999999992291E-4</v>
      </c>
      <c r="E238" s="109">
        <f ca="1">IF(表2_36716262930389121314151617[[#This Row],[累计净值]]/MAX(INDIRECT("B21:B" &amp; ROW()))-1&lt;E237,表2_36716262930389121314151617[[#This Row],[累计净值]]/MAX(INDIRECT("B21:B" &amp; ROW()))-1,E237)</f>
        <v>-1.8461815561959583E-2</v>
      </c>
      <c r="F238" s="110">
        <f>表2_36716262930389121314151617[[#This Row],[累计净值]]-0.09</f>
        <v>1.0931999999999999</v>
      </c>
      <c r="G238" s="20">
        <f>IF(表2_36716262930389121314151617[[#This Row],[累计净值]]&gt;0.9999,0.7*(表2_36716262930389121314151617[[#This Row],[累计净值]]-0.9999),表2_36716262930389121314151617[[#This Row],[累计净值]]-0.9999)</f>
        <v>0.12831000000000001</v>
      </c>
    </row>
    <row r="239" spans="1:7" x14ac:dyDescent="0.2">
      <c r="A239" s="15">
        <v>44280</v>
      </c>
      <c r="B239" s="112">
        <v>1.1875</v>
      </c>
      <c r="C239" s="108">
        <f t="shared" si="74"/>
        <v>4.2999999999999705E-3</v>
      </c>
      <c r="D239" s="109" t="str">
        <f t="shared" si="75"/>
        <v>/</v>
      </c>
      <c r="E239" s="109">
        <f ca="1">IF(表2_36716262930389121314151617[[#This Row],[累计净值]]/MAX(INDIRECT("B21:B" &amp; ROW()))-1&lt;E238,表2_36716262930389121314151617[[#This Row],[累计净值]]/MAX(INDIRECT("B21:B" &amp; ROW()))-1,E238)</f>
        <v>-1.8461815561959583E-2</v>
      </c>
      <c r="F239" s="110">
        <f>表2_36716262930389121314151617[[#This Row],[累计净值]]-0.09</f>
        <v>1.0974999999999999</v>
      </c>
      <c r="G239" s="20">
        <f>IF(表2_36716262930389121314151617[[#This Row],[累计净值]]&gt;0.9999,0.7*(表2_36716262930389121314151617[[#This Row],[累计净值]]-0.9999),表2_36716262930389121314151617[[#This Row],[累计净值]]-0.9999)</f>
        <v>0.13131999999999999</v>
      </c>
    </row>
    <row r="240" spans="1:7" x14ac:dyDescent="0.2">
      <c r="A240" s="15">
        <v>44281</v>
      </c>
      <c r="B240" s="112">
        <v>1.19</v>
      </c>
      <c r="C240" s="108">
        <f t="shared" si="74"/>
        <v>2.4999999999999467E-3</v>
      </c>
      <c r="D240" s="109" t="str">
        <f t="shared" si="75"/>
        <v>/</v>
      </c>
      <c r="E240" s="109">
        <f ca="1">IF(表2_36716262930389121314151617[[#This Row],[累计净值]]/MAX(INDIRECT("B21:B" &amp; ROW()))-1&lt;E239,表2_36716262930389121314151617[[#This Row],[累计净值]]/MAX(INDIRECT("B21:B" &amp; ROW()))-1,E239)</f>
        <v>-1.8461815561959583E-2</v>
      </c>
      <c r="F240" s="110">
        <f>表2_36716262930389121314151617[[#This Row],[累计净值]]-0.09</f>
        <v>1.0999999999999999</v>
      </c>
      <c r="G240" s="20">
        <f>IF(表2_36716262930389121314151617[[#This Row],[累计净值]]&gt;0.9999,0.7*(表2_36716262930389121314151617[[#This Row],[累计净值]]-0.9999),表2_36716262930389121314151617[[#This Row],[累计净值]]-0.9999)</f>
        <v>0.13306999999999994</v>
      </c>
    </row>
    <row r="241" spans="1:7" x14ac:dyDescent="0.2">
      <c r="A241" s="15">
        <v>44284</v>
      </c>
      <c r="B241" s="112">
        <v>1.1940999999999999</v>
      </c>
      <c r="C241" s="108">
        <f t="shared" ref="C241:C246" si="76">IFERROR(B241-B240,0)</f>
        <v>4.0999999999999925E-3</v>
      </c>
      <c r="D241" s="109" t="str">
        <f t="shared" ref="D241:D246" si="77">IF(C241&lt;0,C241,"/")</f>
        <v>/</v>
      </c>
      <c r="E241" s="109">
        <f ca="1">IF(表2_36716262930389121314151617[[#This Row],[累计净值]]/MAX(INDIRECT("B21:B" &amp; ROW()))-1&lt;E240,表2_36716262930389121314151617[[#This Row],[累计净值]]/MAX(INDIRECT("B21:B" &amp; ROW()))-1,E240)</f>
        <v>-1.8461815561959583E-2</v>
      </c>
      <c r="F241" s="110">
        <f>表2_36716262930389121314151617[[#This Row],[累计净值]]-0.09</f>
        <v>1.1040999999999999</v>
      </c>
      <c r="G241" s="20">
        <f>IF(表2_36716262930389121314151617[[#This Row],[累计净值]]&gt;0.9999,0.7*(表2_36716262930389121314151617[[#This Row],[累计净值]]-0.9999),表2_36716262930389121314151617[[#This Row],[累计净值]]-0.9999)</f>
        <v>0.13593999999999995</v>
      </c>
    </row>
    <row r="242" spans="1:7" x14ac:dyDescent="0.2">
      <c r="A242" s="15">
        <v>44285</v>
      </c>
      <c r="B242" s="112">
        <v>1.1952</v>
      </c>
      <c r="C242" s="108">
        <f t="shared" si="76"/>
        <v>1.1000000000001009E-3</v>
      </c>
      <c r="D242" s="109" t="str">
        <f t="shared" si="77"/>
        <v>/</v>
      </c>
      <c r="E242" s="109">
        <f ca="1">IF(表2_36716262930389121314151617[[#This Row],[累计净值]]/MAX(INDIRECT("B21:B" &amp; ROW()))-1&lt;E241,表2_36716262930389121314151617[[#This Row],[累计净值]]/MAX(INDIRECT("B21:B" &amp; ROW()))-1,E241)</f>
        <v>-1.8461815561959583E-2</v>
      </c>
      <c r="F242" s="110">
        <f>表2_36716262930389121314151617[[#This Row],[累计净值]]-0.09</f>
        <v>1.1052</v>
      </c>
      <c r="G242" s="20">
        <f>IF(表2_36716262930389121314151617[[#This Row],[累计净值]]&gt;0.9999,0.7*(表2_36716262930389121314151617[[#This Row],[累计净值]]-0.9999),表2_36716262930389121314151617[[#This Row],[累计净值]]-0.9999)</f>
        <v>0.13671</v>
      </c>
    </row>
    <row r="243" spans="1:7" x14ac:dyDescent="0.2">
      <c r="A243" s="15">
        <v>44286</v>
      </c>
      <c r="B243" s="112">
        <v>1.1939</v>
      </c>
      <c r="C243" s="108">
        <f t="shared" si="76"/>
        <v>-1.3000000000000789E-3</v>
      </c>
      <c r="D243" s="109">
        <f t="shared" si="77"/>
        <v>-1.3000000000000789E-3</v>
      </c>
      <c r="E243" s="109">
        <f ca="1">IF(表2_36716262930389121314151617[[#This Row],[累计净值]]/MAX(INDIRECT("B21:B" &amp; ROW()))-1&lt;E242,表2_36716262930389121314151617[[#This Row],[累计净值]]/MAX(INDIRECT("B21:B" &amp; ROW()))-1,E242)</f>
        <v>-1.8461815561959583E-2</v>
      </c>
      <c r="F243" s="110">
        <f>表2_36716262930389121314151617[[#This Row],[累计净值]]-0.09</f>
        <v>1.1038999999999999</v>
      </c>
      <c r="G243" s="20">
        <f>IF(表2_36716262930389121314151617[[#This Row],[累计净值]]&gt;0.9999,0.7*(表2_36716262930389121314151617[[#This Row],[累计净值]]-0.9999),表2_36716262930389121314151617[[#This Row],[累计净值]]-0.9999)</f>
        <v>0.13579999999999995</v>
      </c>
    </row>
    <row r="244" spans="1:7" x14ac:dyDescent="0.2">
      <c r="A244" s="15">
        <v>44287</v>
      </c>
      <c r="B244" s="112">
        <v>1.1953</v>
      </c>
      <c r="C244" s="108">
        <f t="shared" si="76"/>
        <v>1.4000000000000679E-3</v>
      </c>
      <c r="D244" s="109" t="str">
        <f t="shared" si="77"/>
        <v>/</v>
      </c>
      <c r="E244" s="109">
        <f ca="1">IF(表2_36716262930389121314151617[[#This Row],[累计净值]]/MAX(INDIRECT("B21:B" &amp; ROW()))-1&lt;E243,表2_36716262930389121314151617[[#This Row],[累计净值]]/MAX(INDIRECT("B21:B" &amp; ROW()))-1,E243)</f>
        <v>-1.8461815561959583E-2</v>
      </c>
      <c r="F244" s="110">
        <f>表2_36716262930389121314151617[[#This Row],[累计净值]]-0.09</f>
        <v>1.1052999999999999</v>
      </c>
      <c r="G244" s="20">
        <f>IF(表2_36716262930389121314151617[[#This Row],[累计净值]]&gt;0.9999,0.7*(表2_36716262930389121314151617[[#This Row],[累计净值]]-0.9999),表2_36716262930389121314151617[[#This Row],[累计净值]]-0.9999)</f>
        <v>0.13678000000000001</v>
      </c>
    </row>
    <row r="245" spans="1:7" x14ac:dyDescent="0.2">
      <c r="A245" s="15">
        <v>44288</v>
      </c>
      <c r="B245" s="112">
        <v>1.1979</v>
      </c>
      <c r="C245" s="108">
        <f t="shared" si="76"/>
        <v>2.5999999999999357E-3</v>
      </c>
      <c r="D245" s="109" t="str">
        <f t="shared" si="77"/>
        <v>/</v>
      </c>
      <c r="E245" s="109">
        <f ca="1">IF(表2_36716262930389121314151617[[#This Row],[累计净值]]/MAX(INDIRECT("B21:B" &amp; ROW()))-1&lt;E244,表2_36716262930389121314151617[[#This Row],[累计净值]]/MAX(INDIRECT("B21:B" &amp; ROW()))-1,E244)</f>
        <v>-1.8461815561959583E-2</v>
      </c>
      <c r="F245" s="110">
        <f>表2_36716262930389121314151617[[#This Row],[累计净值]]-0.09</f>
        <v>1.1078999999999999</v>
      </c>
      <c r="G245" s="20">
        <f>IF(表2_36716262930389121314151617[[#This Row],[累计净值]]&gt;0.9999,0.7*(表2_36716262930389121314151617[[#This Row],[累计净值]]-0.9999),表2_36716262930389121314151617[[#This Row],[累计净值]]-0.9999)</f>
        <v>0.13859999999999995</v>
      </c>
    </row>
    <row r="246" spans="1:7" x14ac:dyDescent="0.2">
      <c r="A246" s="15">
        <v>44292</v>
      </c>
      <c r="B246" s="112">
        <v>1.1987000000000001</v>
      </c>
      <c r="C246" s="108">
        <f t="shared" si="76"/>
        <v>8.0000000000013394E-4</v>
      </c>
      <c r="D246" s="109" t="str">
        <f t="shared" si="77"/>
        <v>/</v>
      </c>
      <c r="E246" s="109">
        <f ca="1">IF(表2_36716262930389121314151617[[#This Row],[累计净值]]/MAX(INDIRECT("B21:B" &amp; ROW()))-1&lt;E245,表2_36716262930389121314151617[[#This Row],[累计净值]]/MAX(INDIRECT("B21:B" &amp; ROW()))-1,E245)</f>
        <v>-1.8461815561959583E-2</v>
      </c>
      <c r="F246" s="110">
        <f>表2_36716262930389121314151617[[#This Row],[累计净值]]-0.09</f>
        <v>1.1087</v>
      </c>
      <c r="G246" s="20">
        <f>IF(表2_36716262930389121314151617[[#This Row],[累计净值]]&gt;0.9999,0.7*(表2_36716262930389121314151617[[#This Row],[累计净值]]-0.9999),表2_36716262930389121314151617[[#This Row],[累计净值]]-0.9999)</f>
        <v>0.13916000000000006</v>
      </c>
    </row>
    <row r="247" spans="1:7" x14ac:dyDescent="0.2">
      <c r="A247" s="15">
        <v>44293</v>
      </c>
      <c r="B247" s="112">
        <v>1.1964999999999999</v>
      </c>
      <c r="C247" s="108">
        <f t="shared" ref="C247:C252" si="78">IFERROR(B247-B246,0)</f>
        <v>-2.2000000000002018E-3</v>
      </c>
      <c r="D247" s="109">
        <f t="shared" ref="D247:D252" si="79">IF(C247&lt;0,C247,"/")</f>
        <v>-2.2000000000002018E-3</v>
      </c>
      <c r="E247" s="109">
        <f ca="1">IF(表2_36716262930389121314151617[[#This Row],[累计净值]]/MAX(INDIRECT("B21:B" &amp; ROW()))-1&lt;E246,表2_36716262930389121314151617[[#This Row],[累计净值]]/MAX(INDIRECT("B21:B" &amp; ROW()))-1,E246)</f>
        <v>-1.8461815561959583E-2</v>
      </c>
      <c r="F247" s="110">
        <f>表2_36716262930389121314151617[[#This Row],[累计净值]]-0.09</f>
        <v>1.1064999999999998</v>
      </c>
      <c r="G247" s="20">
        <f>IF(表2_36716262930389121314151617[[#This Row],[累计净值]]&gt;0.9999,0.7*(表2_36716262930389121314151617[[#This Row],[累计净值]]-0.9999),表2_36716262930389121314151617[[#This Row],[累计净值]]-0.9999)</f>
        <v>0.13761999999999991</v>
      </c>
    </row>
    <row r="248" spans="1:7" x14ac:dyDescent="0.2">
      <c r="A248" s="15">
        <v>44294</v>
      </c>
      <c r="B248" s="112">
        <v>1.1990000000000001</v>
      </c>
      <c r="C248" s="108">
        <f t="shared" si="78"/>
        <v>2.5000000000001688E-3</v>
      </c>
      <c r="D248" s="109" t="str">
        <f t="shared" si="79"/>
        <v>/</v>
      </c>
      <c r="E248" s="109">
        <f ca="1">IF(表2_36716262930389121314151617[[#This Row],[累计净值]]/MAX(INDIRECT("B21:B" &amp; ROW()))-1&lt;E247,表2_36716262930389121314151617[[#This Row],[累计净值]]/MAX(INDIRECT("B21:B" &amp; ROW()))-1,E247)</f>
        <v>-1.8461815561959583E-2</v>
      </c>
      <c r="F248" s="110">
        <f>表2_36716262930389121314151617[[#This Row],[累计净值]]-0.09</f>
        <v>1.109</v>
      </c>
      <c r="G248" s="20">
        <f>IF(表2_36716262930389121314151617[[#This Row],[累计净值]]&gt;0.9999,0.7*(表2_36716262930389121314151617[[#This Row],[累计净值]]-0.9999),表2_36716262930389121314151617[[#This Row],[累计净值]]-0.9999)</f>
        <v>0.13937000000000002</v>
      </c>
    </row>
    <row r="249" spans="1:7" x14ac:dyDescent="0.2">
      <c r="A249" s="15">
        <v>44295</v>
      </c>
      <c r="B249" s="112">
        <v>1.1992</v>
      </c>
      <c r="C249" s="108">
        <f t="shared" si="78"/>
        <v>1.9999999999997797E-4</v>
      </c>
      <c r="D249" s="109" t="str">
        <f t="shared" si="79"/>
        <v>/</v>
      </c>
      <c r="E249" s="109">
        <f ca="1">IF(表2_36716262930389121314151617[[#This Row],[累计净值]]/MAX(INDIRECT("B21:B" &amp; ROW()))-1&lt;E248,表2_36716262930389121314151617[[#This Row],[累计净值]]/MAX(INDIRECT("B21:B" &amp; ROW()))-1,E248)</f>
        <v>-1.8461815561959583E-2</v>
      </c>
      <c r="F249" s="110">
        <f>表2_36716262930389121314151617[[#This Row],[累计净值]]-0.09</f>
        <v>1.1092</v>
      </c>
      <c r="G249" s="20">
        <f>IF(表2_36716262930389121314151617[[#This Row],[累计净值]]&gt;0.9999,0.7*(表2_36716262930389121314151617[[#This Row],[累计净值]]-0.9999),表2_36716262930389121314151617[[#This Row],[累计净值]]-0.9999)</f>
        <v>0.13951000000000002</v>
      </c>
    </row>
    <row r="250" spans="1:7" x14ac:dyDescent="0.2">
      <c r="A250" s="15">
        <v>44298</v>
      </c>
      <c r="B250" s="112">
        <v>1.1983999999999999</v>
      </c>
      <c r="C250" s="108">
        <f t="shared" si="78"/>
        <v>-8.0000000000013394E-4</v>
      </c>
      <c r="D250" s="109">
        <f t="shared" si="79"/>
        <v>-8.0000000000013394E-4</v>
      </c>
      <c r="E250" s="109">
        <f ca="1">IF(表2_36716262930389121314151617[[#This Row],[累计净值]]/MAX(INDIRECT("B21:B" &amp; ROW()))-1&lt;E249,表2_36716262930389121314151617[[#This Row],[累计净值]]/MAX(INDIRECT("B21:B" &amp; ROW()))-1,E249)</f>
        <v>-1.8461815561959583E-2</v>
      </c>
      <c r="F250" s="110">
        <f>表2_36716262930389121314151617[[#This Row],[累计净值]]-0.09</f>
        <v>1.1083999999999998</v>
      </c>
      <c r="G250" s="20">
        <f>IF(表2_36716262930389121314151617[[#This Row],[累计净值]]&gt;0.9999,0.7*(表2_36716262930389121314151617[[#This Row],[累计净值]]-0.9999),表2_36716262930389121314151617[[#This Row],[累计净值]]-0.9999)</f>
        <v>0.13894999999999991</v>
      </c>
    </row>
    <row r="251" spans="1:7" x14ac:dyDescent="0.2">
      <c r="A251" s="15">
        <v>44299</v>
      </c>
      <c r="B251" s="112">
        <v>1.1981999999999999</v>
      </c>
      <c r="C251" s="108">
        <f t="shared" si="78"/>
        <v>-1.9999999999997797E-4</v>
      </c>
      <c r="D251" s="109">
        <f t="shared" si="79"/>
        <v>-1.9999999999997797E-4</v>
      </c>
      <c r="E251" s="109">
        <f ca="1">IF(表2_36716262930389121314151617[[#This Row],[累计净值]]/MAX(INDIRECT("B21:B" &amp; ROW()))-1&lt;E250,表2_36716262930389121314151617[[#This Row],[累计净值]]/MAX(INDIRECT("B21:B" &amp; ROW()))-1,E250)</f>
        <v>-1.8461815561959583E-2</v>
      </c>
      <c r="F251" s="110">
        <f>表2_36716262930389121314151617[[#This Row],[累计净值]]-0.09</f>
        <v>1.1081999999999999</v>
      </c>
      <c r="G251" s="20">
        <f>IF(表2_36716262930389121314151617[[#This Row],[累计净值]]&gt;0.9999,0.7*(表2_36716262930389121314151617[[#This Row],[累计净值]]-0.9999),表2_36716262930389121314151617[[#This Row],[累计净值]]-0.9999)</f>
        <v>0.13880999999999993</v>
      </c>
    </row>
    <row r="252" spans="1:7" x14ac:dyDescent="0.2">
      <c r="A252" s="15">
        <v>44300</v>
      </c>
      <c r="B252" s="112">
        <v>1.1939</v>
      </c>
      <c r="C252" s="108">
        <f t="shared" si="78"/>
        <v>-4.2999999999999705E-3</v>
      </c>
      <c r="D252" s="109">
        <f t="shared" si="79"/>
        <v>-4.2999999999999705E-3</v>
      </c>
      <c r="E252" s="109">
        <f ca="1">IF(表2_36716262930389121314151617[[#This Row],[累计净值]]/MAX(INDIRECT("B21:B" &amp; ROW()))-1&lt;E251,表2_36716262930389121314151617[[#This Row],[累计净值]]/MAX(INDIRECT("B21:B" &amp; ROW()))-1,E251)</f>
        <v>-1.8461815561959583E-2</v>
      </c>
      <c r="F252" s="110">
        <f>表2_36716262930389121314151617[[#This Row],[累计净值]]-0.09</f>
        <v>1.1038999999999999</v>
      </c>
      <c r="G252" s="20">
        <f>IF(表2_36716262930389121314151617[[#This Row],[累计净值]]&gt;0.9999,0.7*(表2_36716262930389121314151617[[#This Row],[累计净值]]-0.9999),表2_36716262930389121314151617[[#This Row],[累计净值]]-0.9999)</f>
        <v>0.13579999999999995</v>
      </c>
    </row>
    <row r="253" spans="1:7" x14ac:dyDescent="0.2">
      <c r="A253" s="15">
        <v>44301</v>
      </c>
      <c r="B253" s="112">
        <v>1.2019</v>
      </c>
      <c r="C253" s="108">
        <f t="shared" ref="C253:C258" si="80">IFERROR(B253-B252,0)</f>
        <v>8.0000000000000071E-3</v>
      </c>
      <c r="D253" s="109" t="str">
        <f t="shared" ref="D253:D258" si="81">IF(C253&lt;0,C253,"/")</f>
        <v>/</v>
      </c>
      <c r="E253" s="109">
        <f ca="1">IF(表2_36716262930389121314151617[[#This Row],[累计净值]]/MAX(INDIRECT("B21:B" &amp; ROW()))-1&lt;E252,表2_36716262930389121314151617[[#This Row],[累计净值]]/MAX(INDIRECT("B21:B" &amp; ROW()))-1,E252)</f>
        <v>-1.8461815561959583E-2</v>
      </c>
      <c r="F253" s="110">
        <f>表2_36716262930389121314151617[[#This Row],[累计净值]]-0.09</f>
        <v>1.1118999999999999</v>
      </c>
      <c r="G253" s="20">
        <f>IF(表2_36716262930389121314151617[[#This Row],[累计净值]]&gt;0.9999,0.7*(表2_36716262930389121314151617[[#This Row],[累计净值]]-0.9999),表2_36716262930389121314151617[[#This Row],[累计净值]]-0.9999)</f>
        <v>0.14139999999999997</v>
      </c>
    </row>
    <row r="254" spans="1:7" x14ac:dyDescent="0.2">
      <c r="A254" s="15">
        <v>44302</v>
      </c>
      <c r="B254" s="112">
        <v>1.2048000000000001</v>
      </c>
      <c r="C254" s="108">
        <f t="shared" si="80"/>
        <v>2.9000000000001247E-3</v>
      </c>
      <c r="D254" s="109" t="str">
        <f t="shared" si="81"/>
        <v>/</v>
      </c>
      <c r="E254" s="109">
        <f ca="1">IF(表2_36716262930389121314151617[[#This Row],[累计净值]]/MAX(INDIRECT("B21:B" &amp; ROW()))-1&lt;E253,表2_36716262930389121314151617[[#This Row],[累计净值]]/MAX(INDIRECT("B21:B" &amp; ROW()))-1,E253)</f>
        <v>-1.8461815561959583E-2</v>
      </c>
      <c r="F254" s="110">
        <f>表2_36716262930389121314151617[[#This Row],[累计净值]]-0.09</f>
        <v>1.1148</v>
      </c>
      <c r="G254" s="20">
        <f>IF(表2_36716262930389121314151617[[#This Row],[累计净值]]&gt;0.9999,0.7*(表2_36716262930389121314151617[[#This Row],[累计净值]]-0.9999),表2_36716262930389121314151617[[#This Row],[累计净值]]-0.9999)</f>
        <v>0.14343000000000006</v>
      </c>
    </row>
    <row r="255" spans="1:7" x14ac:dyDescent="0.2">
      <c r="A255" s="15">
        <v>44305</v>
      </c>
      <c r="B255" s="112">
        <v>1.2059</v>
      </c>
      <c r="C255" s="108">
        <f t="shared" si="80"/>
        <v>1.0999999999998789E-3</v>
      </c>
      <c r="D255" s="109" t="str">
        <f t="shared" si="81"/>
        <v>/</v>
      </c>
      <c r="E255" s="109">
        <f ca="1">IF(表2_36716262930389121314151617[[#This Row],[累计净值]]/MAX(INDIRECT("B21:B" &amp; ROW()))-1&lt;E254,表2_36716262930389121314151617[[#This Row],[累计净值]]/MAX(INDIRECT("B21:B" &amp; ROW()))-1,E254)</f>
        <v>-1.8461815561959583E-2</v>
      </c>
      <c r="F255" s="110">
        <f>表2_36716262930389121314151617[[#This Row],[累计净值]]-0.09</f>
        <v>1.1158999999999999</v>
      </c>
      <c r="G255" s="20">
        <f>IF(表2_36716262930389121314151617[[#This Row],[累计净值]]&gt;0.9999,0.7*(表2_36716262930389121314151617[[#This Row],[累计净值]]-0.9999),表2_36716262930389121314151617[[#This Row],[累计净值]]-0.9999)</f>
        <v>0.14419999999999997</v>
      </c>
    </row>
    <row r="256" spans="1:7" x14ac:dyDescent="0.2">
      <c r="A256" s="15">
        <v>44306</v>
      </c>
      <c r="B256" s="112">
        <v>1.206</v>
      </c>
      <c r="C256" s="108">
        <f t="shared" si="80"/>
        <v>9.9999999999988987E-5</v>
      </c>
      <c r="D256" s="109" t="str">
        <f t="shared" si="81"/>
        <v>/</v>
      </c>
      <c r="E256" s="109">
        <f ca="1">IF(表2_36716262930389121314151617[[#This Row],[累计净值]]/MAX(INDIRECT("B21:B" &amp; ROW()))-1&lt;E255,表2_36716262930389121314151617[[#This Row],[累计净值]]/MAX(INDIRECT("B21:B" &amp; ROW()))-1,E255)</f>
        <v>-1.8461815561959583E-2</v>
      </c>
      <c r="F256" s="110">
        <f>表2_36716262930389121314151617[[#This Row],[累计净值]]-0.09</f>
        <v>1.1159999999999999</v>
      </c>
      <c r="G256" s="20">
        <f>IF(表2_36716262930389121314151617[[#This Row],[累计净值]]&gt;0.9999,0.7*(表2_36716262930389121314151617[[#This Row],[累计净值]]-0.9999),表2_36716262930389121314151617[[#This Row],[累计净值]]-0.9999)</f>
        <v>0.14426999999999995</v>
      </c>
    </row>
    <row r="257" spans="1:7" x14ac:dyDescent="0.2">
      <c r="A257" s="15">
        <v>44307</v>
      </c>
      <c r="B257" s="112">
        <v>1.2054</v>
      </c>
      <c r="C257" s="108">
        <f t="shared" si="80"/>
        <v>-5.9999999999993392E-4</v>
      </c>
      <c r="D257" s="109">
        <f t="shared" si="81"/>
        <v>-5.9999999999993392E-4</v>
      </c>
      <c r="E257" s="109">
        <f ca="1">IF(表2_36716262930389121314151617[[#This Row],[累计净值]]/MAX(INDIRECT("B21:B" &amp; ROW()))-1&lt;E256,表2_36716262930389121314151617[[#This Row],[累计净值]]/MAX(INDIRECT("B21:B" &amp; ROW()))-1,E256)</f>
        <v>-1.8461815561959583E-2</v>
      </c>
      <c r="F257" s="110">
        <f>表2_36716262930389121314151617[[#This Row],[累计净值]]-0.09</f>
        <v>1.1153999999999999</v>
      </c>
      <c r="G257" s="20">
        <f>IF(表2_36716262930389121314151617[[#This Row],[累计净值]]&gt;0.9999,0.7*(表2_36716262930389121314151617[[#This Row],[累计净值]]-0.9999),表2_36716262930389121314151617[[#This Row],[累计净值]]-0.9999)</f>
        <v>0.14385000000000001</v>
      </c>
    </row>
    <row r="258" spans="1:7" x14ac:dyDescent="0.2">
      <c r="A258" s="15">
        <v>44308</v>
      </c>
      <c r="B258" s="112">
        <v>1.2047000000000001</v>
      </c>
      <c r="C258" s="108">
        <f t="shared" si="80"/>
        <v>-6.9999999999992291E-4</v>
      </c>
      <c r="D258" s="109">
        <f t="shared" si="81"/>
        <v>-6.9999999999992291E-4</v>
      </c>
      <c r="E258" s="109">
        <f ca="1">IF(表2_36716262930389121314151617[[#This Row],[累计净值]]/MAX(INDIRECT("B21:B" &amp; ROW()))-1&lt;E257,表2_36716262930389121314151617[[#This Row],[累计净值]]/MAX(INDIRECT("B21:B" &amp; ROW()))-1,E257)</f>
        <v>-1.8461815561959583E-2</v>
      </c>
      <c r="F258" s="110">
        <f>表2_36716262930389121314151617[[#This Row],[累计净值]]-0.09</f>
        <v>1.1147</v>
      </c>
      <c r="G258" s="20">
        <f>IF(表2_36716262930389121314151617[[#This Row],[累计净值]]&gt;0.9999,0.7*(表2_36716262930389121314151617[[#This Row],[累计净值]]-0.9999),表2_36716262930389121314151617[[#This Row],[累计净值]]-0.9999)</f>
        <v>0.14336000000000004</v>
      </c>
    </row>
    <row r="259" spans="1:7" x14ac:dyDescent="0.2">
      <c r="A259" s="15">
        <v>44309</v>
      </c>
      <c r="B259" s="112">
        <v>1.2056</v>
      </c>
      <c r="C259" s="108">
        <f t="shared" ref="C259:C260" si="82">IFERROR(B259-B258,0)</f>
        <v>8.9999999999990088E-4</v>
      </c>
      <c r="D259" s="109" t="str">
        <f t="shared" ref="D259:D260" si="83">IF(C259&lt;0,C259,"/")</f>
        <v>/</v>
      </c>
      <c r="E259" s="109">
        <f ca="1">IF(表2_36716262930389121314151617[[#This Row],[累计净值]]/MAX(INDIRECT("B21:B" &amp; ROW()))-1&lt;E258,表2_36716262930389121314151617[[#This Row],[累计净值]]/MAX(INDIRECT("B21:B" &amp; ROW()))-1,E258)</f>
        <v>-1.8461815561959583E-2</v>
      </c>
      <c r="F259" s="110">
        <f>表2_36716262930389121314151617[[#This Row],[累计净值]]-0.09</f>
        <v>1.1155999999999999</v>
      </c>
      <c r="G259" s="20">
        <f>IF(表2_36716262930389121314151617[[#This Row],[累计净值]]&gt;0.9999,0.7*(表2_36716262930389121314151617[[#This Row],[累计净值]]-0.9999),表2_36716262930389121314151617[[#This Row],[累计净值]]-0.9999)</f>
        <v>0.14398999999999998</v>
      </c>
    </row>
    <row r="260" spans="1:7" x14ac:dyDescent="0.2">
      <c r="A260" s="15">
        <v>44312</v>
      </c>
      <c r="B260" s="112">
        <v>1.2084999999999999</v>
      </c>
      <c r="C260" s="108">
        <f t="shared" si="82"/>
        <v>2.8999999999999027E-3</v>
      </c>
      <c r="D260" s="109" t="str">
        <f t="shared" si="83"/>
        <v>/</v>
      </c>
      <c r="E260" s="109">
        <f ca="1">IF(表2_36716262930389121314151617[[#This Row],[累计净值]]/MAX(INDIRECT("B21:B" &amp; ROW()))-1&lt;E259,表2_36716262930389121314151617[[#This Row],[累计净值]]/MAX(INDIRECT("B21:B" &amp; ROW()))-1,E259)</f>
        <v>-1.8461815561959583E-2</v>
      </c>
      <c r="F260" s="110">
        <f>表2_36716262930389121314151617[[#This Row],[累计净值]]-0.09</f>
        <v>1.1184999999999998</v>
      </c>
      <c r="G260" s="20">
        <f>IF(表2_36716262930389121314151617[[#This Row],[累计净值]]&gt;0.9999,0.7*(表2_36716262930389121314151617[[#This Row],[累计净值]]-0.9999),表2_36716262930389121314151617[[#This Row],[累计净值]]-0.9999)</f>
        <v>0.14601999999999993</v>
      </c>
    </row>
    <row r="261" spans="1:7" x14ac:dyDescent="0.2">
      <c r="A261" s="15">
        <v>44313</v>
      </c>
      <c r="B261" s="112">
        <v>1.2076</v>
      </c>
      <c r="C261" s="108">
        <f>IFERROR(B261-B260,0)</f>
        <v>-8.9999999999990088E-4</v>
      </c>
      <c r="D261" s="109">
        <f>IF(C261&lt;0,C261,"/")</f>
        <v>-8.9999999999990088E-4</v>
      </c>
      <c r="E261" s="109">
        <f ca="1">IF(表2_36716262930389121314151617[[#This Row],[累计净值]]/MAX(INDIRECT("B21:B" &amp; ROW()))-1&lt;E260,表2_36716262930389121314151617[[#This Row],[累计净值]]/MAX(INDIRECT("B21:B" &amp; ROW()))-1,E260)</f>
        <v>-1.8461815561959583E-2</v>
      </c>
      <c r="F261" s="110">
        <f>表2_36716262930389121314151617[[#This Row],[累计净值]]-0.09</f>
        <v>1.1175999999999999</v>
      </c>
      <c r="G261" s="20">
        <f>IF(表2_36716262930389121314151617[[#This Row],[累计净值]]&gt;0.9999,0.7*(表2_36716262930389121314151617[[#This Row],[累计净值]]-0.9999),表2_36716262930389121314151617[[#This Row],[累计净值]]-0.9999)</f>
        <v>0.14538999999999999</v>
      </c>
    </row>
    <row r="262" spans="1:7" x14ac:dyDescent="0.2">
      <c r="A262" s="15">
        <v>44314</v>
      </c>
      <c r="B262" s="112">
        <v>1.2083999999999999</v>
      </c>
      <c r="C262" s="108">
        <f>IFERROR(B262-B261,0)</f>
        <v>7.9999999999991189E-4</v>
      </c>
      <c r="D262" s="109" t="str">
        <f>IF(C262&lt;0,C262,"/")</f>
        <v>/</v>
      </c>
      <c r="E262" s="109">
        <f ca="1">IF(表2_36716262930389121314151617[[#This Row],[累计净值]]/MAX(INDIRECT("B21:B" &amp; ROW()))-1&lt;E261,表2_36716262930389121314151617[[#This Row],[累计净值]]/MAX(INDIRECT("B21:B" &amp; ROW()))-1,E261)</f>
        <v>-1.8461815561959583E-2</v>
      </c>
      <c r="F262" s="110">
        <f>表2_36716262930389121314151617[[#This Row],[累计净值]]-0.09</f>
        <v>1.1183999999999998</v>
      </c>
      <c r="G262" s="20">
        <f>IF(表2_36716262930389121314151617[[#This Row],[累计净值]]&gt;0.9999,0.7*(表2_36716262930389121314151617[[#This Row],[累计净值]]-0.9999),表2_36716262930389121314151617[[#This Row],[累计净值]]-0.9999)</f>
        <v>0.14594999999999991</v>
      </c>
    </row>
    <row r="263" spans="1:7" x14ac:dyDescent="0.2">
      <c r="A263" s="15">
        <v>44315</v>
      </c>
      <c r="B263" s="162">
        <v>1.2085999999999999</v>
      </c>
      <c r="C263" s="108">
        <f t="shared" ref="C263:C265" si="84">IFERROR(B263-B262,0)</f>
        <v>1.9999999999997797E-4</v>
      </c>
      <c r="D263" s="109" t="str">
        <f t="shared" ref="D263:D265" si="85">IF(C263&lt;0,C263,"/")</f>
        <v>/</v>
      </c>
      <c r="E263" s="109">
        <f ca="1">IF(表2_36716262930389121314151617[[#This Row],[累计净值]]/MAX(INDIRECT("B21:B" &amp; ROW()))-1&lt;E262,表2_36716262930389121314151617[[#This Row],[累计净值]]/MAX(INDIRECT("B21:B" &amp; ROW()))-1,E262)</f>
        <v>-1.8461815561959583E-2</v>
      </c>
      <c r="F263" s="110">
        <f>表2_36716262930389121314151617[[#This Row],[累计净值]]-0.09</f>
        <v>1.1185999999999998</v>
      </c>
      <c r="G263" s="20">
        <f>IF(表2_36716262930389121314151617[[#This Row],[累计净值]]&gt;0.9999,0.7*(表2_36716262930389121314151617[[#This Row],[累计净值]]-0.9999),表2_36716262930389121314151617[[#This Row],[累计净值]]-0.9999)</f>
        <v>0.14608999999999991</v>
      </c>
    </row>
    <row r="264" spans="1:7" x14ac:dyDescent="0.2">
      <c r="A264" s="15">
        <v>44316</v>
      </c>
      <c r="B264" s="162">
        <v>1.206</v>
      </c>
      <c r="C264" s="108">
        <f t="shared" si="84"/>
        <v>-2.5999999999999357E-3</v>
      </c>
      <c r="D264" s="109">
        <f t="shared" si="85"/>
        <v>-2.5999999999999357E-3</v>
      </c>
      <c r="E264" s="109">
        <f ca="1">IF(表2_36716262930389121314151617[[#This Row],[累计净值]]/MAX(INDIRECT("B21:B" &amp; ROW()))-1&lt;E263,表2_36716262930389121314151617[[#This Row],[累计净值]]/MAX(INDIRECT("B21:B" &amp; ROW()))-1,E263)</f>
        <v>-1.8461815561959583E-2</v>
      </c>
      <c r="F264" s="110">
        <f>表2_36716262930389121314151617[[#This Row],[累计净值]]-0.09</f>
        <v>1.1159999999999999</v>
      </c>
      <c r="G264" s="20">
        <f>IF(表2_36716262930389121314151617[[#This Row],[累计净值]]&gt;0.9999,0.7*(表2_36716262930389121314151617[[#This Row],[累计净值]]-0.9999),表2_36716262930389121314151617[[#This Row],[累计净值]]-0.9999)</f>
        <v>0.14426999999999995</v>
      </c>
    </row>
    <row r="265" spans="1:7" x14ac:dyDescent="0.2">
      <c r="A265" s="15">
        <v>44322</v>
      </c>
      <c r="B265" s="112">
        <v>1.2063999999999999</v>
      </c>
      <c r="C265" s="108">
        <f t="shared" si="84"/>
        <v>3.9999999999995595E-4</v>
      </c>
      <c r="D265" s="109" t="str">
        <f t="shared" si="85"/>
        <v>/</v>
      </c>
      <c r="E265" s="109">
        <f ca="1">IF(表2_36716262930389121314151617[[#This Row],[累计净值]]/MAX(INDIRECT("B21:B" &amp; ROW()))-1&lt;E264,表2_36716262930389121314151617[[#This Row],[累计净值]]/MAX(INDIRECT("B21:B" &amp; ROW()))-1,E264)</f>
        <v>-1.8461815561959583E-2</v>
      </c>
      <c r="F265" s="110">
        <f>表2_36716262930389121314151617[[#This Row],[累计净值]]-0.09</f>
        <v>1.1163999999999998</v>
      </c>
      <c r="G265" s="20">
        <f>IF(表2_36716262930389121314151617[[#This Row],[累计净值]]&gt;0.9999,0.7*(表2_36716262930389121314151617[[#This Row],[累计净值]]-0.9999),表2_36716262930389121314151617[[#This Row],[累计净值]]-0.9999)</f>
        <v>0.14454999999999993</v>
      </c>
    </row>
    <row r="266" spans="1:7" x14ac:dyDescent="0.2">
      <c r="A266" s="15">
        <v>44323</v>
      </c>
      <c r="B266" s="112">
        <v>1.2074</v>
      </c>
      <c r="C266" s="108">
        <f t="shared" ref="C266:C271" si="86">IFERROR(B266-B265,0)</f>
        <v>1.0000000000001119E-3</v>
      </c>
      <c r="D266" s="109" t="str">
        <f t="shared" ref="D266:D271" si="87">IF(C266&lt;0,C266,"/")</f>
        <v>/</v>
      </c>
      <c r="E266" s="109">
        <f ca="1">IF(表2_36716262930389121314151617[[#This Row],[累计净值]]/MAX(INDIRECT("B21:B" &amp; ROW()))-1&lt;E265,表2_36716262930389121314151617[[#This Row],[累计净值]]/MAX(INDIRECT("B21:B" &amp; ROW()))-1,E265)</f>
        <v>-1.8461815561959583E-2</v>
      </c>
      <c r="F266" s="110">
        <f>表2_36716262930389121314151617[[#This Row],[累计净值]]-0.09</f>
        <v>1.1173999999999999</v>
      </c>
      <c r="G266" s="20">
        <f>IF(表2_36716262930389121314151617[[#This Row],[累计净值]]&gt;0.9999,0.7*(表2_36716262930389121314151617[[#This Row],[累计净值]]-0.9999),表2_36716262930389121314151617[[#This Row],[累计净值]]-0.9999)</f>
        <v>0.14524999999999999</v>
      </c>
    </row>
    <row r="267" spans="1:7" x14ac:dyDescent="0.2">
      <c r="A267" s="15">
        <v>44326</v>
      </c>
      <c r="B267" s="112">
        <v>1.2081</v>
      </c>
      <c r="C267" s="108">
        <f t="shared" si="86"/>
        <v>6.9999999999992291E-4</v>
      </c>
      <c r="D267" s="109" t="str">
        <f t="shared" si="87"/>
        <v>/</v>
      </c>
      <c r="E267" s="109">
        <f ca="1">IF(表2_36716262930389121314151617[[#This Row],[累计净值]]/MAX(INDIRECT("B21:B" &amp; ROW()))-1&lt;E266,表2_36716262930389121314151617[[#This Row],[累计净值]]/MAX(INDIRECT("B21:B" &amp; ROW()))-1,E266)</f>
        <v>-1.8461815561959583E-2</v>
      </c>
      <c r="F267" s="110">
        <f>表2_36716262930389121314151617[[#This Row],[累计净值]]-0.09</f>
        <v>1.1180999999999999</v>
      </c>
      <c r="G267" s="20">
        <f>IF(表2_36716262930389121314151617[[#This Row],[累计净值]]&gt;0.9999,0.7*(表2_36716262930389121314151617[[#This Row],[累计净值]]-0.9999),表2_36716262930389121314151617[[#This Row],[累计净值]]-0.9999)</f>
        <v>0.14573999999999995</v>
      </c>
    </row>
    <row r="268" spans="1:7" x14ac:dyDescent="0.2">
      <c r="A268" s="15">
        <v>44327</v>
      </c>
      <c r="B268" s="112">
        <v>1.2093</v>
      </c>
      <c r="C268" s="108">
        <f t="shared" si="86"/>
        <v>1.2000000000000899E-3</v>
      </c>
      <c r="D268" s="109" t="str">
        <f t="shared" si="87"/>
        <v>/</v>
      </c>
      <c r="E268" s="109">
        <f ca="1">IF(表2_36716262930389121314151617[[#This Row],[累计净值]]/MAX(INDIRECT("B21:B" &amp; ROW()))-1&lt;E267,表2_36716262930389121314151617[[#This Row],[累计净值]]/MAX(INDIRECT("B21:B" &amp; ROW()))-1,E267)</f>
        <v>-1.8461815561959583E-2</v>
      </c>
      <c r="F268" s="110">
        <f>表2_36716262930389121314151617[[#This Row],[累计净值]]-0.09</f>
        <v>1.1193</v>
      </c>
      <c r="G268" s="20">
        <f>IF(表2_36716262930389121314151617[[#This Row],[累计净值]]&gt;0.9999,0.7*(表2_36716262930389121314151617[[#This Row],[累计净值]]-0.9999),表2_36716262930389121314151617[[#This Row],[累计净值]]-0.9999)</f>
        <v>0.14658000000000002</v>
      </c>
    </row>
    <row r="269" spans="1:7" x14ac:dyDescent="0.2">
      <c r="A269" s="15">
        <v>44328</v>
      </c>
      <c r="B269" s="112">
        <v>1.2109000000000001</v>
      </c>
      <c r="C269" s="108">
        <f t="shared" si="86"/>
        <v>1.6000000000000458E-3</v>
      </c>
      <c r="D269" s="109" t="str">
        <f t="shared" si="87"/>
        <v>/</v>
      </c>
      <c r="E269" s="109">
        <f ca="1">IF(表2_36716262930389121314151617[[#This Row],[累计净值]]/MAX(INDIRECT("B21:B" &amp; ROW()))-1&lt;E268,表2_36716262930389121314151617[[#This Row],[累计净值]]/MAX(INDIRECT("B21:B" &amp; ROW()))-1,E268)</f>
        <v>-1.8461815561959583E-2</v>
      </c>
      <c r="F269" s="110">
        <f>表2_36716262930389121314151617[[#This Row],[累计净值]]-0.09</f>
        <v>1.1209</v>
      </c>
      <c r="G269" s="20">
        <f>IF(表2_36716262930389121314151617[[#This Row],[累计净值]]&gt;0.9999,0.7*(表2_36716262930389121314151617[[#This Row],[累计净值]]-0.9999),表2_36716262930389121314151617[[#This Row],[累计净值]]-0.9999)</f>
        <v>0.14770000000000005</v>
      </c>
    </row>
    <row r="270" spans="1:7" x14ac:dyDescent="0.2">
      <c r="A270" s="15">
        <v>44329</v>
      </c>
      <c r="B270" s="112">
        <v>1.2129000000000001</v>
      </c>
      <c r="C270" s="108">
        <f t="shared" si="86"/>
        <v>2.0000000000000018E-3</v>
      </c>
      <c r="D270" s="109" t="str">
        <f t="shared" si="87"/>
        <v>/</v>
      </c>
      <c r="E270" s="109">
        <f ca="1">IF(表2_36716262930389121314151617[[#This Row],[累计净值]]/MAX(INDIRECT("B21:B" &amp; ROW()))-1&lt;E269,表2_36716262930389121314151617[[#This Row],[累计净值]]/MAX(INDIRECT("B21:B" &amp; ROW()))-1,E269)</f>
        <v>-1.8461815561959583E-2</v>
      </c>
      <c r="F270" s="110">
        <f>表2_36716262930389121314151617[[#This Row],[累计净值]]-0.09</f>
        <v>1.1229</v>
      </c>
      <c r="G270" s="20">
        <f>IF(表2_36716262930389121314151617[[#This Row],[累计净值]]&gt;0.9999,0.7*(表2_36716262930389121314151617[[#This Row],[累计净值]]-0.9999),表2_36716262930389121314151617[[#This Row],[累计净值]]-0.9999)</f>
        <v>0.14910000000000004</v>
      </c>
    </row>
    <row r="271" spans="1:7" x14ac:dyDescent="0.2">
      <c r="A271" s="15">
        <v>44330</v>
      </c>
      <c r="B271" s="112">
        <v>1.2143999999999999</v>
      </c>
      <c r="C271" s="108">
        <f t="shared" si="86"/>
        <v>1.4999999999998348E-3</v>
      </c>
      <c r="D271" s="109" t="str">
        <f t="shared" si="87"/>
        <v>/</v>
      </c>
      <c r="E271" s="109">
        <f ca="1">IF(表2_36716262930389121314151617[[#This Row],[累计净值]]/MAX(INDIRECT("B21:B" &amp; ROW()))-1&lt;E270,表2_36716262930389121314151617[[#This Row],[累计净值]]/MAX(INDIRECT("B21:B" &amp; ROW()))-1,E270)</f>
        <v>-1.8461815561959583E-2</v>
      </c>
      <c r="F271" s="110">
        <f>表2_36716262930389121314151617[[#This Row],[累计净值]]-0.09</f>
        <v>1.1243999999999998</v>
      </c>
      <c r="G271" s="20">
        <f>IF(表2_36716262930389121314151617[[#This Row],[累计净值]]&gt;0.9999,0.7*(表2_36716262930389121314151617[[#This Row],[累计净值]]-0.9999),表2_36716262930389121314151617[[#This Row],[累计净值]]-0.9999)</f>
        <v>0.15014999999999992</v>
      </c>
    </row>
  </sheetData>
  <mergeCells count="1">
    <mergeCell ref="G2:G3"/>
  </mergeCells>
  <phoneticPr fontId="24" type="noConversion"/>
  <pageMargins left="0.7" right="0.7" top="0.75" bottom="0.75" header="0.3" footer="0.3"/>
  <pageSetup paperSize="9" orientation="portrait" horizontalDpi="200" verticalDpi="20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J391"/>
  <sheetViews>
    <sheetView workbookViewId="0">
      <pane xSplit="1" ySplit="20" topLeftCell="B374" activePane="bottomRight" state="frozen"/>
      <selection pane="topRight" activeCell="B1" sqref="B1"/>
      <selection pane="bottomLeft" activeCell="A21" sqref="A21"/>
      <selection pane="bottomRight" activeCell="J389" sqref="J389"/>
    </sheetView>
  </sheetViews>
  <sheetFormatPr defaultColWidth="9" defaultRowHeight="14.25" x14ac:dyDescent="0.2"/>
  <cols>
    <col min="1" max="1" width="11.625" style="120" bestFit="1" customWidth="1"/>
    <col min="2" max="2" width="13" style="120" customWidth="1"/>
    <col min="3" max="4" width="13.5" style="120" bestFit="1" customWidth="1"/>
    <col min="5" max="5" width="10.25" style="120" customWidth="1"/>
    <col min="6" max="6" width="11.125" style="120" customWidth="1"/>
    <col min="7" max="7" width="18.875" style="121" customWidth="1"/>
    <col min="8" max="8" width="9" style="120"/>
    <col min="9" max="9" width="12" style="120" bestFit="1" customWidth="1"/>
    <col min="10" max="16384" width="9" style="120"/>
  </cols>
  <sheetData>
    <row r="1" spans="1:7" ht="15" thickBot="1" x14ac:dyDescent="0.25"/>
    <row r="2" spans="1:7" ht="15" thickBot="1" x14ac:dyDescent="0.25">
      <c r="A2" s="122" t="s">
        <v>0</v>
      </c>
      <c r="B2" s="123">
        <f>COUNT(表2_367162629303421[每日盈亏])</f>
        <v>371</v>
      </c>
      <c r="C2" s="124"/>
      <c r="D2" s="125" t="s">
        <v>1</v>
      </c>
      <c r="E2" s="126"/>
      <c r="F2" s="136" t="s">
        <v>2</v>
      </c>
      <c r="G2" s="395" t="s">
        <v>3</v>
      </c>
    </row>
    <row r="3" spans="1:7" x14ac:dyDescent="0.2">
      <c r="A3" s="127" t="s">
        <v>4</v>
      </c>
      <c r="B3" s="128">
        <f>COUNTIF(表2_367162629303421[每日盈亏],"&gt;0")</f>
        <v>189</v>
      </c>
      <c r="C3" s="129"/>
      <c r="D3" s="130" t="s">
        <v>5</v>
      </c>
      <c r="E3" s="131">
        <f>245^0.5*(B10-0.025/365)/E10</f>
        <v>3.5376084997435342</v>
      </c>
      <c r="F3" s="136"/>
      <c r="G3" s="395"/>
    </row>
    <row r="4" spans="1:7" x14ac:dyDescent="0.2">
      <c r="A4" s="127" t="s">
        <v>6</v>
      </c>
      <c r="B4" s="128">
        <f>COUNTIF(表2_367162629303421[每日盈亏],"&lt;0")</f>
        <v>99</v>
      </c>
      <c r="C4" s="129"/>
      <c r="D4" s="132" t="s">
        <v>7</v>
      </c>
      <c r="E4" s="131">
        <f ca="1">-B9/E8</f>
        <v>8.5783347413874029</v>
      </c>
      <c r="F4" s="136"/>
      <c r="G4" s="121">
        <f>LOOKUP(999^10,表2_367162629303421[累计净值])</f>
        <v>1.2150000000000001</v>
      </c>
    </row>
    <row r="5" spans="1:7" x14ac:dyDescent="0.2">
      <c r="A5" s="127" t="s">
        <v>8</v>
      </c>
      <c r="B5" s="128">
        <f>B2-B3-B4</f>
        <v>83</v>
      </c>
      <c r="C5" s="129"/>
      <c r="D5" s="133" t="s">
        <v>9</v>
      </c>
      <c r="E5" s="134">
        <f>245^0.5*(B10-0.025/365)/E9</f>
        <v>5.6418847080597656</v>
      </c>
      <c r="F5" s="136"/>
    </row>
    <row r="6" spans="1:7" ht="15" thickBot="1" x14ac:dyDescent="0.25">
      <c r="A6" s="135"/>
      <c r="B6" s="136"/>
      <c r="C6" s="136"/>
      <c r="D6" s="136"/>
      <c r="E6" s="137"/>
      <c r="F6" s="136"/>
    </row>
    <row r="7" spans="1:7" ht="15" thickBot="1" x14ac:dyDescent="0.25">
      <c r="A7" s="138" t="s">
        <v>10</v>
      </c>
      <c r="B7" s="136"/>
      <c r="C7" s="136"/>
      <c r="D7" s="125" t="s">
        <v>11</v>
      </c>
      <c r="E7" s="139"/>
      <c r="F7" s="136"/>
    </row>
    <row r="8" spans="1:7" x14ac:dyDescent="0.2">
      <c r="A8" s="140" t="s">
        <v>12</v>
      </c>
      <c r="B8" s="141">
        <f>LOOKUP(999^10,表2_367162629303421[累计净值])/$B$21-1</f>
        <v>0.20895522388059717</v>
      </c>
      <c r="C8" s="142"/>
      <c r="D8" s="130" t="s">
        <v>13</v>
      </c>
      <c r="E8" s="143">
        <f ca="1">MIN(表2_367162629303421[最大回撤])</f>
        <v>-1.6085790884718509E-2</v>
      </c>
      <c r="F8" s="136"/>
    </row>
    <row r="9" spans="1:7" x14ac:dyDescent="0.2">
      <c r="A9" s="127" t="s">
        <v>14</v>
      </c>
      <c r="B9" s="132">
        <f>B8*245/B2</f>
        <v>0.13798929878907359</v>
      </c>
      <c r="C9" s="142"/>
      <c r="D9" s="133" t="s">
        <v>15</v>
      </c>
      <c r="E9" s="144">
        <f>STDEV(表2_367162629303421[下跌幅度])</f>
        <v>1.3803551477615428E-3</v>
      </c>
      <c r="F9" s="136"/>
    </row>
    <row r="10" spans="1:7" x14ac:dyDescent="0.2">
      <c r="A10" s="145" t="s">
        <v>16</v>
      </c>
      <c r="B10" s="146">
        <f>AVERAGE(表2_367162629303421[每日盈亏])</f>
        <v>5.6603773584905706E-4</v>
      </c>
      <c r="C10" s="147"/>
      <c r="D10" s="133" t="s">
        <v>17</v>
      </c>
      <c r="E10" s="144">
        <f>STDEV(表2_367162629303421[每日盈亏])</f>
        <v>2.2014320127317702E-3</v>
      </c>
      <c r="F10" s="136"/>
    </row>
    <row r="11" spans="1:7" x14ac:dyDescent="0.2">
      <c r="A11" s="148" t="s">
        <v>18</v>
      </c>
      <c r="B11" s="132">
        <f>B3/B2</f>
        <v>0.50943396226415094</v>
      </c>
      <c r="C11" s="142"/>
      <c r="D11" s="132" t="s">
        <v>19</v>
      </c>
      <c r="E11" s="143">
        <f>245^0.5*E10</f>
        <v>3.4457861398186948E-2</v>
      </c>
      <c r="F11" s="136"/>
    </row>
    <row r="12" spans="1:7" ht="15" thickBot="1" x14ac:dyDescent="0.25">
      <c r="A12" s="149" t="s">
        <v>20</v>
      </c>
      <c r="B12" s="150">
        <f>-(SUMIF(表2_367162629303421[每日盈亏],"&gt;=0")/B3)/(SUMIF(表2_367162629303421[每日盈亏],"&lt;0")/B4)</f>
        <v>1.1249024199843922</v>
      </c>
      <c r="C12" s="151"/>
      <c r="D12" s="152"/>
      <c r="E12" s="153"/>
      <c r="F12" s="136"/>
    </row>
    <row r="13" spans="1:7" x14ac:dyDescent="0.2">
      <c r="A13" s="136"/>
      <c r="B13" s="136"/>
      <c r="C13" s="136"/>
      <c r="D13" s="136"/>
      <c r="E13" s="136"/>
      <c r="F13" s="136"/>
    </row>
    <row r="14" spans="1:7" ht="28.5" x14ac:dyDescent="0.2">
      <c r="A14" s="154" t="s">
        <v>21</v>
      </c>
      <c r="B14" s="154" t="s">
        <v>14</v>
      </c>
      <c r="C14" s="155" t="s">
        <v>19</v>
      </c>
      <c r="D14" s="155" t="s">
        <v>13</v>
      </c>
      <c r="E14" s="155" t="s">
        <v>5</v>
      </c>
      <c r="F14" s="155" t="s">
        <v>7</v>
      </c>
    </row>
    <row r="15" spans="1:7" x14ac:dyDescent="0.2">
      <c r="A15" s="156">
        <f>B2</f>
        <v>371</v>
      </c>
      <c r="B15" s="157">
        <f>B9</f>
        <v>0.13798929878907359</v>
      </c>
      <c r="C15" s="157">
        <f>E11</f>
        <v>3.4457861398186948E-2</v>
      </c>
      <c r="D15" s="157">
        <f ca="1">E8</f>
        <v>-1.6085790884718509E-2</v>
      </c>
      <c r="E15" s="158">
        <f>E3</f>
        <v>3.5376084997435342</v>
      </c>
      <c r="F15" s="158">
        <f ca="1">E4</f>
        <v>8.5783347413874029</v>
      </c>
    </row>
    <row r="19" spans="1:8" x14ac:dyDescent="0.2">
      <c r="A19" s="159"/>
      <c r="B19" s="120" t="s">
        <v>22</v>
      </c>
    </row>
    <row r="20" spans="1:8" ht="15.75" x14ac:dyDescent="0.2">
      <c r="A20" s="160" t="s">
        <v>23</v>
      </c>
      <c r="B20" s="160" t="s">
        <v>24</v>
      </c>
      <c r="C20" s="160" t="s">
        <v>25</v>
      </c>
      <c r="D20" s="160" t="s">
        <v>26</v>
      </c>
      <c r="E20" s="160" t="s">
        <v>27</v>
      </c>
      <c r="F20" s="160" t="s">
        <v>28</v>
      </c>
      <c r="G20" s="160" t="s">
        <v>29</v>
      </c>
      <c r="H20" s="160" t="s">
        <v>36</v>
      </c>
    </row>
    <row r="21" spans="1:8" x14ac:dyDescent="0.2">
      <c r="A21" s="161">
        <v>43774</v>
      </c>
      <c r="B21" s="174">
        <v>1.0049999999999999</v>
      </c>
      <c r="C21" s="163">
        <f>IFERROR(B21-B20,0)</f>
        <v>0</v>
      </c>
      <c r="D21" s="164" t="str">
        <f>IF(C21&lt;0,C21,"/")</f>
        <v>/</v>
      </c>
      <c r="E21" s="164">
        <f ca="1">IF(表2_367162629303421[[#This Row],[累计净值]]/MAX(INDIRECT("B21:B" &amp; ROW()))-1&lt;E20,表2_367162629303421[[#This Row],[累计净值]]/MAX(INDIRECT("B21:B" &amp; ROW()))-1,E20)</f>
        <v>0</v>
      </c>
      <c r="F21" s="165">
        <f>表2_367162629303421[[#This Row],[累计净值]]</f>
        <v>1.0049999999999999</v>
      </c>
      <c r="G21" s="166" t="s">
        <v>30</v>
      </c>
    </row>
    <row r="22" spans="1:8" x14ac:dyDescent="0.2">
      <c r="A22" s="161">
        <v>43775</v>
      </c>
      <c r="B22" s="162">
        <v>1.0009999999999999</v>
      </c>
      <c r="C22" s="167">
        <f>IFERROR(B22-B21,0)</f>
        <v>-4.0000000000000036E-3</v>
      </c>
      <c r="D22" s="168">
        <f>IF(C22&lt;0,C22,"/")</f>
        <v>-4.0000000000000036E-3</v>
      </c>
      <c r="E22" s="168">
        <f ca="1">IF(表2_367162629303421[[#This Row],[累计净值]]/MAX(INDIRECT("B21:B" &amp; ROW()))-1&lt;E21,表2_367162629303421[[#This Row],[累计净值]]/MAX(INDIRECT("B21:B" &amp; ROW()))-1,E21)</f>
        <v>-3.9800995024875663E-3</v>
      </c>
      <c r="F22" s="169">
        <f>表2_367162629303421[[#This Row],[累计净值]]</f>
        <v>1.0009999999999999</v>
      </c>
      <c r="G22" s="170">
        <f>表2_367162629303421[[#This Row],[累计净值]]/$B$21-1</f>
        <v>-3.9800995024875663E-3</v>
      </c>
    </row>
    <row r="23" spans="1:8" x14ac:dyDescent="0.2">
      <c r="A23" s="161">
        <v>43776</v>
      </c>
      <c r="B23" s="162">
        <v>1</v>
      </c>
      <c r="C23" s="186">
        <f>IFERROR(B23-B22,0)</f>
        <v>-9.9999999999988987E-4</v>
      </c>
      <c r="D23" s="168">
        <f>IF(C23&lt;0,C23,"/")</f>
        <v>-9.9999999999988987E-4</v>
      </c>
      <c r="E23" s="168">
        <f ca="1">IF(表2_367162629303421[[#This Row],[累计净值]]/MAX(INDIRECT("B21:B" &amp; ROW()))-1&lt;E22,表2_367162629303421[[#This Row],[累计净值]]/MAX(INDIRECT("B21:B" &amp; ROW()))-1,E22)</f>
        <v>-4.9751243781093191E-3</v>
      </c>
      <c r="F23" s="172">
        <f>表2_367162629303421[[#This Row],[累计净值]]</f>
        <v>1</v>
      </c>
      <c r="G23" s="170">
        <f>表2_367162629303421[[#This Row],[累计净值]]/$B$21-1</f>
        <v>-4.9751243781093191E-3</v>
      </c>
    </row>
    <row r="24" spans="1:8" x14ac:dyDescent="0.2">
      <c r="A24" s="161">
        <v>43777</v>
      </c>
      <c r="B24" s="162">
        <v>1</v>
      </c>
      <c r="C24" s="186">
        <f>IFERROR(B24-B23,0)</f>
        <v>0</v>
      </c>
      <c r="D24" s="168" t="str">
        <f>IF(C24&lt;0,C24,"/")</f>
        <v>/</v>
      </c>
      <c r="E24" s="168">
        <f ca="1">IF(表2_367162629303421[[#This Row],[累计净值]]/MAX(INDIRECT("B21:B" &amp; ROW()))-1&lt;E23,表2_367162629303421[[#This Row],[累计净值]]/MAX(INDIRECT("B21:B" &amp; ROW()))-1,E23)</f>
        <v>-4.9751243781093191E-3</v>
      </c>
      <c r="F24" s="172">
        <f>表2_367162629303421[[#This Row],[累计净值]]</f>
        <v>1</v>
      </c>
      <c r="G24" s="170">
        <f>表2_367162629303421[[#This Row],[累计净值]]/$B$21-1</f>
        <v>-4.9751243781093191E-3</v>
      </c>
    </row>
    <row r="25" spans="1:8" x14ac:dyDescent="0.2">
      <c r="A25" s="161">
        <v>43780</v>
      </c>
      <c r="B25" s="162">
        <v>0.997</v>
      </c>
      <c r="C25" s="171">
        <f t="shared" ref="C25:C42" si="0">IFERROR(B25-B24,0)</f>
        <v>-3.0000000000000027E-3</v>
      </c>
      <c r="D25" s="168">
        <f t="shared" ref="D25:D42" si="1">IF(C25&lt;0,C25,"/")</f>
        <v>-3.0000000000000027E-3</v>
      </c>
      <c r="E25" s="168">
        <f ca="1">IF(表2_367162629303421[[#This Row],[累计净值]]/MAX(INDIRECT("B21:B" &amp; ROW()))-1&lt;E24,表2_367162629303421[[#This Row],[累计净值]]/MAX(INDIRECT("B21:B" &amp; ROW()))-1,E24)</f>
        <v>-7.9601990049750215E-3</v>
      </c>
      <c r="F25" s="172">
        <f>表2_367162629303421[[#This Row],[累计净值]]</f>
        <v>0.997</v>
      </c>
      <c r="G25" s="170">
        <f>表2_367162629303421[[#This Row],[累计净值]]/$B$21-1</f>
        <v>-7.9601990049750215E-3</v>
      </c>
    </row>
    <row r="26" spans="1:8" x14ac:dyDescent="0.2">
      <c r="A26" s="161">
        <v>43781</v>
      </c>
      <c r="B26" s="162">
        <v>0.995</v>
      </c>
      <c r="C26" s="171">
        <f t="shared" si="0"/>
        <v>-2.0000000000000018E-3</v>
      </c>
      <c r="D26" s="168">
        <f t="shared" si="1"/>
        <v>-2.0000000000000018E-3</v>
      </c>
      <c r="E26" s="168">
        <f ca="1">IF(表2_367162629303421[[#This Row],[累计净值]]/MAX(INDIRECT("B21:B" &amp; ROW()))-1&lt;E25,表2_367162629303421[[#This Row],[累计净值]]/MAX(INDIRECT("B21:B" &amp; ROW()))-1,E25)</f>
        <v>-9.9502487562188602E-3</v>
      </c>
      <c r="F26" s="172">
        <f>表2_367162629303421[[#This Row],[累计净值]]</f>
        <v>0.995</v>
      </c>
      <c r="G26" s="170">
        <f>表2_367162629303421[[#This Row],[累计净值]]/$B$21-1</f>
        <v>-9.9502487562188602E-3</v>
      </c>
    </row>
    <row r="27" spans="1:8" x14ac:dyDescent="0.2">
      <c r="A27" s="161">
        <v>43782</v>
      </c>
      <c r="B27" s="162">
        <v>1.004</v>
      </c>
      <c r="C27" s="171">
        <f t="shared" si="0"/>
        <v>9.000000000000008E-3</v>
      </c>
      <c r="D27" s="168" t="str">
        <f t="shared" si="1"/>
        <v>/</v>
      </c>
      <c r="E27" s="168">
        <f ca="1">IF(表2_367162629303421[[#This Row],[累计净值]]/MAX(INDIRECT("B21:B" &amp; ROW()))-1&lt;E26,表2_367162629303421[[#This Row],[累计净值]]/MAX(INDIRECT("B21:B" &amp; ROW()))-1,E26)</f>
        <v>-9.9502487562188602E-3</v>
      </c>
      <c r="F27" s="172">
        <f>表2_367162629303421[[#This Row],[累计净值]]</f>
        <v>1.004</v>
      </c>
      <c r="G27" s="170">
        <f>表2_367162629303421[[#This Row],[累计净值]]/$B$21-1</f>
        <v>-9.9502487562175279E-4</v>
      </c>
    </row>
    <row r="28" spans="1:8" x14ac:dyDescent="0.2">
      <c r="A28" s="161">
        <v>43783</v>
      </c>
      <c r="B28" s="162">
        <v>1.0029999999999999</v>
      </c>
      <c r="C28" s="171">
        <f t="shared" si="0"/>
        <v>-1.0000000000001119E-3</v>
      </c>
      <c r="D28" s="168">
        <f t="shared" si="1"/>
        <v>-1.0000000000001119E-3</v>
      </c>
      <c r="E28" s="168">
        <f ca="1">IF(表2_367162629303421[[#This Row],[累计净值]]/MAX(INDIRECT("B21:B" &amp; ROW()))-1&lt;E27,表2_367162629303421[[#This Row],[累计净值]]/MAX(INDIRECT("B21:B" &amp; ROW()))-1,E27)</f>
        <v>-9.9502487562188602E-3</v>
      </c>
      <c r="F28" s="172">
        <f>表2_367162629303421[[#This Row],[累计净值]]</f>
        <v>1.0029999999999999</v>
      </c>
      <c r="G28" s="170">
        <f>表2_367162629303421[[#This Row],[累计净值]]/$B$21-1</f>
        <v>-1.9900497512437276E-3</v>
      </c>
    </row>
    <row r="29" spans="1:8" x14ac:dyDescent="0.2">
      <c r="A29" s="161">
        <v>43784</v>
      </c>
      <c r="B29" s="162">
        <v>1.0049999999999999</v>
      </c>
      <c r="C29" s="171">
        <f t="shared" si="0"/>
        <v>2.0000000000000018E-3</v>
      </c>
      <c r="D29" s="168" t="str">
        <f t="shared" si="1"/>
        <v>/</v>
      </c>
      <c r="E29" s="168">
        <f ca="1">IF(表2_367162629303421[[#This Row],[累计净值]]/MAX(INDIRECT("B21:B" &amp; ROW()))-1&lt;E28,表2_367162629303421[[#This Row],[累计净值]]/MAX(INDIRECT("B21:B" &amp; ROW()))-1,E28)</f>
        <v>-9.9502487562188602E-3</v>
      </c>
      <c r="F29" s="172">
        <f>表2_367162629303421[[#This Row],[累计净值]]</f>
        <v>1.0049999999999999</v>
      </c>
      <c r="G29" s="170">
        <f>表2_367162629303421[[#This Row],[累计净值]]/$B$21-1</f>
        <v>0</v>
      </c>
    </row>
    <row r="30" spans="1:8" x14ac:dyDescent="0.2">
      <c r="A30" s="161">
        <v>43787</v>
      </c>
      <c r="B30" s="162">
        <v>1.006</v>
      </c>
      <c r="C30" s="171">
        <f t="shared" si="0"/>
        <v>1.0000000000001119E-3</v>
      </c>
      <c r="D30" s="168" t="str">
        <f t="shared" si="1"/>
        <v>/</v>
      </c>
      <c r="E30" s="168">
        <f ca="1">IF(表2_367162629303421[[#This Row],[累计净值]]/MAX(INDIRECT("B21:B" &amp; ROW()))-1&lt;E29,表2_367162629303421[[#This Row],[累计净值]]/MAX(INDIRECT("B21:B" &amp; ROW()))-1,E29)</f>
        <v>-9.9502487562188602E-3</v>
      </c>
      <c r="F30" s="172">
        <f>表2_367162629303421[[#This Row],[累计净值]]</f>
        <v>1.006</v>
      </c>
      <c r="G30" s="170">
        <f>表2_367162629303421[[#This Row],[累计净值]]/$B$21-1</f>
        <v>9.9502487562208586E-4</v>
      </c>
    </row>
    <row r="31" spans="1:8" x14ac:dyDescent="0.2">
      <c r="A31" s="161">
        <v>43788</v>
      </c>
      <c r="B31" s="162">
        <v>1.0069999999999999</v>
      </c>
      <c r="C31" s="171">
        <f t="shared" si="0"/>
        <v>9.9999999999988987E-4</v>
      </c>
      <c r="D31" s="168" t="str">
        <f t="shared" si="1"/>
        <v>/</v>
      </c>
      <c r="E31" s="168">
        <f ca="1">IF(表2_367162629303421[[#This Row],[累计净值]]/MAX(INDIRECT("B21:B" &amp; ROW()))-1&lt;E30,表2_367162629303421[[#This Row],[累计净值]]/MAX(INDIRECT("B21:B" &amp; ROW()))-1,E30)</f>
        <v>-9.9502487562188602E-3</v>
      </c>
      <c r="F31" s="172">
        <f>表2_367162629303421[[#This Row],[累计净值]]</f>
        <v>1.0069999999999999</v>
      </c>
      <c r="G31" s="170">
        <f>表2_367162629303421[[#This Row],[累计净值]]/$B$21-1</f>
        <v>1.9900497512437276E-3</v>
      </c>
    </row>
    <row r="32" spans="1:8" x14ac:dyDescent="0.2">
      <c r="A32" s="161">
        <v>43789</v>
      </c>
      <c r="B32" s="162">
        <v>1.008</v>
      </c>
      <c r="C32" s="171">
        <f t="shared" si="0"/>
        <v>1.0000000000001119E-3</v>
      </c>
      <c r="D32" s="168" t="str">
        <f t="shared" si="1"/>
        <v>/</v>
      </c>
      <c r="E32" s="168">
        <f ca="1">IF(表2_367162629303421[[#This Row],[累计净值]]/MAX(INDIRECT("B21:B" &amp; ROW()))-1&lt;E31,表2_367162629303421[[#This Row],[累计净值]]/MAX(INDIRECT("B21:B" &amp; ROW()))-1,E31)</f>
        <v>-9.9502487562188602E-3</v>
      </c>
      <c r="F32" s="172">
        <f>表2_367162629303421[[#This Row],[累计净值]]</f>
        <v>1.008</v>
      </c>
      <c r="G32" s="170">
        <f>表2_367162629303421[[#This Row],[累计净值]]/$B$21-1</f>
        <v>2.9850746268658135E-3</v>
      </c>
    </row>
    <row r="33" spans="1:7" x14ac:dyDescent="0.2">
      <c r="A33" s="161">
        <v>43790</v>
      </c>
      <c r="B33" s="162">
        <v>1.008</v>
      </c>
      <c r="C33" s="171">
        <f t="shared" si="0"/>
        <v>0</v>
      </c>
      <c r="D33" s="168" t="str">
        <f t="shared" si="1"/>
        <v>/</v>
      </c>
      <c r="E33" s="168">
        <f ca="1">IF(表2_367162629303421[[#This Row],[累计净值]]/MAX(INDIRECT("B21:B" &amp; ROW()))-1&lt;E32,表2_367162629303421[[#This Row],[累计净值]]/MAX(INDIRECT("B21:B" &amp; ROW()))-1,E32)</f>
        <v>-9.9502487562188602E-3</v>
      </c>
      <c r="F33" s="172">
        <f>表2_367162629303421[[#This Row],[累计净值]]</f>
        <v>1.008</v>
      </c>
      <c r="G33" s="170">
        <f>表2_367162629303421[[#This Row],[累计净值]]/$B$21-1</f>
        <v>2.9850746268658135E-3</v>
      </c>
    </row>
    <row r="34" spans="1:7" x14ac:dyDescent="0.2">
      <c r="A34" s="161">
        <v>43791</v>
      </c>
      <c r="B34" s="162">
        <v>1.0089999999999999</v>
      </c>
      <c r="C34" s="171">
        <f t="shared" si="0"/>
        <v>9.9999999999988987E-4</v>
      </c>
      <c r="D34" s="168" t="str">
        <f t="shared" si="1"/>
        <v>/</v>
      </c>
      <c r="E34" s="168">
        <f ca="1">IF(表2_367162629303421[[#This Row],[累计净值]]/MAX(INDIRECT("B21:B" &amp; ROW()))-1&lt;E33,表2_367162629303421[[#This Row],[累计净值]]/MAX(INDIRECT("B21:B" &amp; ROW()))-1,E33)</f>
        <v>-9.9502487562188602E-3</v>
      </c>
      <c r="F34" s="172">
        <f>表2_367162629303421[[#This Row],[累计净值]]</f>
        <v>1.0089999999999999</v>
      </c>
      <c r="G34" s="170">
        <f>表2_367162629303421[[#This Row],[累计净值]]/$B$21-1</f>
        <v>3.9800995024874553E-3</v>
      </c>
    </row>
    <row r="35" spans="1:7" x14ac:dyDescent="0.2">
      <c r="A35" s="161">
        <v>43794</v>
      </c>
      <c r="B35" s="162">
        <v>1.0109999999999999</v>
      </c>
      <c r="C35" s="171">
        <f t="shared" si="0"/>
        <v>2.0000000000000018E-3</v>
      </c>
      <c r="D35" s="168" t="str">
        <f t="shared" si="1"/>
        <v>/</v>
      </c>
      <c r="E35" s="168">
        <f ca="1">IF(表2_367162629303421[[#This Row],[累计净值]]/MAX(INDIRECT("B21:B" &amp; ROW()))-1&lt;E34,表2_367162629303421[[#This Row],[累计净值]]/MAX(INDIRECT("B21:B" &amp; ROW()))-1,E34)</f>
        <v>-9.9502487562188602E-3</v>
      </c>
      <c r="F35" s="172">
        <f>表2_367162629303421[[#This Row],[累计净值]]</f>
        <v>1.0109999999999999</v>
      </c>
      <c r="G35" s="170">
        <f>表2_367162629303421[[#This Row],[累计净值]]/$B$21-1</f>
        <v>5.9701492537314049E-3</v>
      </c>
    </row>
    <row r="36" spans="1:7" x14ac:dyDescent="0.2">
      <c r="A36" s="161">
        <v>43795</v>
      </c>
      <c r="B36" s="162">
        <v>1.01</v>
      </c>
      <c r="C36" s="171">
        <f t="shared" si="0"/>
        <v>-9.9999999999988987E-4</v>
      </c>
      <c r="D36" s="168">
        <f t="shared" si="1"/>
        <v>-9.9999999999988987E-4</v>
      </c>
      <c r="E36" s="168">
        <f ca="1">IF(表2_367162629303421[[#This Row],[累计净值]]/MAX(INDIRECT("B21:B" &amp; ROW()))-1&lt;E35,表2_367162629303421[[#This Row],[累计净值]]/MAX(INDIRECT("B21:B" &amp; ROW()))-1,E35)</f>
        <v>-9.9502487562188602E-3</v>
      </c>
      <c r="F36" s="172">
        <f>表2_367162629303421[[#This Row],[累计净值]]</f>
        <v>1.01</v>
      </c>
      <c r="G36" s="170">
        <f>表2_367162629303421[[#This Row],[累计净值]]/$B$21-1</f>
        <v>4.9751243781095411E-3</v>
      </c>
    </row>
    <row r="37" spans="1:7" x14ac:dyDescent="0.2">
      <c r="A37" s="161">
        <v>43796</v>
      </c>
      <c r="B37" s="162">
        <v>1.01</v>
      </c>
      <c r="C37" s="171">
        <f t="shared" si="0"/>
        <v>0</v>
      </c>
      <c r="D37" s="168" t="str">
        <f t="shared" si="1"/>
        <v>/</v>
      </c>
      <c r="E37" s="168">
        <f ca="1">IF(表2_367162629303421[[#This Row],[累计净值]]/MAX(INDIRECT("B21:B" &amp; ROW()))-1&lt;E36,表2_367162629303421[[#This Row],[累计净值]]/MAX(INDIRECT("B21:B" &amp; ROW()))-1,E36)</f>
        <v>-9.9502487562188602E-3</v>
      </c>
      <c r="F37" s="172">
        <f>表2_367162629303421[[#This Row],[累计净值]]</f>
        <v>1.01</v>
      </c>
      <c r="G37" s="170">
        <f>表2_367162629303421[[#This Row],[累计净值]]/$B$21-1</f>
        <v>4.9751243781095411E-3</v>
      </c>
    </row>
    <row r="38" spans="1:7" x14ac:dyDescent="0.2">
      <c r="A38" s="161">
        <v>43797</v>
      </c>
      <c r="B38" s="162">
        <v>1.0109999999999999</v>
      </c>
      <c r="C38" s="171">
        <f t="shared" si="0"/>
        <v>9.9999999999988987E-4</v>
      </c>
      <c r="D38" s="168" t="str">
        <f t="shared" si="1"/>
        <v>/</v>
      </c>
      <c r="E38" s="168">
        <f ca="1">IF(表2_367162629303421[[#This Row],[累计净值]]/MAX(INDIRECT("B21:B" &amp; ROW()))-1&lt;E37,表2_367162629303421[[#This Row],[累计净值]]/MAX(INDIRECT("B21:B" &amp; ROW()))-1,E37)</f>
        <v>-9.9502487562188602E-3</v>
      </c>
      <c r="F38" s="172">
        <f>表2_367162629303421[[#This Row],[累计净值]]</f>
        <v>1.0109999999999999</v>
      </c>
      <c r="G38" s="170">
        <f>表2_367162629303421[[#This Row],[累计净值]]/$B$21-1</f>
        <v>5.9701492537314049E-3</v>
      </c>
    </row>
    <row r="39" spans="1:7" x14ac:dyDescent="0.2">
      <c r="A39" s="161">
        <v>43798</v>
      </c>
      <c r="B39" s="162">
        <v>1.012</v>
      </c>
      <c r="C39" s="171">
        <f t="shared" si="0"/>
        <v>1.0000000000001119E-3</v>
      </c>
      <c r="D39" s="168" t="str">
        <f t="shared" si="1"/>
        <v>/</v>
      </c>
      <c r="E39" s="168">
        <f ca="1">IF(表2_367162629303421[[#This Row],[累计净值]]/MAX(INDIRECT("B21:B" &amp; ROW()))-1&lt;E38,表2_367162629303421[[#This Row],[累计净值]]/MAX(INDIRECT("B21:B" &amp; ROW()))-1,E38)</f>
        <v>-9.9502487562188602E-3</v>
      </c>
      <c r="F39" s="172">
        <f>表2_367162629303421[[#This Row],[累计净值]]</f>
        <v>1.012</v>
      </c>
      <c r="G39" s="170">
        <f>表2_367162629303421[[#This Row],[累计净值]]/$B$21-1</f>
        <v>6.9651741293532687E-3</v>
      </c>
    </row>
    <row r="40" spans="1:7" x14ac:dyDescent="0.2">
      <c r="A40" s="161">
        <v>43801</v>
      </c>
      <c r="B40" s="162">
        <v>1.012</v>
      </c>
      <c r="C40" s="171">
        <f t="shared" si="0"/>
        <v>0</v>
      </c>
      <c r="D40" s="168" t="str">
        <f t="shared" si="1"/>
        <v>/</v>
      </c>
      <c r="E40" s="168">
        <f ca="1">IF(表2_367162629303421[[#This Row],[累计净值]]/MAX(INDIRECT("B21:B" &amp; ROW()))-1&lt;E39,表2_367162629303421[[#This Row],[累计净值]]/MAX(INDIRECT("B21:B" &amp; ROW()))-1,E39)</f>
        <v>-9.9502487562188602E-3</v>
      </c>
      <c r="F40" s="172">
        <f>表2_367162629303421[[#This Row],[累计净值]]</f>
        <v>1.012</v>
      </c>
      <c r="G40" s="170">
        <f>表2_367162629303421[[#This Row],[累计净值]]/$B$21-1</f>
        <v>6.9651741293532687E-3</v>
      </c>
    </row>
    <row r="41" spans="1:7" x14ac:dyDescent="0.2">
      <c r="A41" s="161">
        <v>43802</v>
      </c>
      <c r="B41" s="162">
        <v>1.0109999999999999</v>
      </c>
      <c r="C41" s="171">
        <f t="shared" si="0"/>
        <v>-1.0000000000001119E-3</v>
      </c>
      <c r="D41" s="168">
        <f t="shared" si="1"/>
        <v>-1.0000000000001119E-3</v>
      </c>
      <c r="E41" s="168">
        <f ca="1">IF(表2_367162629303421[[#This Row],[累计净值]]/MAX(INDIRECT("B21:B" &amp; ROW()))-1&lt;E40,表2_367162629303421[[#This Row],[累计净值]]/MAX(INDIRECT("B21:B" &amp; ROW()))-1,E40)</f>
        <v>-9.9502487562188602E-3</v>
      </c>
      <c r="F41" s="172">
        <f>表2_367162629303421[[#This Row],[累计净值]]</f>
        <v>1.0109999999999999</v>
      </c>
      <c r="G41" s="170">
        <f>表2_367162629303421[[#This Row],[累计净值]]/$B$21-1</f>
        <v>5.9701492537314049E-3</v>
      </c>
    </row>
    <row r="42" spans="1:7" x14ac:dyDescent="0.2">
      <c r="A42" s="161">
        <v>43803</v>
      </c>
      <c r="B42" s="162">
        <v>1.01</v>
      </c>
      <c r="C42" s="171">
        <f t="shared" si="0"/>
        <v>-9.9999999999988987E-4</v>
      </c>
      <c r="D42" s="168">
        <f t="shared" si="1"/>
        <v>-9.9999999999988987E-4</v>
      </c>
      <c r="E42" s="168">
        <f ca="1">IF(表2_367162629303421[[#This Row],[累计净值]]/MAX(INDIRECT("B21:B" &amp; ROW()))-1&lt;E41,表2_367162629303421[[#This Row],[累计净值]]/MAX(INDIRECT("B21:B" &amp; ROW()))-1,E41)</f>
        <v>-9.9502487562188602E-3</v>
      </c>
      <c r="F42" s="172">
        <f>表2_367162629303421[[#This Row],[累计净值]]</f>
        <v>1.01</v>
      </c>
      <c r="G42" s="170">
        <f>表2_367162629303421[[#This Row],[累计净值]]/$B$21-1</f>
        <v>4.9751243781095411E-3</v>
      </c>
    </row>
    <row r="43" spans="1:7" x14ac:dyDescent="0.2">
      <c r="A43" s="161">
        <v>43804</v>
      </c>
      <c r="B43" s="162">
        <v>1.0069999999999999</v>
      </c>
      <c r="C43" s="171">
        <f>IFERROR(B43-B42,0)</f>
        <v>-3.0000000000001137E-3</v>
      </c>
      <c r="D43" s="168">
        <f>IF(C43&lt;0,C43,"/")</f>
        <v>-3.0000000000001137E-3</v>
      </c>
      <c r="E43" s="168">
        <f ca="1">IF(表2_367162629303421[[#This Row],[累计净值]]/MAX(INDIRECT("B21:B" &amp; ROW()))-1&lt;E42,表2_367162629303421[[#This Row],[累计净值]]/MAX(INDIRECT("B21:B" &amp; ROW()))-1,E42)</f>
        <v>-9.9502487562188602E-3</v>
      </c>
      <c r="F43" s="172">
        <f>表2_367162629303421[[#This Row],[累计净值]]</f>
        <v>1.0069999999999999</v>
      </c>
      <c r="G43" s="170">
        <f>表2_367162629303421[[#This Row],[累计净值]]/$B$21-1</f>
        <v>1.9900497512437276E-3</v>
      </c>
    </row>
    <row r="44" spans="1:7" x14ac:dyDescent="0.2">
      <c r="A44" s="161">
        <v>43805</v>
      </c>
      <c r="B44" s="162">
        <v>1.008</v>
      </c>
      <c r="C44" s="171">
        <f>IFERROR(B44-B43,0)</f>
        <v>1.0000000000001119E-3</v>
      </c>
      <c r="D44" s="168" t="str">
        <f>IF(C44&lt;0,C44,"/")</f>
        <v>/</v>
      </c>
      <c r="E44" s="168">
        <f ca="1">IF(表2_367162629303421[[#This Row],[累计净值]]/MAX(INDIRECT("B21:B" &amp; ROW()))-1&lt;E43,表2_367162629303421[[#This Row],[累计净值]]/MAX(INDIRECT("B21:B" &amp; ROW()))-1,E43)</f>
        <v>-9.9502487562188602E-3</v>
      </c>
      <c r="F44" s="172">
        <f>表2_367162629303421[[#This Row],[累计净值]]</f>
        <v>1.008</v>
      </c>
      <c r="G44" s="170">
        <f>表2_367162629303421[[#This Row],[累计净值]]/$B$21-1</f>
        <v>2.9850746268658135E-3</v>
      </c>
    </row>
    <row r="45" spans="1:7" x14ac:dyDescent="0.2">
      <c r="A45" s="161">
        <v>43808</v>
      </c>
      <c r="B45" s="162">
        <v>1.006</v>
      </c>
      <c r="C45" s="171">
        <f>IFERROR(B45-B44,0)</f>
        <v>-2.0000000000000018E-3</v>
      </c>
      <c r="D45" s="168">
        <f>IF(C45&lt;0,C45,"/")</f>
        <v>-2.0000000000000018E-3</v>
      </c>
      <c r="E45" s="168">
        <f ca="1">IF(表2_367162629303421[[#This Row],[累计净值]]/MAX(INDIRECT("B21:B" &amp; ROW()))-1&lt;E44,表2_367162629303421[[#This Row],[累计净值]]/MAX(INDIRECT("B21:B" &amp; ROW()))-1,E44)</f>
        <v>-9.9502487562188602E-3</v>
      </c>
      <c r="F45" s="172">
        <f>表2_367162629303421[[#This Row],[累计净值]]</f>
        <v>1.006</v>
      </c>
      <c r="G45" s="170">
        <f>表2_367162629303421[[#This Row],[累计净值]]/$B$21-1</f>
        <v>9.9502487562208586E-4</v>
      </c>
    </row>
    <row r="46" spans="1:7" x14ac:dyDescent="0.2">
      <c r="A46" s="161">
        <v>43809</v>
      </c>
      <c r="B46" s="162">
        <v>1.0049999999999999</v>
      </c>
      <c r="C46" s="171">
        <f>IFERROR(B46-B45,0)</f>
        <v>-1.0000000000001119E-3</v>
      </c>
      <c r="D46" s="168">
        <f>IF(C46&lt;0,C46,"/")</f>
        <v>-1.0000000000001119E-3</v>
      </c>
      <c r="E46" s="168">
        <f ca="1">IF(表2_367162629303421[[#This Row],[累计净值]]/MAX(INDIRECT("B21:B" &amp; ROW()))-1&lt;E45,表2_367162629303421[[#This Row],[累计净值]]/MAX(INDIRECT("B21:B" &amp; ROW()))-1,E45)</f>
        <v>-9.9502487562188602E-3</v>
      </c>
      <c r="F46" s="172">
        <f>表2_367162629303421[[#This Row],[累计净值]]</f>
        <v>1.0049999999999999</v>
      </c>
      <c r="G46" s="170">
        <f>表2_367162629303421[[#This Row],[累计净值]]/$B$21-1</f>
        <v>0</v>
      </c>
    </row>
    <row r="47" spans="1:7" x14ac:dyDescent="0.2">
      <c r="A47" s="161">
        <v>43810</v>
      </c>
      <c r="B47" s="162">
        <v>1.0069999999999999</v>
      </c>
      <c r="C47" s="171">
        <f>IFERROR(B47-B46,0)</f>
        <v>2.0000000000000018E-3</v>
      </c>
      <c r="D47" s="168" t="str">
        <f>IF(C47&lt;0,C47,"/")</f>
        <v>/</v>
      </c>
      <c r="E47" s="168">
        <f ca="1">IF(表2_367162629303421[[#This Row],[累计净值]]/MAX(INDIRECT("B21:B" &amp; ROW()))-1&lt;E46,表2_367162629303421[[#This Row],[累计净值]]/MAX(INDIRECT("B21:B" &amp; ROW()))-1,E46)</f>
        <v>-9.9502487562188602E-3</v>
      </c>
      <c r="F47" s="172">
        <f>表2_367162629303421[[#This Row],[累计净值]]</f>
        <v>1.0069999999999999</v>
      </c>
      <c r="G47" s="170">
        <f>表2_367162629303421[[#This Row],[累计净值]]/$B$21-1</f>
        <v>1.9900497512437276E-3</v>
      </c>
    </row>
    <row r="48" spans="1:7" x14ac:dyDescent="0.2">
      <c r="A48" s="161">
        <v>43811</v>
      </c>
      <c r="B48" s="162">
        <v>1.0089999999999999</v>
      </c>
      <c r="C48" s="171">
        <f t="shared" ref="C48:C107" si="2">IFERROR(B48-B47,0)</f>
        <v>2.0000000000000018E-3</v>
      </c>
      <c r="D48" s="168" t="str">
        <f t="shared" ref="D48:D107" si="3">IF(C48&lt;0,C48,"/")</f>
        <v>/</v>
      </c>
      <c r="E48" s="168">
        <f ca="1">IF(表2_367162629303421[[#This Row],[累计净值]]/MAX(INDIRECT("B21:B" &amp; ROW()))-1&lt;E47,表2_367162629303421[[#This Row],[累计净值]]/MAX(INDIRECT("B21:B" &amp; ROW()))-1,E47)</f>
        <v>-9.9502487562188602E-3</v>
      </c>
      <c r="F48" s="172">
        <f>表2_367162629303421[[#This Row],[累计净值]]</f>
        <v>1.0089999999999999</v>
      </c>
      <c r="G48" s="170">
        <f>表2_367162629303421[[#This Row],[累计净值]]/$B$21-1</f>
        <v>3.9800995024874553E-3</v>
      </c>
    </row>
    <row r="49" spans="1:7" x14ac:dyDescent="0.2">
      <c r="A49" s="161">
        <v>43812</v>
      </c>
      <c r="B49" s="162">
        <v>1.012</v>
      </c>
      <c r="C49" s="171">
        <f t="shared" si="2"/>
        <v>3.0000000000001137E-3</v>
      </c>
      <c r="D49" s="168" t="str">
        <f t="shared" si="3"/>
        <v>/</v>
      </c>
      <c r="E49" s="168">
        <f ca="1">IF(表2_367162629303421[[#This Row],[累计净值]]/MAX(INDIRECT("B21:B" &amp; ROW()))-1&lt;E48,表2_367162629303421[[#This Row],[累计净值]]/MAX(INDIRECT("B21:B" &amp; ROW()))-1,E48)</f>
        <v>-9.9502487562188602E-3</v>
      </c>
      <c r="F49" s="172">
        <f>表2_367162629303421[[#This Row],[累计净值]]</f>
        <v>1.012</v>
      </c>
      <c r="G49" s="170">
        <f>表2_367162629303421[[#This Row],[累计净值]]/$B$21-1</f>
        <v>6.9651741293532687E-3</v>
      </c>
    </row>
    <row r="50" spans="1:7" x14ac:dyDescent="0.2">
      <c r="A50" s="161">
        <v>43815</v>
      </c>
      <c r="B50" s="162">
        <v>1.0129999999999999</v>
      </c>
      <c r="C50" s="171">
        <f t="shared" si="2"/>
        <v>9.9999999999988987E-4</v>
      </c>
      <c r="D50" s="168" t="str">
        <f t="shared" si="3"/>
        <v>/</v>
      </c>
      <c r="E50" s="168">
        <f ca="1">IF(表2_367162629303421[[#This Row],[累计净值]]/MAX(INDIRECT("B21:B" &amp; ROW()))-1&lt;E49,表2_367162629303421[[#This Row],[累计净值]]/MAX(INDIRECT("B21:B" &amp; ROW()))-1,E49)</f>
        <v>-9.9502487562188602E-3</v>
      </c>
      <c r="F50" s="172">
        <f>表2_367162629303421[[#This Row],[累计净值]]</f>
        <v>1.0129999999999999</v>
      </c>
      <c r="G50" s="170">
        <f>表2_367162629303421[[#This Row],[累计净值]]/$B$21-1</f>
        <v>7.9601990049751326E-3</v>
      </c>
    </row>
    <row r="51" spans="1:7" x14ac:dyDescent="0.2">
      <c r="A51" s="161">
        <v>43816</v>
      </c>
      <c r="B51" s="162">
        <v>1.01</v>
      </c>
      <c r="C51" s="171">
        <f t="shared" si="2"/>
        <v>-2.9999999999998916E-3</v>
      </c>
      <c r="D51" s="168">
        <f t="shared" si="3"/>
        <v>-2.9999999999998916E-3</v>
      </c>
      <c r="E51" s="168">
        <f ca="1">IF(表2_367162629303421[[#This Row],[累计净值]]/MAX(INDIRECT("B21:B" &amp; ROW()))-1&lt;E50,表2_367162629303421[[#This Row],[累计净值]]/MAX(INDIRECT("B21:B" &amp; ROW()))-1,E50)</f>
        <v>-9.9502487562188602E-3</v>
      </c>
      <c r="F51" s="172">
        <f>表2_367162629303421[[#This Row],[累计净值]]</f>
        <v>1.01</v>
      </c>
      <c r="G51" s="170">
        <f>表2_367162629303421[[#This Row],[累计净值]]/$B$21-1</f>
        <v>4.9751243781095411E-3</v>
      </c>
    </row>
    <row r="52" spans="1:7" x14ac:dyDescent="0.2">
      <c r="A52" s="161">
        <v>43817</v>
      </c>
      <c r="B52" s="162">
        <v>1.0109999999999999</v>
      </c>
      <c r="C52" s="171">
        <f t="shared" si="2"/>
        <v>9.9999999999988987E-4</v>
      </c>
      <c r="D52" s="168" t="str">
        <f t="shared" si="3"/>
        <v>/</v>
      </c>
      <c r="E52" s="168">
        <f ca="1">IF(表2_367162629303421[[#This Row],[累计净值]]/MAX(INDIRECT("B21:B" &amp; ROW()))-1&lt;E51,表2_367162629303421[[#This Row],[累计净值]]/MAX(INDIRECT("B21:B" &amp; ROW()))-1,E51)</f>
        <v>-9.9502487562188602E-3</v>
      </c>
      <c r="F52" s="172">
        <f>表2_367162629303421[[#This Row],[累计净值]]</f>
        <v>1.0109999999999999</v>
      </c>
      <c r="G52" s="170">
        <f>表2_367162629303421[[#This Row],[累计净值]]/$B$21-1</f>
        <v>5.9701492537314049E-3</v>
      </c>
    </row>
    <row r="53" spans="1:7" x14ac:dyDescent="0.2">
      <c r="A53" s="161">
        <v>43818</v>
      </c>
      <c r="B53" s="162">
        <v>1.01</v>
      </c>
      <c r="C53" s="171">
        <f t="shared" si="2"/>
        <v>-9.9999999999988987E-4</v>
      </c>
      <c r="D53" s="168">
        <f t="shared" si="3"/>
        <v>-9.9999999999988987E-4</v>
      </c>
      <c r="E53" s="168">
        <f ca="1">IF(表2_367162629303421[[#This Row],[累计净值]]/MAX(INDIRECT("B21:B" &amp; ROW()))-1&lt;E52,表2_367162629303421[[#This Row],[累计净值]]/MAX(INDIRECT("B21:B" &amp; ROW()))-1,E52)</f>
        <v>-9.9502487562188602E-3</v>
      </c>
      <c r="F53" s="172">
        <f>表2_367162629303421[[#This Row],[累计净值]]</f>
        <v>1.01</v>
      </c>
      <c r="G53" s="170">
        <f>表2_367162629303421[[#This Row],[累计净值]]/$B$21-1</f>
        <v>4.9751243781095411E-3</v>
      </c>
    </row>
    <row r="54" spans="1:7" x14ac:dyDescent="0.2">
      <c r="A54" s="161">
        <v>43819</v>
      </c>
      <c r="B54" s="162">
        <v>1.0109999999999999</v>
      </c>
      <c r="C54" s="171">
        <f t="shared" si="2"/>
        <v>9.9999999999988987E-4</v>
      </c>
      <c r="D54" s="168" t="str">
        <f t="shared" si="3"/>
        <v>/</v>
      </c>
      <c r="E54" s="168">
        <f ca="1">IF(表2_367162629303421[[#This Row],[累计净值]]/MAX(INDIRECT("B21:B" &amp; ROW()))-1&lt;E53,表2_367162629303421[[#This Row],[累计净值]]/MAX(INDIRECT("B21:B" &amp; ROW()))-1,E53)</f>
        <v>-9.9502487562188602E-3</v>
      </c>
      <c r="F54" s="172">
        <f>表2_367162629303421[[#This Row],[累计净值]]</f>
        <v>1.0109999999999999</v>
      </c>
      <c r="G54" s="170">
        <f>表2_367162629303421[[#This Row],[累计净值]]/$B$21-1</f>
        <v>5.9701492537314049E-3</v>
      </c>
    </row>
    <row r="55" spans="1:7" x14ac:dyDescent="0.2">
      <c r="A55" s="161">
        <v>43822</v>
      </c>
      <c r="B55" s="162">
        <v>1.012</v>
      </c>
      <c r="C55" s="171">
        <f t="shared" si="2"/>
        <v>1.0000000000001119E-3</v>
      </c>
      <c r="D55" s="168" t="str">
        <f t="shared" si="3"/>
        <v>/</v>
      </c>
      <c r="E55" s="168">
        <f ca="1">IF(表2_367162629303421[[#This Row],[累计净值]]/MAX(INDIRECT("B21:B" &amp; ROW()))-1&lt;E54,表2_367162629303421[[#This Row],[累计净值]]/MAX(INDIRECT("B21:B" &amp; ROW()))-1,E54)</f>
        <v>-9.9502487562188602E-3</v>
      </c>
      <c r="F55" s="172">
        <f>表2_367162629303421[[#This Row],[累计净值]]</f>
        <v>1.012</v>
      </c>
      <c r="G55" s="170">
        <f>表2_367162629303421[[#This Row],[累计净值]]/$B$21-1</f>
        <v>6.9651741293532687E-3</v>
      </c>
    </row>
    <row r="56" spans="1:7" x14ac:dyDescent="0.2">
      <c r="A56" s="161">
        <v>43823</v>
      </c>
      <c r="B56" s="162">
        <v>1.014</v>
      </c>
      <c r="C56" s="171">
        <f t="shared" si="2"/>
        <v>2.0000000000000018E-3</v>
      </c>
      <c r="D56" s="168" t="str">
        <f t="shared" si="3"/>
        <v>/</v>
      </c>
      <c r="E56" s="168">
        <f ca="1">IF(表2_367162629303421[[#This Row],[累计净值]]/MAX(INDIRECT("B21:B" &amp; ROW()))-1&lt;E55,表2_367162629303421[[#This Row],[累计净值]]/MAX(INDIRECT("B21:B" &amp; ROW()))-1,E55)</f>
        <v>-9.9502487562188602E-3</v>
      </c>
      <c r="F56" s="172">
        <f>表2_367162629303421[[#This Row],[累计净值]]</f>
        <v>1.014</v>
      </c>
      <c r="G56" s="170">
        <f>表2_367162629303421[[#This Row],[累计净值]]/$B$21-1</f>
        <v>8.9552238805972184E-3</v>
      </c>
    </row>
    <row r="57" spans="1:7" x14ac:dyDescent="0.2">
      <c r="A57" s="161">
        <v>43824</v>
      </c>
      <c r="B57" s="162">
        <v>1.014</v>
      </c>
      <c r="C57" s="171">
        <f t="shared" si="2"/>
        <v>0</v>
      </c>
      <c r="D57" s="168" t="str">
        <f t="shared" si="3"/>
        <v>/</v>
      </c>
      <c r="E57" s="168">
        <f ca="1">IF(表2_367162629303421[[#This Row],[累计净值]]/MAX(INDIRECT("B21:B" &amp; ROW()))-1&lt;E56,表2_367162629303421[[#This Row],[累计净值]]/MAX(INDIRECT("B21:B" &amp; ROW()))-1,E56)</f>
        <v>-9.9502487562188602E-3</v>
      </c>
      <c r="F57" s="172">
        <f>表2_367162629303421[[#This Row],[累计净值]]</f>
        <v>1.014</v>
      </c>
      <c r="G57" s="170">
        <f>表2_367162629303421[[#This Row],[累计净值]]/$B$21-1</f>
        <v>8.9552238805972184E-3</v>
      </c>
    </row>
    <row r="58" spans="1:7" x14ac:dyDescent="0.2">
      <c r="A58" s="161">
        <v>43825</v>
      </c>
      <c r="B58" s="178">
        <v>1.0149999999999999</v>
      </c>
      <c r="C58" s="171">
        <f t="shared" si="2"/>
        <v>9.9999999999988987E-4</v>
      </c>
      <c r="D58" s="168" t="str">
        <f t="shared" si="3"/>
        <v>/</v>
      </c>
      <c r="E58" s="168">
        <f ca="1">IF(表2_367162629303421[[#This Row],[累计净值]]/MAX(INDIRECT("B21:B" &amp; ROW()))-1&lt;E57,表2_367162629303421[[#This Row],[累计净值]]/MAX(INDIRECT("B21:B" &amp; ROW()))-1,E57)</f>
        <v>-9.9502487562188602E-3</v>
      </c>
      <c r="F58" s="172">
        <f>表2_367162629303421[[#This Row],[累计净值]]</f>
        <v>1.0149999999999999</v>
      </c>
      <c r="G58" s="170">
        <f>表2_367162629303421[[#This Row],[累计净值]]/$B$21-1</f>
        <v>9.9502487562188602E-3</v>
      </c>
    </row>
    <row r="59" spans="1:7" x14ac:dyDescent="0.2">
      <c r="A59" s="161">
        <v>43826</v>
      </c>
      <c r="B59" s="162">
        <v>1.014</v>
      </c>
      <c r="C59" s="171">
        <f t="shared" si="2"/>
        <v>-9.9999999999988987E-4</v>
      </c>
      <c r="D59" s="168">
        <f t="shared" si="3"/>
        <v>-9.9999999999988987E-4</v>
      </c>
      <c r="E59" s="168">
        <f ca="1">IF(表2_367162629303421[[#This Row],[累计净值]]/MAX(INDIRECT("B21:B" &amp; ROW()))-1&lt;E58,表2_367162629303421[[#This Row],[累计净值]]/MAX(INDIRECT("B21:B" &amp; ROW()))-1,E58)</f>
        <v>-9.9502487562188602E-3</v>
      </c>
      <c r="F59" s="172">
        <f>表2_367162629303421[[#This Row],[累计净值]]</f>
        <v>1.014</v>
      </c>
      <c r="G59" s="170">
        <f>表2_367162629303421[[#This Row],[累计净值]]/$B$21-1</f>
        <v>8.9552238805972184E-3</v>
      </c>
    </row>
    <row r="60" spans="1:7" x14ac:dyDescent="0.2">
      <c r="A60" s="161">
        <v>43829</v>
      </c>
      <c r="B60" s="162">
        <v>1.0109999999999999</v>
      </c>
      <c r="C60" s="171">
        <f t="shared" si="2"/>
        <v>-3.0000000000001137E-3</v>
      </c>
      <c r="D60" s="168">
        <f t="shared" si="3"/>
        <v>-3.0000000000001137E-3</v>
      </c>
      <c r="E60" s="168">
        <f ca="1">IF(表2_367162629303421[[#This Row],[累计净值]]/MAX(INDIRECT("B21:B" &amp; ROW()))-1&lt;E59,表2_367162629303421[[#This Row],[累计净值]]/MAX(INDIRECT("B21:B" &amp; ROW()))-1,E59)</f>
        <v>-9.9502487562188602E-3</v>
      </c>
      <c r="F60" s="172">
        <f>表2_367162629303421[[#This Row],[累计净值]]</f>
        <v>1.0109999999999999</v>
      </c>
      <c r="G60" s="170">
        <f>表2_367162629303421[[#This Row],[累计净值]]/$B$21-1</f>
        <v>5.9701492537314049E-3</v>
      </c>
    </row>
    <row r="61" spans="1:7" x14ac:dyDescent="0.2">
      <c r="A61" s="161">
        <v>43830</v>
      </c>
      <c r="B61" s="162">
        <v>1.0109999999999999</v>
      </c>
      <c r="C61" s="171">
        <f t="shared" si="2"/>
        <v>0</v>
      </c>
      <c r="D61" s="168" t="str">
        <f t="shared" si="3"/>
        <v>/</v>
      </c>
      <c r="E61" s="168">
        <f ca="1">IF(表2_367162629303421[[#This Row],[累计净值]]/MAX(INDIRECT("B21:B" &amp; ROW()))-1&lt;E60,表2_367162629303421[[#This Row],[累计净值]]/MAX(INDIRECT("B21:B" &amp; ROW()))-1,E60)</f>
        <v>-9.9502487562188602E-3</v>
      </c>
      <c r="F61" s="172">
        <f>表2_367162629303421[[#This Row],[累计净值]]</f>
        <v>1.0109999999999999</v>
      </c>
      <c r="G61" s="170">
        <f>表2_367162629303421[[#This Row],[累计净值]]/$B$21-1</f>
        <v>5.9701492537314049E-3</v>
      </c>
    </row>
    <row r="62" spans="1:7" x14ac:dyDescent="0.2">
      <c r="A62" s="161">
        <v>43832</v>
      </c>
      <c r="B62" s="162">
        <v>1.0109999999999999</v>
      </c>
      <c r="C62" s="171">
        <f t="shared" si="2"/>
        <v>0</v>
      </c>
      <c r="D62" s="168" t="str">
        <f t="shared" si="3"/>
        <v>/</v>
      </c>
      <c r="E62" s="168">
        <f ca="1">IF(表2_367162629303421[[#This Row],[累计净值]]/MAX(INDIRECT("B21:B" &amp; ROW()))-1&lt;E61,表2_367162629303421[[#This Row],[累计净值]]/MAX(INDIRECT("B21:B" &amp; ROW()))-1,E61)</f>
        <v>-9.9502487562188602E-3</v>
      </c>
      <c r="F62" s="172">
        <f>表2_367162629303421[[#This Row],[累计净值]]</f>
        <v>1.0109999999999999</v>
      </c>
      <c r="G62" s="170">
        <f>表2_367162629303421[[#This Row],[累计净值]]/$B$21-1</f>
        <v>5.9701492537314049E-3</v>
      </c>
    </row>
    <row r="63" spans="1:7" x14ac:dyDescent="0.2">
      <c r="A63" s="161">
        <v>43833</v>
      </c>
      <c r="B63" s="162">
        <v>1.012</v>
      </c>
      <c r="C63" s="171">
        <f t="shared" si="2"/>
        <v>1.0000000000001119E-3</v>
      </c>
      <c r="D63" s="168" t="str">
        <f t="shared" si="3"/>
        <v>/</v>
      </c>
      <c r="E63" s="168">
        <f ca="1">IF(表2_367162629303421[[#This Row],[累计净值]]/MAX(INDIRECT("B21:B" &amp; ROW()))-1&lt;E62,表2_367162629303421[[#This Row],[累计净值]]/MAX(INDIRECT("B21:B" &amp; ROW()))-1,E62)</f>
        <v>-9.9502487562188602E-3</v>
      </c>
      <c r="F63" s="172">
        <f>表2_367162629303421[[#This Row],[累计净值]]</f>
        <v>1.012</v>
      </c>
      <c r="G63" s="170">
        <f>表2_367162629303421[[#This Row],[累计净值]]/$B$21-1</f>
        <v>6.9651741293532687E-3</v>
      </c>
    </row>
    <row r="64" spans="1:7" x14ac:dyDescent="0.2">
      <c r="A64" s="161">
        <v>43836</v>
      </c>
      <c r="B64" s="162">
        <v>1.0129999999999999</v>
      </c>
      <c r="C64" s="171">
        <f t="shared" si="2"/>
        <v>9.9999999999988987E-4</v>
      </c>
      <c r="D64" s="168" t="str">
        <f t="shared" si="3"/>
        <v>/</v>
      </c>
      <c r="E64" s="168">
        <f ca="1">IF(表2_367162629303421[[#This Row],[累计净值]]/MAX(INDIRECT("B21:B" &amp; ROW()))-1&lt;E63,表2_367162629303421[[#This Row],[累计净值]]/MAX(INDIRECT("B21:B" &amp; ROW()))-1,E63)</f>
        <v>-9.9502487562188602E-3</v>
      </c>
      <c r="F64" s="172">
        <f>表2_367162629303421[[#This Row],[累计净值]]</f>
        <v>1.0129999999999999</v>
      </c>
      <c r="G64" s="170">
        <f>表2_367162629303421[[#This Row],[累计净值]]/$B$21-1</f>
        <v>7.9601990049751326E-3</v>
      </c>
    </row>
    <row r="65" spans="1:7" x14ac:dyDescent="0.2">
      <c r="A65" s="161">
        <v>43837</v>
      </c>
      <c r="B65" s="162">
        <v>1.0129999999999999</v>
      </c>
      <c r="C65" s="171">
        <f t="shared" si="2"/>
        <v>0</v>
      </c>
      <c r="D65" s="168" t="str">
        <f t="shared" si="3"/>
        <v>/</v>
      </c>
      <c r="E65" s="168">
        <f ca="1">IF(表2_367162629303421[[#This Row],[累计净值]]/MAX(INDIRECT("B21:B" &amp; ROW()))-1&lt;E64,表2_367162629303421[[#This Row],[累计净值]]/MAX(INDIRECT("B21:B" &amp; ROW()))-1,E64)</f>
        <v>-9.9502487562188602E-3</v>
      </c>
      <c r="F65" s="172">
        <f>表2_367162629303421[[#This Row],[累计净值]]</f>
        <v>1.0129999999999999</v>
      </c>
      <c r="G65" s="170">
        <f>表2_367162629303421[[#This Row],[累计净值]]/$B$21-1</f>
        <v>7.9601990049751326E-3</v>
      </c>
    </row>
    <row r="66" spans="1:7" x14ac:dyDescent="0.2">
      <c r="A66" s="161">
        <v>43838</v>
      </c>
      <c r="B66" s="162">
        <v>1.0149999999999999</v>
      </c>
      <c r="C66" s="171">
        <f t="shared" si="2"/>
        <v>2.0000000000000018E-3</v>
      </c>
      <c r="D66" s="168" t="str">
        <f t="shared" si="3"/>
        <v>/</v>
      </c>
      <c r="E66" s="168">
        <f ca="1">IF(表2_367162629303421[[#This Row],[累计净值]]/MAX(INDIRECT("B21:B" &amp; ROW()))-1&lt;E65,表2_367162629303421[[#This Row],[累计净值]]/MAX(INDIRECT("B21:B" &amp; ROW()))-1,E65)</f>
        <v>-9.9502487562188602E-3</v>
      </c>
      <c r="F66" s="172">
        <f>表2_367162629303421[[#This Row],[累计净值]]</f>
        <v>1.0149999999999999</v>
      </c>
      <c r="G66" s="170">
        <f>表2_367162629303421[[#This Row],[累计净值]]/$B$21-1</f>
        <v>9.9502487562188602E-3</v>
      </c>
    </row>
    <row r="67" spans="1:7" x14ac:dyDescent="0.2">
      <c r="A67" s="161">
        <v>43839</v>
      </c>
      <c r="B67" s="162">
        <v>1.012</v>
      </c>
      <c r="C67" s="171">
        <f t="shared" si="2"/>
        <v>-2.9999999999998916E-3</v>
      </c>
      <c r="D67" s="168">
        <f t="shared" si="3"/>
        <v>-2.9999999999998916E-3</v>
      </c>
      <c r="E67" s="168">
        <f ca="1">IF(表2_367162629303421[[#This Row],[累计净值]]/MAX(INDIRECT("B21:B" &amp; ROW()))-1&lt;E66,表2_367162629303421[[#This Row],[累计净值]]/MAX(INDIRECT("B21:B" &amp; ROW()))-1,E66)</f>
        <v>-9.9502487562188602E-3</v>
      </c>
      <c r="F67" s="172">
        <f>表2_367162629303421[[#This Row],[累计净值]]</f>
        <v>1.012</v>
      </c>
      <c r="G67" s="170">
        <f>表2_367162629303421[[#This Row],[累计净值]]/$B$21-1</f>
        <v>6.9651741293532687E-3</v>
      </c>
    </row>
    <row r="68" spans="1:7" x14ac:dyDescent="0.2">
      <c r="A68" s="161">
        <v>43840</v>
      </c>
      <c r="B68" s="162">
        <v>1.0129999999999999</v>
      </c>
      <c r="C68" s="171">
        <f t="shared" si="2"/>
        <v>9.9999999999988987E-4</v>
      </c>
      <c r="D68" s="168" t="str">
        <f t="shared" si="3"/>
        <v>/</v>
      </c>
      <c r="E68" s="168">
        <f ca="1">IF(表2_367162629303421[[#This Row],[累计净值]]/MAX(INDIRECT("B21:B" &amp; ROW()))-1&lt;E67,表2_367162629303421[[#This Row],[累计净值]]/MAX(INDIRECT("B21:B" &amp; ROW()))-1,E67)</f>
        <v>-9.9502487562188602E-3</v>
      </c>
      <c r="F68" s="172">
        <f>表2_367162629303421[[#This Row],[累计净值]]</f>
        <v>1.0129999999999999</v>
      </c>
      <c r="G68" s="170">
        <f>表2_367162629303421[[#This Row],[累计净值]]/$B$21-1</f>
        <v>7.9601990049751326E-3</v>
      </c>
    </row>
    <row r="69" spans="1:7" x14ac:dyDescent="0.2">
      <c r="A69" s="161">
        <v>43843</v>
      </c>
      <c r="B69" s="162">
        <v>1.0149999999999999</v>
      </c>
      <c r="C69" s="171">
        <f t="shared" si="2"/>
        <v>2.0000000000000018E-3</v>
      </c>
      <c r="D69" s="168" t="str">
        <f t="shared" si="3"/>
        <v>/</v>
      </c>
      <c r="E69" s="168">
        <f ca="1">IF(表2_367162629303421[[#This Row],[累计净值]]/MAX(INDIRECT("B21:B" &amp; ROW()))-1&lt;E68,表2_367162629303421[[#This Row],[累计净值]]/MAX(INDIRECT("B21:B" &amp; ROW()))-1,E68)</f>
        <v>-9.9502487562188602E-3</v>
      </c>
      <c r="F69" s="172">
        <f>表2_367162629303421[[#This Row],[累计净值]]</f>
        <v>1.0149999999999999</v>
      </c>
      <c r="G69" s="170">
        <f>表2_367162629303421[[#This Row],[累计净值]]/$B$21-1</f>
        <v>9.9502487562188602E-3</v>
      </c>
    </row>
    <row r="70" spans="1:7" x14ac:dyDescent="0.2">
      <c r="A70" s="161">
        <v>43844</v>
      </c>
      <c r="B70" s="162">
        <v>1.0149999999999999</v>
      </c>
      <c r="C70" s="171">
        <f t="shared" si="2"/>
        <v>0</v>
      </c>
      <c r="D70" s="168" t="str">
        <f t="shared" si="3"/>
        <v>/</v>
      </c>
      <c r="E70" s="168">
        <f ca="1">IF(表2_367162629303421[[#This Row],[累计净值]]/MAX(INDIRECT("B21:B" &amp; ROW()))-1&lt;E69,表2_367162629303421[[#This Row],[累计净值]]/MAX(INDIRECT("B21:B" &amp; ROW()))-1,E69)</f>
        <v>-9.9502487562188602E-3</v>
      </c>
      <c r="F70" s="172">
        <f>表2_367162629303421[[#This Row],[累计净值]]</f>
        <v>1.0149999999999999</v>
      </c>
      <c r="G70" s="170">
        <f>表2_367162629303421[[#This Row],[累计净值]]/$B$21-1</f>
        <v>9.9502487562188602E-3</v>
      </c>
    </row>
    <row r="71" spans="1:7" x14ac:dyDescent="0.2">
      <c r="A71" s="161">
        <v>43845</v>
      </c>
      <c r="B71" s="162">
        <v>1.016</v>
      </c>
      <c r="C71" s="171">
        <f t="shared" si="2"/>
        <v>1.0000000000001119E-3</v>
      </c>
      <c r="D71" s="168" t="str">
        <f t="shared" si="3"/>
        <v>/</v>
      </c>
      <c r="E71" s="168">
        <f ca="1">IF(表2_367162629303421[[#This Row],[累计净值]]/MAX(INDIRECT("B21:B" &amp; ROW()))-1&lt;E70,表2_367162629303421[[#This Row],[累计净值]]/MAX(INDIRECT("B21:B" &amp; ROW()))-1,E70)</f>
        <v>-9.9502487562188602E-3</v>
      </c>
      <c r="F71" s="172">
        <f>表2_367162629303421[[#This Row],[累计净值]]</f>
        <v>1.016</v>
      </c>
      <c r="G71" s="170">
        <f>表2_367162629303421[[#This Row],[累计净值]]/$B$21-1</f>
        <v>1.0945273631840946E-2</v>
      </c>
    </row>
    <row r="72" spans="1:7" x14ac:dyDescent="0.2">
      <c r="A72" s="161">
        <v>43846</v>
      </c>
      <c r="B72" s="162">
        <v>1.018</v>
      </c>
      <c r="C72" s="171">
        <f t="shared" si="2"/>
        <v>2.0000000000000018E-3</v>
      </c>
      <c r="D72" s="168" t="str">
        <f t="shared" si="3"/>
        <v>/</v>
      </c>
      <c r="E72" s="168">
        <f ca="1">IF(表2_367162629303421[[#This Row],[累计净值]]/MAX(INDIRECT("B21:B" &amp; ROW()))-1&lt;E71,表2_367162629303421[[#This Row],[累计净值]]/MAX(INDIRECT("B21:B" &amp; ROW()))-1,E71)</f>
        <v>-9.9502487562188602E-3</v>
      </c>
      <c r="F72" s="172">
        <f>表2_367162629303421[[#This Row],[累计净值]]</f>
        <v>1.018</v>
      </c>
      <c r="G72" s="170">
        <f>表2_367162629303421[[#This Row],[累计净值]]/$B$21-1</f>
        <v>1.2935323383084674E-2</v>
      </c>
    </row>
    <row r="73" spans="1:7" x14ac:dyDescent="0.2">
      <c r="A73" s="161">
        <v>43847</v>
      </c>
      <c r="B73" s="162">
        <v>1.0169999999999999</v>
      </c>
      <c r="C73" s="171">
        <f t="shared" si="2"/>
        <v>-1.0000000000001119E-3</v>
      </c>
      <c r="D73" s="168">
        <f t="shared" si="3"/>
        <v>-1.0000000000001119E-3</v>
      </c>
      <c r="E73" s="168">
        <f ca="1">IF(表2_367162629303421[[#This Row],[累计净值]]/MAX(INDIRECT("B21:B" &amp; ROW()))-1&lt;E72,表2_367162629303421[[#This Row],[累计净值]]/MAX(INDIRECT("B21:B" &amp; ROW()))-1,E72)</f>
        <v>-9.9502487562188602E-3</v>
      </c>
      <c r="F73" s="172">
        <f>表2_367162629303421[[#This Row],[累计净值]]</f>
        <v>1.0169999999999999</v>
      </c>
      <c r="G73" s="170">
        <f>表2_367162629303421[[#This Row],[累计净值]]/$B$21-1</f>
        <v>1.1940298507462588E-2</v>
      </c>
    </row>
    <row r="74" spans="1:7" x14ac:dyDescent="0.2">
      <c r="A74" s="161">
        <v>43850</v>
      </c>
      <c r="B74" s="162">
        <v>1.0189999999999999</v>
      </c>
      <c r="C74" s="171">
        <f t="shared" si="2"/>
        <v>2.0000000000000018E-3</v>
      </c>
      <c r="D74" s="168" t="str">
        <f t="shared" si="3"/>
        <v>/</v>
      </c>
      <c r="E74" s="168">
        <f ca="1">IF(表2_367162629303421[[#This Row],[累计净值]]/MAX(INDIRECT("B21:B" &amp; ROW()))-1&lt;E73,表2_367162629303421[[#This Row],[累计净值]]/MAX(INDIRECT("B21:B" &amp; ROW()))-1,E73)</f>
        <v>-9.9502487562188602E-3</v>
      </c>
      <c r="F74" s="172">
        <f>表2_367162629303421[[#This Row],[累计净值]]</f>
        <v>1.0189999999999999</v>
      </c>
      <c r="G74" s="170">
        <f>表2_367162629303421[[#This Row],[累计净值]]/$B$21-1</f>
        <v>1.3930348258706537E-2</v>
      </c>
    </row>
    <row r="75" spans="1:7" x14ac:dyDescent="0.2">
      <c r="A75" s="161">
        <v>43851</v>
      </c>
      <c r="B75" s="162">
        <v>1.0189999999999999</v>
      </c>
      <c r="C75" s="171">
        <f t="shared" si="2"/>
        <v>0</v>
      </c>
      <c r="D75" s="168" t="str">
        <f t="shared" si="3"/>
        <v>/</v>
      </c>
      <c r="E75" s="168">
        <f ca="1">IF(表2_367162629303421[[#This Row],[累计净值]]/MAX(INDIRECT("B21:B" &amp; ROW()))-1&lt;E74,表2_367162629303421[[#This Row],[累计净值]]/MAX(INDIRECT("B21:B" &amp; ROW()))-1,E74)</f>
        <v>-9.9502487562188602E-3</v>
      </c>
      <c r="F75" s="172">
        <f>表2_367162629303421[[#This Row],[累计净值]]</f>
        <v>1.0189999999999999</v>
      </c>
      <c r="G75" s="170">
        <f>表2_367162629303421[[#This Row],[累计净值]]/$B$21-1</f>
        <v>1.3930348258706537E-2</v>
      </c>
    </row>
    <row r="76" spans="1:7" x14ac:dyDescent="0.2">
      <c r="A76" s="161">
        <v>43852</v>
      </c>
      <c r="B76" s="162">
        <v>1.02</v>
      </c>
      <c r="C76" s="171">
        <f t="shared" si="2"/>
        <v>1.0000000000001119E-3</v>
      </c>
      <c r="D76" s="168" t="str">
        <f t="shared" si="3"/>
        <v>/</v>
      </c>
      <c r="E76" s="168">
        <f ca="1">IF(表2_367162629303421[[#This Row],[累计净值]]/MAX(INDIRECT("B21:B" &amp; ROW()))-1&lt;E75,表2_367162629303421[[#This Row],[累计净值]]/MAX(INDIRECT("B21:B" &amp; ROW()))-1,E75)</f>
        <v>-9.9502487562188602E-3</v>
      </c>
      <c r="F76" s="172">
        <f>表2_367162629303421[[#This Row],[累计净值]]</f>
        <v>1.02</v>
      </c>
      <c r="G76" s="170">
        <f>表2_367162629303421[[#This Row],[累计净值]]/$B$21-1</f>
        <v>1.4925373134328401E-2</v>
      </c>
    </row>
    <row r="77" spans="1:7" x14ac:dyDescent="0.2">
      <c r="A77" s="161">
        <v>43853</v>
      </c>
      <c r="B77" s="162">
        <v>1.022</v>
      </c>
      <c r="C77" s="171">
        <f t="shared" si="2"/>
        <v>2.0000000000000018E-3</v>
      </c>
      <c r="D77" s="168" t="str">
        <f t="shared" si="3"/>
        <v>/</v>
      </c>
      <c r="E77" s="168">
        <f ca="1">IF(表2_367162629303421[[#This Row],[累计净值]]/MAX(INDIRECT("B21:B" &amp; ROW()))-1&lt;E76,表2_367162629303421[[#This Row],[累计净值]]/MAX(INDIRECT("B21:B" &amp; ROW()))-1,E76)</f>
        <v>-9.9502487562188602E-3</v>
      </c>
      <c r="F77" s="172">
        <f>表2_367162629303421[[#This Row],[累计净值]]</f>
        <v>1.022</v>
      </c>
      <c r="G77" s="170">
        <f>表2_367162629303421[[#This Row],[累计净值]]/$B$21-1</f>
        <v>1.6915422885572351E-2</v>
      </c>
    </row>
    <row r="78" spans="1:7" x14ac:dyDescent="0.2">
      <c r="A78" s="161">
        <v>43864</v>
      </c>
      <c r="B78" s="162">
        <v>1.022</v>
      </c>
      <c r="C78" s="171">
        <f t="shared" si="2"/>
        <v>0</v>
      </c>
      <c r="D78" s="168" t="str">
        <f t="shared" si="3"/>
        <v>/</v>
      </c>
      <c r="E78" s="168">
        <f ca="1">IF(表2_367162629303421[[#This Row],[累计净值]]/MAX(INDIRECT("B21:B" &amp; ROW()))-1&lt;E77,表2_367162629303421[[#This Row],[累计净值]]/MAX(INDIRECT("B21:B" &amp; ROW()))-1,E77)</f>
        <v>-9.9502487562188602E-3</v>
      </c>
      <c r="F78" s="172">
        <f>表2_367162629303421[[#This Row],[累计净值]]</f>
        <v>1.022</v>
      </c>
      <c r="G78" s="170">
        <f>表2_367162629303421[[#This Row],[累计净值]]/$B$21-1</f>
        <v>1.6915422885572351E-2</v>
      </c>
    </row>
    <row r="79" spans="1:7" x14ac:dyDescent="0.2">
      <c r="A79" s="161">
        <v>43865</v>
      </c>
      <c r="B79" s="162">
        <v>1.022</v>
      </c>
      <c r="C79" s="171">
        <f t="shared" si="2"/>
        <v>0</v>
      </c>
      <c r="D79" s="168" t="str">
        <f t="shared" si="3"/>
        <v>/</v>
      </c>
      <c r="E79" s="168">
        <f ca="1">IF(表2_367162629303421[[#This Row],[累计净值]]/MAX(INDIRECT("B21:B" &amp; ROW()))-1&lt;E78,表2_367162629303421[[#This Row],[累计净值]]/MAX(INDIRECT("B21:B" &amp; ROW()))-1,E78)</f>
        <v>-9.9502487562188602E-3</v>
      </c>
      <c r="F79" s="172">
        <f>表2_367162629303421[[#This Row],[累计净值]]</f>
        <v>1.022</v>
      </c>
      <c r="G79" s="170">
        <f>表2_367162629303421[[#This Row],[累计净值]]/$B$21-1</f>
        <v>1.6915422885572351E-2</v>
      </c>
    </row>
    <row r="80" spans="1:7" x14ac:dyDescent="0.2">
      <c r="A80" s="161">
        <v>43866</v>
      </c>
      <c r="B80" s="162">
        <v>1.022</v>
      </c>
      <c r="C80" s="171">
        <f t="shared" si="2"/>
        <v>0</v>
      </c>
      <c r="D80" s="168" t="str">
        <f t="shared" si="3"/>
        <v>/</v>
      </c>
      <c r="E80" s="168">
        <f ca="1">IF(表2_367162629303421[[#This Row],[累计净值]]/MAX(INDIRECT("B21:B" &amp; ROW()))-1&lt;E79,表2_367162629303421[[#This Row],[累计净值]]/MAX(INDIRECT("B21:B" &amp; ROW()))-1,E79)</f>
        <v>-9.9502487562188602E-3</v>
      </c>
      <c r="F80" s="172">
        <f>表2_367162629303421[[#This Row],[累计净值]]</f>
        <v>1.022</v>
      </c>
      <c r="G80" s="170">
        <f>表2_367162629303421[[#This Row],[累计净值]]/$B$21-1</f>
        <v>1.6915422885572351E-2</v>
      </c>
    </row>
    <row r="81" spans="1:7" x14ac:dyDescent="0.2">
      <c r="A81" s="161">
        <v>43867</v>
      </c>
      <c r="B81" s="162">
        <v>1.0229999999999999</v>
      </c>
      <c r="C81" s="171">
        <f t="shared" si="2"/>
        <v>9.9999999999988987E-4</v>
      </c>
      <c r="D81" s="168" t="str">
        <f t="shared" si="3"/>
        <v>/</v>
      </c>
      <c r="E81" s="168">
        <f ca="1">IF(表2_367162629303421[[#This Row],[累计净值]]/MAX(INDIRECT("B21:B" &amp; ROW()))-1&lt;E80,表2_367162629303421[[#This Row],[累计净值]]/MAX(INDIRECT("B21:B" &amp; ROW()))-1,E80)</f>
        <v>-9.9502487562188602E-3</v>
      </c>
      <c r="F81" s="172">
        <f>表2_367162629303421[[#This Row],[累计净值]]</f>
        <v>1.0229999999999999</v>
      </c>
      <c r="G81" s="170">
        <f>表2_367162629303421[[#This Row],[累计净值]]/$B$21-1</f>
        <v>1.7910447761193993E-2</v>
      </c>
    </row>
    <row r="82" spans="1:7" x14ac:dyDescent="0.2">
      <c r="A82" s="161">
        <v>43868</v>
      </c>
      <c r="B82" s="162">
        <v>1.022</v>
      </c>
      <c r="C82" s="171">
        <f t="shared" si="2"/>
        <v>-9.9999999999988987E-4</v>
      </c>
      <c r="D82" s="168">
        <f t="shared" si="3"/>
        <v>-9.9999999999988987E-4</v>
      </c>
      <c r="E82" s="168">
        <f ca="1">IF(表2_367162629303421[[#This Row],[累计净值]]/MAX(INDIRECT("B21:B" &amp; ROW()))-1&lt;E81,表2_367162629303421[[#This Row],[累计净值]]/MAX(INDIRECT("B21:B" &amp; ROW()))-1,E81)</f>
        <v>-9.9502487562188602E-3</v>
      </c>
      <c r="F82" s="172">
        <f>表2_367162629303421[[#This Row],[累计净值]]</f>
        <v>1.022</v>
      </c>
      <c r="G82" s="170">
        <f>表2_367162629303421[[#This Row],[累计净值]]/$B$21-1</f>
        <v>1.6915422885572351E-2</v>
      </c>
    </row>
    <row r="83" spans="1:7" x14ac:dyDescent="0.2">
      <c r="A83" s="161">
        <v>43871</v>
      </c>
      <c r="B83" s="162">
        <v>1.0209999999999999</v>
      </c>
      <c r="C83" s="171">
        <f t="shared" si="2"/>
        <v>-1.0000000000001119E-3</v>
      </c>
      <c r="D83" s="168">
        <f t="shared" si="3"/>
        <v>-1.0000000000001119E-3</v>
      </c>
      <c r="E83" s="168">
        <f ca="1">IF(表2_367162629303421[[#This Row],[累计净值]]/MAX(INDIRECT("B21:B" &amp; ROW()))-1&lt;E82,表2_367162629303421[[#This Row],[累计净值]]/MAX(INDIRECT("B21:B" &amp; ROW()))-1,E82)</f>
        <v>-9.9502487562188602E-3</v>
      </c>
      <c r="F83" s="172">
        <f>表2_367162629303421[[#This Row],[累计净值]]</f>
        <v>1.0209999999999999</v>
      </c>
      <c r="G83" s="170">
        <f>表2_367162629303421[[#This Row],[累计净值]]/$B$21-1</f>
        <v>1.5920398009950265E-2</v>
      </c>
    </row>
    <row r="84" spans="1:7" x14ac:dyDescent="0.2">
      <c r="A84" s="161">
        <v>43872</v>
      </c>
      <c r="B84" s="162">
        <v>1.024</v>
      </c>
      <c r="C84" s="171">
        <f t="shared" si="2"/>
        <v>3.0000000000001137E-3</v>
      </c>
      <c r="D84" s="168" t="str">
        <f t="shared" si="3"/>
        <v>/</v>
      </c>
      <c r="E84" s="168">
        <f ca="1">IF(表2_367162629303421[[#This Row],[累计净值]]/MAX(INDIRECT("B21:B" &amp; ROW()))-1&lt;E83,表2_367162629303421[[#This Row],[累计净值]]/MAX(INDIRECT("B21:B" &amp; ROW()))-1,E83)</f>
        <v>-9.9502487562188602E-3</v>
      </c>
      <c r="F84" s="172">
        <f>表2_367162629303421[[#This Row],[累计净值]]</f>
        <v>1.024</v>
      </c>
      <c r="G84" s="170">
        <f>表2_367162629303421[[#This Row],[累计净值]]/$B$21-1</f>
        <v>1.8905472636816079E-2</v>
      </c>
    </row>
    <row r="85" spans="1:7" x14ac:dyDescent="0.2">
      <c r="A85" s="161">
        <v>43873</v>
      </c>
      <c r="B85" s="162">
        <v>1.026</v>
      </c>
      <c r="C85" s="171">
        <f t="shared" si="2"/>
        <v>2.0000000000000018E-3</v>
      </c>
      <c r="D85" s="168" t="str">
        <f t="shared" si="3"/>
        <v>/</v>
      </c>
      <c r="E85" s="168">
        <f ca="1">IF(表2_367162629303421[[#This Row],[累计净值]]/MAX(INDIRECT("B21:B" &amp; ROW()))-1&lt;E84,表2_367162629303421[[#This Row],[累计净值]]/MAX(INDIRECT("B21:B" &amp; ROW()))-1,E84)</f>
        <v>-9.9502487562188602E-3</v>
      </c>
      <c r="F85" s="172">
        <f>表2_367162629303421[[#This Row],[累计净值]]</f>
        <v>1.026</v>
      </c>
      <c r="G85" s="170">
        <f>表2_367162629303421[[#This Row],[累计净值]]/$B$21-1</f>
        <v>2.0895522388059806E-2</v>
      </c>
    </row>
    <row r="86" spans="1:7" x14ac:dyDescent="0.2">
      <c r="A86" s="161">
        <v>43874</v>
      </c>
      <c r="B86" s="162">
        <v>1.0249999999999999</v>
      </c>
      <c r="C86" s="171">
        <f t="shared" si="2"/>
        <v>-1.0000000000001119E-3</v>
      </c>
      <c r="D86" s="168">
        <f t="shared" si="3"/>
        <v>-1.0000000000001119E-3</v>
      </c>
      <c r="E86" s="168">
        <f ca="1">IF(表2_367162629303421[[#This Row],[累计净值]]/MAX(INDIRECT("B21:B" &amp; ROW()))-1&lt;E85,表2_367162629303421[[#This Row],[累计净值]]/MAX(INDIRECT("B21:B" &amp; ROW()))-1,E85)</f>
        <v>-9.9502487562188602E-3</v>
      </c>
      <c r="F86" s="172">
        <f>表2_367162629303421[[#This Row],[累计净值]]</f>
        <v>1.0249999999999999</v>
      </c>
      <c r="G86" s="170">
        <f>表2_367162629303421[[#This Row],[累计净值]]/$B$21-1</f>
        <v>1.990049751243772E-2</v>
      </c>
    </row>
    <row r="87" spans="1:7" x14ac:dyDescent="0.2">
      <c r="A87" s="161">
        <v>43875</v>
      </c>
      <c r="B87" s="162">
        <v>1.022</v>
      </c>
      <c r="C87" s="171">
        <f t="shared" si="2"/>
        <v>-2.9999999999998916E-3</v>
      </c>
      <c r="D87" s="168">
        <f t="shared" si="3"/>
        <v>-2.9999999999998916E-3</v>
      </c>
      <c r="E87" s="168">
        <f ca="1">IF(表2_367162629303421[[#This Row],[累计净值]]/MAX(INDIRECT("B21:B" &amp; ROW()))-1&lt;E86,表2_367162629303421[[#This Row],[累计净值]]/MAX(INDIRECT("B21:B" &amp; ROW()))-1,E86)</f>
        <v>-9.9502487562188602E-3</v>
      </c>
      <c r="F87" s="172">
        <f>表2_367162629303421[[#This Row],[累计净值]]</f>
        <v>1.022</v>
      </c>
      <c r="G87" s="170">
        <f>表2_367162629303421[[#This Row],[累计净值]]/$B$21-1</f>
        <v>1.6915422885572351E-2</v>
      </c>
    </row>
    <row r="88" spans="1:7" x14ac:dyDescent="0.2">
      <c r="A88" s="161">
        <v>43878</v>
      </c>
      <c r="B88" s="162">
        <v>1.0209999999999999</v>
      </c>
      <c r="C88" s="171">
        <f t="shared" si="2"/>
        <v>-1.0000000000001119E-3</v>
      </c>
      <c r="D88" s="168">
        <f t="shared" si="3"/>
        <v>-1.0000000000001119E-3</v>
      </c>
      <c r="E88" s="168">
        <f ca="1">IF(表2_367162629303421[[#This Row],[累计净值]]/MAX(INDIRECT("B21:B" &amp; ROW()))-1&lt;E87,表2_367162629303421[[#This Row],[累计净值]]/MAX(INDIRECT("B21:B" &amp; ROW()))-1,E87)</f>
        <v>-9.9502487562188602E-3</v>
      </c>
      <c r="F88" s="172">
        <f>表2_367162629303421[[#This Row],[累计净值]]</f>
        <v>1.0209999999999999</v>
      </c>
      <c r="G88" s="170">
        <f>表2_367162629303421[[#This Row],[累计净值]]/$B$21-1</f>
        <v>1.5920398009950265E-2</v>
      </c>
    </row>
    <row r="89" spans="1:7" x14ac:dyDescent="0.2">
      <c r="A89" s="161">
        <v>43879</v>
      </c>
      <c r="B89" s="162">
        <v>1.0209999999999999</v>
      </c>
      <c r="C89" s="171">
        <f t="shared" si="2"/>
        <v>0</v>
      </c>
      <c r="D89" s="168" t="str">
        <f t="shared" si="3"/>
        <v>/</v>
      </c>
      <c r="E89" s="168">
        <f ca="1">IF(表2_367162629303421[[#This Row],[累计净值]]/MAX(INDIRECT("B21:B" &amp; ROW()))-1&lt;E88,表2_367162629303421[[#This Row],[累计净值]]/MAX(INDIRECT("B21:B" &amp; ROW()))-1,E88)</f>
        <v>-9.9502487562188602E-3</v>
      </c>
      <c r="F89" s="172">
        <f>表2_367162629303421[[#This Row],[累计净值]]</f>
        <v>1.0209999999999999</v>
      </c>
      <c r="G89" s="170">
        <f>表2_367162629303421[[#This Row],[累计净值]]/$B$21-1</f>
        <v>1.5920398009950265E-2</v>
      </c>
    </row>
    <row r="90" spans="1:7" x14ac:dyDescent="0.2">
      <c r="A90" s="161">
        <v>43880</v>
      </c>
      <c r="B90" s="162">
        <v>1.024</v>
      </c>
      <c r="C90" s="171">
        <f t="shared" si="2"/>
        <v>3.0000000000001137E-3</v>
      </c>
      <c r="D90" s="168" t="str">
        <f t="shared" si="3"/>
        <v>/</v>
      </c>
      <c r="E90" s="168">
        <f ca="1">IF(表2_367162629303421[[#This Row],[累计净值]]/MAX(INDIRECT("B21:B" &amp; ROW()))-1&lt;E89,表2_367162629303421[[#This Row],[累计净值]]/MAX(INDIRECT("B21:B" &amp; ROW()))-1,E89)</f>
        <v>-9.9502487562188602E-3</v>
      </c>
      <c r="F90" s="172">
        <f>表2_367162629303421[[#This Row],[累计净值]]</f>
        <v>1.024</v>
      </c>
      <c r="G90" s="170">
        <f>表2_367162629303421[[#This Row],[累计净值]]/$B$21-1</f>
        <v>1.8905472636816079E-2</v>
      </c>
    </row>
    <row r="91" spans="1:7" x14ac:dyDescent="0.2">
      <c r="A91" s="161">
        <v>43881</v>
      </c>
      <c r="B91" s="162">
        <v>1.0249999999999999</v>
      </c>
      <c r="C91" s="171">
        <f t="shared" si="2"/>
        <v>9.9999999999988987E-4</v>
      </c>
      <c r="D91" s="168" t="str">
        <f t="shared" si="3"/>
        <v>/</v>
      </c>
      <c r="E91" s="168">
        <f ca="1">IF(表2_367162629303421[[#This Row],[累计净值]]/MAX(INDIRECT("B21:B" &amp; ROW()))-1&lt;E90,表2_367162629303421[[#This Row],[累计净值]]/MAX(INDIRECT("B21:B" &amp; ROW()))-1,E90)</f>
        <v>-9.9502487562188602E-3</v>
      </c>
      <c r="F91" s="172">
        <f>表2_367162629303421[[#This Row],[累计净值]]</f>
        <v>1.0249999999999999</v>
      </c>
      <c r="G91" s="170">
        <f>表2_367162629303421[[#This Row],[累计净值]]/$B$21-1</f>
        <v>1.990049751243772E-2</v>
      </c>
    </row>
    <row r="92" spans="1:7" x14ac:dyDescent="0.2">
      <c r="A92" s="161">
        <v>43882</v>
      </c>
      <c r="B92" s="162">
        <v>1.028</v>
      </c>
      <c r="C92" s="171">
        <f t="shared" si="2"/>
        <v>3.0000000000001137E-3</v>
      </c>
      <c r="D92" s="168" t="str">
        <f t="shared" si="3"/>
        <v>/</v>
      </c>
      <c r="E92" s="168">
        <f ca="1">IF(表2_367162629303421[[#This Row],[累计净值]]/MAX(INDIRECT("B21:B" &amp; ROW()))-1&lt;E91,表2_367162629303421[[#This Row],[累计净值]]/MAX(INDIRECT("B21:B" &amp; ROW()))-1,E91)</f>
        <v>-9.9502487562188602E-3</v>
      </c>
      <c r="F92" s="172">
        <f>表2_367162629303421[[#This Row],[累计净值]]</f>
        <v>1.028</v>
      </c>
      <c r="G92" s="170">
        <f>表2_367162629303421[[#This Row],[累计净值]]/$B$21-1</f>
        <v>2.2885572139303534E-2</v>
      </c>
    </row>
    <row r="93" spans="1:7" x14ac:dyDescent="0.2">
      <c r="A93" s="161">
        <v>43885</v>
      </c>
      <c r="B93" s="162">
        <v>1.0269999999999999</v>
      </c>
      <c r="C93" s="171">
        <f t="shared" si="2"/>
        <v>-1.0000000000001119E-3</v>
      </c>
      <c r="D93" s="168">
        <f t="shared" si="3"/>
        <v>-1.0000000000001119E-3</v>
      </c>
      <c r="E93" s="168">
        <f ca="1">IF(表2_367162629303421[[#This Row],[累计净值]]/MAX(INDIRECT("B21:B" &amp; ROW()))-1&lt;E92,表2_367162629303421[[#This Row],[累计净值]]/MAX(INDIRECT("B21:B" &amp; ROW()))-1,E92)</f>
        <v>-9.9502487562188602E-3</v>
      </c>
      <c r="F93" s="172">
        <f>表2_367162629303421[[#This Row],[累计净值]]</f>
        <v>1.0269999999999999</v>
      </c>
      <c r="G93" s="170">
        <f>表2_367162629303421[[#This Row],[累计净值]]/$B$21-1</f>
        <v>2.189054726368167E-2</v>
      </c>
    </row>
    <row r="94" spans="1:7" x14ac:dyDescent="0.2">
      <c r="A94" s="161">
        <v>43886</v>
      </c>
      <c r="B94" s="162">
        <v>1.028</v>
      </c>
      <c r="C94" s="171">
        <f t="shared" si="2"/>
        <v>1.0000000000001119E-3</v>
      </c>
      <c r="D94" s="168" t="str">
        <f t="shared" si="3"/>
        <v>/</v>
      </c>
      <c r="E94" s="168">
        <f ca="1">IF(表2_367162629303421[[#This Row],[累计净值]]/MAX(INDIRECT("B21:B" &amp; ROW()))-1&lt;E93,表2_367162629303421[[#This Row],[累计净值]]/MAX(INDIRECT("B21:B" &amp; ROW()))-1,E93)</f>
        <v>-9.9502487562188602E-3</v>
      </c>
      <c r="F94" s="172">
        <f>表2_367162629303421[[#This Row],[累计净值]]</f>
        <v>1.028</v>
      </c>
      <c r="G94" s="170">
        <f>表2_367162629303421[[#This Row],[累计净值]]/$B$21-1</f>
        <v>2.2885572139303534E-2</v>
      </c>
    </row>
    <row r="95" spans="1:7" x14ac:dyDescent="0.2">
      <c r="A95" s="161">
        <v>43887</v>
      </c>
      <c r="B95" s="162">
        <v>1.03</v>
      </c>
      <c r="C95" s="171">
        <f t="shared" si="2"/>
        <v>2.0000000000000018E-3</v>
      </c>
      <c r="D95" s="168" t="str">
        <f t="shared" si="3"/>
        <v>/</v>
      </c>
      <c r="E95" s="168">
        <f ca="1">IF(表2_367162629303421[[#This Row],[累计净值]]/MAX(INDIRECT("B21:B" &amp; ROW()))-1&lt;E94,表2_367162629303421[[#This Row],[累计净值]]/MAX(INDIRECT("B21:B" &amp; ROW()))-1,E94)</f>
        <v>-9.9502487562188602E-3</v>
      </c>
      <c r="F95" s="172">
        <f>表2_367162629303421[[#This Row],[累计净值]]</f>
        <v>1.03</v>
      </c>
      <c r="G95" s="170">
        <f>表2_367162629303421[[#This Row],[累计净值]]/$B$21-1</f>
        <v>2.4875621890547484E-2</v>
      </c>
    </row>
    <row r="96" spans="1:7" x14ac:dyDescent="0.2">
      <c r="A96" s="161">
        <v>43888</v>
      </c>
      <c r="B96" s="162">
        <v>1.028</v>
      </c>
      <c r="C96" s="171">
        <f t="shared" si="2"/>
        <v>-2.0000000000000018E-3</v>
      </c>
      <c r="D96" s="168">
        <f t="shared" si="3"/>
        <v>-2.0000000000000018E-3</v>
      </c>
      <c r="E96" s="168">
        <f ca="1">IF(表2_367162629303421[[#This Row],[累计净值]]/MAX(INDIRECT("B21:B" &amp; ROW()))-1&lt;E95,表2_367162629303421[[#This Row],[累计净值]]/MAX(INDIRECT("B21:B" &amp; ROW()))-1,E95)</f>
        <v>-9.9502487562188602E-3</v>
      </c>
      <c r="F96" s="172">
        <f>表2_367162629303421[[#This Row],[累计净值]]</f>
        <v>1.028</v>
      </c>
      <c r="G96" s="170">
        <f>表2_367162629303421[[#This Row],[累计净值]]/$B$21-1</f>
        <v>2.2885572139303534E-2</v>
      </c>
    </row>
    <row r="97" spans="1:7" x14ac:dyDescent="0.2">
      <c r="A97" s="161">
        <v>43889</v>
      </c>
      <c r="B97" s="162">
        <v>1.026</v>
      </c>
      <c r="C97" s="171">
        <f t="shared" si="2"/>
        <v>-2.0000000000000018E-3</v>
      </c>
      <c r="D97" s="168">
        <f t="shared" si="3"/>
        <v>-2.0000000000000018E-3</v>
      </c>
      <c r="E97" s="168">
        <f ca="1">IF(表2_367162629303421[[#This Row],[累计净值]]/MAX(INDIRECT("B21:B" &amp; ROW()))-1&lt;E96,表2_367162629303421[[#This Row],[累计净值]]/MAX(INDIRECT("B21:B" &amp; ROW()))-1,E96)</f>
        <v>-9.9502487562188602E-3</v>
      </c>
      <c r="F97" s="172">
        <f>表2_367162629303421[[#This Row],[累计净值]]</f>
        <v>1.026</v>
      </c>
      <c r="G97" s="170">
        <f>表2_367162629303421[[#This Row],[累计净值]]/$B$21-1</f>
        <v>2.0895522388059806E-2</v>
      </c>
    </row>
    <row r="98" spans="1:7" x14ac:dyDescent="0.2">
      <c r="A98" s="161">
        <v>43892</v>
      </c>
      <c r="B98" s="162">
        <v>1.0269999999999999</v>
      </c>
      <c r="C98" s="171">
        <f t="shared" si="2"/>
        <v>9.9999999999988987E-4</v>
      </c>
      <c r="D98" s="168" t="str">
        <f t="shared" si="3"/>
        <v>/</v>
      </c>
      <c r="E98" s="168">
        <f ca="1">IF(表2_367162629303421[[#This Row],[累计净值]]/MAX(INDIRECT("B21:B" &amp; ROW()))-1&lt;E97,表2_367162629303421[[#This Row],[累计净值]]/MAX(INDIRECT("B21:B" &amp; ROW()))-1,E97)</f>
        <v>-9.9502487562188602E-3</v>
      </c>
      <c r="F98" s="172">
        <f>表2_367162629303421[[#This Row],[累计净值]]</f>
        <v>1.0269999999999999</v>
      </c>
      <c r="G98" s="170">
        <f>表2_367162629303421[[#This Row],[累计净值]]/$B$21-1</f>
        <v>2.189054726368167E-2</v>
      </c>
    </row>
    <row r="99" spans="1:7" x14ac:dyDescent="0.2">
      <c r="A99" s="161">
        <v>43893</v>
      </c>
      <c r="B99" s="162">
        <v>1.026</v>
      </c>
      <c r="C99" s="171">
        <f t="shared" si="2"/>
        <v>-9.9999999999988987E-4</v>
      </c>
      <c r="D99" s="168">
        <f t="shared" si="3"/>
        <v>-9.9999999999988987E-4</v>
      </c>
      <c r="E99" s="168">
        <f ca="1">IF(表2_367162629303421[[#This Row],[累计净值]]/MAX(INDIRECT("B21:B" &amp; ROW()))-1&lt;E98,表2_367162629303421[[#This Row],[累计净值]]/MAX(INDIRECT("B21:B" &amp; ROW()))-1,E98)</f>
        <v>-9.9502487562188602E-3</v>
      </c>
      <c r="F99" s="172">
        <f>表2_367162629303421[[#This Row],[累计净值]]</f>
        <v>1.026</v>
      </c>
      <c r="G99" s="170">
        <f>表2_367162629303421[[#This Row],[累计净值]]/$B$21-1</f>
        <v>2.0895522388059806E-2</v>
      </c>
    </row>
    <row r="100" spans="1:7" x14ac:dyDescent="0.2">
      <c r="A100" s="161">
        <v>43894</v>
      </c>
      <c r="B100" s="162">
        <v>1.0269999999999999</v>
      </c>
      <c r="C100" s="171">
        <f t="shared" si="2"/>
        <v>9.9999999999988987E-4</v>
      </c>
      <c r="D100" s="168" t="str">
        <f t="shared" si="3"/>
        <v>/</v>
      </c>
      <c r="E100" s="168">
        <f ca="1">IF(表2_367162629303421[[#This Row],[累计净值]]/MAX(INDIRECT("B21:B" &amp; ROW()))-1&lt;E99,表2_367162629303421[[#This Row],[累计净值]]/MAX(INDIRECT("B21:B" &amp; ROW()))-1,E99)</f>
        <v>-9.9502487562188602E-3</v>
      </c>
      <c r="F100" s="172">
        <f>表2_367162629303421[[#This Row],[累计净值]]</f>
        <v>1.0269999999999999</v>
      </c>
      <c r="G100" s="170">
        <f>表2_367162629303421[[#This Row],[累计净值]]/$B$21-1</f>
        <v>2.189054726368167E-2</v>
      </c>
    </row>
    <row r="101" spans="1:7" x14ac:dyDescent="0.2">
      <c r="A101" s="161">
        <v>43895</v>
      </c>
      <c r="B101" s="162">
        <v>1.03</v>
      </c>
      <c r="C101" s="171">
        <f t="shared" si="2"/>
        <v>3.0000000000001137E-3</v>
      </c>
      <c r="D101" s="168" t="str">
        <f t="shared" si="3"/>
        <v>/</v>
      </c>
      <c r="E101" s="168">
        <f ca="1">IF(表2_367162629303421[[#This Row],[累计净值]]/MAX(INDIRECT("B21:B" &amp; ROW()))-1&lt;E100,表2_367162629303421[[#This Row],[累计净值]]/MAX(INDIRECT("B21:B" &amp; ROW()))-1,E100)</f>
        <v>-9.9502487562188602E-3</v>
      </c>
      <c r="F101" s="172">
        <f>表2_367162629303421[[#This Row],[累计净值]]</f>
        <v>1.03</v>
      </c>
      <c r="G101" s="170">
        <f>表2_367162629303421[[#This Row],[累计净值]]/$B$21-1</f>
        <v>2.4875621890547484E-2</v>
      </c>
    </row>
    <row r="102" spans="1:7" x14ac:dyDescent="0.2">
      <c r="A102" s="161">
        <v>43896</v>
      </c>
      <c r="B102" s="162">
        <v>1.0309999999999999</v>
      </c>
      <c r="C102" s="171">
        <f t="shared" si="2"/>
        <v>9.9999999999988987E-4</v>
      </c>
      <c r="D102" s="168" t="str">
        <f t="shared" si="3"/>
        <v>/</v>
      </c>
      <c r="E102" s="168">
        <f ca="1">IF(表2_367162629303421[[#This Row],[累计净值]]/MAX(INDIRECT("B21:B" &amp; ROW()))-1&lt;E101,表2_367162629303421[[#This Row],[累计净值]]/MAX(INDIRECT("B21:B" &amp; ROW()))-1,E101)</f>
        <v>-9.9502487562188602E-3</v>
      </c>
      <c r="F102" s="172">
        <f>表2_367162629303421[[#This Row],[累计净值]]</f>
        <v>1.0309999999999999</v>
      </c>
      <c r="G102" s="170">
        <f>表2_367162629303421[[#This Row],[累计净值]]/$B$21-1</f>
        <v>2.5870646766169125E-2</v>
      </c>
    </row>
    <row r="103" spans="1:7" x14ac:dyDescent="0.2">
      <c r="A103" s="161">
        <v>43899</v>
      </c>
      <c r="B103" s="162">
        <v>1.0309999999999999</v>
      </c>
      <c r="C103" s="171">
        <f t="shared" si="2"/>
        <v>0</v>
      </c>
      <c r="D103" s="168" t="str">
        <f t="shared" si="3"/>
        <v>/</v>
      </c>
      <c r="E103" s="168">
        <f ca="1">IF(表2_367162629303421[[#This Row],[累计净值]]/MAX(INDIRECT("B21:B" &amp; ROW()))-1&lt;E102,表2_367162629303421[[#This Row],[累计净值]]/MAX(INDIRECT("B21:B" &amp; ROW()))-1,E102)</f>
        <v>-9.9502487562188602E-3</v>
      </c>
      <c r="F103" s="172">
        <f>表2_367162629303421[[#This Row],[累计净值]]</f>
        <v>1.0309999999999999</v>
      </c>
      <c r="G103" s="170">
        <f>表2_367162629303421[[#This Row],[累计净值]]/$B$21-1</f>
        <v>2.5870646766169125E-2</v>
      </c>
    </row>
    <row r="104" spans="1:7" x14ac:dyDescent="0.2">
      <c r="A104" s="161">
        <v>43900</v>
      </c>
      <c r="B104" s="162">
        <v>1.034</v>
      </c>
      <c r="C104" s="171">
        <f t="shared" si="2"/>
        <v>3.0000000000001137E-3</v>
      </c>
      <c r="D104" s="168" t="str">
        <f t="shared" si="3"/>
        <v>/</v>
      </c>
      <c r="E104" s="168">
        <f ca="1">IF(表2_367162629303421[[#This Row],[累计净值]]/MAX(INDIRECT("B21:B" &amp; ROW()))-1&lt;E103,表2_367162629303421[[#This Row],[累计净值]]/MAX(INDIRECT("B21:B" &amp; ROW()))-1,E103)</f>
        <v>-9.9502487562188602E-3</v>
      </c>
      <c r="F104" s="172">
        <f>表2_367162629303421[[#This Row],[累计净值]]</f>
        <v>1.034</v>
      </c>
      <c r="G104" s="170">
        <f>表2_367162629303421[[#This Row],[累计净值]]/$B$21-1</f>
        <v>2.8855721393034939E-2</v>
      </c>
    </row>
    <row r="105" spans="1:7" x14ac:dyDescent="0.2">
      <c r="A105" s="161">
        <v>43901</v>
      </c>
      <c r="B105" s="162">
        <v>1.036</v>
      </c>
      <c r="C105" s="171">
        <f t="shared" si="2"/>
        <v>2.0000000000000018E-3</v>
      </c>
      <c r="D105" s="168" t="str">
        <f t="shared" si="3"/>
        <v>/</v>
      </c>
      <c r="E105" s="168">
        <f ca="1">IF(表2_367162629303421[[#This Row],[累计净值]]/MAX(INDIRECT("B21:B" &amp; ROW()))-1&lt;E104,表2_367162629303421[[#This Row],[累计净值]]/MAX(INDIRECT("B21:B" &amp; ROW()))-1,E104)</f>
        <v>-9.9502487562188602E-3</v>
      </c>
      <c r="F105" s="172">
        <f>表2_367162629303421[[#This Row],[累计净值]]</f>
        <v>1.036</v>
      </c>
      <c r="G105" s="170">
        <f>表2_367162629303421[[#This Row],[累计净值]]/$B$21-1</f>
        <v>3.0845771144278666E-2</v>
      </c>
    </row>
    <row r="106" spans="1:7" x14ac:dyDescent="0.2">
      <c r="A106" s="161">
        <v>43902</v>
      </c>
      <c r="B106" s="162">
        <v>1.036</v>
      </c>
      <c r="C106" s="171">
        <f t="shared" si="2"/>
        <v>0</v>
      </c>
      <c r="D106" s="168" t="str">
        <f t="shared" si="3"/>
        <v>/</v>
      </c>
      <c r="E106" s="168">
        <f ca="1">IF(表2_367162629303421[[#This Row],[累计净值]]/MAX(INDIRECT("B21:B" &amp; ROW()))-1&lt;E105,表2_367162629303421[[#This Row],[累计净值]]/MAX(INDIRECT("B21:B" &amp; ROW()))-1,E105)</f>
        <v>-9.9502487562188602E-3</v>
      </c>
      <c r="F106" s="172">
        <f>表2_367162629303421[[#This Row],[累计净值]]</f>
        <v>1.036</v>
      </c>
      <c r="G106" s="170">
        <f>表2_367162629303421[[#This Row],[累计净值]]/$B$21-1</f>
        <v>3.0845771144278666E-2</v>
      </c>
    </row>
    <row r="107" spans="1:7" x14ac:dyDescent="0.2">
      <c r="A107" s="161">
        <v>43903</v>
      </c>
      <c r="B107" s="162">
        <v>1.0369999999999999</v>
      </c>
      <c r="C107" s="171">
        <f t="shared" si="2"/>
        <v>9.9999999999988987E-4</v>
      </c>
      <c r="D107" s="168" t="str">
        <f t="shared" si="3"/>
        <v>/</v>
      </c>
      <c r="E107" s="168">
        <f ca="1">IF(表2_367162629303421[[#This Row],[累计净值]]/MAX(INDIRECT("B21:B" &amp; ROW()))-1&lt;E106,表2_367162629303421[[#This Row],[累计净值]]/MAX(INDIRECT("B21:B" &amp; ROW()))-1,E106)</f>
        <v>-9.9502487562188602E-3</v>
      </c>
      <c r="F107" s="172">
        <f>表2_367162629303421[[#This Row],[累计净值]]</f>
        <v>1.0369999999999999</v>
      </c>
      <c r="G107" s="170">
        <f>表2_367162629303421[[#This Row],[累计净值]]/$B$21-1</f>
        <v>3.184079601990053E-2</v>
      </c>
    </row>
    <row r="108" spans="1:7" x14ac:dyDescent="0.2">
      <c r="A108" s="161">
        <v>43906</v>
      </c>
      <c r="B108" s="162">
        <v>1.04</v>
      </c>
      <c r="C108" s="171">
        <f>IFERROR(B108-B107,0)</f>
        <v>3.0000000000001137E-3</v>
      </c>
      <c r="D108" s="168" t="str">
        <f>IF(C108&lt;0,C108,"/")</f>
        <v>/</v>
      </c>
      <c r="E108" s="168">
        <f ca="1">IF(表2_367162629303421[[#This Row],[累计净值]]/MAX(INDIRECT("B21:B" &amp; ROW()))-1&lt;E107,表2_367162629303421[[#This Row],[累计净值]]/MAX(INDIRECT("B21:B" &amp; ROW()))-1,E107)</f>
        <v>-9.9502487562188602E-3</v>
      </c>
      <c r="F108" s="172">
        <f>表2_367162629303421[[#This Row],[累计净值]]</f>
        <v>1.04</v>
      </c>
      <c r="G108" s="170">
        <f>表2_367162629303421[[#This Row],[累计净值]]/$B$21-1</f>
        <v>3.4825870646766344E-2</v>
      </c>
    </row>
    <row r="109" spans="1:7" x14ac:dyDescent="0.2">
      <c r="A109" s="161">
        <v>43907</v>
      </c>
      <c r="B109" s="162">
        <v>1.0409999999999999</v>
      </c>
      <c r="C109" s="171">
        <f>IFERROR(B109-B108,0)</f>
        <v>9.9999999999988987E-4</v>
      </c>
      <c r="D109" s="168" t="str">
        <f>IF(C109&lt;0,C109,"/")</f>
        <v>/</v>
      </c>
      <c r="E109" s="168">
        <f ca="1">IF(表2_367162629303421[[#This Row],[累计净值]]/MAX(INDIRECT("B21:B" &amp; ROW()))-1&lt;E108,表2_367162629303421[[#This Row],[累计净值]]/MAX(INDIRECT("B21:B" &amp; ROW()))-1,E108)</f>
        <v>-9.9502487562188602E-3</v>
      </c>
      <c r="F109" s="172">
        <f>表2_367162629303421[[#This Row],[累计净值]]</f>
        <v>1.0409999999999999</v>
      </c>
      <c r="G109" s="170">
        <f>表2_367162629303421[[#This Row],[累计净值]]/$B$21-1</f>
        <v>3.5820895522387985E-2</v>
      </c>
    </row>
    <row r="110" spans="1:7" x14ac:dyDescent="0.2">
      <c r="A110" s="161">
        <v>43908</v>
      </c>
      <c r="B110" s="162">
        <v>1.0429999999999999</v>
      </c>
      <c r="C110" s="171">
        <f>IFERROR(B110-B109,0)</f>
        <v>2.0000000000000018E-3</v>
      </c>
      <c r="D110" s="168" t="str">
        <f>IF(C110&lt;0,C110,"/")</f>
        <v>/</v>
      </c>
      <c r="E110" s="168">
        <f ca="1">IF(表2_367162629303421[[#This Row],[累计净值]]/MAX(INDIRECT("B21:B" &amp; ROW()))-1&lt;E109,表2_367162629303421[[#This Row],[累计净值]]/MAX(INDIRECT("B21:B" &amp; ROW()))-1,E109)</f>
        <v>-9.9502487562188602E-3</v>
      </c>
      <c r="F110" s="172">
        <f>表2_367162629303421[[#This Row],[累计净值]]</f>
        <v>1.0429999999999999</v>
      </c>
      <c r="G110" s="170">
        <f>表2_367162629303421[[#This Row],[累计净值]]/$B$21-1</f>
        <v>3.7810945273631935E-2</v>
      </c>
    </row>
    <row r="111" spans="1:7" x14ac:dyDescent="0.2">
      <c r="A111" s="161">
        <v>43909</v>
      </c>
      <c r="B111" s="162">
        <v>1.0449999999999999</v>
      </c>
      <c r="C111" s="171">
        <f>IFERROR(B111-B110,0)</f>
        <v>2.0000000000000018E-3</v>
      </c>
      <c r="D111" s="168" t="str">
        <f>IF(C111&lt;0,C111,"/")</f>
        <v>/</v>
      </c>
      <c r="E111" s="168">
        <f ca="1">IF(表2_367162629303421[[#This Row],[累计净值]]/MAX(INDIRECT("B21:B" &amp; ROW()))-1&lt;E110,表2_367162629303421[[#This Row],[累计净值]]/MAX(INDIRECT("B21:B" &amp; ROW()))-1,E110)</f>
        <v>-9.9502487562188602E-3</v>
      </c>
      <c r="F111" s="172">
        <f>表2_367162629303421[[#This Row],[累计净值]]</f>
        <v>1.0449999999999999</v>
      </c>
      <c r="G111" s="170">
        <f>表2_367162629303421[[#This Row],[累计净值]]/$B$21-1</f>
        <v>3.9800995024875663E-2</v>
      </c>
    </row>
    <row r="112" spans="1:7" x14ac:dyDescent="0.2">
      <c r="A112" s="161">
        <v>43910</v>
      </c>
      <c r="B112" s="162">
        <v>1.0449999999999999</v>
      </c>
      <c r="C112" s="171">
        <f>IFERROR(B112-B111,0)</f>
        <v>0</v>
      </c>
      <c r="D112" s="168" t="str">
        <f>IF(C112&lt;0,C112,"/")</f>
        <v>/</v>
      </c>
      <c r="E112" s="168">
        <f ca="1">IF(表2_367162629303421[[#This Row],[累计净值]]/MAX(INDIRECT("B21:B" &amp; ROW()))-1&lt;E111,表2_367162629303421[[#This Row],[累计净值]]/MAX(INDIRECT("B21:B" &amp; ROW()))-1,E111)</f>
        <v>-9.9502487562188602E-3</v>
      </c>
      <c r="F112" s="172">
        <f>表2_367162629303421[[#This Row],[累计净值]]</f>
        <v>1.0449999999999999</v>
      </c>
      <c r="G112" s="170">
        <f>表2_367162629303421[[#This Row],[累计净值]]/$B$21-1</f>
        <v>3.9800995024875663E-2</v>
      </c>
    </row>
    <row r="113" spans="1:7" x14ac:dyDescent="0.2">
      <c r="A113" s="161">
        <v>43913</v>
      </c>
      <c r="B113" s="162">
        <v>1.0449999999999999</v>
      </c>
      <c r="C113" s="171">
        <f t="shared" ref="C113:C167" si="4">IFERROR(B113-B112,0)</f>
        <v>0</v>
      </c>
      <c r="D113" s="168" t="str">
        <f t="shared" ref="D113:D167" si="5">IF(C113&lt;0,C113,"/")</f>
        <v>/</v>
      </c>
      <c r="E113" s="168">
        <f ca="1">IF(表2_367162629303421[[#This Row],[累计净值]]/MAX(INDIRECT("B21:B" &amp; ROW()))-1&lt;E112,表2_367162629303421[[#This Row],[累计净值]]/MAX(INDIRECT("B21:B" &amp; ROW()))-1,E112)</f>
        <v>-9.9502487562188602E-3</v>
      </c>
      <c r="F113" s="172">
        <f>表2_367162629303421[[#This Row],[累计净值]]</f>
        <v>1.0449999999999999</v>
      </c>
      <c r="G113" s="170">
        <f>表2_367162629303421[[#This Row],[累计净值]]/$B$21-1</f>
        <v>3.9800995024875663E-2</v>
      </c>
    </row>
    <row r="114" spans="1:7" x14ac:dyDescent="0.2">
      <c r="A114" s="161">
        <v>43914</v>
      </c>
      <c r="B114" s="162">
        <v>1.0449999999999999</v>
      </c>
      <c r="C114" s="171">
        <f t="shared" si="4"/>
        <v>0</v>
      </c>
      <c r="D114" s="168" t="str">
        <f t="shared" si="5"/>
        <v>/</v>
      </c>
      <c r="E114" s="168">
        <f ca="1">IF(表2_367162629303421[[#This Row],[累计净值]]/MAX(INDIRECT("B21:B" &amp; ROW()))-1&lt;E113,表2_367162629303421[[#This Row],[累计净值]]/MAX(INDIRECT("B21:B" &amp; ROW()))-1,E113)</f>
        <v>-9.9502487562188602E-3</v>
      </c>
      <c r="F114" s="172">
        <f>表2_367162629303421[[#This Row],[累计净值]]</f>
        <v>1.0449999999999999</v>
      </c>
      <c r="G114" s="170">
        <f>表2_367162629303421[[#This Row],[累计净值]]/$B$21-1</f>
        <v>3.9800995024875663E-2</v>
      </c>
    </row>
    <row r="115" spans="1:7" x14ac:dyDescent="0.2">
      <c r="A115" s="161">
        <v>43915</v>
      </c>
      <c r="B115" s="162">
        <v>1.046</v>
      </c>
      <c r="C115" s="171">
        <f t="shared" si="4"/>
        <v>1.0000000000001119E-3</v>
      </c>
      <c r="D115" s="168" t="str">
        <f t="shared" si="5"/>
        <v>/</v>
      </c>
      <c r="E115" s="168">
        <f ca="1">IF(表2_367162629303421[[#This Row],[累计净值]]/MAX(INDIRECT("B21:B" &amp; ROW()))-1&lt;E114,表2_367162629303421[[#This Row],[累计净值]]/MAX(INDIRECT("B21:B" &amp; ROW()))-1,E114)</f>
        <v>-9.9502487562188602E-3</v>
      </c>
      <c r="F115" s="172">
        <f>表2_367162629303421[[#This Row],[累计净值]]</f>
        <v>1.046</v>
      </c>
      <c r="G115" s="170">
        <f>表2_367162629303421[[#This Row],[累计净值]]/$B$21-1</f>
        <v>4.0796019900497749E-2</v>
      </c>
    </row>
    <row r="116" spans="1:7" x14ac:dyDescent="0.2">
      <c r="A116" s="161">
        <v>43916</v>
      </c>
      <c r="B116" s="162">
        <v>1.046</v>
      </c>
      <c r="C116" s="171">
        <f t="shared" si="4"/>
        <v>0</v>
      </c>
      <c r="D116" s="168" t="str">
        <f t="shared" si="5"/>
        <v>/</v>
      </c>
      <c r="E116" s="168">
        <f ca="1">IF(表2_367162629303421[[#This Row],[累计净值]]/MAX(INDIRECT("B21:B" &amp; ROW()))-1&lt;E115,表2_367162629303421[[#This Row],[累计净值]]/MAX(INDIRECT("B21:B" &amp; ROW()))-1,E115)</f>
        <v>-9.9502487562188602E-3</v>
      </c>
      <c r="F116" s="172">
        <f>表2_367162629303421[[#This Row],[累计净值]]</f>
        <v>1.046</v>
      </c>
      <c r="G116" s="170">
        <f>表2_367162629303421[[#This Row],[累计净值]]/$B$21-1</f>
        <v>4.0796019900497749E-2</v>
      </c>
    </row>
    <row r="117" spans="1:7" x14ac:dyDescent="0.2">
      <c r="A117" s="161">
        <v>43917</v>
      </c>
      <c r="B117" s="162">
        <v>1.046</v>
      </c>
      <c r="C117" s="171">
        <f t="shared" si="4"/>
        <v>0</v>
      </c>
      <c r="D117" s="168" t="str">
        <f t="shared" si="5"/>
        <v>/</v>
      </c>
      <c r="E117" s="168">
        <f ca="1">IF(表2_367162629303421[[#This Row],[累计净值]]/MAX(INDIRECT("B21:B" &amp; ROW()))-1&lt;E116,表2_367162629303421[[#This Row],[累计净值]]/MAX(INDIRECT("B21:B" &amp; ROW()))-1,E116)</f>
        <v>-9.9502487562188602E-3</v>
      </c>
      <c r="F117" s="172">
        <f>表2_367162629303421[[#This Row],[累计净值]]</f>
        <v>1.046</v>
      </c>
      <c r="G117" s="170">
        <f>表2_367162629303421[[#This Row],[累计净值]]/$B$21-1</f>
        <v>4.0796019900497749E-2</v>
      </c>
    </row>
    <row r="118" spans="1:7" x14ac:dyDescent="0.2">
      <c r="A118" s="161">
        <v>43920</v>
      </c>
      <c r="B118" s="162">
        <v>1.046</v>
      </c>
      <c r="C118" s="171">
        <f t="shared" si="4"/>
        <v>0</v>
      </c>
      <c r="D118" s="168" t="str">
        <f t="shared" si="5"/>
        <v>/</v>
      </c>
      <c r="E118" s="168">
        <f ca="1">IF(表2_367162629303421[[#This Row],[累计净值]]/MAX(INDIRECT("B21:B" &amp; ROW()))-1&lt;E117,表2_367162629303421[[#This Row],[累计净值]]/MAX(INDIRECT("B21:B" &amp; ROW()))-1,E117)</f>
        <v>-9.9502487562188602E-3</v>
      </c>
      <c r="F118" s="172">
        <f>表2_367162629303421[[#This Row],[累计净值]]</f>
        <v>1.046</v>
      </c>
      <c r="G118" s="170">
        <f>表2_367162629303421[[#This Row],[累计净值]]/$B$21-1</f>
        <v>4.0796019900497749E-2</v>
      </c>
    </row>
    <row r="119" spans="1:7" x14ac:dyDescent="0.2">
      <c r="A119" s="161">
        <v>43921</v>
      </c>
      <c r="B119" s="162">
        <v>1.046</v>
      </c>
      <c r="C119" s="171">
        <f t="shared" si="4"/>
        <v>0</v>
      </c>
      <c r="D119" s="168" t="str">
        <f t="shared" si="5"/>
        <v>/</v>
      </c>
      <c r="E119" s="168">
        <f ca="1">IF(表2_367162629303421[[#This Row],[累计净值]]/MAX(INDIRECT("B21:B" &amp; ROW()))-1&lt;E118,表2_367162629303421[[#This Row],[累计净值]]/MAX(INDIRECT("B21:B" &amp; ROW()))-1,E118)</f>
        <v>-9.9502487562188602E-3</v>
      </c>
      <c r="F119" s="172">
        <f>表2_367162629303421[[#This Row],[累计净值]]</f>
        <v>1.046</v>
      </c>
      <c r="G119" s="170">
        <f>表2_367162629303421[[#This Row],[累计净值]]/$B$21-1</f>
        <v>4.0796019900497749E-2</v>
      </c>
    </row>
    <row r="120" spans="1:7" x14ac:dyDescent="0.2">
      <c r="A120" s="161">
        <v>43922</v>
      </c>
      <c r="B120" s="162">
        <v>1.046</v>
      </c>
      <c r="C120" s="171">
        <f t="shared" si="4"/>
        <v>0</v>
      </c>
      <c r="D120" s="168" t="str">
        <f t="shared" si="5"/>
        <v>/</v>
      </c>
      <c r="E120" s="168">
        <f ca="1">IF(表2_367162629303421[[#This Row],[累计净值]]/MAX(INDIRECT("B21:B" &amp; ROW()))-1&lt;E119,表2_367162629303421[[#This Row],[累计净值]]/MAX(INDIRECT("B21:B" &amp; ROW()))-1,E119)</f>
        <v>-9.9502487562188602E-3</v>
      </c>
      <c r="F120" s="172">
        <f>表2_367162629303421[[#This Row],[累计净值]]</f>
        <v>1.046</v>
      </c>
      <c r="G120" s="170">
        <f>表2_367162629303421[[#This Row],[累计净值]]/$B$21-1</f>
        <v>4.0796019900497749E-2</v>
      </c>
    </row>
    <row r="121" spans="1:7" x14ac:dyDescent="0.2">
      <c r="A121" s="161">
        <v>43923</v>
      </c>
      <c r="B121" s="162">
        <v>1.048</v>
      </c>
      <c r="C121" s="171">
        <f t="shared" si="4"/>
        <v>2.0000000000000018E-3</v>
      </c>
      <c r="D121" s="168" t="str">
        <f t="shared" si="5"/>
        <v>/</v>
      </c>
      <c r="E121" s="168">
        <f ca="1">IF(表2_367162629303421[[#This Row],[累计净值]]/MAX(INDIRECT("B21:B" &amp; ROW()))-1&lt;E120,表2_367162629303421[[#This Row],[累计净值]]/MAX(INDIRECT("B21:B" &amp; ROW()))-1,E120)</f>
        <v>-9.9502487562188602E-3</v>
      </c>
      <c r="F121" s="172">
        <f>表2_367162629303421[[#This Row],[累计净值]]</f>
        <v>1.048</v>
      </c>
      <c r="G121" s="170">
        <f>表2_367162629303421[[#This Row],[累计净值]]/$B$21-1</f>
        <v>4.2786069651741476E-2</v>
      </c>
    </row>
    <row r="122" spans="1:7" x14ac:dyDescent="0.2">
      <c r="A122" s="161">
        <v>43924</v>
      </c>
      <c r="B122" s="162">
        <v>1.048</v>
      </c>
      <c r="C122" s="171">
        <f t="shared" si="4"/>
        <v>0</v>
      </c>
      <c r="D122" s="168" t="str">
        <f t="shared" si="5"/>
        <v>/</v>
      </c>
      <c r="E122" s="168">
        <f ca="1">IF(表2_367162629303421[[#This Row],[累计净值]]/MAX(INDIRECT("B21:B" &amp; ROW()))-1&lt;E121,表2_367162629303421[[#This Row],[累计净值]]/MAX(INDIRECT("B21:B" &amp; ROW()))-1,E121)</f>
        <v>-9.9502487562188602E-3</v>
      </c>
      <c r="F122" s="172">
        <f>表2_367162629303421[[#This Row],[累计净值]]</f>
        <v>1.048</v>
      </c>
      <c r="G122" s="170">
        <f>表2_367162629303421[[#This Row],[累计净值]]/$B$21-1</f>
        <v>4.2786069651741476E-2</v>
      </c>
    </row>
    <row r="123" spans="1:7" x14ac:dyDescent="0.2">
      <c r="A123" s="161">
        <v>43928</v>
      </c>
      <c r="B123" s="162">
        <v>1.05</v>
      </c>
      <c r="C123" s="171">
        <f t="shared" si="4"/>
        <v>2.0000000000000018E-3</v>
      </c>
      <c r="D123" s="168" t="str">
        <f t="shared" si="5"/>
        <v>/</v>
      </c>
      <c r="E123" s="168">
        <f ca="1">IF(表2_367162629303421[[#This Row],[累计净值]]/MAX(INDIRECT("B21:B" &amp; ROW()))-1&lt;E122,表2_367162629303421[[#This Row],[累计净值]]/MAX(INDIRECT("B21:B" &amp; ROW()))-1,E122)</f>
        <v>-9.9502487562188602E-3</v>
      </c>
      <c r="F123" s="172">
        <f>表2_367162629303421[[#This Row],[累计净值]]</f>
        <v>1.05</v>
      </c>
      <c r="G123" s="170">
        <f>表2_367162629303421[[#This Row],[累计净值]]/$B$21-1</f>
        <v>4.4776119402985204E-2</v>
      </c>
    </row>
    <row r="124" spans="1:7" x14ac:dyDescent="0.2">
      <c r="A124" s="161">
        <v>43929</v>
      </c>
      <c r="B124" s="162">
        <v>1.0509999999999999</v>
      </c>
      <c r="C124" s="171">
        <f t="shared" si="4"/>
        <v>9.9999999999988987E-4</v>
      </c>
      <c r="D124" s="168" t="str">
        <f t="shared" si="5"/>
        <v>/</v>
      </c>
      <c r="E124" s="168">
        <f ca="1">IF(表2_367162629303421[[#This Row],[累计净值]]/MAX(INDIRECT("B21:B" &amp; ROW()))-1&lt;E123,表2_367162629303421[[#This Row],[累计净值]]/MAX(INDIRECT("B21:B" &amp; ROW()))-1,E123)</f>
        <v>-9.9502487562188602E-3</v>
      </c>
      <c r="F124" s="172">
        <f>表2_367162629303421[[#This Row],[累计净值]]</f>
        <v>1.0509999999999999</v>
      </c>
      <c r="G124" s="170">
        <f>表2_367162629303421[[#This Row],[累计净值]]/$B$21-1</f>
        <v>4.5771144278607068E-2</v>
      </c>
    </row>
    <row r="125" spans="1:7" x14ac:dyDescent="0.2">
      <c r="A125" s="161">
        <v>43930</v>
      </c>
      <c r="B125" s="162">
        <v>1.0509999999999999</v>
      </c>
      <c r="C125" s="171">
        <f t="shared" si="4"/>
        <v>0</v>
      </c>
      <c r="D125" s="168" t="str">
        <f t="shared" si="5"/>
        <v>/</v>
      </c>
      <c r="E125" s="168">
        <f ca="1">IF(表2_367162629303421[[#This Row],[累计净值]]/MAX(INDIRECT("B21:B" &amp; ROW()))-1&lt;E124,表2_367162629303421[[#This Row],[累计净值]]/MAX(INDIRECT("B21:B" &amp; ROW()))-1,E124)</f>
        <v>-9.9502487562188602E-3</v>
      </c>
      <c r="F125" s="172">
        <f>表2_367162629303421[[#This Row],[累计净值]]</f>
        <v>1.0509999999999999</v>
      </c>
      <c r="G125" s="170">
        <f>表2_367162629303421[[#This Row],[累计净值]]/$B$21-1</f>
        <v>4.5771144278607068E-2</v>
      </c>
    </row>
    <row r="126" spans="1:7" x14ac:dyDescent="0.2">
      <c r="A126" s="161">
        <v>43931</v>
      </c>
      <c r="B126" s="162">
        <v>1.052</v>
      </c>
      <c r="C126" s="171">
        <f t="shared" si="4"/>
        <v>1.0000000000001119E-3</v>
      </c>
      <c r="D126" s="168" t="str">
        <f t="shared" si="5"/>
        <v>/</v>
      </c>
      <c r="E126" s="168">
        <f ca="1">IF(表2_367162629303421[[#This Row],[累计净值]]/MAX(INDIRECT("B21:B" &amp; ROW()))-1&lt;E125,表2_367162629303421[[#This Row],[累计净值]]/MAX(INDIRECT("B21:B" &amp; ROW()))-1,E125)</f>
        <v>-9.9502487562188602E-3</v>
      </c>
      <c r="F126" s="172">
        <f>表2_367162629303421[[#This Row],[累计净值]]</f>
        <v>1.052</v>
      </c>
      <c r="G126" s="170">
        <f>表2_367162629303421[[#This Row],[累计净值]]/$B$21-1</f>
        <v>4.6766169154228932E-2</v>
      </c>
    </row>
    <row r="127" spans="1:7" x14ac:dyDescent="0.2">
      <c r="A127" s="161">
        <v>43934</v>
      </c>
      <c r="B127" s="162">
        <v>1.052</v>
      </c>
      <c r="C127" s="171">
        <f t="shared" si="4"/>
        <v>0</v>
      </c>
      <c r="D127" s="168" t="str">
        <f t="shared" si="5"/>
        <v>/</v>
      </c>
      <c r="E127" s="168">
        <f ca="1">IF(表2_367162629303421[[#This Row],[累计净值]]/MAX(INDIRECT("B21:B" &amp; ROW()))-1&lt;E126,表2_367162629303421[[#This Row],[累计净值]]/MAX(INDIRECT("B21:B" &amp; ROW()))-1,E126)</f>
        <v>-9.9502487562188602E-3</v>
      </c>
      <c r="F127" s="172">
        <f>表2_367162629303421[[#This Row],[累计净值]]</f>
        <v>1.052</v>
      </c>
      <c r="G127" s="170">
        <f>表2_367162629303421[[#This Row],[累计净值]]/$B$21-1</f>
        <v>4.6766169154228932E-2</v>
      </c>
    </row>
    <row r="128" spans="1:7" x14ac:dyDescent="0.2">
      <c r="A128" s="161">
        <v>43935</v>
      </c>
      <c r="B128" s="162">
        <v>1.056</v>
      </c>
      <c r="C128" s="171">
        <f t="shared" si="4"/>
        <v>4.0000000000000036E-3</v>
      </c>
      <c r="D128" s="168" t="str">
        <f t="shared" si="5"/>
        <v>/</v>
      </c>
      <c r="E128" s="168">
        <f ca="1">IF(表2_367162629303421[[#This Row],[累计净值]]/MAX(INDIRECT("B21:B" &amp; ROW()))-1&lt;E127,表2_367162629303421[[#This Row],[累计净值]]/MAX(INDIRECT("B21:B" &amp; ROW()))-1,E127)</f>
        <v>-9.9502487562188602E-3</v>
      </c>
      <c r="F128" s="172">
        <f>表2_367162629303421[[#This Row],[累计净值]]</f>
        <v>1.056</v>
      </c>
      <c r="G128" s="170">
        <f>表2_367162629303421[[#This Row],[累计净值]]/$B$21-1</f>
        <v>5.0746268656716609E-2</v>
      </c>
    </row>
    <row r="129" spans="1:7" x14ac:dyDescent="0.2">
      <c r="A129" s="161">
        <v>43936</v>
      </c>
      <c r="B129" s="162">
        <v>1.0580000000000001</v>
      </c>
      <c r="C129" s="171">
        <f t="shared" si="4"/>
        <v>2.0000000000000018E-3</v>
      </c>
      <c r="D129" s="168" t="str">
        <f t="shared" si="5"/>
        <v>/</v>
      </c>
      <c r="E129" s="168">
        <f ca="1">IF(表2_367162629303421[[#This Row],[累计净值]]/MAX(INDIRECT("B21:B" &amp; ROW()))-1&lt;E128,表2_367162629303421[[#This Row],[累计净值]]/MAX(INDIRECT("B21:B" &amp; ROW()))-1,E128)</f>
        <v>-9.9502487562188602E-3</v>
      </c>
      <c r="F129" s="172">
        <f>表2_367162629303421[[#This Row],[累计净值]]</f>
        <v>1.0580000000000001</v>
      </c>
      <c r="G129" s="170">
        <f>表2_367162629303421[[#This Row],[累计净值]]/$B$21-1</f>
        <v>5.2736318407960336E-2</v>
      </c>
    </row>
    <row r="130" spans="1:7" x14ac:dyDescent="0.2">
      <c r="A130" s="161">
        <v>43937</v>
      </c>
      <c r="B130" s="162">
        <v>1.0589999999999999</v>
      </c>
      <c r="C130" s="171">
        <f t="shared" si="4"/>
        <v>9.9999999999988987E-4</v>
      </c>
      <c r="D130" s="168" t="str">
        <f t="shared" si="5"/>
        <v>/</v>
      </c>
      <c r="E130" s="168">
        <f ca="1">IF(表2_367162629303421[[#This Row],[累计净值]]/MAX(INDIRECT("B21:B" &amp; ROW()))-1&lt;E129,表2_367162629303421[[#This Row],[累计净值]]/MAX(INDIRECT("B21:B" &amp; ROW()))-1,E129)</f>
        <v>-9.9502487562188602E-3</v>
      </c>
      <c r="F130" s="172">
        <f>表2_367162629303421[[#This Row],[累计净值]]</f>
        <v>1.0589999999999999</v>
      </c>
      <c r="G130" s="170">
        <f>表2_367162629303421[[#This Row],[累计净值]]/$B$21-1</f>
        <v>5.37313432835822E-2</v>
      </c>
    </row>
    <row r="131" spans="1:7" x14ac:dyDescent="0.2">
      <c r="A131" s="161">
        <v>43938</v>
      </c>
      <c r="B131" s="162">
        <v>1.0580000000000001</v>
      </c>
      <c r="C131" s="171">
        <f t="shared" si="4"/>
        <v>-9.9999999999988987E-4</v>
      </c>
      <c r="D131" s="168">
        <f t="shared" si="5"/>
        <v>-9.9999999999988987E-4</v>
      </c>
      <c r="E131" s="168">
        <f ca="1">IF(表2_367162629303421[[#This Row],[累计净值]]/MAX(INDIRECT("B21:B" &amp; ROW()))-1&lt;E130,表2_367162629303421[[#This Row],[累计净值]]/MAX(INDIRECT("B21:B" &amp; ROW()))-1,E130)</f>
        <v>-9.9502487562188602E-3</v>
      </c>
      <c r="F131" s="172">
        <f>表2_367162629303421[[#This Row],[累计净值]]</f>
        <v>1.0580000000000001</v>
      </c>
      <c r="G131" s="170">
        <f>表2_367162629303421[[#This Row],[累计净值]]/$B$21-1</f>
        <v>5.2736318407960336E-2</v>
      </c>
    </row>
    <row r="132" spans="1:7" x14ac:dyDescent="0.2">
      <c r="A132" s="161">
        <v>43941</v>
      </c>
      <c r="B132" s="162">
        <v>1.0580000000000001</v>
      </c>
      <c r="C132" s="171">
        <f t="shared" si="4"/>
        <v>0</v>
      </c>
      <c r="D132" s="168" t="str">
        <f t="shared" si="5"/>
        <v>/</v>
      </c>
      <c r="E132" s="168">
        <f ca="1">IF(表2_367162629303421[[#This Row],[累计净值]]/MAX(INDIRECT("B21:B" &amp; ROW()))-1&lt;E131,表2_367162629303421[[#This Row],[累计净值]]/MAX(INDIRECT("B21:B" &amp; ROW()))-1,E131)</f>
        <v>-9.9502487562188602E-3</v>
      </c>
      <c r="F132" s="172">
        <f>表2_367162629303421[[#This Row],[累计净值]]</f>
        <v>1.0580000000000001</v>
      </c>
      <c r="G132" s="170">
        <f>表2_367162629303421[[#This Row],[累计净值]]/$B$21-1</f>
        <v>5.2736318407960336E-2</v>
      </c>
    </row>
    <row r="133" spans="1:7" x14ac:dyDescent="0.2">
      <c r="A133" s="161">
        <v>43942</v>
      </c>
      <c r="B133" s="162">
        <v>1.06</v>
      </c>
      <c r="C133" s="171">
        <f t="shared" si="4"/>
        <v>2.0000000000000018E-3</v>
      </c>
      <c r="D133" s="168" t="str">
        <f t="shared" si="5"/>
        <v>/</v>
      </c>
      <c r="E133" s="168">
        <f ca="1">IF(表2_367162629303421[[#This Row],[累计净值]]/MAX(INDIRECT("B21:B" &amp; ROW()))-1&lt;E132,表2_367162629303421[[#This Row],[累计净值]]/MAX(INDIRECT("B21:B" &amp; ROW()))-1,E132)</f>
        <v>-9.9502487562188602E-3</v>
      </c>
      <c r="F133" s="172">
        <f>表2_367162629303421[[#This Row],[累计净值]]</f>
        <v>1.06</v>
      </c>
      <c r="G133" s="170">
        <f>表2_367162629303421[[#This Row],[累计净值]]/$B$21-1</f>
        <v>5.4726368159204064E-2</v>
      </c>
    </row>
    <row r="134" spans="1:7" x14ac:dyDescent="0.2">
      <c r="A134" s="161">
        <v>43943</v>
      </c>
      <c r="B134" s="162">
        <v>1.0580000000000001</v>
      </c>
      <c r="C134" s="171">
        <f t="shared" si="4"/>
        <v>-2.0000000000000018E-3</v>
      </c>
      <c r="D134" s="168">
        <f t="shared" si="5"/>
        <v>-2.0000000000000018E-3</v>
      </c>
      <c r="E134" s="168">
        <f ca="1">IF(表2_367162629303421[[#This Row],[累计净值]]/MAX(INDIRECT("B21:B" &amp; ROW()))-1&lt;E133,表2_367162629303421[[#This Row],[累计净值]]/MAX(INDIRECT("B21:B" &amp; ROW()))-1,E133)</f>
        <v>-9.9502487562188602E-3</v>
      </c>
      <c r="F134" s="172">
        <f>表2_367162629303421[[#This Row],[累计净值]]</f>
        <v>1.0580000000000001</v>
      </c>
      <c r="G134" s="170">
        <f>表2_367162629303421[[#This Row],[累计净值]]/$B$21-1</f>
        <v>5.2736318407960336E-2</v>
      </c>
    </row>
    <row r="135" spans="1:7" x14ac:dyDescent="0.2">
      <c r="A135" s="161">
        <v>43944</v>
      </c>
      <c r="B135" s="162">
        <v>1.0580000000000001</v>
      </c>
      <c r="C135" s="171">
        <f t="shared" si="4"/>
        <v>0</v>
      </c>
      <c r="D135" s="168" t="str">
        <f t="shared" si="5"/>
        <v>/</v>
      </c>
      <c r="E135" s="168">
        <f ca="1">IF(表2_367162629303421[[#This Row],[累计净值]]/MAX(INDIRECT("B21:B" &amp; ROW()))-1&lt;E134,表2_367162629303421[[#This Row],[累计净值]]/MAX(INDIRECT("B21:B" &amp; ROW()))-1,E134)</f>
        <v>-9.9502487562188602E-3</v>
      </c>
      <c r="F135" s="172">
        <f>表2_367162629303421[[#This Row],[累计净值]]</f>
        <v>1.0580000000000001</v>
      </c>
      <c r="G135" s="170">
        <f>表2_367162629303421[[#This Row],[累计净值]]/$B$21-1</f>
        <v>5.2736318407960336E-2</v>
      </c>
    </row>
    <row r="136" spans="1:7" x14ac:dyDescent="0.2">
      <c r="A136" s="161">
        <v>43945</v>
      </c>
      <c r="B136" s="162">
        <v>1.06</v>
      </c>
      <c r="C136" s="171">
        <f t="shared" si="4"/>
        <v>2.0000000000000018E-3</v>
      </c>
      <c r="D136" s="168" t="str">
        <f t="shared" si="5"/>
        <v>/</v>
      </c>
      <c r="E136" s="168">
        <f ca="1">IF(表2_367162629303421[[#This Row],[累计净值]]/MAX(INDIRECT("B21:B" &amp; ROW()))-1&lt;E135,表2_367162629303421[[#This Row],[累计净值]]/MAX(INDIRECT("B21:B" &amp; ROW()))-1,E135)</f>
        <v>-9.9502487562188602E-3</v>
      </c>
      <c r="F136" s="172">
        <f>表2_367162629303421[[#This Row],[累计净值]]</f>
        <v>1.06</v>
      </c>
      <c r="G136" s="170">
        <f>表2_367162629303421[[#This Row],[累计净值]]/$B$21-1</f>
        <v>5.4726368159204064E-2</v>
      </c>
    </row>
    <row r="137" spans="1:7" x14ac:dyDescent="0.2">
      <c r="A137" s="161">
        <v>43948</v>
      </c>
      <c r="B137" s="162">
        <v>1.06</v>
      </c>
      <c r="C137" s="171">
        <f t="shared" si="4"/>
        <v>0</v>
      </c>
      <c r="D137" s="168" t="str">
        <f t="shared" si="5"/>
        <v>/</v>
      </c>
      <c r="E137" s="168">
        <f ca="1">IF(表2_367162629303421[[#This Row],[累计净值]]/MAX(INDIRECT("B21:B" &amp; ROW()))-1&lt;E136,表2_367162629303421[[#This Row],[累计净值]]/MAX(INDIRECT("B21:B" &amp; ROW()))-1,E136)</f>
        <v>-9.9502487562188602E-3</v>
      </c>
      <c r="F137" s="172">
        <f>表2_367162629303421[[#This Row],[累计净值]]</f>
        <v>1.06</v>
      </c>
      <c r="G137" s="170">
        <f>表2_367162629303421[[#This Row],[累计净值]]/$B$21-1</f>
        <v>5.4726368159204064E-2</v>
      </c>
    </row>
    <row r="138" spans="1:7" x14ac:dyDescent="0.2">
      <c r="A138" s="161">
        <v>43949</v>
      </c>
      <c r="B138" s="178">
        <v>1.0609999999999999</v>
      </c>
      <c r="C138" s="171">
        <f t="shared" si="4"/>
        <v>9.9999999999988987E-4</v>
      </c>
      <c r="D138" s="168" t="str">
        <f t="shared" si="5"/>
        <v>/</v>
      </c>
      <c r="E138" s="168">
        <f ca="1">IF(表2_367162629303421[[#This Row],[累计净值]]/MAX(INDIRECT("B21:B" &amp; ROW()))-1&lt;E137,表2_367162629303421[[#This Row],[累计净值]]/MAX(INDIRECT("B21:B" &amp; ROW()))-1,E137)</f>
        <v>-9.9502487562188602E-3</v>
      </c>
      <c r="F138" s="172">
        <f>表2_367162629303421[[#This Row],[累计净值]]</f>
        <v>1.0609999999999999</v>
      </c>
      <c r="G138" s="170">
        <f>表2_367162629303421[[#This Row],[累计净值]]/$B$21-1</f>
        <v>5.5721393034825928E-2</v>
      </c>
    </row>
    <row r="139" spans="1:7" x14ac:dyDescent="0.2">
      <c r="A139" s="161">
        <v>43950</v>
      </c>
      <c r="B139" s="162">
        <v>1.06</v>
      </c>
      <c r="C139" s="171">
        <f t="shared" si="4"/>
        <v>-9.9999999999988987E-4</v>
      </c>
      <c r="D139" s="168">
        <f t="shared" si="5"/>
        <v>-9.9999999999988987E-4</v>
      </c>
      <c r="E139" s="168">
        <f ca="1">IF(表2_367162629303421[[#This Row],[累计净值]]/MAX(INDIRECT("B21:B" &amp; ROW()))-1&lt;E138,表2_367162629303421[[#This Row],[累计净值]]/MAX(INDIRECT("B21:B" &amp; ROW()))-1,E138)</f>
        <v>-9.9502487562188602E-3</v>
      </c>
      <c r="F139" s="172">
        <f>表2_367162629303421[[#This Row],[累计净值]]</f>
        <v>1.06</v>
      </c>
      <c r="G139" s="170">
        <f>表2_367162629303421[[#This Row],[累计净值]]/$B$21-1</f>
        <v>5.4726368159204064E-2</v>
      </c>
    </row>
    <row r="140" spans="1:7" x14ac:dyDescent="0.2">
      <c r="A140" s="161">
        <v>43951</v>
      </c>
      <c r="B140" s="162">
        <v>1.0569999999999999</v>
      </c>
      <c r="C140" s="171">
        <f t="shared" si="4"/>
        <v>-3.0000000000001137E-3</v>
      </c>
      <c r="D140" s="168">
        <f t="shared" si="5"/>
        <v>-3.0000000000001137E-3</v>
      </c>
      <c r="E140" s="168">
        <f ca="1">IF(表2_367162629303421[[#This Row],[累计净值]]/MAX(INDIRECT("B21:B" &amp; ROW()))-1&lt;E139,表2_367162629303421[[#This Row],[累计净值]]/MAX(INDIRECT("B21:B" &amp; ROW()))-1,E139)</f>
        <v>-9.9502487562188602E-3</v>
      </c>
      <c r="F140" s="172">
        <f>表2_367162629303421[[#This Row],[累计净值]]</f>
        <v>1.0569999999999999</v>
      </c>
      <c r="G140" s="170">
        <f>表2_367162629303421[[#This Row],[累计净值]]/$B$21-1</f>
        <v>5.1741293532338251E-2</v>
      </c>
    </row>
    <row r="141" spans="1:7" x14ac:dyDescent="0.2">
      <c r="A141" s="161">
        <v>43957</v>
      </c>
      <c r="B141" s="162">
        <v>1.0580000000000001</v>
      </c>
      <c r="C141" s="171">
        <f t="shared" si="4"/>
        <v>1.0000000000001119E-3</v>
      </c>
      <c r="D141" s="168" t="str">
        <f t="shared" si="5"/>
        <v>/</v>
      </c>
      <c r="E141" s="168">
        <f ca="1">IF(表2_367162629303421[[#This Row],[累计净值]]/MAX(INDIRECT("B21:B" &amp; ROW()))-1&lt;E140,表2_367162629303421[[#This Row],[累计净值]]/MAX(INDIRECT("B21:B" &amp; ROW()))-1,E140)</f>
        <v>-9.9502487562188602E-3</v>
      </c>
      <c r="F141" s="172">
        <f>表2_367162629303421[[#This Row],[累计净值]]</f>
        <v>1.0580000000000001</v>
      </c>
      <c r="G141" s="170">
        <f>表2_367162629303421[[#This Row],[累计净值]]/$B$21-1</f>
        <v>5.2736318407960336E-2</v>
      </c>
    </row>
    <row r="142" spans="1:7" x14ac:dyDescent="0.2">
      <c r="A142" s="161">
        <v>43958</v>
      </c>
      <c r="B142" s="162">
        <v>1.0589999999999999</v>
      </c>
      <c r="C142" s="171">
        <f t="shared" si="4"/>
        <v>9.9999999999988987E-4</v>
      </c>
      <c r="D142" s="168" t="str">
        <f t="shared" si="5"/>
        <v>/</v>
      </c>
      <c r="E142" s="168">
        <f ca="1">IF(表2_367162629303421[[#This Row],[累计净值]]/MAX(INDIRECT("B21:B" &amp; ROW()))-1&lt;E141,表2_367162629303421[[#This Row],[累计净值]]/MAX(INDIRECT("B21:B" &amp; ROW()))-1,E141)</f>
        <v>-9.9502487562188602E-3</v>
      </c>
      <c r="F142" s="172">
        <f>表2_367162629303421[[#This Row],[累计净值]]</f>
        <v>1.0589999999999999</v>
      </c>
      <c r="G142" s="170">
        <f>表2_367162629303421[[#This Row],[累计净值]]/$B$21-1</f>
        <v>5.37313432835822E-2</v>
      </c>
    </row>
    <row r="143" spans="1:7" x14ac:dyDescent="0.2">
      <c r="A143" s="161">
        <v>43959</v>
      </c>
      <c r="B143" s="162">
        <v>1.06</v>
      </c>
      <c r="C143" s="171">
        <f t="shared" si="4"/>
        <v>1.0000000000001119E-3</v>
      </c>
      <c r="D143" s="168" t="str">
        <f t="shared" si="5"/>
        <v>/</v>
      </c>
      <c r="E143" s="168">
        <f ca="1">IF(表2_367162629303421[[#This Row],[累计净值]]/MAX(INDIRECT("B21:B" &amp; ROW()))-1&lt;E142,表2_367162629303421[[#This Row],[累计净值]]/MAX(INDIRECT("B21:B" &amp; ROW()))-1,E142)</f>
        <v>-9.9502487562188602E-3</v>
      </c>
      <c r="F143" s="172">
        <f>表2_367162629303421[[#This Row],[累计净值]]</f>
        <v>1.06</v>
      </c>
      <c r="G143" s="170">
        <f>表2_367162629303421[[#This Row],[累计净值]]/$B$21-1</f>
        <v>5.4726368159204064E-2</v>
      </c>
    </row>
    <row r="144" spans="1:7" x14ac:dyDescent="0.2">
      <c r="A144" s="161">
        <v>43962</v>
      </c>
      <c r="B144" s="162">
        <v>1.06</v>
      </c>
      <c r="C144" s="171">
        <f t="shared" si="4"/>
        <v>0</v>
      </c>
      <c r="D144" s="168" t="str">
        <f t="shared" si="5"/>
        <v>/</v>
      </c>
      <c r="E144" s="168">
        <f ca="1">IF(表2_367162629303421[[#This Row],[累计净值]]/MAX(INDIRECT("B21:B" &amp; ROW()))-1&lt;E143,表2_367162629303421[[#This Row],[累计净值]]/MAX(INDIRECT("B21:B" &amp; ROW()))-1,E143)</f>
        <v>-9.9502487562188602E-3</v>
      </c>
      <c r="F144" s="172">
        <f>表2_367162629303421[[#This Row],[累计净值]]</f>
        <v>1.06</v>
      </c>
      <c r="G144" s="170">
        <f>表2_367162629303421[[#This Row],[累计净值]]/$B$21-1</f>
        <v>5.4726368159204064E-2</v>
      </c>
    </row>
    <row r="145" spans="1:7" x14ac:dyDescent="0.2">
      <c r="A145" s="161">
        <v>43963</v>
      </c>
      <c r="B145" s="162">
        <v>1.0620000000000001</v>
      </c>
      <c r="C145" s="171">
        <f t="shared" si="4"/>
        <v>2.0000000000000018E-3</v>
      </c>
      <c r="D145" s="168" t="str">
        <f t="shared" si="5"/>
        <v>/</v>
      </c>
      <c r="E145" s="168">
        <f ca="1">IF(表2_367162629303421[[#This Row],[累计净值]]/MAX(INDIRECT("B21:B" &amp; ROW()))-1&lt;E144,表2_367162629303421[[#This Row],[累计净值]]/MAX(INDIRECT("B21:B" &amp; ROW()))-1,E144)</f>
        <v>-9.9502487562188602E-3</v>
      </c>
      <c r="F145" s="172">
        <f>表2_367162629303421[[#This Row],[累计净值]]</f>
        <v>1.0620000000000001</v>
      </c>
      <c r="G145" s="170">
        <f>表2_367162629303421[[#This Row],[累计净值]]/$B$21-1</f>
        <v>5.6716417910448014E-2</v>
      </c>
    </row>
    <row r="146" spans="1:7" x14ac:dyDescent="0.2">
      <c r="A146" s="161">
        <v>43964</v>
      </c>
      <c r="B146" s="162">
        <v>1.0629999999999999</v>
      </c>
      <c r="C146" s="171">
        <f t="shared" si="4"/>
        <v>9.9999999999988987E-4</v>
      </c>
      <c r="D146" s="168" t="str">
        <f t="shared" si="5"/>
        <v>/</v>
      </c>
      <c r="E146" s="168">
        <f ca="1">IF(表2_367162629303421[[#This Row],[累计净值]]/MAX(INDIRECT("B21:B" &amp; ROW()))-1&lt;E145,表2_367162629303421[[#This Row],[累计净值]]/MAX(INDIRECT("B21:B" &amp; ROW()))-1,E145)</f>
        <v>-9.9502487562188602E-3</v>
      </c>
      <c r="F146" s="172">
        <f>表2_367162629303421[[#This Row],[累计净值]]</f>
        <v>1.0629999999999999</v>
      </c>
      <c r="G146" s="170">
        <f>表2_367162629303421[[#This Row],[累计净值]]/$B$21-1</f>
        <v>5.7711442786069655E-2</v>
      </c>
    </row>
    <row r="147" spans="1:7" x14ac:dyDescent="0.2">
      <c r="A147" s="161">
        <v>43965</v>
      </c>
      <c r="B147" s="162">
        <v>1.0620000000000001</v>
      </c>
      <c r="C147" s="171">
        <f t="shared" si="4"/>
        <v>-9.9999999999988987E-4</v>
      </c>
      <c r="D147" s="168">
        <f t="shared" si="5"/>
        <v>-9.9999999999988987E-4</v>
      </c>
      <c r="E147" s="168">
        <f ca="1">IF(表2_367162629303421[[#This Row],[累计净值]]/MAX(INDIRECT("B21:B" &amp; ROW()))-1&lt;E146,表2_367162629303421[[#This Row],[累计净值]]/MAX(INDIRECT("B21:B" &amp; ROW()))-1,E146)</f>
        <v>-9.9502487562188602E-3</v>
      </c>
      <c r="F147" s="172">
        <f>表2_367162629303421[[#This Row],[累计净值]]</f>
        <v>1.0620000000000001</v>
      </c>
      <c r="G147" s="170">
        <f>表2_367162629303421[[#This Row],[累计净值]]/$B$21-1</f>
        <v>5.6716417910448014E-2</v>
      </c>
    </row>
    <row r="148" spans="1:7" x14ac:dyDescent="0.2">
      <c r="A148" s="161">
        <v>43966</v>
      </c>
      <c r="B148" s="162">
        <v>1.0620000000000001</v>
      </c>
      <c r="C148" s="171">
        <f t="shared" si="4"/>
        <v>0</v>
      </c>
      <c r="D148" s="168" t="str">
        <f t="shared" si="5"/>
        <v>/</v>
      </c>
      <c r="E148" s="168">
        <f ca="1">IF(表2_367162629303421[[#This Row],[累计净值]]/MAX(INDIRECT("B21:B" &amp; ROW()))-1&lt;E147,表2_367162629303421[[#This Row],[累计净值]]/MAX(INDIRECT("B21:B" &amp; ROW()))-1,E147)</f>
        <v>-9.9502487562188602E-3</v>
      </c>
      <c r="F148" s="172">
        <f>表2_367162629303421[[#This Row],[累计净值]]</f>
        <v>1.0620000000000001</v>
      </c>
      <c r="G148" s="170">
        <f>表2_367162629303421[[#This Row],[累计净值]]/$B$21-1</f>
        <v>5.6716417910448014E-2</v>
      </c>
    </row>
    <row r="149" spans="1:7" x14ac:dyDescent="0.2">
      <c r="A149" s="161">
        <v>43969</v>
      </c>
      <c r="B149" s="162">
        <v>1.0629999999999999</v>
      </c>
      <c r="C149" s="171">
        <f t="shared" si="4"/>
        <v>9.9999999999988987E-4</v>
      </c>
      <c r="D149" s="168" t="str">
        <f t="shared" si="5"/>
        <v>/</v>
      </c>
      <c r="E149" s="168">
        <f ca="1">IF(表2_367162629303421[[#This Row],[累计净值]]/MAX(INDIRECT("B21:B" &amp; ROW()))-1&lt;E148,表2_367162629303421[[#This Row],[累计净值]]/MAX(INDIRECT("B21:B" &amp; ROW()))-1,E148)</f>
        <v>-9.9502487562188602E-3</v>
      </c>
      <c r="F149" s="172">
        <f>表2_367162629303421[[#This Row],[累计净值]]</f>
        <v>1.0629999999999999</v>
      </c>
      <c r="G149" s="170">
        <f>表2_367162629303421[[#This Row],[累计净值]]/$B$21-1</f>
        <v>5.7711442786069655E-2</v>
      </c>
    </row>
    <row r="150" spans="1:7" x14ac:dyDescent="0.2">
      <c r="A150" s="161">
        <v>43970</v>
      </c>
      <c r="B150" s="162">
        <v>1.0660000000000001</v>
      </c>
      <c r="C150" s="171">
        <f t="shared" si="4"/>
        <v>3.0000000000001137E-3</v>
      </c>
      <c r="D150" s="168" t="str">
        <f t="shared" si="5"/>
        <v>/</v>
      </c>
      <c r="E150" s="168">
        <f ca="1">IF(表2_367162629303421[[#This Row],[累计净值]]/MAX(INDIRECT("B21:B" &amp; ROW()))-1&lt;E149,表2_367162629303421[[#This Row],[累计净值]]/MAX(INDIRECT("B21:B" &amp; ROW()))-1,E149)</f>
        <v>-9.9502487562188602E-3</v>
      </c>
      <c r="F150" s="172">
        <f>表2_367162629303421[[#This Row],[累计净值]]</f>
        <v>1.0660000000000001</v>
      </c>
      <c r="G150" s="170">
        <f>表2_367162629303421[[#This Row],[累计净值]]/$B$21-1</f>
        <v>6.0696517412935469E-2</v>
      </c>
    </row>
    <row r="151" spans="1:7" x14ac:dyDescent="0.2">
      <c r="A151" s="161">
        <v>43971</v>
      </c>
      <c r="B151" s="162">
        <v>1.0669999999999999</v>
      </c>
      <c r="C151" s="171">
        <f t="shared" si="4"/>
        <v>9.9999999999988987E-4</v>
      </c>
      <c r="D151" s="168" t="str">
        <f t="shared" si="5"/>
        <v>/</v>
      </c>
      <c r="E151" s="168">
        <f ca="1">IF(表2_367162629303421[[#This Row],[累计净值]]/MAX(INDIRECT("B21:B" &amp; ROW()))-1&lt;E150,表2_367162629303421[[#This Row],[累计净值]]/MAX(INDIRECT("B21:B" &amp; ROW()))-1,E150)</f>
        <v>-9.9502487562188602E-3</v>
      </c>
      <c r="F151" s="172">
        <f>表2_367162629303421[[#This Row],[累计净值]]</f>
        <v>1.0669999999999999</v>
      </c>
      <c r="G151" s="170">
        <f>表2_367162629303421[[#This Row],[累计净值]]/$B$21-1</f>
        <v>6.1691542288557333E-2</v>
      </c>
    </row>
    <row r="152" spans="1:7" x14ac:dyDescent="0.2">
      <c r="A152" s="161">
        <v>43972</v>
      </c>
      <c r="B152" s="162">
        <v>1.0660000000000001</v>
      </c>
      <c r="C152" s="171">
        <f t="shared" si="4"/>
        <v>-9.9999999999988987E-4</v>
      </c>
      <c r="D152" s="168">
        <f t="shared" si="5"/>
        <v>-9.9999999999988987E-4</v>
      </c>
      <c r="E152" s="168">
        <f ca="1">IF(表2_367162629303421[[#This Row],[累计净值]]/MAX(INDIRECT("B21:B" &amp; ROW()))-1&lt;E151,表2_367162629303421[[#This Row],[累计净值]]/MAX(INDIRECT("B21:B" &amp; ROW()))-1,E151)</f>
        <v>-9.9502487562188602E-3</v>
      </c>
      <c r="F152" s="172">
        <f>表2_367162629303421[[#This Row],[累计净值]]</f>
        <v>1.0660000000000001</v>
      </c>
      <c r="G152" s="170">
        <f>表2_367162629303421[[#This Row],[累计净值]]/$B$21-1</f>
        <v>6.0696517412935469E-2</v>
      </c>
    </row>
    <row r="153" spans="1:7" x14ac:dyDescent="0.2">
      <c r="A153" s="161">
        <v>43973</v>
      </c>
      <c r="B153" s="162">
        <v>1.0620000000000001</v>
      </c>
      <c r="C153" s="171">
        <f t="shared" si="4"/>
        <v>-4.0000000000000036E-3</v>
      </c>
      <c r="D153" s="168">
        <f t="shared" si="5"/>
        <v>-4.0000000000000036E-3</v>
      </c>
      <c r="E153" s="168">
        <f ca="1">IF(表2_367162629303421[[#This Row],[累计净值]]/MAX(INDIRECT("B21:B" &amp; ROW()))-1&lt;E152,表2_367162629303421[[#This Row],[累计净值]]/MAX(INDIRECT("B21:B" &amp; ROW()))-1,E152)</f>
        <v>-9.9502487562188602E-3</v>
      </c>
      <c r="F153" s="172">
        <f>表2_367162629303421[[#This Row],[累计净值]]</f>
        <v>1.0620000000000001</v>
      </c>
      <c r="G153" s="170">
        <f>表2_367162629303421[[#This Row],[累计净值]]/$B$21-1</f>
        <v>5.6716417910448014E-2</v>
      </c>
    </row>
    <row r="154" spans="1:7" x14ac:dyDescent="0.2">
      <c r="A154" s="161">
        <v>43976</v>
      </c>
      <c r="B154" s="162">
        <v>1.0680000000000001</v>
      </c>
      <c r="C154" s="171">
        <f t="shared" si="4"/>
        <v>6.0000000000000053E-3</v>
      </c>
      <c r="D154" s="168" t="str">
        <f t="shared" si="5"/>
        <v>/</v>
      </c>
      <c r="E154" s="168">
        <f ca="1">IF(表2_367162629303421[[#This Row],[累计净值]]/MAX(INDIRECT("B21:B" &amp; ROW()))-1&lt;E153,表2_367162629303421[[#This Row],[累计净值]]/MAX(INDIRECT("B21:B" &amp; ROW()))-1,E153)</f>
        <v>-9.9502487562188602E-3</v>
      </c>
      <c r="F154" s="172">
        <f>表2_367162629303421[[#This Row],[累计净值]]</f>
        <v>1.0680000000000001</v>
      </c>
      <c r="G154" s="170">
        <f>表2_367162629303421[[#This Row],[累计净值]]/$B$21-1</f>
        <v>6.2686567164179197E-2</v>
      </c>
    </row>
    <row r="155" spans="1:7" x14ac:dyDescent="0.2">
      <c r="A155" s="161">
        <v>43977</v>
      </c>
      <c r="B155" s="162">
        <v>1.069</v>
      </c>
      <c r="C155" s="171">
        <f t="shared" si="4"/>
        <v>9.9999999999988987E-4</v>
      </c>
      <c r="D155" s="168" t="str">
        <f t="shared" si="5"/>
        <v>/</v>
      </c>
      <c r="E155" s="168">
        <f ca="1">IF(表2_367162629303421[[#This Row],[累计净值]]/MAX(INDIRECT("B21:B" &amp; ROW()))-1&lt;E154,表2_367162629303421[[#This Row],[累计净值]]/MAX(INDIRECT("B21:B" &amp; ROW()))-1,E154)</f>
        <v>-9.9502487562188602E-3</v>
      </c>
      <c r="F155" s="172">
        <f>表2_367162629303421[[#This Row],[累计净值]]</f>
        <v>1.069</v>
      </c>
      <c r="G155" s="170">
        <f>表2_367162629303421[[#This Row],[累计净值]]/$B$21-1</f>
        <v>6.368159203980106E-2</v>
      </c>
    </row>
    <row r="156" spans="1:7" x14ac:dyDescent="0.2">
      <c r="A156" s="161">
        <v>43978</v>
      </c>
      <c r="B156" s="162">
        <v>1.069</v>
      </c>
      <c r="C156" s="171">
        <f t="shared" si="4"/>
        <v>0</v>
      </c>
      <c r="D156" s="168" t="str">
        <f t="shared" si="5"/>
        <v>/</v>
      </c>
      <c r="E156" s="168">
        <f ca="1">IF(表2_367162629303421[[#This Row],[累计净值]]/MAX(INDIRECT("B21:B" &amp; ROW()))-1&lt;E155,表2_367162629303421[[#This Row],[累计净值]]/MAX(INDIRECT("B21:B" &amp; ROW()))-1,E155)</f>
        <v>-9.9502487562188602E-3</v>
      </c>
      <c r="F156" s="172">
        <f>表2_367162629303421[[#This Row],[累计净值]]</f>
        <v>1.069</v>
      </c>
      <c r="G156" s="170">
        <f>表2_367162629303421[[#This Row],[累计净值]]/$B$21-1</f>
        <v>6.368159203980106E-2</v>
      </c>
    </row>
    <row r="157" spans="1:7" x14ac:dyDescent="0.2">
      <c r="A157" s="161">
        <v>43979</v>
      </c>
      <c r="B157" s="162">
        <v>1.07</v>
      </c>
      <c r="C157" s="171">
        <f t="shared" si="4"/>
        <v>1.0000000000001119E-3</v>
      </c>
      <c r="D157" s="168" t="str">
        <f t="shared" si="5"/>
        <v>/</v>
      </c>
      <c r="E157" s="168">
        <f ca="1">IF(表2_367162629303421[[#This Row],[累计净值]]/MAX(INDIRECT("B21:B" &amp; ROW()))-1&lt;E156,表2_367162629303421[[#This Row],[累计净值]]/MAX(INDIRECT("B21:B" &amp; ROW()))-1,E156)</f>
        <v>-9.9502487562188602E-3</v>
      </c>
      <c r="F157" s="172">
        <f>表2_367162629303421[[#This Row],[累计净值]]</f>
        <v>1.07</v>
      </c>
      <c r="G157" s="170">
        <f>表2_367162629303421[[#This Row],[累计净值]]/$B$21-1</f>
        <v>6.4676616915423146E-2</v>
      </c>
    </row>
    <row r="158" spans="1:7" x14ac:dyDescent="0.2">
      <c r="A158" s="161">
        <v>43980</v>
      </c>
      <c r="B158" s="162">
        <v>1.071</v>
      </c>
      <c r="C158" s="171">
        <f t="shared" si="4"/>
        <v>9.9999999999988987E-4</v>
      </c>
      <c r="D158" s="168" t="str">
        <f t="shared" si="5"/>
        <v>/</v>
      </c>
      <c r="E158" s="168">
        <f ca="1">IF(表2_367162629303421[[#This Row],[累计净值]]/MAX(INDIRECT("B21:B" &amp; ROW()))-1&lt;E157,表2_367162629303421[[#This Row],[累计净值]]/MAX(INDIRECT("B21:B" &amp; ROW()))-1,E157)</f>
        <v>-9.9502487562188602E-3</v>
      </c>
      <c r="F158" s="172">
        <f>表2_367162629303421[[#This Row],[累计净值]]</f>
        <v>1.071</v>
      </c>
      <c r="G158" s="170">
        <f>表2_367162629303421[[#This Row],[累计净值]]/$B$21-1</f>
        <v>6.5671641791044788E-2</v>
      </c>
    </row>
    <row r="159" spans="1:7" x14ac:dyDescent="0.2">
      <c r="A159" s="161">
        <v>43983</v>
      </c>
      <c r="B159" s="162">
        <v>1.075</v>
      </c>
      <c r="C159" s="171">
        <f t="shared" si="4"/>
        <v>4.0000000000000036E-3</v>
      </c>
      <c r="D159" s="168" t="str">
        <f t="shared" si="5"/>
        <v>/</v>
      </c>
      <c r="E159" s="168">
        <f ca="1">IF(表2_367162629303421[[#This Row],[累计净值]]/MAX(INDIRECT("B21:B" &amp; ROW()))-1&lt;E158,表2_367162629303421[[#This Row],[累计净值]]/MAX(INDIRECT("B21:B" &amp; ROW()))-1,E158)</f>
        <v>-9.9502487562188602E-3</v>
      </c>
      <c r="F159" s="172">
        <f>表2_367162629303421[[#This Row],[累计净值]]</f>
        <v>1.075</v>
      </c>
      <c r="G159" s="170">
        <f>表2_367162629303421[[#This Row],[累计净值]]/$B$21-1</f>
        <v>6.9651741293532465E-2</v>
      </c>
    </row>
    <row r="160" spans="1:7" x14ac:dyDescent="0.2">
      <c r="A160" s="161">
        <v>43984</v>
      </c>
      <c r="B160" s="162">
        <v>1.071</v>
      </c>
      <c r="C160" s="171">
        <f t="shared" si="4"/>
        <v>-4.0000000000000036E-3</v>
      </c>
      <c r="D160" s="168">
        <f t="shared" si="5"/>
        <v>-4.0000000000000036E-3</v>
      </c>
      <c r="E160" s="168">
        <f ca="1">IF(表2_367162629303421[[#This Row],[累计净值]]/MAX(INDIRECT("B21:B" &amp; ROW()))-1&lt;E159,表2_367162629303421[[#This Row],[累计净值]]/MAX(INDIRECT("B21:B" &amp; ROW()))-1,E159)</f>
        <v>-9.9502487562188602E-3</v>
      </c>
      <c r="F160" s="172">
        <f>表2_367162629303421[[#This Row],[累计净值]]</f>
        <v>1.071</v>
      </c>
      <c r="G160" s="170">
        <f>表2_367162629303421[[#This Row],[累计净值]]/$B$21-1</f>
        <v>6.5671641791044788E-2</v>
      </c>
    </row>
    <row r="161" spans="1:7" x14ac:dyDescent="0.2">
      <c r="A161" s="161">
        <v>43985</v>
      </c>
      <c r="B161" s="162">
        <v>1.071</v>
      </c>
      <c r="C161" s="171">
        <f t="shared" si="4"/>
        <v>0</v>
      </c>
      <c r="D161" s="168" t="str">
        <f t="shared" si="5"/>
        <v>/</v>
      </c>
      <c r="E161" s="168">
        <f ca="1">IF(表2_367162629303421[[#This Row],[累计净值]]/MAX(INDIRECT("B21:B" &amp; ROW()))-1&lt;E160,表2_367162629303421[[#This Row],[累计净值]]/MAX(INDIRECT("B21:B" &amp; ROW()))-1,E160)</f>
        <v>-9.9502487562188602E-3</v>
      </c>
      <c r="F161" s="172">
        <f>表2_367162629303421[[#This Row],[累计净值]]</f>
        <v>1.071</v>
      </c>
      <c r="G161" s="170">
        <f>表2_367162629303421[[#This Row],[累计净值]]/$B$21-1</f>
        <v>6.5671641791044788E-2</v>
      </c>
    </row>
    <row r="162" spans="1:7" x14ac:dyDescent="0.2">
      <c r="A162" s="161">
        <v>43986</v>
      </c>
      <c r="B162" s="162">
        <v>1.07</v>
      </c>
      <c r="C162" s="171">
        <f t="shared" si="4"/>
        <v>-9.9999999999988987E-4</v>
      </c>
      <c r="D162" s="168">
        <f t="shared" si="5"/>
        <v>-9.9999999999988987E-4</v>
      </c>
      <c r="E162" s="168">
        <f ca="1">IF(表2_367162629303421[[#This Row],[累计净值]]/MAX(INDIRECT("B21:B" &amp; ROW()))-1&lt;E161,表2_367162629303421[[#This Row],[累计净值]]/MAX(INDIRECT("B21:B" &amp; ROW()))-1,E161)</f>
        <v>-9.9502487562188602E-3</v>
      </c>
      <c r="F162" s="172">
        <f>表2_367162629303421[[#This Row],[累计净值]]</f>
        <v>1.07</v>
      </c>
      <c r="G162" s="170">
        <f>表2_367162629303421[[#This Row],[累计净值]]/$B$21-1</f>
        <v>6.4676616915423146E-2</v>
      </c>
    </row>
    <row r="163" spans="1:7" x14ac:dyDescent="0.2">
      <c r="A163" s="161">
        <v>43987</v>
      </c>
      <c r="B163" s="162">
        <v>1.07</v>
      </c>
      <c r="C163" s="171">
        <f t="shared" si="4"/>
        <v>0</v>
      </c>
      <c r="D163" s="168" t="str">
        <f t="shared" si="5"/>
        <v>/</v>
      </c>
      <c r="E163" s="168">
        <f ca="1">IF(表2_367162629303421[[#This Row],[累计净值]]/MAX(INDIRECT("B21:B" &amp; ROW()))-1&lt;E162,表2_367162629303421[[#This Row],[累计净值]]/MAX(INDIRECT("B21:B" &amp; ROW()))-1,E162)</f>
        <v>-9.9502487562188602E-3</v>
      </c>
      <c r="F163" s="172">
        <f>表2_367162629303421[[#This Row],[累计净值]]</f>
        <v>1.07</v>
      </c>
      <c r="G163" s="170">
        <f>表2_367162629303421[[#This Row],[累计净值]]/$B$21-1</f>
        <v>6.4676616915423146E-2</v>
      </c>
    </row>
    <row r="164" spans="1:7" x14ac:dyDescent="0.2">
      <c r="A164" s="161">
        <v>43990</v>
      </c>
      <c r="B164" s="162">
        <v>1.07</v>
      </c>
      <c r="C164" s="171">
        <f t="shared" si="4"/>
        <v>0</v>
      </c>
      <c r="D164" s="168" t="str">
        <f t="shared" si="5"/>
        <v>/</v>
      </c>
      <c r="E164" s="168">
        <f ca="1">IF(表2_367162629303421[[#This Row],[累计净值]]/MAX(INDIRECT("B21:B" &amp; ROW()))-1&lt;E163,表2_367162629303421[[#This Row],[累计净值]]/MAX(INDIRECT("B21:B" &amp; ROW()))-1,E163)</f>
        <v>-9.9502487562188602E-3</v>
      </c>
      <c r="F164" s="172">
        <f>表2_367162629303421[[#This Row],[累计净值]]</f>
        <v>1.07</v>
      </c>
      <c r="G164" s="170">
        <f>表2_367162629303421[[#This Row],[累计净值]]/$B$21-1</f>
        <v>6.4676616915423146E-2</v>
      </c>
    </row>
    <row r="165" spans="1:7" x14ac:dyDescent="0.2">
      <c r="A165" s="161">
        <v>43991</v>
      </c>
      <c r="B165" s="162">
        <v>1.073</v>
      </c>
      <c r="C165" s="171">
        <f t="shared" si="4"/>
        <v>2.9999999999998916E-3</v>
      </c>
      <c r="D165" s="168" t="str">
        <f t="shared" si="5"/>
        <v>/</v>
      </c>
      <c r="E165" s="168">
        <f ca="1">IF(表2_367162629303421[[#This Row],[累计净值]]/MAX(INDIRECT("B21:B" &amp; ROW()))-1&lt;E164,表2_367162629303421[[#This Row],[累计净值]]/MAX(INDIRECT("B21:B" &amp; ROW()))-1,E164)</f>
        <v>-9.9502487562188602E-3</v>
      </c>
      <c r="F165" s="172">
        <f>表2_367162629303421[[#This Row],[累计净值]]</f>
        <v>1.073</v>
      </c>
      <c r="G165" s="170">
        <f>表2_367162629303421[[#This Row],[累计净值]]/$B$21-1</f>
        <v>6.7661691542288516E-2</v>
      </c>
    </row>
    <row r="166" spans="1:7" x14ac:dyDescent="0.2">
      <c r="A166" s="161">
        <v>43992</v>
      </c>
      <c r="B166" s="162">
        <v>1.071</v>
      </c>
      <c r="C166" s="171">
        <f t="shared" si="4"/>
        <v>-2.0000000000000018E-3</v>
      </c>
      <c r="D166" s="168">
        <f t="shared" si="5"/>
        <v>-2.0000000000000018E-3</v>
      </c>
      <c r="E166" s="168">
        <f ca="1">IF(表2_367162629303421[[#This Row],[累计净值]]/MAX(INDIRECT("B21:B" &amp; ROW()))-1&lt;E165,表2_367162629303421[[#This Row],[累计净值]]/MAX(INDIRECT("B21:B" &amp; ROW()))-1,E165)</f>
        <v>-9.9502487562188602E-3</v>
      </c>
      <c r="F166" s="172">
        <f>表2_367162629303421[[#This Row],[累计净值]]</f>
        <v>1.071</v>
      </c>
      <c r="G166" s="170">
        <f>表2_367162629303421[[#This Row],[累计净值]]/$B$21-1</f>
        <v>6.5671641791044788E-2</v>
      </c>
    </row>
    <row r="167" spans="1:7" x14ac:dyDescent="0.2">
      <c r="A167" s="161">
        <v>43993</v>
      </c>
      <c r="B167" s="162">
        <v>1.0720000000000001</v>
      </c>
      <c r="C167" s="171">
        <f t="shared" si="4"/>
        <v>1.0000000000001119E-3</v>
      </c>
      <c r="D167" s="168" t="str">
        <f t="shared" si="5"/>
        <v>/</v>
      </c>
      <c r="E167" s="168">
        <f ca="1">IF(表2_367162629303421[[#This Row],[累计净值]]/MAX(INDIRECT("B21:B" &amp; ROW()))-1&lt;E166,表2_367162629303421[[#This Row],[累计净值]]/MAX(INDIRECT("B21:B" &amp; ROW()))-1,E166)</f>
        <v>-9.9502487562188602E-3</v>
      </c>
      <c r="F167" s="172">
        <f>表2_367162629303421[[#This Row],[累计净值]]</f>
        <v>1.0720000000000001</v>
      </c>
      <c r="G167" s="170">
        <f>表2_367162629303421[[#This Row],[累计净值]]/$B$21-1</f>
        <v>6.6666666666666874E-2</v>
      </c>
    </row>
    <row r="168" spans="1:7" x14ac:dyDescent="0.2">
      <c r="A168" s="161">
        <v>43994</v>
      </c>
      <c r="B168" s="162">
        <v>1.07</v>
      </c>
      <c r="C168" s="171">
        <f t="shared" ref="C168:C173" si="6">IFERROR(B168-B167,0)</f>
        <v>-2.0000000000000018E-3</v>
      </c>
      <c r="D168" s="168">
        <f t="shared" ref="D168:D173" si="7">IF(C168&lt;0,C168,"/")</f>
        <v>-2.0000000000000018E-3</v>
      </c>
      <c r="E168" s="168">
        <f ca="1">IF(表2_367162629303421[[#This Row],[累计净值]]/MAX(INDIRECT("B21:B" &amp; ROW()))-1&lt;E167,表2_367162629303421[[#This Row],[累计净值]]/MAX(INDIRECT("B21:B" &amp; ROW()))-1,E167)</f>
        <v>-9.9502487562188602E-3</v>
      </c>
      <c r="F168" s="172">
        <f>表2_367162629303421[[#This Row],[累计净值]]</f>
        <v>1.07</v>
      </c>
      <c r="G168" s="170">
        <f>表2_367162629303421[[#This Row],[累计净值]]/$B$21-1</f>
        <v>6.4676616915423146E-2</v>
      </c>
    </row>
    <row r="169" spans="1:7" x14ac:dyDescent="0.2">
      <c r="A169" s="161">
        <v>43997</v>
      </c>
      <c r="B169" s="162">
        <v>1.0720000000000001</v>
      </c>
      <c r="C169" s="171">
        <f t="shared" si="6"/>
        <v>2.0000000000000018E-3</v>
      </c>
      <c r="D169" s="168" t="str">
        <f t="shared" si="7"/>
        <v>/</v>
      </c>
      <c r="E169" s="168">
        <f ca="1">IF(表2_367162629303421[[#This Row],[累计净值]]/MAX(INDIRECT("B21:B" &amp; ROW()))-1&lt;E168,表2_367162629303421[[#This Row],[累计净值]]/MAX(INDIRECT("B21:B" &amp; ROW()))-1,E168)</f>
        <v>-9.9502487562188602E-3</v>
      </c>
      <c r="F169" s="172">
        <f>表2_367162629303421[[#This Row],[累计净值]]</f>
        <v>1.0720000000000001</v>
      </c>
      <c r="G169" s="170">
        <f>表2_367162629303421[[#This Row],[累计净值]]/$B$21-1</f>
        <v>6.6666666666666874E-2</v>
      </c>
    </row>
    <row r="170" spans="1:7" x14ac:dyDescent="0.2">
      <c r="A170" s="161">
        <v>43998</v>
      </c>
      <c r="B170" s="162">
        <v>1.077</v>
      </c>
      <c r="C170" s="171">
        <f t="shared" si="6"/>
        <v>4.9999999999998934E-3</v>
      </c>
      <c r="D170" s="168" t="str">
        <f t="shared" si="7"/>
        <v>/</v>
      </c>
      <c r="E170" s="168">
        <f ca="1">IF(表2_367162629303421[[#This Row],[累计净值]]/MAX(INDIRECT("B21:B" &amp; ROW()))-1&lt;E169,表2_367162629303421[[#This Row],[累计净值]]/MAX(INDIRECT("B21:B" &amp; ROW()))-1,E169)</f>
        <v>-9.9502487562188602E-3</v>
      </c>
      <c r="F170" s="110">
        <f>表2_367162629303421[[#This Row],[累计净值]]</f>
        <v>1.077</v>
      </c>
      <c r="G170" s="170">
        <f>表2_367162629303421[[#This Row],[累计净值]]/$B$21-1</f>
        <v>7.1641791044776193E-2</v>
      </c>
    </row>
    <row r="171" spans="1:7" x14ac:dyDescent="0.2">
      <c r="A171" s="161">
        <v>43999</v>
      </c>
      <c r="B171" s="162">
        <v>1.0760000000000001</v>
      </c>
      <c r="C171" s="171">
        <f t="shared" si="6"/>
        <v>-9.9999999999988987E-4</v>
      </c>
      <c r="D171" s="168">
        <f t="shared" si="7"/>
        <v>-9.9999999999988987E-4</v>
      </c>
      <c r="E171" s="168">
        <f ca="1">IF(表2_367162629303421[[#This Row],[累计净值]]/MAX(INDIRECT("B21:B" &amp; ROW()))-1&lt;E170,表2_367162629303421[[#This Row],[累计净值]]/MAX(INDIRECT("B21:B" &amp; ROW()))-1,E170)</f>
        <v>-9.9502487562188602E-3</v>
      </c>
      <c r="F171" s="110">
        <f>表2_367162629303421[[#This Row],[累计净值]]</f>
        <v>1.0760000000000001</v>
      </c>
      <c r="G171" s="170">
        <f>表2_367162629303421[[#This Row],[累计净值]]/$B$21-1</f>
        <v>7.0646766169154329E-2</v>
      </c>
    </row>
    <row r="172" spans="1:7" x14ac:dyDescent="0.2">
      <c r="A172" s="161">
        <v>44000</v>
      </c>
      <c r="B172" s="162">
        <v>1.075</v>
      </c>
      <c r="C172" s="171">
        <f t="shared" si="6"/>
        <v>-1.0000000000001119E-3</v>
      </c>
      <c r="D172" s="168">
        <f t="shared" si="7"/>
        <v>-1.0000000000001119E-3</v>
      </c>
      <c r="E172" s="168">
        <f ca="1">IF(表2_367162629303421[[#This Row],[累计净值]]/MAX(INDIRECT("B21:B" &amp; ROW()))-1&lt;E171,表2_367162629303421[[#This Row],[累计净值]]/MAX(INDIRECT("B21:B" &amp; ROW()))-1,E171)</f>
        <v>-9.9502487562188602E-3</v>
      </c>
      <c r="F172" s="110">
        <f>表2_367162629303421[[#This Row],[累计净值]]</f>
        <v>1.075</v>
      </c>
      <c r="G172" s="170">
        <f>表2_367162629303421[[#This Row],[累计净值]]/$B$21-1</f>
        <v>6.9651741293532465E-2</v>
      </c>
    </row>
    <row r="173" spans="1:7" x14ac:dyDescent="0.2">
      <c r="A173" s="161">
        <v>44001</v>
      </c>
      <c r="B173" s="162">
        <v>1.069</v>
      </c>
      <c r="C173" s="171">
        <f t="shared" si="6"/>
        <v>-6.0000000000000053E-3</v>
      </c>
      <c r="D173" s="168">
        <f t="shared" si="7"/>
        <v>-6.0000000000000053E-3</v>
      </c>
      <c r="E173" s="168">
        <f ca="1">IF(表2_367162629303421[[#This Row],[累计净值]]/MAX(INDIRECT("B21:B" &amp; ROW()))-1&lt;E172,表2_367162629303421[[#This Row],[累计净值]]/MAX(INDIRECT("B21:B" &amp; ROW()))-1,E172)</f>
        <v>-9.9502487562188602E-3</v>
      </c>
      <c r="F173" s="110">
        <f>表2_367162629303421[[#This Row],[累计净值]]</f>
        <v>1.069</v>
      </c>
      <c r="G173" s="170">
        <f>表2_367162629303421[[#This Row],[累计净值]]/$B$21-1</f>
        <v>6.368159203980106E-2</v>
      </c>
    </row>
    <row r="174" spans="1:7" x14ac:dyDescent="0.2">
      <c r="A174" s="161">
        <v>44004</v>
      </c>
      <c r="B174" s="162">
        <v>1.071</v>
      </c>
      <c r="C174" s="171">
        <f t="shared" ref="C174:C179" si="8">IFERROR(B174-B173,0)</f>
        <v>2.0000000000000018E-3</v>
      </c>
      <c r="D174" s="168" t="str">
        <f t="shared" ref="D174:D179" si="9">IF(C174&lt;0,C174,"/")</f>
        <v>/</v>
      </c>
      <c r="E174" s="168">
        <f ca="1">IF(表2_367162629303421[[#This Row],[累计净值]]/MAX(INDIRECT("B21:B" &amp; ROW()))-1&lt;E173,表2_367162629303421[[#This Row],[累计净值]]/MAX(INDIRECT("B21:B" &amp; ROW()))-1,E173)</f>
        <v>-9.9502487562188602E-3</v>
      </c>
      <c r="F174" s="110">
        <f>表2_367162629303421[[#This Row],[累计净值]]</f>
        <v>1.071</v>
      </c>
      <c r="G174" s="170">
        <f>表2_367162629303421[[#This Row],[累计净值]]/$B$21-1</f>
        <v>6.5671641791044788E-2</v>
      </c>
    </row>
    <row r="175" spans="1:7" x14ac:dyDescent="0.2">
      <c r="A175" s="161">
        <v>44005</v>
      </c>
      <c r="B175" s="162">
        <v>1.0720000000000001</v>
      </c>
      <c r="C175" s="171">
        <f t="shared" si="8"/>
        <v>1.0000000000001119E-3</v>
      </c>
      <c r="D175" s="168" t="str">
        <f t="shared" si="9"/>
        <v>/</v>
      </c>
      <c r="E175" s="168">
        <f ca="1">IF(表2_367162629303421[[#This Row],[累计净值]]/MAX(INDIRECT("B21:B" &amp; ROW()))-1&lt;E174,表2_367162629303421[[#This Row],[累计净值]]/MAX(INDIRECT("B21:B" &amp; ROW()))-1,E174)</f>
        <v>-9.9502487562188602E-3</v>
      </c>
      <c r="F175" s="110">
        <f>表2_367162629303421[[#This Row],[累计净值]]</f>
        <v>1.0720000000000001</v>
      </c>
      <c r="G175" s="170">
        <f>表2_367162629303421[[#This Row],[累计净值]]/$B$21-1</f>
        <v>6.6666666666666874E-2</v>
      </c>
    </row>
    <row r="176" spans="1:7" x14ac:dyDescent="0.2">
      <c r="A176" s="161">
        <v>44006</v>
      </c>
      <c r="B176" s="162">
        <v>1.073</v>
      </c>
      <c r="C176" s="171">
        <f t="shared" si="8"/>
        <v>9.9999999999988987E-4</v>
      </c>
      <c r="D176" s="168" t="str">
        <f t="shared" si="9"/>
        <v>/</v>
      </c>
      <c r="E176" s="168">
        <f ca="1">IF(表2_367162629303421[[#This Row],[累计净值]]/MAX(INDIRECT("B21:B" &amp; ROW()))-1&lt;E175,表2_367162629303421[[#This Row],[累计净值]]/MAX(INDIRECT("B21:B" &amp; ROW()))-1,E175)</f>
        <v>-9.9502487562188602E-3</v>
      </c>
      <c r="F176" s="110">
        <f>表2_367162629303421[[#This Row],[累计净值]]</f>
        <v>1.073</v>
      </c>
      <c r="G176" s="170">
        <f>表2_367162629303421[[#This Row],[累计净值]]/$B$21-1</f>
        <v>6.7661691542288516E-2</v>
      </c>
    </row>
    <row r="177" spans="1:10" x14ac:dyDescent="0.2">
      <c r="A177" s="161">
        <v>44011</v>
      </c>
      <c r="B177" s="162">
        <v>1.0720000000000001</v>
      </c>
      <c r="C177" s="171">
        <f t="shared" si="8"/>
        <v>-9.9999999999988987E-4</v>
      </c>
      <c r="D177" s="168">
        <f t="shared" si="9"/>
        <v>-9.9999999999988987E-4</v>
      </c>
      <c r="E177" s="168">
        <f ca="1">IF(表2_367162629303421[[#This Row],[累计净值]]/MAX(INDIRECT("B21:B" &amp; ROW()))-1&lt;E176,表2_367162629303421[[#This Row],[累计净值]]/MAX(INDIRECT("B21:B" &amp; ROW()))-1,E176)</f>
        <v>-9.9502487562188602E-3</v>
      </c>
      <c r="F177" s="110">
        <f>表2_367162629303421[[#This Row],[累计净值]]</f>
        <v>1.0720000000000001</v>
      </c>
      <c r="G177" s="170">
        <f>表2_367162629303421[[#This Row],[累计净值]]/$B$21-1</f>
        <v>6.6666666666666874E-2</v>
      </c>
    </row>
    <row r="178" spans="1:10" x14ac:dyDescent="0.2">
      <c r="A178" s="161">
        <v>44012</v>
      </c>
      <c r="B178" s="162">
        <v>1.0720000000000001</v>
      </c>
      <c r="C178" s="171">
        <f t="shared" si="8"/>
        <v>0</v>
      </c>
      <c r="D178" s="168" t="str">
        <f t="shared" si="9"/>
        <v>/</v>
      </c>
      <c r="E178" s="168">
        <f ca="1">IF(表2_367162629303421[[#This Row],[累计净值]]/MAX(INDIRECT("B21:B" &amp; ROW()))-1&lt;E177,表2_367162629303421[[#This Row],[累计净值]]/MAX(INDIRECT("B21:B" &amp; ROW()))-1,E177)</f>
        <v>-9.9502487562188602E-3</v>
      </c>
      <c r="F178" s="110">
        <f>表2_367162629303421[[#This Row],[累计净值]]</f>
        <v>1.0720000000000001</v>
      </c>
      <c r="G178" s="170">
        <f>表2_367162629303421[[#This Row],[累计净值]]/$B$21-1</f>
        <v>6.6666666666666874E-2</v>
      </c>
    </row>
    <row r="179" spans="1:10" x14ac:dyDescent="0.2">
      <c r="A179" s="161">
        <v>44013</v>
      </c>
      <c r="B179" s="162">
        <v>1.0720000000000001</v>
      </c>
      <c r="C179" s="171">
        <f t="shared" si="8"/>
        <v>0</v>
      </c>
      <c r="D179" s="168" t="str">
        <f t="shared" si="9"/>
        <v>/</v>
      </c>
      <c r="E179" s="168">
        <f ca="1">IF(表2_367162629303421[[#This Row],[累计净值]]/MAX(INDIRECT("B21:B" &amp; ROW()))-1&lt;E178,表2_367162629303421[[#This Row],[累计净值]]/MAX(INDIRECT("B21:B" &amp; ROW()))-1,E178)</f>
        <v>-9.9502487562188602E-3</v>
      </c>
      <c r="F179" s="110">
        <f>表2_367162629303421[[#This Row],[累计净值]]</f>
        <v>1.0720000000000001</v>
      </c>
      <c r="G179" s="170">
        <f>表2_367162629303421[[#This Row],[累计净值]]/$B$21-1</f>
        <v>6.6666666666666874E-2</v>
      </c>
    </row>
    <row r="180" spans="1:10" x14ac:dyDescent="0.2">
      <c r="A180" s="161">
        <v>44014</v>
      </c>
      <c r="B180" s="162">
        <v>1.071</v>
      </c>
      <c r="C180" s="171">
        <f>IFERROR(B180-B179,0)</f>
        <v>-1.0000000000001119E-3</v>
      </c>
      <c r="D180" s="168">
        <f>IF(C180&lt;0,C180,"/")</f>
        <v>-1.0000000000001119E-3</v>
      </c>
      <c r="E180" s="168">
        <f ca="1">IF(表2_367162629303421[[#This Row],[累计净值]]/MAX(INDIRECT("B21:B" &amp; ROW()))-1&lt;E179,表2_367162629303421[[#This Row],[累计净值]]/MAX(INDIRECT("B21:B" &amp; ROW()))-1,E179)</f>
        <v>-9.9502487562188602E-3</v>
      </c>
      <c r="F180" s="110">
        <f>表2_367162629303421[[#This Row],[累计净值]]</f>
        <v>1.071</v>
      </c>
      <c r="G180" s="170">
        <f>表2_367162629303421[[#This Row],[累计净值]]/$B$21-1</f>
        <v>6.5671641791044788E-2</v>
      </c>
    </row>
    <row r="181" spans="1:10" x14ac:dyDescent="0.2">
      <c r="A181" s="161">
        <v>44015</v>
      </c>
      <c r="B181" s="162">
        <v>1.071</v>
      </c>
      <c r="C181" s="171">
        <f>IFERROR(B181-B180,0)</f>
        <v>0</v>
      </c>
      <c r="D181" s="168" t="str">
        <f>IF(C181&lt;0,C181,"/")</f>
        <v>/</v>
      </c>
      <c r="E181" s="168">
        <f ca="1">IF(表2_367162629303421[[#This Row],[累计净值]]/MAX(INDIRECT("B21:B" &amp; ROW()))-1&lt;E180,表2_367162629303421[[#This Row],[累计净值]]/MAX(INDIRECT("B21:B" &amp; ROW()))-1,E180)</f>
        <v>-9.9502487562188602E-3</v>
      </c>
      <c r="F181" s="110">
        <f>表2_367162629303421[[#This Row],[累计净值]]</f>
        <v>1.071</v>
      </c>
      <c r="G181" s="170">
        <f>表2_367162629303421[[#This Row],[累计净值]]/$B$21-1</f>
        <v>6.5671641791044788E-2</v>
      </c>
    </row>
    <row r="182" spans="1:10" x14ac:dyDescent="0.2">
      <c r="A182" s="161">
        <v>44018</v>
      </c>
      <c r="B182" s="162">
        <v>1.075</v>
      </c>
      <c r="C182" s="171">
        <f>IFERROR(B182-B181,0)</f>
        <v>4.0000000000000036E-3</v>
      </c>
      <c r="D182" s="168" t="str">
        <f>IF(C182&lt;0,C182,"/")</f>
        <v>/</v>
      </c>
      <c r="E182" s="168">
        <f ca="1">IF(表2_367162629303421[[#This Row],[累计净值]]/MAX(INDIRECT("B21:B" &amp; ROW()))-1&lt;E181,表2_367162629303421[[#This Row],[累计净值]]/MAX(INDIRECT("B21:B" &amp; ROW()))-1,E181)</f>
        <v>-9.9502487562188602E-3</v>
      </c>
      <c r="F182" s="110">
        <f>表2_367162629303421[[#This Row],[累计净值]]</f>
        <v>1.075</v>
      </c>
      <c r="G182" s="170">
        <f>表2_367162629303421[[#This Row],[累计净值]]/$B$21-1</f>
        <v>6.9651741293532465E-2</v>
      </c>
    </row>
    <row r="183" spans="1:10" x14ac:dyDescent="0.2">
      <c r="A183" s="161">
        <v>44019</v>
      </c>
      <c r="B183" s="162">
        <v>1.08</v>
      </c>
      <c r="C183" s="171">
        <f t="shared" ref="C183:C189" si="10">IFERROR(B183-B182,0)</f>
        <v>5.0000000000001155E-3</v>
      </c>
      <c r="D183" s="168" t="str">
        <f t="shared" ref="D183:D189" si="11">IF(C183&lt;0,C183,"/")</f>
        <v>/</v>
      </c>
      <c r="E183" s="168">
        <f ca="1">IF(表2_367162629303421[[#This Row],[累计净值]]/MAX(INDIRECT("B21:B" &amp; ROW()))-1&lt;E182,表2_367162629303421[[#This Row],[累计净值]]/MAX(INDIRECT("B21:B" &amp; ROW()))-1,E182)</f>
        <v>-9.9502487562188602E-3</v>
      </c>
      <c r="F183" s="110">
        <f>表2_367162629303421[[#This Row],[累计净值]]</f>
        <v>1.08</v>
      </c>
      <c r="G183" s="170">
        <f>表2_367162629303421[[#This Row],[累计净值]]/$B$21-1</f>
        <v>7.4626865671642006E-2</v>
      </c>
    </row>
    <row r="184" spans="1:10" x14ac:dyDescent="0.2">
      <c r="A184" s="161">
        <v>44020</v>
      </c>
      <c r="B184" s="162">
        <v>1.081</v>
      </c>
      <c r="C184" s="171">
        <f t="shared" si="10"/>
        <v>9.9999999999988987E-4</v>
      </c>
      <c r="D184" s="168" t="str">
        <f t="shared" si="11"/>
        <v>/</v>
      </c>
      <c r="E184" s="168">
        <f ca="1">IF(表2_367162629303421[[#This Row],[累计净值]]/MAX(INDIRECT("B21:B" &amp; ROW()))-1&lt;E183,表2_367162629303421[[#This Row],[累计净值]]/MAX(INDIRECT("B21:B" &amp; ROW()))-1,E183)</f>
        <v>-9.9502487562188602E-3</v>
      </c>
      <c r="F184" s="110">
        <f>表2_367162629303421[[#This Row],[累计净值]]</f>
        <v>1.081</v>
      </c>
      <c r="G184" s="170">
        <f>表2_367162629303421[[#This Row],[累计净值]]/$B$21-1</f>
        <v>7.5621890547263648E-2</v>
      </c>
    </row>
    <row r="185" spans="1:10" x14ac:dyDescent="0.2">
      <c r="A185" s="161">
        <v>44021</v>
      </c>
      <c r="B185" s="162">
        <v>1.0820000000000001</v>
      </c>
      <c r="C185" s="171">
        <f t="shared" si="10"/>
        <v>1.0000000000001119E-3</v>
      </c>
      <c r="D185" s="168" t="str">
        <f t="shared" si="11"/>
        <v>/</v>
      </c>
      <c r="E185" s="168">
        <f ca="1">IF(表2_367162629303421[[#This Row],[累计净值]]/MAX(INDIRECT("B21:B" &amp; ROW()))-1&lt;E184,表2_367162629303421[[#This Row],[累计净值]]/MAX(INDIRECT("B21:B" &amp; ROW()))-1,E184)</f>
        <v>-9.9502487562188602E-3</v>
      </c>
      <c r="F185" s="110">
        <f>表2_367162629303421[[#This Row],[累计净值]]</f>
        <v>1.0820000000000001</v>
      </c>
      <c r="G185" s="170">
        <f>表2_367162629303421[[#This Row],[累计净值]]/$B$21-1</f>
        <v>7.6616915422885734E-2</v>
      </c>
    </row>
    <row r="186" spans="1:10" x14ac:dyDescent="0.2">
      <c r="A186" s="161">
        <v>44022</v>
      </c>
      <c r="B186" s="162">
        <v>1.085</v>
      </c>
      <c r="C186" s="171">
        <f t="shared" si="10"/>
        <v>2.9999999999998916E-3</v>
      </c>
      <c r="D186" s="168" t="str">
        <f t="shared" si="11"/>
        <v>/</v>
      </c>
      <c r="E186" s="168">
        <f ca="1">IF(表2_367162629303421[[#This Row],[累计净值]]/MAX(INDIRECT("B21:B" &amp; ROW()))-1&lt;E185,表2_367162629303421[[#This Row],[累计净值]]/MAX(INDIRECT("B21:B" &amp; ROW()))-1,E185)</f>
        <v>-9.9502487562188602E-3</v>
      </c>
      <c r="F186" s="110">
        <f>表2_367162629303421[[#This Row],[累计净值]]</f>
        <v>1.085</v>
      </c>
      <c r="G186" s="170">
        <f>表2_367162629303421[[#This Row],[累计净值]]/$B$21-1</f>
        <v>7.9601990049751326E-2</v>
      </c>
    </row>
    <row r="187" spans="1:10" x14ac:dyDescent="0.2">
      <c r="A187" s="161">
        <v>44025</v>
      </c>
      <c r="B187" s="162">
        <v>1.087</v>
      </c>
      <c r="C187" s="171">
        <f t="shared" si="10"/>
        <v>2.0000000000000018E-3</v>
      </c>
      <c r="D187" s="168" t="str">
        <f t="shared" si="11"/>
        <v>/</v>
      </c>
      <c r="E187" s="168">
        <f ca="1">IF(表2_367162629303421[[#This Row],[累计净值]]/MAX(INDIRECT("B21:B" &amp; ROW()))-1&lt;E186,表2_367162629303421[[#This Row],[累计净值]]/MAX(INDIRECT("B21:B" &amp; ROW()))-1,E186)</f>
        <v>-9.9502487562188602E-3</v>
      </c>
      <c r="F187" s="110">
        <f>表2_367162629303421[[#This Row],[累计净值]]</f>
        <v>1.087</v>
      </c>
      <c r="G187" s="170">
        <f>表2_367162629303421[[#This Row],[累计净值]]/$B$21-1</f>
        <v>8.1592039800995053E-2</v>
      </c>
    </row>
    <row r="188" spans="1:10" x14ac:dyDescent="0.2">
      <c r="A188" s="161">
        <v>44026</v>
      </c>
      <c r="B188" s="162">
        <v>1.089</v>
      </c>
      <c r="C188" s="171">
        <f t="shared" si="10"/>
        <v>2.0000000000000018E-3</v>
      </c>
      <c r="D188" s="168" t="str">
        <f t="shared" si="11"/>
        <v>/</v>
      </c>
      <c r="E188" s="168">
        <f ca="1">IF(表2_367162629303421[[#This Row],[累计净值]]/MAX(INDIRECT("B21:B" &amp; ROW()))-1&lt;E187,表2_367162629303421[[#This Row],[累计净值]]/MAX(INDIRECT("B21:B" &amp; ROW()))-1,E187)</f>
        <v>-9.9502487562188602E-3</v>
      </c>
      <c r="F188" s="110">
        <f>表2_367162629303421[[#This Row],[累计净值]]</f>
        <v>1.089</v>
      </c>
      <c r="G188" s="170">
        <f>表2_367162629303421[[#This Row],[累计净值]]/$B$21-1</f>
        <v>8.3582089552238781E-2</v>
      </c>
      <c r="J188" s="195"/>
    </row>
    <row r="189" spans="1:10" x14ac:dyDescent="0.2">
      <c r="A189" s="161">
        <v>44027</v>
      </c>
      <c r="B189" s="162">
        <v>1.0880000000000001</v>
      </c>
      <c r="C189" s="171">
        <f t="shared" si="10"/>
        <v>-9.9999999999988987E-4</v>
      </c>
      <c r="D189" s="168">
        <f t="shared" si="11"/>
        <v>-9.9999999999988987E-4</v>
      </c>
      <c r="E189" s="168">
        <f ca="1">IF(表2_367162629303421[[#This Row],[累计净值]]/MAX(INDIRECT("B21:B" &amp; ROW()))-1&lt;E188,表2_367162629303421[[#This Row],[累计净值]]/MAX(INDIRECT("B21:B" &amp; ROW()))-1,E188)</f>
        <v>-9.9502487562188602E-3</v>
      </c>
      <c r="F189" s="110">
        <f>表2_367162629303421[[#This Row],[累计净值]]</f>
        <v>1.0880000000000001</v>
      </c>
      <c r="G189" s="170">
        <f>表2_367162629303421[[#This Row],[累计净值]]/$B$21-1</f>
        <v>8.2587064676617139E-2</v>
      </c>
      <c r="J189" s="195"/>
    </row>
    <row r="190" spans="1:10" x14ac:dyDescent="0.2">
      <c r="A190" s="161">
        <v>44028</v>
      </c>
      <c r="B190" s="162">
        <v>1.097</v>
      </c>
      <c r="C190" s="171">
        <f t="shared" ref="C190:C201" si="12">IFERROR(B190-B189,0)</f>
        <v>8.999999999999897E-3</v>
      </c>
      <c r="D190" s="168" t="str">
        <f t="shared" ref="D190:D201" si="13">IF(C190&lt;0,C190,"/")</f>
        <v>/</v>
      </c>
      <c r="E190" s="168">
        <f ca="1">IF(表2_367162629303421[[#This Row],[累计净值]]/MAX(INDIRECT("B21:B" &amp; ROW()))-1&lt;E189,表2_367162629303421[[#This Row],[累计净值]]/MAX(INDIRECT("B21:B" &amp; ROW()))-1,E189)</f>
        <v>-9.9502487562188602E-3</v>
      </c>
      <c r="F190" s="110">
        <f>表2_367162629303421[[#This Row],[累计净值]]</f>
        <v>1.097</v>
      </c>
      <c r="G190" s="170">
        <f>表2_367162629303421[[#This Row],[累计净值]]/$B$21-1</f>
        <v>9.1542288557213913E-2</v>
      </c>
      <c r="J190" s="195"/>
    </row>
    <row r="191" spans="1:10" x14ac:dyDescent="0.2">
      <c r="A191" s="161">
        <v>44029</v>
      </c>
      <c r="B191" s="162">
        <v>1.099</v>
      </c>
      <c r="C191" s="171">
        <f t="shared" si="12"/>
        <v>2.0000000000000018E-3</v>
      </c>
      <c r="D191" s="168" t="str">
        <f t="shared" si="13"/>
        <v>/</v>
      </c>
      <c r="E191" s="168">
        <f ca="1">IF(表2_367162629303421[[#This Row],[累计净值]]/MAX(INDIRECT("B21:B" &amp; ROW()))-1&lt;E190,表2_367162629303421[[#This Row],[累计净值]]/MAX(INDIRECT("B21:B" &amp; ROW()))-1,E190)</f>
        <v>-9.9502487562188602E-3</v>
      </c>
      <c r="F191" s="110">
        <f>表2_367162629303421[[#This Row],[累计净值]]</f>
        <v>1.099</v>
      </c>
      <c r="G191" s="170">
        <f>表2_367162629303421[[#This Row],[累计净值]]/$B$21-1</f>
        <v>9.3532338308457863E-2</v>
      </c>
      <c r="J191" s="195"/>
    </row>
    <row r="192" spans="1:10" x14ac:dyDescent="0.2">
      <c r="A192" s="161">
        <v>44032</v>
      </c>
      <c r="B192" s="162">
        <v>1.099</v>
      </c>
      <c r="C192" s="171">
        <f t="shared" si="12"/>
        <v>0</v>
      </c>
      <c r="D192" s="168" t="str">
        <f t="shared" si="13"/>
        <v>/</v>
      </c>
      <c r="E192" s="168">
        <f ca="1">IF(表2_367162629303421[[#This Row],[累计净值]]/MAX(INDIRECT("B21:B" &amp; ROW()))-1&lt;E191,表2_367162629303421[[#This Row],[累计净值]]/MAX(INDIRECT("B21:B" &amp; ROW()))-1,E191)</f>
        <v>-9.9502487562188602E-3</v>
      </c>
      <c r="F192" s="110">
        <f>表2_367162629303421[[#This Row],[累计净值]]</f>
        <v>1.099</v>
      </c>
      <c r="G192" s="170">
        <f>表2_367162629303421[[#This Row],[累计净值]]/$B$21-1</f>
        <v>9.3532338308457863E-2</v>
      </c>
      <c r="J192" s="195"/>
    </row>
    <row r="193" spans="1:10" x14ac:dyDescent="0.2">
      <c r="A193" s="161">
        <v>44033</v>
      </c>
      <c r="B193" s="162">
        <v>1.1000000000000001</v>
      </c>
      <c r="C193" s="171">
        <f t="shared" si="12"/>
        <v>1.0000000000001119E-3</v>
      </c>
      <c r="D193" s="168" t="str">
        <f t="shared" si="13"/>
        <v>/</v>
      </c>
      <c r="E193" s="168">
        <f ca="1">IF(表2_367162629303421[[#This Row],[累计净值]]/MAX(INDIRECT("B21:B" &amp; ROW()))-1&lt;E192,表2_367162629303421[[#This Row],[累计净值]]/MAX(INDIRECT("B21:B" &amp; ROW()))-1,E192)</f>
        <v>-9.9502487562188602E-3</v>
      </c>
      <c r="F193" s="110">
        <f>表2_367162629303421[[#This Row],[累计净值]]</f>
        <v>1.1000000000000001</v>
      </c>
      <c r="G193" s="170">
        <f>表2_367162629303421[[#This Row],[累计净值]]/$B$21-1</f>
        <v>9.4527363184079727E-2</v>
      </c>
      <c r="J193" s="195"/>
    </row>
    <row r="194" spans="1:10" x14ac:dyDescent="0.2">
      <c r="A194" s="161">
        <v>44034</v>
      </c>
      <c r="B194" s="162">
        <v>1.1020000000000001</v>
      </c>
      <c r="C194" s="171">
        <f t="shared" si="12"/>
        <v>2.0000000000000018E-3</v>
      </c>
      <c r="D194" s="168" t="str">
        <f t="shared" si="13"/>
        <v>/</v>
      </c>
      <c r="E194" s="168">
        <f ca="1">IF(表2_367162629303421[[#This Row],[累计净值]]/MAX(INDIRECT("B21:B" &amp; ROW()))-1&lt;E193,表2_367162629303421[[#This Row],[累计净值]]/MAX(INDIRECT("B21:B" &amp; ROW()))-1,E193)</f>
        <v>-9.9502487562188602E-3</v>
      </c>
      <c r="F194" s="110">
        <f>表2_367162629303421[[#This Row],[累计净值]]</f>
        <v>1.1020000000000001</v>
      </c>
      <c r="G194" s="170">
        <f>表2_367162629303421[[#This Row],[累计净值]]/$B$21-1</f>
        <v>9.6517412935323676E-2</v>
      </c>
    </row>
    <row r="195" spans="1:10" x14ac:dyDescent="0.2">
      <c r="A195" s="161">
        <v>44035</v>
      </c>
      <c r="B195" s="162">
        <v>1.1020000000000001</v>
      </c>
      <c r="C195" s="171">
        <f t="shared" si="12"/>
        <v>0</v>
      </c>
      <c r="D195" s="168" t="str">
        <f t="shared" si="13"/>
        <v>/</v>
      </c>
      <c r="E195" s="168">
        <f ca="1">IF(表2_367162629303421[[#This Row],[累计净值]]/MAX(INDIRECT("B21:B" &amp; ROW()))-1&lt;E194,表2_367162629303421[[#This Row],[累计净值]]/MAX(INDIRECT("B21:B" &amp; ROW()))-1,E194)</f>
        <v>-9.9502487562188602E-3</v>
      </c>
      <c r="F195" s="110">
        <f>表2_367162629303421[[#This Row],[累计净值]]</f>
        <v>1.1020000000000001</v>
      </c>
      <c r="G195" s="170">
        <f>表2_367162629303421[[#This Row],[累计净值]]/$B$21-1</f>
        <v>9.6517412935323676E-2</v>
      </c>
    </row>
    <row r="196" spans="1:10" x14ac:dyDescent="0.2">
      <c r="A196" s="173">
        <v>44036</v>
      </c>
      <c r="B196" s="174">
        <v>1.103</v>
      </c>
      <c r="C196" s="175">
        <f t="shared" si="12"/>
        <v>9.9999999999988987E-4</v>
      </c>
      <c r="D196" s="164" t="str">
        <f t="shared" si="13"/>
        <v>/</v>
      </c>
      <c r="E196" s="164">
        <f ca="1">IF(表2_367162629303421[[#This Row],[累计净值]]/MAX(INDIRECT("B21:B" &amp; ROW()))-1&lt;E195,表2_367162629303421[[#This Row],[累计净值]]/MAX(INDIRECT("B21:B" &amp; ROW()))-1,E195)</f>
        <v>-9.9502487562188602E-3</v>
      </c>
      <c r="F196" s="193">
        <f>表2_367162629303421[[#This Row],[累计净值]]</f>
        <v>1.103</v>
      </c>
      <c r="G196" s="184">
        <f>表2_367162629303421[[#This Row],[累计净值]]/$B$21-1</f>
        <v>9.7512437810945318E-2</v>
      </c>
      <c r="H196" s="177" t="s">
        <v>37</v>
      </c>
    </row>
    <row r="197" spans="1:10" x14ac:dyDescent="0.2">
      <c r="A197" s="161">
        <v>44039</v>
      </c>
      <c r="B197" s="162">
        <v>1.1060000000000001</v>
      </c>
      <c r="C197" s="171">
        <f t="shared" si="12"/>
        <v>3.0000000000001137E-3</v>
      </c>
      <c r="D197" s="168" t="str">
        <f t="shared" si="13"/>
        <v>/</v>
      </c>
      <c r="E197" s="168">
        <f ca="1">IF(表2_367162629303421[[#This Row],[累计净值]]/MAX(INDIRECT("B21:B" &amp; ROW()))-1&lt;E196,表2_367162629303421[[#This Row],[累计净值]]/MAX(INDIRECT("B21:B" &amp; ROW()))-1,E196)</f>
        <v>-9.9502487562188602E-3</v>
      </c>
      <c r="F197" s="110">
        <f>表2_367162629303421[[#This Row],[累计净值]]</f>
        <v>1.1060000000000001</v>
      </c>
      <c r="G197" s="170">
        <f>表2_367162629303421[[#This Row],[累计净值]]/$B$21-1</f>
        <v>0.10049751243781113</v>
      </c>
      <c r="H197" s="170">
        <f>表2_367162629303421[[#This Row],[单位净值]]/$F$196-1</f>
        <v>2.7198549410698547E-3</v>
      </c>
    </row>
    <row r="198" spans="1:10" x14ac:dyDescent="0.2">
      <c r="A198" s="161">
        <v>44040</v>
      </c>
      <c r="B198" s="162">
        <v>1.105</v>
      </c>
      <c r="C198" s="171">
        <f t="shared" si="12"/>
        <v>-1.0000000000001119E-3</v>
      </c>
      <c r="D198" s="168">
        <f t="shared" si="13"/>
        <v>-1.0000000000001119E-3</v>
      </c>
      <c r="E198" s="168">
        <f ca="1">IF(表2_367162629303421[[#This Row],[累计净值]]/MAX(INDIRECT("B21:B" &amp; ROW()))-1&lt;E197,表2_367162629303421[[#This Row],[累计净值]]/MAX(INDIRECT("B21:B" &amp; ROW()))-1,E197)</f>
        <v>-9.9502487562188602E-3</v>
      </c>
      <c r="F198" s="110">
        <f>表2_367162629303421[[#This Row],[累计净值]]</f>
        <v>1.105</v>
      </c>
      <c r="G198" s="170">
        <f>表2_367162629303421[[#This Row],[累计净值]]/$B$21-1</f>
        <v>9.9502487562189046E-2</v>
      </c>
      <c r="H198" s="170">
        <f>表2_367162629303421[[#This Row],[单位净值]]/$F$196-1</f>
        <v>1.8132366273799772E-3</v>
      </c>
    </row>
    <row r="199" spans="1:10" x14ac:dyDescent="0.2">
      <c r="A199" s="161">
        <v>44041</v>
      </c>
      <c r="B199" s="162">
        <v>1.105</v>
      </c>
      <c r="C199" s="171">
        <f t="shared" si="12"/>
        <v>0</v>
      </c>
      <c r="D199" s="168" t="str">
        <f t="shared" si="13"/>
        <v>/</v>
      </c>
      <c r="E199" s="168">
        <f ca="1">IF(表2_367162629303421[[#This Row],[累计净值]]/MAX(INDIRECT("B21:B" &amp; ROW()))-1&lt;E198,表2_367162629303421[[#This Row],[累计净值]]/MAX(INDIRECT("B21:B" &amp; ROW()))-1,E198)</f>
        <v>-9.9502487562188602E-3</v>
      </c>
      <c r="F199" s="110">
        <f>表2_367162629303421[[#This Row],[累计净值]]</f>
        <v>1.105</v>
      </c>
      <c r="G199" s="170">
        <f>表2_367162629303421[[#This Row],[累计净值]]/$B$21-1</f>
        <v>9.9502487562189046E-2</v>
      </c>
      <c r="H199" s="170">
        <f>表2_367162629303421[[#This Row],[单位净值]]/$F$196-1</f>
        <v>1.8132366273799772E-3</v>
      </c>
    </row>
    <row r="200" spans="1:10" x14ac:dyDescent="0.2">
      <c r="A200" s="161">
        <v>44042</v>
      </c>
      <c r="B200" s="162">
        <v>1.1060000000000001</v>
      </c>
      <c r="C200" s="171">
        <f t="shared" si="12"/>
        <v>1.0000000000001119E-3</v>
      </c>
      <c r="D200" s="168" t="str">
        <f t="shared" si="13"/>
        <v>/</v>
      </c>
      <c r="E200" s="168">
        <f ca="1">IF(表2_367162629303421[[#This Row],[累计净值]]/MAX(INDIRECT("B21:B" &amp; ROW()))-1&lt;E199,表2_367162629303421[[#This Row],[累计净值]]/MAX(INDIRECT("B21:B" &amp; ROW()))-1,E199)</f>
        <v>-9.9502487562188602E-3</v>
      </c>
      <c r="F200" s="110">
        <f>表2_367162629303421[[#This Row],[累计净值]]</f>
        <v>1.1060000000000001</v>
      </c>
      <c r="G200" s="170">
        <f>表2_367162629303421[[#This Row],[累计净值]]/$B$21-1</f>
        <v>0.10049751243781113</v>
      </c>
      <c r="H200" s="170">
        <f>表2_367162629303421[[#This Row],[单位净值]]/$F$196-1</f>
        <v>2.7198549410698547E-3</v>
      </c>
    </row>
    <row r="201" spans="1:10" x14ac:dyDescent="0.2">
      <c r="A201" s="161">
        <v>44043</v>
      </c>
      <c r="B201" s="162">
        <v>1.1080000000000001</v>
      </c>
      <c r="C201" s="171">
        <f t="shared" si="12"/>
        <v>2.0000000000000018E-3</v>
      </c>
      <c r="D201" s="168" t="str">
        <f t="shared" si="13"/>
        <v>/</v>
      </c>
      <c r="E201" s="168">
        <f ca="1">IF(表2_367162629303421[[#This Row],[累计净值]]/MAX(INDIRECT("B21:B" &amp; ROW()))-1&lt;E200,表2_367162629303421[[#This Row],[累计净值]]/MAX(INDIRECT("B21:B" &amp; ROW()))-1,E200)</f>
        <v>-9.9502487562188602E-3</v>
      </c>
      <c r="F201" s="110">
        <f>表2_367162629303421[[#This Row],[累计净值]]</f>
        <v>1.1080000000000001</v>
      </c>
      <c r="G201" s="170">
        <f>表2_367162629303421[[#This Row],[累计净值]]/$B$21-1</f>
        <v>0.10248756218905486</v>
      </c>
      <c r="H201" s="170">
        <f>表2_367162629303421[[#This Row],[单位净值]]/$F$196-1</f>
        <v>4.5330915684498319E-3</v>
      </c>
    </row>
    <row r="202" spans="1:10" x14ac:dyDescent="0.2">
      <c r="A202" s="161">
        <v>44046</v>
      </c>
      <c r="B202" s="162">
        <v>1.109</v>
      </c>
      <c r="C202" s="171">
        <f t="shared" ref="C202:C207" si="14">IFERROR(B202-B201,0)</f>
        <v>9.9999999999988987E-4</v>
      </c>
      <c r="D202" s="168" t="str">
        <f t="shared" ref="D202:D207" si="15">IF(C202&lt;0,C202,"/")</f>
        <v>/</v>
      </c>
      <c r="E202" s="168">
        <f ca="1">IF(表2_367162629303421[[#This Row],[累计净值]]/MAX(INDIRECT("B21:B" &amp; ROW()))-1&lt;E201,表2_367162629303421[[#This Row],[累计净值]]/MAX(INDIRECT("B21:B" &amp; ROW()))-1,E201)</f>
        <v>-9.9502487562188602E-3</v>
      </c>
      <c r="F202" s="110">
        <f>表2_367162629303421[[#This Row],[累计净值]]</f>
        <v>1.109</v>
      </c>
      <c r="G202" s="170">
        <f>表2_367162629303421[[#This Row],[累计净值]]/$B$21-1</f>
        <v>0.10348258706467672</v>
      </c>
      <c r="H202" s="170">
        <f>表2_367162629303421[[#This Row],[单位净值]]/$F$196-1</f>
        <v>5.4397098821397094E-3</v>
      </c>
    </row>
    <row r="203" spans="1:10" x14ac:dyDescent="0.2">
      <c r="A203" s="161">
        <v>44047</v>
      </c>
      <c r="B203" s="162">
        <v>1.1060000000000001</v>
      </c>
      <c r="C203" s="171">
        <f t="shared" si="14"/>
        <v>-2.9999999999998916E-3</v>
      </c>
      <c r="D203" s="168">
        <f t="shared" si="15"/>
        <v>-2.9999999999998916E-3</v>
      </c>
      <c r="E203" s="168">
        <f ca="1">IF(表2_367162629303421[[#This Row],[累计净值]]/MAX(INDIRECT("B21:B" &amp; ROW()))-1&lt;E202,表2_367162629303421[[#This Row],[累计净值]]/MAX(INDIRECT("B21:B" &amp; ROW()))-1,E202)</f>
        <v>-9.9502487562188602E-3</v>
      </c>
      <c r="F203" s="110">
        <f>表2_367162629303421[[#This Row],[累计净值]]</f>
        <v>1.1060000000000001</v>
      </c>
      <c r="G203" s="170">
        <f>表2_367162629303421[[#This Row],[累计净值]]/$B$21-1</f>
        <v>0.10049751243781113</v>
      </c>
      <c r="H203" s="170">
        <f>表2_367162629303421[[#This Row],[单位净值]]/$F$196-1</f>
        <v>2.7198549410698547E-3</v>
      </c>
    </row>
    <row r="204" spans="1:10" x14ac:dyDescent="0.2">
      <c r="A204" s="161">
        <v>44048</v>
      </c>
      <c r="B204" s="162">
        <v>1.1080000000000001</v>
      </c>
      <c r="C204" s="171">
        <f t="shared" si="14"/>
        <v>2.0000000000000018E-3</v>
      </c>
      <c r="D204" s="168" t="str">
        <f t="shared" si="15"/>
        <v>/</v>
      </c>
      <c r="E204" s="168">
        <f ca="1">IF(表2_367162629303421[[#This Row],[累计净值]]/MAX(INDIRECT("B21:B" &amp; ROW()))-1&lt;E203,表2_367162629303421[[#This Row],[累计净值]]/MAX(INDIRECT("B21:B" &amp; ROW()))-1,E203)</f>
        <v>-9.9502487562188602E-3</v>
      </c>
      <c r="F204" s="110">
        <f>表2_367162629303421[[#This Row],[累计净值]]</f>
        <v>1.1080000000000001</v>
      </c>
      <c r="G204" s="170">
        <f>表2_367162629303421[[#This Row],[累计净值]]/$B$21-1</f>
        <v>0.10248756218905486</v>
      </c>
      <c r="H204" s="170">
        <f>表2_367162629303421[[#This Row],[单位净值]]/$F$196-1</f>
        <v>4.5330915684498319E-3</v>
      </c>
    </row>
    <row r="205" spans="1:10" x14ac:dyDescent="0.2">
      <c r="A205" s="161">
        <v>44049</v>
      </c>
      <c r="B205" s="162">
        <v>1.109</v>
      </c>
      <c r="C205" s="171">
        <f t="shared" si="14"/>
        <v>9.9999999999988987E-4</v>
      </c>
      <c r="D205" s="168" t="str">
        <f t="shared" si="15"/>
        <v>/</v>
      </c>
      <c r="E205" s="168">
        <f ca="1">IF(表2_367162629303421[[#This Row],[累计净值]]/MAX(INDIRECT("B21:B" &amp; ROW()))-1&lt;E204,表2_367162629303421[[#This Row],[累计净值]]/MAX(INDIRECT("B21:B" &amp; ROW()))-1,E204)</f>
        <v>-9.9502487562188602E-3</v>
      </c>
      <c r="F205" s="110">
        <f>表2_367162629303421[[#This Row],[累计净值]]</f>
        <v>1.109</v>
      </c>
      <c r="G205" s="170">
        <f>表2_367162629303421[[#This Row],[累计净值]]/$B$21-1</f>
        <v>0.10348258706467672</v>
      </c>
      <c r="H205" s="170">
        <f>表2_367162629303421[[#This Row],[单位净值]]/$F$196-1</f>
        <v>5.4397098821397094E-3</v>
      </c>
    </row>
    <row r="206" spans="1:10" x14ac:dyDescent="0.2">
      <c r="A206" s="161">
        <v>44050</v>
      </c>
      <c r="B206" s="162">
        <v>1.1080000000000001</v>
      </c>
      <c r="C206" s="171">
        <f t="shared" si="14"/>
        <v>-9.9999999999988987E-4</v>
      </c>
      <c r="D206" s="168">
        <f t="shared" si="15"/>
        <v>-9.9999999999988987E-4</v>
      </c>
      <c r="E206" s="168">
        <f ca="1">IF(表2_367162629303421[[#This Row],[累计净值]]/MAX(INDIRECT("B21:B" &amp; ROW()))-1&lt;E205,表2_367162629303421[[#This Row],[累计净值]]/MAX(INDIRECT("B21:B" &amp; ROW()))-1,E205)</f>
        <v>-9.9502487562188602E-3</v>
      </c>
      <c r="F206" s="110">
        <f>表2_367162629303421[[#This Row],[累计净值]]</f>
        <v>1.1080000000000001</v>
      </c>
      <c r="G206" s="170">
        <f>表2_367162629303421[[#This Row],[累计净值]]/$B$21-1</f>
        <v>0.10248756218905486</v>
      </c>
      <c r="H206" s="170">
        <f>表2_367162629303421[[#This Row],[单位净值]]/$F$196-1</f>
        <v>4.5330915684498319E-3</v>
      </c>
    </row>
    <row r="207" spans="1:10" x14ac:dyDescent="0.2">
      <c r="A207" s="161">
        <v>44053</v>
      </c>
      <c r="B207" s="162">
        <v>1.1080000000000001</v>
      </c>
      <c r="C207" s="171">
        <f t="shared" si="14"/>
        <v>0</v>
      </c>
      <c r="D207" s="168" t="str">
        <f t="shared" si="15"/>
        <v>/</v>
      </c>
      <c r="E207" s="168">
        <f ca="1">IF(表2_367162629303421[[#This Row],[累计净值]]/MAX(INDIRECT("B21:B" &amp; ROW()))-1&lt;E206,表2_367162629303421[[#This Row],[累计净值]]/MAX(INDIRECT("B21:B" &amp; ROW()))-1,E206)</f>
        <v>-9.9502487562188602E-3</v>
      </c>
      <c r="F207" s="110">
        <f>表2_367162629303421[[#This Row],[累计净值]]</f>
        <v>1.1080000000000001</v>
      </c>
      <c r="G207" s="170">
        <f>表2_367162629303421[[#This Row],[累计净值]]/$B$21-1</f>
        <v>0.10248756218905486</v>
      </c>
      <c r="H207" s="170">
        <f>表2_367162629303421[[#This Row],[单位净值]]/$F$196-1</f>
        <v>4.5330915684498319E-3</v>
      </c>
    </row>
    <row r="208" spans="1:10" x14ac:dyDescent="0.2">
      <c r="A208" s="161">
        <v>44054</v>
      </c>
      <c r="B208" s="162">
        <v>1.105</v>
      </c>
      <c r="C208" s="171">
        <f t="shared" ref="C208:C213" si="16">IFERROR(B208-B207,0)</f>
        <v>-3.0000000000001137E-3</v>
      </c>
      <c r="D208" s="168">
        <f t="shared" ref="D208:D213" si="17">IF(C208&lt;0,C208,"/")</f>
        <v>-3.0000000000001137E-3</v>
      </c>
      <c r="E208" s="168">
        <f ca="1">IF(表2_367162629303421[[#This Row],[累计净值]]/MAX(INDIRECT("B21:B" &amp; ROW()))-1&lt;E207,表2_367162629303421[[#This Row],[累计净值]]/MAX(INDIRECT("B21:B" &amp; ROW()))-1,E207)</f>
        <v>-9.9502487562188602E-3</v>
      </c>
      <c r="F208" s="110">
        <f>表2_367162629303421[[#This Row],[累计净值]]</f>
        <v>1.105</v>
      </c>
      <c r="G208" s="170">
        <f>表2_367162629303421[[#This Row],[累计净值]]/$B$21-1</f>
        <v>9.9502487562189046E-2</v>
      </c>
      <c r="H208" s="170">
        <f>表2_367162629303421[[#This Row],[单位净值]]/$F$196-1</f>
        <v>1.8132366273799772E-3</v>
      </c>
    </row>
    <row r="209" spans="1:8" x14ac:dyDescent="0.2">
      <c r="A209" s="161">
        <v>44055</v>
      </c>
      <c r="B209" s="178">
        <v>1.119</v>
      </c>
      <c r="C209" s="171">
        <f t="shared" si="16"/>
        <v>1.4000000000000012E-2</v>
      </c>
      <c r="D209" s="168" t="str">
        <f t="shared" si="17"/>
        <v>/</v>
      </c>
      <c r="E209" s="168">
        <f ca="1">IF(表2_367162629303421[[#This Row],[累计净值]]/MAX(INDIRECT("B21:B" &amp; ROW()))-1&lt;E208,表2_367162629303421[[#This Row],[累计净值]]/MAX(INDIRECT("B21:B" &amp; ROW()))-1,E208)</f>
        <v>-9.9502487562188602E-3</v>
      </c>
      <c r="F209" s="110">
        <f>表2_367162629303421[[#This Row],[累计净值]]</f>
        <v>1.119</v>
      </c>
      <c r="G209" s="170">
        <f>表2_367162629303421[[#This Row],[累计净值]]/$B$21-1</f>
        <v>0.11343283582089558</v>
      </c>
      <c r="H209" s="170">
        <f>表2_367162629303421[[#This Row],[单位净值]]/$F$196-1</f>
        <v>1.4505893019038929E-2</v>
      </c>
    </row>
    <row r="210" spans="1:8" x14ac:dyDescent="0.2">
      <c r="A210" s="161">
        <v>44056</v>
      </c>
      <c r="B210" s="162">
        <v>1.117</v>
      </c>
      <c r="C210" s="171">
        <f t="shared" si="16"/>
        <v>-2.0000000000000018E-3</v>
      </c>
      <c r="D210" s="168">
        <f t="shared" si="17"/>
        <v>-2.0000000000000018E-3</v>
      </c>
      <c r="E210" s="168">
        <f ca="1">IF(表2_367162629303421[[#This Row],[累计净值]]/MAX(INDIRECT("B21:B" &amp; ROW()))-1&lt;E209,表2_367162629303421[[#This Row],[累计净值]]/MAX(INDIRECT("B21:B" &amp; ROW()))-1,E209)</f>
        <v>-9.9502487562188602E-3</v>
      </c>
      <c r="F210" s="110">
        <f>表2_367162629303421[[#This Row],[累计净值]]</f>
        <v>1.117</v>
      </c>
      <c r="G210" s="170">
        <f>表2_367162629303421[[#This Row],[累计净值]]/$B$21-1</f>
        <v>0.11144278606965186</v>
      </c>
      <c r="H210" s="170">
        <f>表2_367162629303421[[#This Row],[单位净值]]/$F$196-1</f>
        <v>1.2692656391659174E-2</v>
      </c>
    </row>
    <row r="211" spans="1:8" x14ac:dyDescent="0.2">
      <c r="A211" s="161">
        <v>44057</v>
      </c>
      <c r="B211" s="162">
        <v>1.117</v>
      </c>
      <c r="C211" s="171">
        <f t="shared" si="16"/>
        <v>0</v>
      </c>
      <c r="D211" s="168" t="str">
        <f t="shared" si="17"/>
        <v>/</v>
      </c>
      <c r="E211" s="168">
        <f ca="1">IF(表2_367162629303421[[#This Row],[累计净值]]/MAX(INDIRECT("B21:B" &amp; ROW()))-1&lt;E210,表2_367162629303421[[#This Row],[累计净值]]/MAX(INDIRECT("B21:B" &amp; ROW()))-1,E210)</f>
        <v>-9.9502487562188602E-3</v>
      </c>
      <c r="F211" s="110">
        <f>表2_367162629303421[[#This Row],[累计净值]]</f>
        <v>1.117</v>
      </c>
      <c r="G211" s="170">
        <f>表2_367162629303421[[#This Row],[累计净值]]/$B$21-1</f>
        <v>0.11144278606965186</v>
      </c>
      <c r="H211" s="170">
        <f>表2_367162629303421[[#This Row],[单位净值]]/$F$196-1</f>
        <v>1.2692656391659174E-2</v>
      </c>
    </row>
    <row r="212" spans="1:8" x14ac:dyDescent="0.2">
      <c r="A212" s="161">
        <v>44060</v>
      </c>
      <c r="B212" s="162">
        <v>1.107</v>
      </c>
      <c r="C212" s="171">
        <f t="shared" si="16"/>
        <v>-1.0000000000000009E-2</v>
      </c>
      <c r="D212" s="168">
        <f t="shared" si="17"/>
        <v>-1.0000000000000009E-2</v>
      </c>
      <c r="E212" s="168">
        <f ca="1">IF(表2_367162629303421[[#This Row],[累计净值]]/MAX(INDIRECT("B21:B" &amp; ROW()))-1&lt;E211,表2_367162629303421[[#This Row],[累计净值]]/MAX(INDIRECT("B21:B" &amp; ROW()))-1,E211)</f>
        <v>-1.072386058981234E-2</v>
      </c>
      <c r="F212" s="110">
        <f>表2_367162629303421[[#This Row],[累计净值]]</f>
        <v>1.107</v>
      </c>
      <c r="G212" s="170">
        <f>表2_367162629303421[[#This Row],[累计净值]]/$B$21-1</f>
        <v>0.101492537313433</v>
      </c>
      <c r="H212" s="170">
        <f>表2_367162629303421[[#This Row],[单位净值]]/$F$196-1</f>
        <v>3.6264732547597323E-3</v>
      </c>
    </row>
    <row r="213" spans="1:8" x14ac:dyDescent="0.2">
      <c r="A213" s="161">
        <v>44061</v>
      </c>
      <c r="B213" s="162">
        <v>1.101</v>
      </c>
      <c r="C213" s="171">
        <f t="shared" si="16"/>
        <v>-6.0000000000000053E-3</v>
      </c>
      <c r="D213" s="168">
        <f t="shared" si="17"/>
        <v>-6.0000000000000053E-3</v>
      </c>
      <c r="E213" s="168">
        <f ca="1">IF(表2_367162629303421[[#This Row],[累计净值]]/MAX(INDIRECT("B21:B" &amp; ROW()))-1&lt;E212,表2_367162629303421[[#This Row],[累计净值]]/MAX(INDIRECT("B21:B" &amp; ROW()))-1,E212)</f>
        <v>-1.6085790884718509E-2</v>
      </c>
      <c r="F213" s="110">
        <f>表2_367162629303421[[#This Row],[累计净值]]</f>
        <v>1.101</v>
      </c>
      <c r="G213" s="170">
        <f>表2_367162629303421[[#This Row],[累计净值]]/$B$21-1</f>
        <v>9.5522388059701591E-2</v>
      </c>
      <c r="H213" s="170">
        <f>表2_367162629303421[[#This Row],[单位净值]]/$F$196-1</f>
        <v>-1.8132366273798661E-3</v>
      </c>
    </row>
    <row r="214" spans="1:8" x14ac:dyDescent="0.2">
      <c r="A214" s="161">
        <v>44062</v>
      </c>
      <c r="B214" s="162">
        <v>1.101</v>
      </c>
      <c r="C214" s="171">
        <f t="shared" ref="C214:C219" si="18">IFERROR(B214-B213,0)</f>
        <v>0</v>
      </c>
      <c r="D214" s="168" t="str">
        <f t="shared" ref="D214:D219" si="19">IF(C214&lt;0,C214,"/")</f>
        <v>/</v>
      </c>
      <c r="E214" s="168">
        <f ca="1">IF(表2_367162629303421[[#This Row],[累计净值]]/MAX(INDIRECT("B21:B" &amp; ROW()))-1&lt;E213,表2_367162629303421[[#This Row],[累计净值]]/MAX(INDIRECT("B21:B" &amp; ROW()))-1,E213)</f>
        <v>-1.6085790884718509E-2</v>
      </c>
      <c r="F214" s="110">
        <f>表2_367162629303421[[#This Row],[累计净值]]</f>
        <v>1.101</v>
      </c>
      <c r="G214" s="170">
        <f>表2_367162629303421[[#This Row],[累计净值]]/$B$21-1</f>
        <v>9.5522388059701591E-2</v>
      </c>
      <c r="H214" s="170">
        <f>表2_367162629303421[[#This Row],[单位净值]]/$F$196-1</f>
        <v>-1.8132366273798661E-3</v>
      </c>
    </row>
    <row r="215" spans="1:8" x14ac:dyDescent="0.2">
      <c r="A215" s="161">
        <v>44063</v>
      </c>
      <c r="B215" s="162">
        <v>1.101</v>
      </c>
      <c r="C215" s="171">
        <f t="shared" si="18"/>
        <v>0</v>
      </c>
      <c r="D215" s="168" t="str">
        <f t="shared" si="19"/>
        <v>/</v>
      </c>
      <c r="E215" s="168">
        <f ca="1">IF(表2_367162629303421[[#This Row],[累计净值]]/MAX(INDIRECT("B21:B" &amp; ROW()))-1&lt;E214,表2_367162629303421[[#This Row],[累计净值]]/MAX(INDIRECT("B21:B" &amp; ROW()))-1,E214)</f>
        <v>-1.6085790884718509E-2</v>
      </c>
      <c r="F215" s="110">
        <f>表2_367162629303421[[#This Row],[累计净值]]</f>
        <v>1.101</v>
      </c>
      <c r="G215" s="170">
        <f>表2_367162629303421[[#This Row],[累计净值]]/$B$21-1</f>
        <v>9.5522388059701591E-2</v>
      </c>
      <c r="H215" s="170">
        <f>表2_367162629303421[[#This Row],[单位净值]]/$F$196-1</f>
        <v>-1.8132366273798661E-3</v>
      </c>
    </row>
    <row r="216" spans="1:8" x14ac:dyDescent="0.2">
      <c r="A216" s="161">
        <v>44064</v>
      </c>
      <c r="B216" s="162">
        <v>1.1020000000000001</v>
      </c>
      <c r="C216" s="171">
        <f t="shared" si="18"/>
        <v>1.0000000000001119E-3</v>
      </c>
      <c r="D216" s="168" t="str">
        <f t="shared" si="19"/>
        <v>/</v>
      </c>
      <c r="E216" s="168">
        <f ca="1">IF(表2_367162629303421[[#This Row],[累计净值]]/MAX(INDIRECT("B21:B" &amp; ROW()))-1&lt;E215,表2_367162629303421[[#This Row],[累计净值]]/MAX(INDIRECT("B21:B" &amp; ROW()))-1,E215)</f>
        <v>-1.6085790884718509E-2</v>
      </c>
      <c r="F216" s="110">
        <f>表2_367162629303421[[#This Row],[累计净值]]</f>
        <v>1.1020000000000001</v>
      </c>
      <c r="G216" s="170">
        <f>表2_367162629303421[[#This Row],[累计净值]]/$B$21-1</f>
        <v>9.6517412935323676E-2</v>
      </c>
      <c r="H216" s="170">
        <f>表2_367162629303421[[#This Row],[单位净值]]/$F$196-1</f>
        <v>-9.0661831368987755E-4</v>
      </c>
    </row>
    <row r="217" spans="1:8" x14ac:dyDescent="0.2">
      <c r="A217" s="161">
        <v>44067</v>
      </c>
      <c r="B217" s="162">
        <v>1.105</v>
      </c>
      <c r="C217" s="171">
        <f t="shared" si="18"/>
        <v>2.9999999999998916E-3</v>
      </c>
      <c r="D217" s="168" t="str">
        <f t="shared" si="19"/>
        <v>/</v>
      </c>
      <c r="E217" s="168">
        <f ca="1">IF(表2_367162629303421[[#This Row],[累计净值]]/MAX(INDIRECT("B21:B" &amp; ROW()))-1&lt;E216,表2_367162629303421[[#This Row],[累计净值]]/MAX(INDIRECT("B21:B" &amp; ROW()))-1,E216)</f>
        <v>-1.6085790884718509E-2</v>
      </c>
      <c r="F217" s="110">
        <f>表2_367162629303421[[#This Row],[累计净值]]</f>
        <v>1.105</v>
      </c>
      <c r="G217" s="170">
        <f>表2_367162629303421[[#This Row],[累计净值]]/$B$21-1</f>
        <v>9.9502487562189046E-2</v>
      </c>
      <c r="H217" s="170">
        <f>表2_367162629303421[[#This Row],[单位净值]]/$F$196-1</f>
        <v>1.8132366273799772E-3</v>
      </c>
    </row>
    <row r="218" spans="1:8" x14ac:dyDescent="0.2">
      <c r="A218" s="161">
        <v>44068</v>
      </c>
      <c r="B218" s="162">
        <v>1.1060000000000001</v>
      </c>
      <c r="C218" s="171">
        <f t="shared" si="18"/>
        <v>1.0000000000001119E-3</v>
      </c>
      <c r="D218" s="168" t="str">
        <f t="shared" si="19"/>
        <v>/</v>
      </c>
      <c r="E218" s="168">
        <f ca="1">IF(表2_367162629303421[[#This Row],[累计净值]]/MAX(INDIRECT("B21:B" &amp; ROW()))-1&lt;E217,表2_367162629303421[[#This Row],[累计净值]]/MAX(INDIRECT("B21:B" &amp; ROW()))-1,E217)</f>
        <v>-1.6085790884718509E-2</v>
      </c>
      <c r="F218" s="110">
        <f>表2_367162629303421[[#This Row],[累计净值]]</f>
        <v>1.1060000000000001</v>
      </c>
      <c r="G218" s="170">
        <f>表2_367162629303421[[#This Row],[累计净值]]/$B$21-1</f>
        <v>0.10049751243781113</v>
      </c>
      <c r="H218" s="170">
        <f>表2_367162629303421[[#This Row],[单位净值]]/$F$196-1</f>
        <v>2.7198549410698547E-3</v>
      </c>
    </row>
    <row r="219" spans="1:8" x14ac:dyDescent="0.2">
      <c r="A219" s="161">
        <v>44069</v>
      </c>
      <c r="B219" s="162">
        <v>1.1040000000000001</v>
      </c>
      <c r="C219" s="171">
        <f t="shared" si="18"/>
        <v>-2.0000000000000018E-3</v>
      </c>
      <c r="D219" s="168">
        <f t="shared" si="19"/>
        <v>-2.0000000000000018E-3</v>
      </c>
      <c r="E219" s="168">
        <f ca="1">IF(表2_367162629303421[[#This Row],[累计净值]]/MAX(INDIRECT("B21:B" &amp; ROW()))-1&lt;E218,表2_367162629303421[[#This Row],[累计净值]]/MAX(INDIRECT("B21:B" &amp; ROW()))-1,E218)</f>
        <v>-1.6085790884718509E-2</v>
      </c>
      <c r="F219" s="110">
        <f>表2_367162629303421[[#This Row],[累计净值]]</f>
        <v>1.1040000000000001</v>
      </c>
      <c r="G219" s="170">
        <f>表2_367162629303421[[#This Row],[累计净值]]/$B$21-1</f>
        <v>9.8507462686567404E-2</v>
      </c>
      <c r="H219" s="170">
        <f>表2_367162629303421[[#This Row],[单位净值]]/$F$196-1</f>
        <v>9.066183136900996E-4</v>
      </c>
    </row>
    <row r="220" spans="1:8" x14ac:dyDescent="0.2">
      <c r="A220" s="161">
        <v>44070</v>
      </c>
      <c r="B220" s="162">
        <v>1.105</v>
      </c>
      <c r="C220" s="171">
        <f t="shared" ref="C220:C226" si="20">IFERROR(B220-B219,0)</f>
        <v>9.9999999999988987E-4</v>
      </c>
      <c r="D220" s="168" t="str">
        <f t="shared" ref="D220:D226" si="21">IF(C220&lt;0,C220,"/")</f>
        <v>/</v>
      </c>
      <c r="E220" s="168">
        <f ca="1">IF(表2_367162629303421[[#This Row],[累计净值]]/MAX(INDIRECT("B21:B" &amp; ROW()))-1&lt;E219,表2_367162629303421[[#This Row],[累计净值]]/MAX(INDIRECT("B21:B" &amp; ROW()))-1,E219)</f>
        <v>-1.6085790884718509E-2</v>
      </c>
      <c r="F220" s="110">
        <f>表2_367162629303421[[#This Row],[累计净值]]</f>
        <v>1.105</v>
      </c>
      <c r="G220" s="170">
        <f>表2_367162629303421[[#This Row],[累计净值]]/$B$21-1</f>
        <v>9.9502487562189046E-2</v>
      </c>
      <c r="H220" s="170">
        <f>表2_367162629303421[[#This Row],[单位净值]]/$F$196-1</f>
        <v>1.8132366273799772E-3</v>
      </c>
    </row>
    <row r="221" spans="1:8" x14ac:dyDescent="0.2">
      <c r="A221" s="161">
        <v>44071</v>
      </c>
      <c r="B221" s="162">
        <v>1.1060000000000001</v>
      </c>
      <c r="C221" s="171">
        <f t="shared" si="20"/>
        <v>1.0000000000001119E-3</v>
      </c>
      <c r="D221" s="168" t="str">
        <f t="shared" si="21"/>
        <v>/</v>
      </c>
      <c r="E221" s="168">
        <f ca="1">IF(表2_367162629303421[[#This Row],[累计净值]]/MAX(INDIRECT("B21:B" &amp; ROW()))-1&lt;E220,表2_367162629303421[[#This Row],[累计净值]]/MAX(INDIRECT("B21:B" &amp; ROW()))-1,E220)</f>
        <v>-1.6085790884718509E-2</v>
      </c>
      <c r="F221" s="110">
        <f>表2_367162629303421[[#This Row],[累计净值]]</f>
        <v>1.1060000000000001</v>
      </c>
      <c r="G221" s="170">
        <f>表2_367162629303421[[#This Row],[累计净值]]/$B$21-1</f>
        <v>0.10049751243781113</v>
      </c>
      <c r="H221" s="170">
        <f>表2_367162629303421[[#This Row],[单位净值]]/$F$196-1</f>
        <v>2.7198549410698547E-3</v>
      </c>
    </row>
    <row r="222" spans="1:8" x14ac:dyDescent="0.2">
      <c r="A222" s="161">
        <v>44074</v>
      </c>
      <c r="B222" s="162">
        <v>1.1060000000000001</v>
      </c>
      <c r="C222" s="171">
        <f t="shared" si="20"/>
        <v>0</v>
      </c>
      <c r="D222" s="168" t="str">
        <f t="shared" si="21"/>
        <v>/</v>
      </c>
      <c r="E222" s="168">
        <f ca="1">IF(表2_367162629303421[[#This Row],[累计净值]]/MAX(INDIRECT("B21:B" &amp; ROW()))-1&lt;E221,表2_367162629303421[[#This Row],[累计净值]]/MAX(INDIRECT("B21:B" &amp; ROW()))-1,E221)</f>
        <v>-1.6085790884718509E-2</v>
      </c>
      <c r="F222" s="110">
        <f>表2_367162629303421[[#This Row],[累计净值]]</f>
        <v>1.1060000000000001</v>
      </c>
      <c r="G222" s="170">
        <f>表2_367162629303421[[#This Row],[累计净值]]/$B$21-1</f>
        <v>0.10049751243781113</v>
      </c>
      <c r="H222" s="170">
        <f>表2_367162629303421[[#This Row],[单位净值]]/$F$196-1</f>
        <v>2.7198549410698547E-3</v>
      </c>
    </row>
    <row r="223" spans="1:8" x14ac:dyDescent="0.2">
      <c r="A223" s="161">
        <v>44075</v>
      </c>
      <c r="B223" s="162">
        <v>1.1060000000000001</v>
      </c>
      <c r="C223" s="171">
        <f t="shared" si="20"/>
        <v>0</v>
      </c>
      <c r="D223" s="168" t="str">
        <f t="shared" si="21"/>
        <v>/</v>
      </c>
      <c r="E223" s="168">
        <f ca="1">IF(表2_367162629303421[[#This Row],[累计净值]]/MAX(INDIRECT("B21:B" &amp; ROW()))-1&lt;E222,表2_367162629303421[[#This Row],[累计净值]]/MAX(INDIRECT("B21:B" &amp; ROW()))-1,E222)</f>
        <v>-1.6085790884718509E-2</v>
      </c>
      <c r="F223" s="110">
        <f>表2_367162629303421[[#This Row],[累计净值]]</f>
        <v>1.1060000000000001</v>
      </c>
      <c r="G223" s="170">
        <f>表2_367162629303421[[#This Row],[累计净值]]/$B$21-1</f>
        <v>0.10049751243781113</v>
      </c>
      <c r="H223" s="170">
        <f>表2_367162629303421[[#This Row],[单位净值]]/$F$196-1</f>
        <v>2.7198549410698547E-3</v>
      </c>
    </row>
    <row r="224" spans="1:8" x14ac:dyDescent="0.2">
      <c r="A224" s="161">
        <v>44076</v>
      </c>
      <c r="B224" s="162">
        <v>1.105</v>
      </c>
      <c r="C224" s="171">
        <f t="shared" si="20"/>
        <v>-1.0000000000001119E-3</v>
      </c>
      <c r="D224" s="168">
        <f t="shared" si="21"/>
        <v>-1.0000000000001119E-3</v>
      </c>
      <c r="E224" s="168">
        <f ca="1">IF(表2_367162629303421[[#This Row],[累计净值]]/MAX(INDIRECT("B21:B" &amp; ROW()))-1&lt;E223,表2_367162629303421[[#This Row],[累计净值]]/MAX(INDIRECT("B21:B" &amp; ROW()))-1,E223)</f>
        <v>-1.6085790884718509E-2</v>
      </c>
      <c r="F224" s="110">
        <f>表2_367162629303421[[#This Row],[累计净值]]</f>
        <v>1.105</v>
      </c>
      <c r="G224" s="170">
        <f>表2_367162629303421[[#This Row],[累计净值]]/$B$21-1</f>
        <v>9.9502487562189046E-2</v>
      </c>
      <c r="H224" s="170">
        <f>表2_367162629303421[[#This Row],[单位净值]]/$F$196-1</f>
        <v>1.8132366273799772E-3</v>
      </c>
    </row>
    <row r="225" spans="1:8" x14ac:dyDescent="0.2">
      <c r="A225" s="161">
        <v>44077</v>
      </c>
      <c r="B225" s="162">
        <v>1.107</v>
      </c>
      <c r="C225" s="171">
        <f t="shared" si="20"/>
        <v>2.0000000000000018E-3</v>
      </c>
      <c r="D225" s="168" t="str">
        <f t="shared" si="21"/>
        <v>/</v>
      </c>
      <c r="E225" s="168">
        <f ca="1">IF(表2_367162629303421[[#This Row],[累计净值]]/MAX(INDIRECT("B21:B" &amp; ROW()))-1&lt;E224,表2_367162629303421[[#This Row],[累计净值]]/MAX(INDIRECT("B21:B" &amp; ROW()))-1,E224)</f>
        <v>-1.6085790884718509E-2</v>
      </c>
      <c r="F225" s="110">
        <f>表2_367162629303421[[#This Row],[累计净值]]</f>
        <v>1.107</v>
      </c>
      <c r="G225" s="170">
        <f>表2_367162629303421[[#This Row],[累计净值]]/$B$21-1</f>
        <v>0.101492537313433</v>
      </c>
      <c r="H225" s="170">
        <f>表2_367162629303421[[#This Row],[单位净值]]/$F$196-1</f>
        <v>3.6264732547597323E-3</v>
      </c>
    </row>
    <row r="226" spans="1:8" x14ac:dyDescent="0.2">
      <c r="A226" s="161">
        <v>44078</v>
      </c>
      <c r="B226" s="162">
        <v>1.1080000000000001</v>
      </c>
      <c r="C226" s="171">
        <f t="shared" si="20"/>
        <v>1.0000000000001119E-3</v>
      </c>
      <c r="D226" s="168" t="str">
        <f t="shared" si="21"/>
        <v>/</v>
      </c>
      <c r="E226" s="168">
        <f ca="1">IF(表2_367162629303421[[#This Row],[累计净值]]/MAX(INDIRECT("B21:B" &amp; ROW()))-1&lt;E225,表2_367162629303421[[#This Row],[累计净值]]/MAX(INDIRECT("B21:B" &amp; ROW()))-1,E225)</f>
        <v>-1.6085790884718509E-2</v>
      </c>
      <c r="F226" s="110">
        <f>表2_367162629303421[[#This Row],[累计净值]]</f>
        <v>1.1080000000000001</v>
      </c>
      <c r="G226" s="170">
        <f>表2_367162629303421[[#This Row],[累计净值]]/$B$21-1</f>
        <v>0.10248756218905486</v>
      </c>
      <c r="H226" s="170">
        <f>表2_367162629303421[[#This Row],[单位净值]]/$F$196-1</f>
        <v>4.5330915684498319E-3</v>
      </c>
    </row>
    <row r="227" spans="1:8" x14ac:dyDescent="0.2">
      <c r="A227" s="161">
        <v>44081</v>
      </c>
      <c r="B227" s="162">
        <v>1.1100000000000001</v>
      </c>
      <c r="C227" s="171">
        <f t="shared" ref="C227:C232" si="22">IFERROR(B227-B226,0)</f>
        <v>2.0000000000000018E-3</v>
      </c>
      <c r="D227" s="168" t="str">
        <f t="shared" ref="D227:D232" si="23">IF(C227&lt;0,C227,"/")</f>
        <v>/</v>
      </c>
      <c r="E227" s="168">
        <f ca="1">IF(表2_367162629303421[[#This Row],[累计净值]]/MAX(INDIRECT("B21:B" &amp; ROW()))-1&lt;E226,表2_367162629303421[[#This Row],[累计净值]]/MAX(INDIRECT("B21:B" &amp; ROW()))-1,E226)</f>
        <v>-1.6085790884718509E-2</v>
      </c>
      <c r="F227" s="110">
        <f>表2_367162629303421[[#This Row],[累计净值]]</f>
        <v>1.1100000000000001</v>
      </c>
      <c r="G227" s="170">
        <f>表2_367162629303421[[#This Row],[累计净值]]/$B$21-1</f>
        <v>0.10447761194029881</v>
      </c>
      <c r="H227" s="170">
        <f>表2_367162629303421[[#This Row],[单位净值]]/$F$196-1</f>
        <v>6.346328195829587E-3</v>
      </c>
    </row>
    <row r="228" spans="1:8" x14ac:dyDescent="0.2">
      <c r="A228" s="161">
        <v>44082</v>
      </c>
      <c r="B228" s="162">
        <v>1.109</v>
      </c>
      <c r="C228" s="171">
        <f t="shared" si="22"/>
        <v>-1.0000000000001119E-3</v>
      </c>
      <c r="D228" s="168">
        <f t="shared" si="23"/>
        <v>-1.0000000000001119E-3</v>
      </c>
      <c r="E228" s="168">
        <f ca="1">IF(表2_367162629303421[[#This Row],[累计净值]]/MAX(INDIRECT("B21:B" &amp; ROW()))-1&lt;E227,表2_367162629303421[[#This Row],[累计净值]]/MAX(INDIRECT("B21:B" &amp; ROW()))-1,E227)</f>
        <v>-1.6085790884718509E-2</v>
      </c>
      <c r="F228" s="110">
        <f>表2_367162629303421[[#This Row],[累计净值]]</f>
        <v>1.109</v>
      </c>
      <c r="G228" s="170">
        <f>表2_367162629303421[[#This Row],[累计净值]]/$B$21-1</f>
        <v>0.10348258706467672</v>
      </c>
      <c r="H228" s="170">
        <f>表2_367162629303421[[#This Row],[单位净值]]/$F$196-1</f>
        <v>5.4397098821397094E-3</v>
      </c>
    </row>
    <row r="229" spans="1:8" x14ac:dyDescent="0.2">
      <c r="A229" s="161">
        <v>44083</v>
      </c>
      <c r="B229" s="162">
        <v>1.111</v>
      </c>
      <c r="C229" s="171">
        <f t="shared" si="22"/>
        <v>2.0000000000000018E-3</v>
      </c>
      <c r="D229" s="168" t="str">
        <f t="shared" si="23"/>
        <v>/</v>
      </c>
      <c r="E229" s="168">
        <f ca="1">IF(表2_367162629303421[[#This Row],[累计净值]]/MAX(INDIRECT("B21:B" &amp; ROW()))-1&lt;E228,表2_367162629303421[[#This Row],[累计净值]]/MAX(INDIRECT("B21:B" &amp; ROW()))-1,E228)</f>
        <v>-1.6085790884718509E-2</v>
      </c>
      <c r="F229" s="110">
        <f>表2_367162629303421[[#This Row],[累计净值]]</f>
        <v>1.111</v>
      </c>
      <c r="G229" s="170">
        <f>表2_367162629303421[[#This Row],[累计净值]]/$B$21-1</f>
        <v>0.10547263681592045</v>
      </c>
      <c r="H229" s="170">
        <f>表2_367162629303421[[#This Row],[单位净值]]/$F$196-1</f>
        <v>7.2529465095194645E-3</v>
      </c>
    </row>
    <row r="230" spans="1:8" x14ac:dyDescent="0.2">
      <c r="A230" s="161">
        <v>44084</v>
      </c>
      <c r="B230" s="162">
        <v>1.1100000000000001</v>
      </c>
      <c r="C230" s="171">
        <f t="shared" si="22"/>
        <v>-9.9999999999988987E-4</v>
      </c>
      <c r="D230" s="168">
        <f t="shared" si="23"/>
        <v>-9.9999999999988987E-4</v>
      </c>
      <c r="E230" s="168">
        <f ca="1">IF(表2_367162629303421[[#This Row],[累计净值]]/MAX(INDIRECT("B21:B" &amp; ROW()))-1&lt;E229,表2_367162629303421[[#This Row],[累计净值]]/MAX(INDIRECT("B21:B" &amp; ROW()))-1,E229)</f>
        <v>-1.6085790884718509E-2</v>
      </c>
      <c r="F230" s="110">
        <f>表2_367162629303421[[#This Row],[累计净值]]</f>
        <v>1.1100000000000001</v>
      </c>
      <c r="G230" s="170">
        <f>表2_367162629303421[[#This Row],[累计净值]]/$B$21-1</f>
        <v>0.10447761194029881</v>
      </c>
      <c r="H230" s="170">
        <f>表2_367162629303421[[#This Row],[单位净值]]/$F$196-1</f>
        <v>6.346328195829587E-3</v>
      </c>
    </row>
    <row r="231" spans="1:8" x14ac:dyDescent="0.2">
      <c r="A231" s="161">
        <v>44085</v>
      </c>
      <c r="B231" s="162">
        <v>1.113</v>
      </c>
      <c r="C231" s="171">
        <f t="shared" si="22"/>
        <v>2.9999999999998916E-3</v>
      </c>
      <c r="D231" s="168" t="str">
        <f t="shared" si="23"/>
        <v>/</v>
      </c>
      <c r="E231" s="168">
        <f ca="1">IF(表2_367162629303421[[#This Row],[累计净值]]/MAX(INDIRECT("B21:B" &amp; ROW()))-1&lt;E230,表2_367162629303421[[#This Row],[累计净值]]/MAX(INDIRECT("B21:B" &amp; ROW()))-1,E230)</f>
        <v>-1.6085790884718509E-2</v>
      </c>
      <c r="F231" s="110">
        <f>表2_367162629303421[[#This Row],[累计净值]]</f>
        <v>1.113</v>
      </c>
      <c r="G231" s="170">
        <f>表2_367162629303421[[#This Row],[累计净值]]/$B$21-1</f>
        <v>0.10746268656716418</v>
      </c>
      <c r="H231" s="170">
        <f>表2_367162629303421[[#This Row],[单位净值]]/$F$196-1</f>
        <v>9.0661831368994417E-3</v>
      </c>
    </row>
    <row r="232" spans="1:8" x14ac:dyDescent="0.2">
      <c r="A232" s="161">
        <v>44088</v>
      </c>
      <c r="B232" s="162">
        <v>1.1120000000000001</v>
      </c>
      <c r="C232" s="171">
        <f t="shared" si="22"/>
        <v>-9.9999999999988987E-4</v>
      </c>
      <c r="D232" s="168">
        <f t="shared" si="23"/>
        <v>-9.9999999999988987E-4</v>
      </c>
      <c r="E232" s="168">
        <f ca="1">IF(表2_367162629303421[[#This Row],[累计净值]]/MAX(INDIRECT("B21:B" &amp; ROW()))-1&lt;E231,表2_367162629303421[[#This Row],[累计净值]]/MAX(INDIRECT("B21:B" &amp; ROW()))-1,E231)</f>
        <v>-1.6085790884718509E-2</v>
      </c>
      <c r="F232" s="110">
        <f>表2_367162629303421[[#This Row],[累计净值]]</f>
        <v>1.1120000000000001</v>
      </c>
      <c r="G232" s="170">
        <f>表2_367162629303421[[#This Row],[累计净值]]/$B$21-1</f>
        <v>0.10646766169154254</v>
      </c>
      <c r="H232" s="170">
        <f>表2_367162629303421[[#This Row],[单位净值]]/$F$196-1</f>
        <v>8.1595648232095641E-3</v>
      </c>
    </row>
    <row r="233" spans="1:8" x14ac:dyDescent="0.2">
      <c r="A233" s="161">
        <v>44089</v>
      </c>
      <c r="B233" s="162">
        <v>1.113</v>
      </c>
      <c r="C233" s="171">
        <f t="shared" ref="C233:C238" si="24">IFERROR(B233-B232,0)</f>
        <v>9.9999999999988987E-4</v>
      </c>
      <c r="D233" s="168" t="str">
        <f t="shared" ref="D233:D238" si="25">IF(C233&lt;0,C233,"/")</f>
        <v>/</v>
      </c>
      <c r="E233" s="168">
        <f ca="1">IF(表2_367162629303421[[#This Row],[累计净值]]/MAX(INDIRECT("B21:B" &amp; ROW()))-1&lt;E232,表2_367162629303421[[#This Row],[累计净值]]/MAX(INDIRECT("B21:B" &amp; ROW()))-1,E232)</f>
        <v>-1.6085790884718509E-2</v>
      </c>
      <c r="F233" s="110">
        <f>表2_367162629303421[[#This Row],[累计净值]]</f>
        <v>1.113</v>
      </c>
      <c r="G233" s="170">
        <f>表2_367162629303421[[#This Row],[累计净值]]/$B$21-1</f>
        <v>0.10746268656716418</v>
      </c>
      <c r="H233" s="170">
        <f>表2_367162629303421[[#This Row],[单位净值]]/$F$196-1</f>
        <v>9.0661831368994417E-3</v>
      </c>
    </row>
    <row r="234" spans="1:8" x14ac:dyDescent="0.2">
      <c r="A234" s="161">
        <v>44090</v>
      </c>
      <c r="B234" s="162">
        <v>1.1140000000000001</v>
      </c>
      <c r="C234" s="171">
        <f t="shared" si="24"/>
        <v>1.0000000000001119E-3</v>
      </c>
      <c r="D234" s="168" t="str">
        <f t="shared" si="25"/>
        <v>/</v>
      </c>
      <c r="E234" s="168">
        <f ca="1">IF(表2_367162629303421[[#This Row],[累计净值]]/MAX(INDIRECT("B21:B" &amp; ROW()))-1&lt;E233,表2_367162629303421[[#This Row],[累计净值]]/MAX(INDIRECT("B21:B" &amp; ROW()))-1,E233)</f>
        <v>-1.6085790884718509E-2</v>
      </c>
      <c r="F234" s="110">
        <f>表2_367162629303421[[#This Row],[累计净值]]</f>
        <v>1.1140000000000001</v>
      </c>
      <c r="G234" s="170">
        <f>表2_367162629303421[[#This Row],[累计净值]]/$B$21-1</f>
        <v>0.10845771144278626</v>
      </c>
      <c r="H234" s="170">
        <f>表2_367162629303421[[#This Row],[单位净值]]/$F$196-1</f>
        <v>9.9728014505893192E-3</v>
      </c>
    </row>
    <row r="235" spans="1:8" x14ac:dyDescent="0.2">
      <c r="A235" s="161">
        <v>44091</v>
      </c>
      <c r="B235" s="162">
        <v>1.115</v>
      </c>
      <c r="C235" s="171">
        <f t="shared" si="24"/>
        <v>9.9999999999988987E-4</v>
      </c>
      <c r="D235" s="168" t="str">
        <f t="shared" si="25"/>
        <v>/</v>
      </c>
      <c r="E235" s="168">
        <f ca="1">IF(表2_367162629303421[[#This Row],[累计净值]]/MAX(INDIRECT("B21:B" &amp; ROW()))-1&lt;E234,表2_367162629303421[[#This Row],[累计净值]]/MAX(INDIRECT("B21:B" &amp; ROW()))-1,E234)</f>
        <v>-1.6085790884718509E-2</v>
      </c>
      <c r="F235" s="110">
        <f>表2_367162629303421[[#This Row],[累计净值]]</f>
        <v>1.115</v>
      </c>
      <c r="G235" s="170">
        <f>表2_367162629303421[[#This Row],[累计净值]]/$B$21-1</f>
        <v>0.10945273631840813</v>
      </c>
      <c r="H235" s="170">
        <f>表2_367162629303421[[#This Row],[单位净值]]/$F$196-1</f>
        <v>1.0879419764279197E-2</v>
      </c>
    </row>
    <row r="236" spans="1:8" x14ac:dyDescent="0.2">
      <c r="A236" s="161">
        <v>44092</v>
      </c>
      <c r="B236" s="162">
        <v>1.113</v>
      </c>
      <c r="C236" s="171">
        <f t="shared" si="24"/>
        <v>-2.0000000000000018E-3</v>
      </c>
      <c r="D236" s="168">
        <f t="shared" si="25"/>
        <v>-2.0000000000000018E-3</v>
      </c>
      <c r="E236" s="168">
        <f ca="1">IF(表2_367162629303421[[#This Row],[累计净值]]/MAX(INDIRECT("B21:B" &amp; ROW()))-1&lt;E235,表2_367162629303421[[#This Row],[累计净值]]/MAX(INDIRECT("B21:B" &amp; ROW()))-1,E235)</f>
        <v>-1.6085790884718509E-2</v>
      </c>
      <c r="F236" s="110">
        <f>表2_367162629303421[[#This Row],[累计净值]]</f>
        <v>1.113</v>
      </c>
      <c r="G236" s="170">
        <f>表2_367162629303421[[#This Row],[累计净值]]/$B$21-1</f>
        <v>0.10746268656716418</v>
      </c>
      <c r="H236" s="170">
        <f>表2_367162629303421[[#This Row],[单位净值]]/$F$196-1</f>
        <v>9.0661831368994417E-3</v>
      </c>
    </row>
    <row r="237" spans="1:8" x14ac:dyDescent="0.2">
      <c r="A237" s="161">
        <v>44095</v>
      </c>
      <c r="B237" s="162">
        <v>1.1140000000000001</v>
      </c>
      <c r="C237" s="171">
        <f t="shared" si="24"/>
        <v>1.0000000000001119E-3</v>
      </c>
      <c r="D237" s="168" t="str">
        <f t="shared" si="25"/>
        <v>/</v>
      </c>
      <c r="E237" s="168">
        <f ca="1">IF(表2_367162629303421[[#This Row],[累计净值]]/MAX(INDIRECT("B21:B" &amp; ROW()))-1&lt;E236,表2_367162629303421[[#This Row],[累计净值]]/MAX(INDIRECT("B21:B" &amp; ROW()))-1,E236)</f>
        <v>-1.6085790884718509E-2</v>
      </c>
      <c r="F237" s="110">
        <f>表2_367162629303421[[#This Row],[累计净值]]</f>
        <v>1.1140000000000001</v>
      </c>
      <c r="G237" s="170">
        <f>表2_367162629303421[[#This Row],[累计净值]]/$B$21-1</f>
        <v>0.10845771144278626</v>
      </c>
      <c r="H237" s="170">
        <f>表2_367162629303421[[#This Row],[单位净值]]/$F$196-1</f>
        <v>9.9728014505893192E-3</v>
      </c>
    </row>
    <row r="238" spans="1:8" x14ac:dyDescent="0.2">
      <c r="A238" s="161">
        <v>44096</v>
      </c>
      <c r="B238" s="162">
        <v>1.1140000000000001</v>
      </c>
      <c r="C238" s="171">
        <f t="shared" si="24"/>
        <v>0</v>
      </c>
      <c r="D238" s="168" t="str">
        <f t="shared" si="25"/>
        <v>/</v>
      </c>
      <c r="E238" s="168">
        <f ca="1">IF(表2_367162629303421[[#This Row],[累计净值]]/MAX(INDIRECT("B21:B" &amp; ROW()))-1&lt;E237,表2_367162629303421[[#This Row],[累计净值]]/MAX(INDIRECT("B21:B" &amp; ROW()))-1,E237)</f>
        <v>-1.6085790884718509E-2</v>
      </c>
      <c r="F238" s="110">
        <f>表2_367162629303421[[#This Row],[累计净值]]</f>
        <v>1.1140000000000001</v>
      </c>
      <c r="G238" s="170">
        <f>表2_367162629303421[[#This Row],[累计净值]]/$B$21-1</f>
        <v>0.10845771144278626</v>
      </c>
      <c r="H238" s="170">
        <f>表2_367162629303421[[#This Row],[单位净值]]/$F$196-1</f>
        <v>9.9728014505893192E-3</v>
      </c>
    </row>
    <row r="239" spans="1:8" x14ac:dyDescent="0.2">
      <c r="A239" s="161">
        <v>44097</v>
      </c>
      <c r="B239" s="162">
        <v>1.113</v>
      </c>
      <c r="C239" s="171">
        <f t="shared" ref="C239:C245" si="26">IFERROR(B239-B238,0)</f>
        <v>-1.0000000000001119E-3</v>
      </c>
      <c r="D239" s="168">
        <f t="shared" ref="D239:D245" si="27">IF(C239&lt;0,C239,"/")</f>
        <v>-1.0000000000001119E-3</v>
      </c>
      <c r="E239" s="168">
        <f ca="1">IF(表2_367162629303421[[#This Row],[累计净值]]/MAX(INDIRECT("B21:B" &amp; ROW()))-1&lt;E238,表2_367162629303421[[#This Row],[累计净值]]/MAX(INDIRECT("B21:B" &amp; ROW()))-1,E238)</f>
        <v>-1.6085790884718509E-2</v>
      </c>
      <c r="F239" s="110">
        <f>表2_367162629303421[[#This Row],[累计净值]]</f>
        <v>1.113</v>
      </c>
      <c r="G239" s="170">
        <f>表2_367162629303421[[#This Row],[累计净值]]/$B$21-1</f>
        <v>0.10746268656716418</v>
      </c>
      <c r="H239" s="170">
        <f>表2_367162629303421[[#This Row],[单位净值]]/$F$196-1</f>
        <v>9.0661831368994417E-3</v>
      </c>
    </row>
    <row r="240" spans="1:8" x14ac:dyDescent="0.2">
      <c r="A240" s="161">
        <v>44098</v>
      </c>
      <c r="B240" s="162">
        <v>1.113</v>
      </c>
      <c r="C240" s="171">
        <f t="shared" si="26"/>
        <v>0</v>
      </c>
      <c r="D240" s="168" t="str">
        <f t="shared" si="27"/>
        <v>/</v>
      </c>
      <c r="E240" s="168">
        <f ca="1">IF(表2_367162629303421[[#This Row],[累计净值]]/MAX(INDIRECT("B21:B" &amp; ROW()))-1&lt;E239,表2_367162629303421[[#This Row],[累计净值]]/MAX(INDIRECT("B21:B" &amp; ROW()))-1,E239)</f>
        <v>-1.6085790884718509E-2</v>
      </c>
      <c r="F240" s="110">
        <f>表2_367162629303421[[#This Row],[累计净值]]</f>
        <v>1.113</v>
      </c>
      <c r="G240" s="170">
        <f>表2_367162629303421[[#This Row],[累计净值]]/$B$21-1</f>
        <v>0.10746268656716418</v>
      </c>
      <c r="H240" s="170">
        <f>表2_367162629303421[[#This Row],[单位净值]]/$F$196-1</f>
        <v>9.0661831368994417E-3</v>
      </c>
    </row>
    <row r="241" spans="1:8" x14ac:dyDescent="0.2">
      <c r="A241" s="161">
        <v>44099</v>
      </c>
      <c r="B241" s="162">
        <v>1.113</v>
      </c>
      <c r="C241" s="171">
        <f t="shared" si="26"/>
        <v>0</v>
      </c>
      <c r="D241" s="168" t="str">
        <f t="shared" si="27"/>
        <v>/</v>
      </c>
      <c r="E241" s="168">
        <f ca="1">IF(表2_367162629303421[[#This Row],[累计净值]]/MAX(INDIRECT("B21:B" &amp; ROW()))-1&lt;E240,表2_367162629303421[[#This Row],[累计净值]]/MAX(INDIRECT("B21:B" &amp; ROW()))-1,E240)</f>
        <v>-1.6085790884718509E-2</v>
      </c>
      <c r="F241" s="110">
        <f>表2_367162629303421[[#This Row],[累计净值]]</f>
        <v>1.113</v>
      </c>
      <c r="G241" s="170">
        <f>表2_367162629303421[[#This Row],[累计净值]]/$B$21-1</f>
        <v>0.10746268656716418</v>
      </c>
      <c r="H241" s="170">
        <f>表2_367162629303421[[#This Row],[单位净值]]/$F$196-1</f>
        <v>9.0661831368994417E-3</v>
      </c>
    </row>
    <row r="242" spans="1:8" x14ac:dyDescent="0.2">
      <c r="A242" s="161">
        <v>44102</v>
      </c>
      <c r="B242" s="162">
        <v>1.1120000000000001</v>
      </c>
      <c r="C242" s="171">
        <f t="shared" si="26"/>
        <v>-9.9999999999988987E-4</v>
      </c>
      <c r="D242" s="168">
        <f t="shared" si="27"/>
        <v>-9.9999999999988987E-4</v>
      </c>
      <c r="E242" s="168">
        <f ca="1">IF(表2_367162629303421[[#This Row],[累计净值]]/MAX(INDIRECT("B21:B" &amp; ROW()))-1&lt;E241,表2_367162629303421[[#This Row],[累计净值]]/MAX(INDIRECT("B21:B" &amp; ROW()))-1,E241)</f>
        <v>-1.6085790884718509E-2</v>
      </c>
      <c r="F242" s="110">
        <f>表2_367162629303421[[#This Row],[累计净值]]</f>
        <v>1.1120000000000001</v>
      </c>
      <c r="G242" s="170">
        <f>表2_367162629303421[[#This Row],[累计净值]]/$B$21-1</f>
        <v>0.10646766169154254</v>
      </c>
      <c r="H242" s="170">
        <f>表2_367162629303421[[#This Row],[单位净值]]/$F$196-1</f>
        <v>8.1595648232095641E-3</v>
      </c>
    </row>
    <row r="243" spans="1:8" x14ac:dyDescent="0.2">
      <c r="A243" s="161">
        <v>44103</v>
      </c>
      <c r="B243" s="162">
        <v>1.113</v>
      </c>
      <c r="C243" s="171">
        <f t="shared" si="26"/>
        <v>9.9999999999988987E-4</v>
      </c>
      <c r="D243" s="168" t="str">
        <f t="shared" si="27"/>
        <v>/</v>
      </c>
      <c r="E243" s="168">
        <f ca="1">IF(表2_367162629303421[[#This Row],[累计净值]]/MAX(INDIRECT("B21:B" &amp; ROW()))-1&lt;E242,表2_367162629303421[[#This Row],[累计净值]]/MAX(INDIRECT("B21:B" &amp; ROW()))-1,E242)</f>
        <v>-1.6085790884718509E-2</v>
      </c>
      <c r="F243" s="110">
        <f>表2_367162629303421[[#This Row],[累计净值]]</f>
        <v>1.113</v>
      </c>
      <c r="G243" s="170">
        <f>表2_367162629303421[[#This Row],[累计净值]]/$B$21-1</f>
        <v>0.10746268656716418</v>
      </c>
      <c r="H243" s="170">
        <f>表2_367162629303421[[#This Row],[单位净值]]/$F$196-1</f>
        <v>9.0661831368994417E-3</v>
      </c>
    </row>
    <row r="244" spans="1:8" x14ac:dyDescent="0.2">
      <c r="A244" s="161">
        <v>44104</v>
      </c>
      <c r="B244" s="162">
        <v>1.1120000000000001</v>
      </c>
      <c r="C244" s="171">
        <f t="shared" si="26"/>
        <v>-9.9999999999988987E-4</v>
      </c>
      <c r="D244" s="168">
        <f t="shared" si="27"/>
        <v>-9.9999999999988987E-4</v>
      </c>
      <c r="E244" s="168">
        <f ca="1">IF(表2_367162629303421[[#This Row],[累计净值]]/MAX(INDIRECT("B21:B" &amp; ROW()))-1&lt;E243,表2_367162629303421[[#This Row],[累计净值]]/MAX(INDIRECT("B21:B" &amp; ROW()))-1,E243)</f>
        <v>-1.6085790884718509E-2</v>
      </c>
      <c r="F244" s="110">
        <f>表2_367162629303421[[#This Row],[累计净值]]</f>
        <v>1.1120000000000001</v>
      </c>
      <c r="G244" s="170">
        <f>表2_367162629303421[[#This Row],[累计净值]]/$B$21-1</f>
        <v>0.10646766169154254</v>
      </c>
      <c r="H244" s="170">
        <f>表2_367162629303421[[#This Row],[单位净值]]/$F$196-1</f>
        <v>8.1595648232095641E-3</v>
      </c>
    </row>
    <row r="245" spans="1:8" x14ac:dyDescent="0.2">
      <c r="A245" s="161">
        <v>44113</v>
      </c>
      <c r="B245" s="162">
        <v>1.113</v>
      </c>
      <c r="C245" s="171">
        <f t="shared" si="26"/>
        <v>9.9999999999988987E-4</v>
      </c>
      <c r="D245" s="168" t="str">
        <f t="shared" si="27"/>
        <v>/</v>
      </c>
      <c r="E245" s="168">
        <f ca="1">IF(表2_367162629303421[[#This Row],[累计净值]]/MAX(INDIRECT("B21:B" &amp; ROW()))-1&lt;E244,表2_367162629303421[[#This Row],[累计净值]]/MAX(INDIRECT("B21:B" &amp; ROW()))-1,E244)</f>
        <v>-1.6085790884718509E-2</v>
      </c>
      <c r="F245" s="110">
        <f>表2_367162629303421[[#This Row],[累计净值]]</f>
        <v>1.113</v>
      </c>
      <c r="G245" s="170">
        <f>表2_367162629303421[[#This Row],[累计净值]]/$B$21-1</f>
        <v>0.10746268656716418</v>
      </c>
      <c r="H245" s="170">
        <f>表2_367162629303421[[#This Row],[单位净值]]/$F$196-1</f>
        <v>9.0661831368994417E-3</v>
      </c>
    </row>
    <row r="246" spans="1:8" x14ac:dyDescent="0.2">
      <c r="A246" s="161">
        <v>44116</v>
      </c>
      <c r="B246" s="162">
        <v>1.115</v>
      </c>
      <c r="C246" s="171">
        <f t="shared" ref="C246:C251" si="28">IFERROR(B246-B245,0)</f>
        <v>2.0000000000000018E-3</v>
      </c>
      <c r="D246" s="168" t="str">
        <f t="shared" ref="D246:D251" si="29">IF(C246&lt;0,C246,"/")</f>
        <v>/</v>
      </c>
      <c r="E246" s="168">
        <f ca="1">IF(表2_367162629303421[[#This Row],[累计净值]]/MAX(INDIRECT("B21:B" &amp; ROW()))-1&lt;E245,表2_367162629303421[[#This Row],[累计净值]]/MAX(INDIRECT("B21:B" &amp; ROW()))-1,E245)</f>
        <v>-1.6085790884718509E-2</v>
      </c>
      <c r="F246" s="110">
        <f>表2_367162629303421[[#This Row],[累计净值]]</f>
        <v>1.115</v>
      </c>
      <c r="G246" s="170">
        <f>表2_367162629303421[[#This Row],[累计净值]]/$B$21-1</f>
        <v>0.10945273631840813</v>
      </c>
      <c r="H246" s="170">
        <f>表2_367162629303421[[#This Row],[单位净值]]/$F$196-1</f>
        <v>1.0879419764279197E-2</v>
      </c>
    </row>
    <row r="247" spans="1:8" x14ac:dyDescent="0.2">
      <c r="A247" s="161">
        <v>44117</v>
      </c>
      <c r="B247" s="162">
        <v>1.115</v>
      </c>
      <c r="C247" s="171">
        <f t="shared" si="28"/>
        <v>0</v>
      </c>
      <c r="D247" s="168" t="str">
        <f t="shared" si="29"/>
        <v>/</v>
      </c>
      <c r="E247" s="168">
        <f ca="1">IF(表2_367162629303421[[#This Row],[累计净值]]/MAX(INDIRECT("B21:B" &amp; ROW()))-1&lt;E246,表2_367162629303421[[#This Row],[累计净值]]/MAX(INDIRECT("B21:B" &amp; ROW()))-1,E246)</f>
        <v>-1.6085790884718509E-2</v>
      </c>
      <c r="F247" s="110">
        <f>表2_367162629303421[[#This Row],[累计净值]]</f>
        <v>1.115</v>
      </c>
      <c r="G247" s="170">
        <f>表2_367162629303421[[#This Row],[累计净值]]/$B$21-1</f>
        <v>0.10945273631840813</v>
      </c>
      <c r="H247" s="170">
        <f>表2_367162629303421[[#This Row],[单位净值]]/$F$196-1</f>
        <v>1.0879419764279197E-2</v>
      </c>
    </row>
    <row r="248" spans="1:8" x14ac:dyDescent="0.2">
      <c r="A248" s="161">
        <v>44118</v>
      </c>
      <c r="B248" s="162">
        <v>1.1140000000000001</v>
      </c>
      <c r="C248" s="171">
        <f t="shared" si="28"/>
        <v>-9.9999999999988987E-4</v>
      </c>
      <c r="D248" s="168">
        <f t="shared" si="29"/>
        <v>-9.9999999999988987E-4</v>
      </c>
      <c r="E248" s="168">
        <f ca="1">IF(表2_367162629303421[[#This Row],[累计净值]]/MAX(INDIRECT("B21:B" &amp; ROW()))-1&lt;E247,表2_367162629303421[[#This Row],[累计净值]]/MAX(INDIRECT("B21:B" &amp; ROW()))-1,E247)</f>
        <v>-1.6085790884718509E-2</v>
      </c>
      <c r="F248" s="110">
        <f>表2_367162629303421[[#This Row],[累计净值]]</f>
        <v>1.1140000000000001</v>
      </c>
      <c r="G248" s="170">
        <f>表2_367162629303421[[#This Row],[累计净值]]/$B$21-1</f>
        <v>0.10845771144278626</v>
      </c>
      <c r="H248" s="170">
        <f>表2_367162629303421[[#This Row],[单位净值]]/$F$196-1</f>
        <v>9.9728014505893192E-3</v>
      </c>
    </row>
    <row r="249" spans="1:8" x14ac:dyDescent="0.2">
      <c r="A249" s="161">
        <v>44119</v>
      </c>
      <c r="B249" s="162">
        <v>1.115</v>
      </c>
      <c r="C249" s="171">
        <f t="shared" si="28"/>
        <v>9.9999999999988987E-4</v>
      </c>
      <c r="D249" s="168" t="str">
        <f t="shared" si="29"/>
        <v>/</v>
      </c>
      <c r="E249" s="168">
        <f ca="1">IF(表2_367162629303421[[#This Row],[累计净值]]/MAX(INDIRECT("B21:B" &amp; ROW()))-1&lt;E248,表2_367162629303421[[#This Row],[累计净值]]/MAX(INDIRECT("B21:B" &amp; ROW()))-1,E248)</f>
        <v>-1.6085790884718509E-2</v>
      </c>
      <c r="F249" s="110">
        <f>表2_367162629303421[[#This Row],[累计净值]]</f>
        <v>1.115</v>
      </c>
      <c r="G249" s="170">
        <f>表2_367162629303421[[#This Row],[累计净值]]/$B$21-1</f>
        <v>0.10945273631840813</v>
      </c>
      <c r="H249" s="170">
        <f>表2_367162629303421[[#This Row],[单位净值]]/$F$196-1</f>
        <v>1.0879419764279197E-2</v>
      </c>
    </row>
    <row r="250" spans="1:8" x14ac:dyDescent="0.2">
      <c r="A250" s="161">
        <v>44120</v>
      </c>
      <c r="B250" s="162">
        <v>1.117</v>
      </c>
      <c r="C250" s="171">
        <f t="shared" si="28"/>
        <v>2.0000000000000018E-3</v>
      </c>
      <c r="D250" s="168" t="str">
        <f t="shared" si="29"/>
        <v>/</v>
      </c>
      <c r="E250" s="168">
        <f ca="1">IF(表2_367162629303421[[#This Row],[累计净值]]/MAX(INDIRECT("B21:B" &amp; ROW()))-1&lt;E249,表2_367162629303421[[#This Row],[累计净值]]/MAX(INDIRECT("B21:B" &amp; ROW()))-1,E249)</f>
        <v>-1.6085790884718509E-2</v>
      </c>
      <c r="F250" s="110">
        <f>表2_367162629303421[[#This Row],[累计净值]]</f>
        <v>1.117</v>
      </c>
      <c r="G250" s="170">
        <f>表2_367162629303421[[#This Row],[累计净值]]/$B$21-1</f>
        <v>0.11144278606965186</v>
      </c>
      <c r="H250" s="170">
        <f>表2_367162629303421[[#This Row],[单位净值]]/$F$196-1</f>
        <v>1.2692656391659174E-2</v>
      </c>
    </row>
    <row r="251" spans="1:8" x14ac:dyDescent="0.2">
      <c r="A251" s="161">
        <v>44123</v>
      </c>
      <c r="B251" s="162">
        <v>1.115</v>
      </c>
      <c r="C251" s="171">
        <f t="shared" si="28"/>
        <v>-2.0000000000000018E-3</v>
      </c>
      <c r="D251" s="168">
        <f t="shared" si="29"/>
        <v>-2.0000000000000018E-3</v>
      </c>
      <c r="E251" s="168">
        <f ca="1">IF(表2_367162629303421[[#This Row],[累计净值]]/MAX(INDIRECT("B21:B" &amp; ROW()))-1&lt;E250,表2_367162629303421[[#This Row],[累计净值]]/MAX(INDIRECT("B21:B" &amp; ROW()))-1,E250)</f>
        <v>-1.6085790884718509E-2</v>
      </c>
      <c r="F251" s="110">
        <f>表2_367162629303421[[#This Row],[累计净值]]</f>
        <v>1.115</v>
      </c>
      <c r="G251" s="170">
        <f>表2_367162629303421[[#This Row],[累计净值]]/$B$21-1</f>
        <v>0.10945273631840813</v>
      </c>
      <c r="H251" s="170">
        <f>表2_367162629303421[[#This Row],[单位净值]]/$F$196-1</f>
        <v>1.0879419764279197E-2</v>
      </c>
    </row>
    <row r="252" spans="1:8" x14ac:dyDescent="0.2">
      <c r="A252" s="161">
        <v>44124</v>
      </c>
      <c r="B252" s="162">
        <v>1.1160000000000001</v>
      </c>
      <c r="C252" s="171">
        <f t="shared" ref="C252:C257" si="30">IFERROR(B252-B251,0)</f>
        <v>1.0000000000001119E-3</v>
      </c>
      <c r="D252" s="168" t="str">
        <f t="shared" ref="D252:D257" si="31">IF(C252&lt;0,C252,"/")</f>
        <v>/</v>
      </c>
      <c r="E252" s="168">
        <f ca="1">IF(表2_367162629303421[[#This Row],[累计净值]]/MAX(INDIRECT("B21:B" &amp; ROW()))-1&lt;E251,表2_367162629303421[[#This Row],[累计净值]]/MAX(INDIRECT("B21:B" &amp; ROW()))-1,E251)</f>
        <v>-1.6085790884718509E-2</v>
      </c>
      <c r="F252" s="110">
        <f>表2_367162629303421[[#This Row],[累计净值]]</f>
        <v>1.1160000000000001</v>
      </c>
      <c r="G252" s="170">
        <f>表2_367162629303421[[#This Row],[累计净值]]/$B$21-1</f>
        <v>0.11044776119402999</v>
      </c>
      <c r="H252" s="170">
        <f>表2_367162629303421[[#This Row],[单位净值]]/$F$196-1</f>
        <v>1.1786038077969296E-2</v>
      </c>
    </row>
    <row r="253" spans="1:8" x14ac:dyDescent="0.2">
      <c r="A253" s="161">
        <v>44125</v>
      </c>
      <c r="B253" s="162">
        <v>1.115</v>
      </c>
      <c r="C253" s="171">
        <f t="shared" si="30"/>
        <v>-1.0000000000001119E-3</v>
      </c>
      <c r="D253" s="168">
        <f t="shared" si="31"/>
        <v>-1.0000000000001119E-3</v>
      </c>
      <c r="E253" s="168">
        <f ca="1">IF(表2_367162629303421[[#This Row],[累计净值]]/MAX(INDIRECT("B21:B" &amp; ROW()))-1&lt;E252,表2_367162629303421[[#This Row],[累计净值]]/MAX(INDIRECT("B21:B" &amp; ROW()))-1,E252)</f>
        <v>-1.6085790884718509E-2</v>
      </c>
      <c r="F253" s="110">
        <f>表2_367162629303421[[#This Row],[累计净值]]</f>
        <v>1.115</v>
      </c>
      <c r="G253" s="170">
        <f>表2_367162629303421[[#This Row],[累计净值]]/$B$21-1</f>
        <v>0.10945273631840813</v>
      </c>
      <c r="H253" s="170">
        <f>表2_367162629303421[[#This Row],[单位净值]]/$F$196-1</f>
        <v>1.0879419764279197E-2</v>
      </c>
    </row>
    <row r="254" spans="1:8" x14ac:dyDescent="0.2">
      <c r="A254" s="161">
        <v>44126</v>
      </c>
      <c r="B254" s="162">
        <v>1.117</v>
      </c>
      <c r="C254" s="171">
        <f t="shared" si="30"/>
        <v>2.0000000000000018E-3</v>
      </c>
      <c r="D254" s="168" t="str">
        <f t="shared" si="31"/>
        <v>/</v>
      </c>
      <c r="E254" s="168">
        <f ca="1">IF(表2_367162629303421[[#This Row],[累计净值]]/MAX(INDIRECT("B21:B" &amp; ROW()))-1&lt;E253,表2_367162629303421[[#This Row],[累计净值]]/MAX(INDIRECT("B21:B" &amp; ROW()))-1,E253)</f>
        <v>-1.6085790884718509E-2</v>
      </c>
      <c r="F254" s="110">
        <f>表2_367162629303421[[#This Row],[累计净值]]</f>
        <v>1.117</v>
      </c>
      <c r="G254" s="170">
        <f>表2_367162629303421[[#This Row],[累计净值]]/$B$21-1</f>
        <v>0.11144278606965186</v>
      </c>
      <c r="H254" s="170">
        <f>表2_367162629303421[[#This Row],[单位净值]]/$F$196-1</f>
        <v>1.2692656391659174E-2</v>
      </c>
    </row>
    <row r="255" spans="1:8" x14ac:dyDescent="0.2">
      <c r="A255" s="161">
        <v>44127</v>
      </c>
      <c r="B255" s="162">
        <v>1.117</v>
      </c>
      <c r="C255" s="171">
        <f t="shared" si="30"/>
        <v>0</v>
      </c>
      <c r="D255" s="168" t="str">
        <f t="shared" si="31"/>
        <v>/</v>
      </c>
      <c r="E255" s="168">
        <f ca="1">IF(表2_367162629303421[[#This Row],[累计净值]]/MAX(INDIRECT("B21:B" &amp; ROW()))-1&lt;E254,表2_367162629303421[[#This Row],[累计净值]]/MAX(INDIRECT("B21:B" &amp; ROW()))-1,E254)</f>
        <v>-1.6085790884718509E-2</v>
      </c>
      <c r="F255" s="110">
        <f>表2_367162629303421[[#This Row],[累计净值]]</f>
        <v>1.117</v>
      </c>
      <c r="G255" s="170">
        <f>表2_367162629303421[[#This Row],[累计净值]]/$B$21-1</f>
        <v>0.11144278606965186</v>
      </c>
      <c r="H255" s="170">
        <f>表2_367162629303421[[#This Row],[单位净值]]/$F$196-1</f>
        <v>1.2692656391659174E-2</v>
      </c>
    </row>
    <row r="256" spans="1:8" x14ac:dyDescent="0.2">
      <c r="A256" s="161">
        <v>44130</v>
      </c>
      <c r="B256" s="162">
        <v>1.1160000000000001</v>
      </c>
      <c r="C256" s="171">
        <f t="shared" si="30"/>
        <v>-9.9999999999988987E-4</v>
      </c>
      <c r="D256" s="168">
        <f t="shared" si="31"/>
        <v>-9.9999999999988987E-4</v>
      </c>
      <c r="E256" s="168">
        <f ca="1">IF(表2_367162629303421[[#This Row],[累计净值]]/MAX(INDIRECT("B21:B" &amp; ROW()))-1&lt;E255,表2_367162629303421[[#This Row],[累计净值]]/MAX(INDIRECT("B21:B" &amp; ROW()))-1,E255)</f>
        <v>-1.6085790884718509E-2</v>
      </c>
      <c r="F256" s="110">
        <f>表2_367162629303421[[#This Row],[累计净值]]</f>
        <v>1.1160000000000001</v>
      </c>
      <c r="G256" s="170">
        <f>表2_367162629303421[[#This Row],[累计净值]]/$B$21-1</f>
        <v>0.11044776119402999</v>
      </c>
      <c r="H256" s="170">
        <f>表2_367162629303421[[#This Row],[单位净值]]/$F$196-1</f>
        <v>1.1786038077969296E-2</v>
      </c>
    </row>
    <row r="257" spans="1:8" x14ac:dyDescent="0.2">
      <c r="A257" s="161">
        <v>44131</v>
      </c>
      <c r="B257" s="162">
        <v>1.117</v>
      </c>
      <c r="C257" s="171">
        <f t="shared" si="30"/>
        <v>9.9999999999988987E-4</v>
      </c>
      <c r="D257" s="168" t="str">
        <f t="shared" si="31"/>
        <v>/</v>
      </c>
      <c r="E257" s="168">
        <f ca="1">IF(表2_367162629303421[[#This Row],[累计净值]]/MAX(INDIRECT("B21:B" &amp; ROW()))-1&lt;E256,表2_367162629303421[[#This Row],[累计净值]]/MAX(INDIRECT("B21:B" &amp; ROW()))-1,E256)</f>
        <v>-1.6085790884718509E-2</v>
      </c>
      <c r="F257" s="110">
        <f>表2_367162629303421[[#This Row],[累计净值]]</f>
        <v>1.117</v>
      </c>
      <c r="G257" s="170">
        <f>表2_367162629303421[[#This Row],[累计净值]]/$B$21-1</f>
        <v>0.11144278606965186</v>
      </c>
      <c r="H257" s="170">
        <f>表2_367162629303421[[#This Row],[单位净值]]/$F$196-1</f>
        <v>1.2692656391659174E-2</v>
      </c>
    </row>
    <row r="258" spans="1:8" x14ac:dyDescent="0.2">
      <c r="A258" s="161">
        <v>44132</v>
      </c>
      <c r="B258" s="162">
        <v>1.1160000000000001</v>
      </c>
      <c r="C258" s="171">
        <f t="shared" ref="C258:C263" si="32">IFERROR(B258-B257,0)</f>
        <v>-9.9999999999988987E-4</v>
      </c>
      <c r="D258" s="168">
        <f t="shared" ref="D258:D263" si="33">IF(C258&lt;0,C258,"/")</f>
        <v>-9.9999999999988987E-4</v>
      </c>
      <c r="E258" s="168">
        <f ca="1">IF(表2_367162629303421[[#This Row],[累计净值]]/MAX(INDIRECT("B21:B" &amp; ROW()))-1&lt;E257,表2_367162629303421[[#This Row],[累计净值]]/MAX(INDIRECT("B21:B" &amp; ROW()))-1,E257)</f>
        <v>-1.6085790884718509E-2</v>
      </c>
      <c r="F258" s="110">
        <f>表2_367162629303421[[#This Row],[累计净值]]</f>
        <v>1.1160000000000001</v>
      </c>
      <c r="G258" s="170">
        <f>表2_367162629303421[[#This Row],[累计净值]]/$B$21-1</f>
        <v>0.11044776119402999</v>
      </c>
      <c r="H258" s="170">
        <f>表2_367162629303421[[#This Row],[单位净值]]/$F$196-1</f>
        <v>1.1786038077969296E-2</v>
      </c>
    </row>
    <row r="259" spans="1:8" x14ac:dyDescent="0.2">
      <c r="A259" s="161">
        <v>44133</v>
      </c>
      <c r="B259" s="162">
        <v>1.1180000000000001</v>
      </c>
      <c r="C259" s="171">
        <f t="shared" si="32"/>
        <v>2.0000000000000018E-3</v>
      </c>
      <c r="D259" s="168" t="str">
        <f t="shared" si="33"/>
        <v>/</v>
      </c>
      <c r="E259" s="168">
        <f ca="1">IF(表2_367162629303421[[#This Row],[累计净值]]/MAX(INDIRECT("B21:B" &amp; ROW()))-1&lt;E258,表2_367162629303421[[#This Row],[累计净值]]/MAX(INDIRECT("B21:B" &amp; ROW()))-1,E258)</f>
        <v>-1.6085790884718509E-2</v>
      </c>
      <c r="F259" s="110">
        <f>表2_367162629303421[[#This Row],[累计净值]]</f>
        <v>1.1180000000000001</v>
      </c>
      <c r="G259" s="170">
        <f>表2_367162629303421[[#This Row],[累计净值]]/$B$21-1</f>
        <v>0.11243781094527394</v>
      </c>
      <c r="H259" s="170">
        <f>表2_367162629303421[[#This Row],[单位净值]]/$F$196-1</f>
        <v>1.3599274705349051E-2</v>
      </c>
    </row>
    <row r="260" spans="1:8" x14ac:dyDescent="0.2">
      <c r="A260" s="161">
        <v>44134</v>
      </c>
      <c r="B260" s="162">
        <v>1.1180000000000001</v>
      </c>
      <c r="C260" s="171">
        <f t="shared" si="32"/>
        <v>0</v>
      </c>
      <c r="D260" s="168" t="str">
        <f t="shared" si="33"/>
        <v>/</v>
      </c>
      <c r="E260" s="168">
        <f ca="1">IF(表2_367162629303421[[#This Row],[累计净值]]/MAX(INDIRECT("B21:B" &amp; ROW()))-1&lt;E259,表2_367162629303421[[#This Row],[累计净值]]/MAX(INDIRECT("B21:B" &amp; ROW()))-1,E259)</f>
        <v>-1.6085790884718509E-2</v>
      </c>
      <c r="F260" s="110">
        <f>表2_367162629303421[[#This Row],[累计净值]]</f>
        <v>1.1180000000000001</v>
      </c>
      <c r="G260" s="170">
        <f>表2_367162629303421[[#This Row],[累计净值]]/$B$21-1</f>
        <v>0.11243781094527394</v>
      </c>
      <c r="H260" s="170">
        <f>表2_367162629303421[[#This Row],[单位净值]]/$F$196-1</f>
        <v>1.3599274705349051E-2</v>
      </c>
    </row>
    <row r="261" spans="1:8" x14ac:dyDescent="0.2">
      <c r="A261" s="161">
        <v>44137</v>
      </c>
      <c r="B261" s="162">
        <v>1.1180000000000001</v>
      </c>
      <c r="C261" s="171">
        <f t="shared" si="32"/>
        <v>0</v>
      </c>
      <c r="D261" s="168" t="str">
        <f t="shared" si="33"/>
        <v>/</v>
      </c>
      <c r="E261" s="168">
        <f ca="1">IF(表2_367162629303421[[#This Row],[累计净值]]/MAX(INDIRECT("B21:B" &amp; ROW()))-1&lt;E260,表2_367162629303421[[#This Row],[累计净值]]/MAX(INDIRECT("B21:B" &amp; ROW()))-1,E260)</f>
        <v>-1.6085790884718509E-2</v>
      </c>
      <c r="F261" s="110">
        <f>表2_367162629303421[[#This Row],[累计净值]]</f>
        <v>1.1180000000000001</v>
      </c>
      <c r="G261" s="170">
        <f>表2_367162629303421[[#This Row],[累计净值]]/$B$21-1</f>
        <v>0.11243781094527394</v>
      </c>
      <c r="H261" s="170">
        <f>表2_367162629303421[[#This Row],[单位净值]]/$F$196-1</f>
        <v>1.3599274705349051E-2</v>
      </c>
    </row>
    <row r="262" spans="1:8" x14ac:dyDescent="0.2">
      <c r="A262" s="161">
        <v>44138</v>
      </c>
      <c r="B262" s="178">
        <v>1.1200000000000001</v>
      </c>
      <c r="C262" s="171">
        <f t="shared" si="32"/>
        <v>2.0000000000000018E-3</v>
      </c>
      <c r="D262" s="168" t="str">
        <f t="shared" si="33"/>
        <v>/</v>
      </c>
      <c r="E262" s="168">
        <f ca="1">IF(表2_367162629303421[[#This Row],[累计净值]]/MAX(INDIRECT("B21:B" &amp; ROW()))-1&lt;E261,表2_367162629303421[[#This Row],[累计净值]]/MAX(INDIRECT("B21:B" &amp; ROW()))-1,E261)</f>
        <v>-1.6085790884718509E-2</v>
      </c>
      <c r="F262" s="110">
        <f>表2_367162629303421[[#This Row],[累计净值]]</f>
        <v>1.1200000000000001</v>
      </c>
      <c r="G262" s="170">
        <f>表2_367162629303421[[#This Row],[累计净值]]/$B$21-1</f>
        <v>0.11442786069651767</v>
      </c>
      <c r="H262" s="170">
        <f>表2_367162629303421[[#This Row],[单位净值]]/$F$196-1</f>
        <v>1.5412511332729029E-2</v>
      </c>
    </row>
    <row r="263" spans="1:8" x14ac:dyDescent="0.2">
      <c r="A263" s="161">
        <v>44139</v>
      </c>
      <c r="B263" s="162">
        <v>1.119</v>
      </c>
      <c r="C263" s="171">
        <f t="shared" si="32"/>
        <v>-1.0000000000001119E-3</v>
      </c>
      <c r="D263" s="168">
        <f t="shared" si="33"/>
        <v>-1.0000000000001119E-3</v>
      </c>
      <c r="E263" s="168">
        <f ca="1">IF(表2_367162629303421[[#This Row],[累计净值]]/MAX(INDIRECT("B21:B" &amp; ROW()))-1&lt;E262,表2_367162629303421[[#This Row],[累计净值]]/MAX(INDIRECT("B21:B" &amp; ROW()))-1,E262)</f>
        <v>-1.6085790884718509E-2</v>
      </c>
      <c r="F263" s="110">
        <f>表2_367162629303421[[#This Row],[累计净值]]</f>
        <v>1.119</v>
      </c>
      <c r="G263" s="170">
        <f>表2_367162629303421[[#This Row],[累计净值]]/$B$21-1</f>
        <v>0.11343283582089558</v>
      </c>
      <c r="H263" s="170">
        <f>表2_367162629303421[[#This Row],[单位净值]]/$F$196-1</f>
        <v>1.4505893019038929E-2</v>
      </c>
    </row>
    <row r="264" spans="1:8" x14ac:dyDescent="0.2">
      <c r="A264" s="161">
        <v>44140</v>
      </c>
      <c r="B264" s="162">
        <v>1.121</v>
      </c>
      <c r="C264" s="171">
        <f t="shared" ref="C264:C269" si="34">IFERROR(B264-B263,0)</f>
        <v>2.0000000000000018E-3</v>
      </c>
      <c r="D264" s="168" t="str">
        <f t="shared" ref="D264:D269" si="35">IF(C264&lt;0,C264,"/")</f>
        <v>/</v>
      </c>
      <c r="E264" s="168">
        <f ca="1">IF(表2_367162629303421[[#This Row],[累计净值]]/MAX(INDIRECT("B21:B" &amp; ROW()))-1&lt;E263,表2_367162629303421[[#This Row],[累计净值]]/MAX(INDIRECT("B21:B" &amp; ROW()))-1,E263)</f>
        <v>-1.6085790884718509E-2</v>
      </c>
      <c r="F264" s="110">
        <f>表2_367162629303421[[#This Row],[累计净值]]</f>
        <v>1.121</v>
      </c>
      <c r="G264" s="170">
        <f>表2_367162629303421[[#This Row],[累计净值]]/$B$21-1</f>
        <v>0.11542288557213931</v>
      </c>
      <c r="H264" s="170">
        <f>表2_367162629303421[[#This Row],[单位净值]]/$F$196-1</f>
        <v>1.6319129646418906E-2</v>
      </c>
    </row>
    <row r="265" spans="1:8" x14ac:dyDescent="0.2">
      <c r="A265" s="161">
        <v>44141</v>
      </c>
      <c r="B265" s="162">
        <v>1.121</v>
      </c>
      <c r="C265" s="171">
        <f t="shared" si="34"/>
        <v>0</v>
      </c>
      <c r="D265" s="168" t="str">
        <f t="shared" si="35"/>
        <v>/</v>
      </c>
      <c r="E265" s="168">
        <f ca="1">IF(表2_367162629303421[[#This Row],[累计净值]]/MAX(INDIRECT("B21:B" &amp; ROW()))-1&lt;E264,表2_367162629303421[[#This Row],[累计净值]]/MAX(INDIRECT("B21:B" &amp; ROW()))-1,E264)</f>
        <v>-1.6085790884718509E-2</v>
      </c>
      <c r="F265" s="110">
        <f>表2_367162629303421[[#This Row],[累计净值]]</f>
        <v>1.121</v>
      </c>
      <c r="G265" s="170">
        <f>表2_367162629303421[[#This Row],[累计净值]]/$B$21-1</f>
        <v>0.11542288557213931</v>
      </c>
      <c r="H265" s="170">
        <f>表2_367162629303421[[#This Row],[单位净值]]/$F$196-1</f>
        <v>1.6319129646418906E-2</v>
      </c>
    </row>
    <row r="266" spans="1:8" x14ac:dyDescent="0.2">
      <c r="A266" s="161">
        <v>44144</v>
      </c>
      <c r="B266" s="162">
        <v>1.1220000000000001</v>
      </c>
      <c r="C266" s="171">
        <f t="shared" si="34"/>
        <v>1.0000000000001119E-3</v>
      </c>
      <c r="D266" s="168" t="str">
        <f t="shared" si="35"/>
        <v>/</v>
      </c>
      <c r="E266" s="168">
        <f ca="1">IF(表2_367162629303421[[#This Row],[累计净值]]/MAX(INDIRECT("B21:B" &amp; ROW()))-1&lt;E265,表2_367162629303421[[#This Row],[累计净值]]/MAX(INDIRECT("B21:B" &amp; ROW()))-1,E265)</f>
        <v>-1.6085790884718509E-2</v>
      </c>
      <c r="F266" s="110">
        <f>表2_367162629303421[[#This Row],[累计净值]]</f>
        <v>1.1220000000000001</v>
      </c>
      <c r="G266" s="170">
        <f>表2_367162629303421[[#This Row],[累计净值]]/$B$21-1</f>
        <v>0.1164179104477614</v>
      </c>
      <c r="H266" s="170">
        <f>表2_367162629303421[[#This Row],[单位净值]]/$F$196-1</f>
        <v>1.7225747960109006E-2</v>
      </c>
    </row>
    <row r="267" spans="1:8" x14ac:dyDescent="0.2">
      <c r="A267" s="161">
        <v>44145</v>
      </c>
      <c r="B267" s="162">
        <v>1.127</v>
      </c>
      <c r="C267" s="171">
        <f t="shared" si="34"/>
        <v>4.9999999999998934E-3</v>
      </c>
      <c r="D267" s="168" t="str">
        <f t="shared" si="35"/>
        <v>/</v>
      </c>
      <c r="E267" s="168">
        <f ca="1">IF(表2_367162629303421[[#This Row],[累计净值]]/MAX(INDIRECT("B21:B" &amp; ROW()))-1&lt;E266,表2_367162629303421[[#This Row],[累计净值]]/MAX(INDIRECT("B21:B" &amp; ROW()))-1,E266)</f>
        <v>-1.6085790884718509E-2</v>
      </c>
      <c r="F267" s="110">
        <f>表2_367162629303421[[#This Row],[累计净值]]</f>
        <v>1.127</v>
      </c>
      <c r="G267" s="170">
        <f>表2_367162629303421[[#This Row],[累计净值]]/$B$21-1</f>
        <v>0.12139303482587072</v>
      </c>
      <c r="H267" s="170">
        <f>表2_367162629303421[[#This Row],[单位净值]]/$F$196-1</f>
        <v>2.1758839528558394E-2</v>
      </c>
    </row>
    <row r="268" spans="1:8" x14ac:dyDescent="0.2">
      <c r="A268" s="161">
        <v>44146</v>
      </c>
      <c r="B268" s="162">
        <v>1.127</v>
      </c>
      <c r="C268" s="171">
        <f t="shared" si="34"/>
        <v>0</v>
      </c>
      <c r="D268" s="168" t="str">
        <f t="shared" si="35"/>
        <v>/</v>
      </c>
      <c r="E268" s="168">
        <f ca="1">IF(表2_367162629303421[[#This Row],[累计净值]]/MAX(INDIRECT("B21:B" &amp; ROW()))-1&lt;E267,表2_367162629303421[[#This Row],[累计净值]]/MAX(INDIRECT("B21:B" &amp; ROW()))-1,E267)</f>
        <v>-1.6085790884718509E-2</v>
      </c>
      <c r="F268" s="110">
        <f>表2_367162629303421[[#This Row],[累计净值]]</f>
        <v>1.127</v>
      </c>
      <c r="G268" s="170">
        <f>表2_367162629303421[[#This Row],[累计净值]]/$B$21-1</f>
        <v>0.12139303482587072</v>
      </c>
      <c r="H268" s="170">
        <f>表2_367162629303421[[#This Row],[单位净值]]/$F$196-1</f>
        <v>2.1758839528558394E-2</v>
      </c>
    </row>
    <row r="269" spans="1:8" x14ac:dyDescent="0.2">
      <c r="A269" s="161">
        <v>44147</v>
      </c>
      <c r="B269" s="162">
        <v>1.1279999999999999</v>
      </c>
      <c r="C269" s="171">
        <f t="shared" si="34"/>
        <v>9.9999999999988987E-4</v>
      </c>
      <c r="D269" s="168" t="str">
        <f t="shared" si="35"/>
        <v>/</v>
      </c>
      <c r="E269" s="168">
        <f ca="1">IF(表2_367162629303421[[#This Row],[累计净值]]/MAX(INDIRECT("B21:B" &amp; ROW()))-1&lt;E268,表2_367162629303421[[#This Row],[累计净值]]/MAX(INDIRECT("B21:B" &amp; ROW()))-1,E268)</f>
        <v>-1.6085790884718509E-2</v>
      </c>
      <c r="F269" s="110">
        <f>表2_367162629303421[[#This Row],[累计净值]]</f>
        <v>1.1279999999999999</v>
      </c>
      <c r="G269" s="170">
        <f>表2_367162629303421[[#This Row],[累计净值]]/$B$21-1</f>
        <v>0.12238805970149258</v>
      </c>
      <c r="H269" s="170">
        <f>表2_367162629303421[[#This Row],[单位净值]]/$F$196-1</f>
        <v>2.2665457842248271E-2</v>
      </c>
    </row>
    <row r="270" spans="1:8" x14ac:dyDescent="0.2">
      <c r="A270" s="161">
        <v>44148</v>
      </c>
      <c r="B270" s="162">
        <v>1.129</v>
      </c>
      <c r="C270" s="171">
        <f t="shared" ref="C270:C275" si="36">IFERROR(B270-B269,0)</f>
        <v>1.0000000000001119E-3</v>
      </c>
      <c r="D270" s="168" t="str">
        <f t="shared" ref="D270:D275" si="37">IF(C270&lt;0,C270,"/")</f>
        <v>/</v>
      </c>
      <c r="E270" s="168">
        <f ca="1">IF(表2_367162629303421[[#This Row],[累计净值]]/MAX(INDIRECT("B21:B" &amp; ROW()))-1&lt;E269,表2_367162629303421[[#This Row],[累计净值]]/MAX(INDIRECT("B21:B" &amp; ROW()))-1,E269)</f>
        <v>-1.6085790884718509E-2</v>
      </c>
      <c r="F270" s="110">
        <f>表2_367162629303421[[#This Row],[累计净值]]</f>
        <v>1.129</v>
      </c>
      <c r="G270" s="170">
        <f>表2_367162629303421[[#This Row],[累计净值]]/$B$21-1</f>
        <v>0.12338308457711444</v>
      </c>
      <c r="H270" s="170">
        <f>表2_367162629303421[[#This Row],[单位净值]]/$F$196-1</f>
        <v>2.3572076155938371E-2</v>
      </c>
    </row>
    <row r="271" spans="1:8" x14ac:dyDescent="0.2">
      <c r="A271" s="161">
        <v>44151</v>
      </c>
      <c r="B271" s="162">
        <v>1.1299999999999999</v>
      </c>
      <c r="C271" s="171">
        <f t="shared" si="36"/>
        <v>9.9999999999988987E-4</v>
      </c>
      <c r="D271" s="168" t="str">
        <f t="shared" si="37"/>
        <v>/</v>
      </c>
      <c r="E271" s="168">
        <f ca="1">IF(表2_367162629303421[[#This Row],[累计净值]]/MAX(INDIRECT("B21:B" &amp; ROW()))-1&lt;E270,表2_367162629303421[[#This Row],[累计净值]]/MAX(INDIRECT("B21:B" &amp; ROW()))-1,E270)</f>
        <v>-1.6085790884718509E-2</v>
      </c>
      <c r="F271" s="110">
        <f>表2_367162629303421[[#This Row],[累计净值]]</f>
        <v>1.1299999999999999</v>
      </c>
      <c r="G271" s="170">
        <f>表2_367162629303421[[#This Row],[累计净值]]/$B$21-1</f>
        <v>0.12437810945273631</v>
      </c>
      <c r="H271" s="170">
        <f>表2_367162629303421[[#This Row],[单位净值]]/$F$196-1</f>
        <v>2.4478694469628248E-2</v>
      </c>
    </row>
    <row r="272" spans="1:8" x14ac:dyDescent="0.2">
      <c r="A272" s="161">
        <v>44152</v>
      </c>
      <c r="B272" s="162">
        <v>1.131</v>
      </c>
      <c r="C272" s="171">
        <f t="shared" si="36"/>
        <v>1.0000000000001119E-3</v>
      </c>
      <c r="D272" s="168" t="str">
        <f t="shared" si="37"/>
        <v>/</v>
      </c>
      <c r="E272" s="168">
        <f ca="1">IF(表2_367162629303421[[#This Row],[累计净值]]/MAX(INDIRECT("B21:B" &amp; ROW()))-1&lt;E271,表2_367162629303421[[#This Row],[累计净值]]/MAX(INDIRECT("B21:B" &amp; ROW()))-1,E271)</f>
        <v>-1.6085790884718509E-2</v>
      </c>
      <c r="F272" s="110">
        <f>表2_367162629303421[[#This Row],[累计净值]]</f>
        <v>1.131</v>
      </c>
      <c r="G272" s="170">
        <f>表2_367162629303421[[#This Row],[累计净值]]/$B$21-1</f>
        <v>0.12537313432835839</v>
      </c>
      <c r="H272" s="170">
        <f>表2_367162629303421[[#This Row],[单位净值]]/$F$196-1</f>
        <v>2.5385312783318348E-2</v>
      </c>
    </row>
    <row r="273" spans="1:8" x14ac:dyDescent="0.2">
      <c r="A273" s="161">
        <v>44153</v>
      </c>
      <c r="B273" s="162">
        <v>1.1339999999999999</v>
      </c>
      <c r="C273" s="171">
        <f t="shared" si="36"/>
        <v>2.9999999999998916E-3</v>
      </c>
      <c r="D273" s="168" t="str">
        <f t="shared" si="37"/>
        <v>/</v>
      </c>
      <c r="E273" s="168">
        <f ca="1">IF(表2_367162629303421[[#This Row],[累计净值]]/MAX(INDIRECT("B21:B" &amp; ROW()))-1&lt;E272,表2_367162629303421[[#This Row],[累计净值]]/MAX(INDIRECT("B21:B" &amp; ROW()))-1,E272)</f>
        <v>-1.6085790884718509E-2</v>
      </c>
      <c r="F273" s="110">
        <f>表2_367162629303421[[#This Row],[累计净值]]</f>
        <v>1.1339999999999999</v>
      </c>
      <c r="G273" s="170">
        <f>表2_367162629303421[[#This Row],[累计净值]]/$B$21-1</f>
        <v>0.12835820895522398</v>
      </c>
      <c r="H273" s="170">
        <f>表2_367162629303421[[#This Row],[单位净值]]/$F$196-1</f>
        <v>2.810516772438798E-2</v>
      </c>
    </row>
    <row r="274" spans="1:8" x14ac:dyDescent="0.2">
      <c r="A274" s="161">
        <v>44154</v>
      </c>
      <c r="B274" s="162">
        <v>1.1339999999999999</v>
      </c>
      <c r="C274" s="171">
        <f t="shared" si="36"/>
        <v>0</v>
      </c>
      <c r="D274" s="168" t="str">
        <f t="shared" si="37"/>
        <v>/</v>
      </c>
      <c r="E274" s="168">
        <f ca="1">IF(表2_367162629303421[[#This Row],[累计净值]]/MAX(INDIRECT("B21:B" &amp; ROW()))-1&lt;E273,表2_367162629303421[[#This Row],[累计净值]]/MAX(INDIRECT("B21:B" &amp; ROW()))-1,E273)</f>
        <v>-1.6085790884718509E-2</v>
      </c>
      <c r="F274" s="110">
        <f>表2_367162629303421[[#This Row],[累计净值]]</f>
        <v>1.1339999999999999</v>
      </c>
      <c r="G274" s="170">
        <f>表2_367162629303421[[#This Row],[累计净值]]/$B$21-1</f>
        <v>0.12835820895522398</v>
      </c>
      <c r="H274" s="170">
        <f>表2_367162629303421[[#This Row],[单位净值]]/$F$196-1</f>
        <v>2.810516772438798E-2</v>
      </c>
    </row>
    <row r="275" spans="1:8" x14ac:dyDescent="0.2">
      <c r="A275" s="161">
        <v>44155</v>
      </c>
      <c r="B275" s="162">
        <v>1.1339999999999999</v>
      </c>
      <c r="C275" s="171">
        <f t="shared" si="36"/>
        <v>0</v>
      </c>
      <c r="D275" s="168" t="str">
        <f t="shared" si="37"/>
        <v>/</v>
      </c>
      <c r="E275" s="168">
        <f ca="1">IF(表2_367162629303421[[#This Row],[累计净值]]/MAX(INDIRECT("B21:B" &amp; ROW()))-1&lt;E274,表2_367162629303421[[#This Row],[累计净值]]/MAX(INDIRECT("B21:B" &amp; ROW()))-1,E274)</f>
        <v>-1.6085790884718509E-2</v>
      </c>
      <c r="F275" s="110">
        <f>表2_367162629303421[[#This Row],[累计净值]]</f>
        <v>1.1339999999999999</v>
      </c>
      <c r="G275" s="170">
        <f>表2_367162629303421[[#This Row],[累计净值]]/$B$21-1</f>
        <v>0.12835820895522398</v>
      </c>
      <c r="H275" s="170">
        <f>表2_367162629303421[[#This Row],[单位净值]]/$F$196-1</f>
        <v>2.810516772438798E-2</v>
      </c>
    </row>
    <row r="276" spans="1:8" x14ac:dyDescent="0.2">
      <c r="A276" s="161">
        <v>44158</v>
      </c>
      <c r="B276" s="162">
        <v>1.1319999999999999</v>
      </c>
      <c r="C276" s="171">
        <f t="shared" ref="C276:C281" si="38">IFERROR(B276-B275,0)</f>
        <v>-2.0000000000000018E-3</v>
      </c>
      <c r="D276" s="168">
        <f t="shared" ref="D276:D281" si="39">IF(C276&lt;0,C276,"/")</f>
        <v>-2.0000000000000018E-3</v>
      </c>
      <c r="E276" s="168">
        <f ca="1">IF(表2_367162629303421[[#This Row],[累计净值]]/MAX(INDIRECT("B21:B" &amp; ROW()))-1&lt;E275,表2_367162629303421[[#This Row],[累计净值]]/MAX(INDIRECT("B21:B" &amp; ROW()))-1,E275)</f>
        <v>-1.6085790884718509E-2</v>
      </c>
      <c r="F276" s="110">
        <f>表2_367162629303421[[#This Row],[累计净值]]</f>
        <v>1.1319999999999999</v>
      </c>
      <c r="G276" s="170">
        <f>表2_367162629303421[[#This Row],[累计净值]]/$B$21-1</f>
        <v>0.12636815920398003</v>
      </c>
      <c r="H276" s="170">
        <f>表2_367162629303421[[#This Row],[单位净值]]/$F$196-1</f>
        <v>2.6291931097008003E-2</v>
      </c>
    </row>
    <row r="277" spans="1:8" x14ac:dyDescent="0.2">
      <c r="A277" s="161">
        <v>44159</v>
      </c>
      <c r="B277" s="162">
        <v>1.133</v>
      </c>
      <c r="C277" s="171">
        <f t="shared" si="38"/>
        <v>1.0000000000001119E-3</v>
      </c>
      <c r="D277" s="168" t="str">
        <f t="shared" si="39"/>
        <v>/</v>
      </c>
      <c r="E277" s="168">
        <f ca="1">IF(表2_367162629303421[[#This Row],[累计净值]]/MAX(INDIRECT("B21:B" &amp; ROW()))-1&lt;E276,表2_367162629303421[[#This Row],[累计净值]]/MAX(INDIRECT("B21:B" &amp; ROW()))-1,E276)</f>
        <v>-1.6085790884718509E-2</v>
      </c>
      <c r="F277" s="110">
        <f>表2_367162629303421[[#This Row],[累计净值]]</f>
        <v>1.133</v>
      </c>
      <c r="G277" s="170">
        <f>表2_367162629303421[[#This Row],[累计净值]]/$B$21-1</f>
        <v>0.12736318407960212</v>
      </c>
      <c r="H277" s="170">
        <f>表2_367162629303421[[#This Row],[单位净值]]/$F$196-1</f>
        <v>2.7198549410698103E-2</v>
      </c>
    </row>
    <row r="278" spans="1:8" x14ac:dyDescent="0.2">
      <c r="A278" s="161">
        <v>44160</v>
      </c>
      <c r="B278" s="162">
        <v>1.1279999999999999</v>
      </c>
      <c r="C278" s="171">
        <f t="shared" si="38"/>
        <v>-5.0000000000001155E-3</v>
      </c>
      <c r="D278" s="168">
        <f t="shared" si="39"/>
        <v>-5.0000000000001155E-3</v>
      </c>
      <c r="E278" s="168">
        <f ca="1">IF(表2_367162629303421[[#This Row],[累计净值]]/MAX(INDIRECT("B21:B" &amp; ROW()))-1&lt;E277,表2_367162629303421[[#This Row],[累计净值]]/MAX(INDIRECT("B21:B" &amp; ROW()))-1,E277)</f>
        <v>-1.6085790884718509E-2</v>
      </c>
      <c r="F278" s="110">
        <f>表2_367162629303421[[#This Row],[累计净值]]</f>
        <v>1.1279999999999999</v>
      </c>
      <c r="G278" s="170">
        <f>表2_367162629303421[[#This Row],[累计净值]]/$B$21-1</f>
        <v>0.12238805970149258</v>
      </c>
      <c r="H278" s="170">
        <f>表2_367162629303421[[#This Row],[单位净值]]/$F$196-1</f>
        <v>2.2665457842248271E-2</v>
      </c>
    </row>
    <row r="279" spans="1:8" x14ac:dyDescent="0.2">
      <c r="A279" s="161">
        <v>44161</v>
      </c>
      <c r="B279" s="162">
        <v>1.1339999999999999</v>
      </c>
      <c r="C279" s="171">
        <f t="shared" si="38"/>
        <v>6.0000000000000053E-3</v>
      </c>
      <c r="D279" s="168" t="str">
        <f t="shared" si="39"/>
        <v>/</v>
      </c>
      <c r="E279" s="168">
        <f ca="1">IF(表2_367162629303421[[#This Row],[累计净值]]/MAX(INDIRECT("B21:B" &amp; ROW()))-1&lt;E278,表2_367162629303421[[#This Row],[累计净值]]/MAX(INDIRECT("B21:B" &amp; ROW()))-1,E278)</f>
        <v>-1.6085790884718509E-2</v>
      </c>
      <c r="F279" s="110">
        <f>表2_367162629303421[[#This Row],[累计净值]]</f>
        <v>1.1339999999999999</v>
      </c>
      <c r="G279" s="170">
        <f>表2_367162629303421[[#This Row],[累计净值]]/$B$21-1</f>
        <v>0.12835820895522398</v>
      </c>
      <c r="H279" s="170">
        <f>表2_367162629303421[[#This Row],[单位净值]]/$F$196-1</f>
        <v>2.810516772438798E-2</v>
      </c>
    </row>
    <row r="280" spans="1:8" x14ac:dyDescent="0.2">
      <c r="A280" s="161">
        <v>44162</v>
      </c>
      <c r="B280" s="162">
        <v>1.135</v>
      </c>
      <c r="C280" s="171">
        <f t="shared" si="38"/>
        <v>1.0000000000001119E-3</v>
      </c>
      <c r="D280" s="168" t="str">
        <f t="shared" si="39"/>
        <v>/</v>
      </c>
      <c r="E280" s="168">
        <f ca="1">IF(表2_367162629303421[[#This Row],[累计净值]]/MAX(INDIRECT("B21:B" &amp; ROW()))-1&lt;E279,表2_367162629303421[[#This Row],[累计净值]]/MAX(INDIRECT("B21:B" &amp; ROW()))-1,E279)</f>
        <v>-1.6085790884718509E-2</v>
      </c>
      <c r="F280" s="110">
        <f>表2_367162629303421[[#This Row],[累计净值]]</f>
        <v>1.135</v>
      </c>
      <c r="G280" s="170">
        <f>表2_367162629303421[[#This Row],[累计净值]]/$B$21-1</f>
        <v>0.12935323383084585</v>
      </c>
      <c r="H280" s="170">
        <f>表2_367162629303421[[#This Row],[单位净值]]/$F$196-1</f>
        <v>2.901178603807808E-2</v>
      </c>
    </row>
    <row r="281" spans="1:8" x14ac:dyDescent="0.2">
      <c r="A281" s="161">
        <v>44165</v>
      </c>
      <c r="B281" s="162">
        <v>1.141</v>
      </c>
      <c r="C281" s="171">
        <f t="shared" si="38"/>
        <v>6.0000000000000053E-3</v>
      </c>
      <c r="D281" s="168" t="str">
        <f t="shared" si="39"/>
        <v>/</v>
      </c>
      <c r="E281" s="168">
        <f ca="1">IF(表2_367162629303421[[#This Row],[累计净值]]/MAX(INDIRECT("B21:B" &amp; ROW()))-1&lt;E280,表2_367162629303421[[#This Row],[累计净值]]/MAX(INDIRECT("B21:B" &amp; ROW()))-1,E280)</f>
        <v>-1.6085790884718509E-2</v>
      </c>
      <c r="F281" s="110">
        <f>表2_367162629303421[[#This Row],[累计净值]]</f>
        <v>1.141</v>
      </c>
      <c r="G281" s="170">
        <f>表2_367162629303421[[#This Row],[累计净值]]/$B$21-1</f>
        <v>0.13532338308457725</v>
      </c>
      <c r="H281" s="170">
        <f>表2_367162629303421[[#This Row],[单位净值]]/$F$196-1</f>
        <v>3.4451495920217567E-2</v>
      </c>
    </row>
    <row r="282" spans="1:8" x14ac:dyDescent="0.2">
      <c r="A282" s="161">
        <v>44166</v>
      </c>
      <c r="B282" s="162">
        <v>1.1419999999999999</v>
      </c>
      <c r="C282" s="171">
        <f t="shared" ref="C282:C287" si="40">IFERROR(B282-B281,0)</f>
        <v>9.9999999999988987E-4</v>
      </c>
      <c r="D282" s="168" t="str">
        <f t="shared" ref="D282:D287" si="41">IF(C282&lt;0,C282,"/")</f>
        <v>/</v>
      </c>
      <c r="E282" s="168">
        <f ca="1">IF(表2_367162629303421[[#This Row],[累计净值]]/MAX(INDIRECT("B21:B" &amp; ROW()))-1&lt;E281,表2_367162629303421[[#This Row],[累计净值]]/MAX(INDIRECT("B21:B" &amp; ROW()))-1,E281)</f>
        <v>-1.6085790884718509E-2</v>
      </c>
      <c r="F282" s="110">
        <f>表2_367162629303421[[#This Row],[累计净值]]</f>
        <v>1.1419999999999999</v>
      </c>
      <c r="G282" s="170">
        <f>表2_367162629303421[[#This Row],[累计净值]]/$B$21-1</f>
        <v>0.13631840796019912</v>
      </c>
      <c r="H282" s="170">
        <f>表2_367162629303421[[#This Row],[单位净值]]/$F$196-1</f>
        <v>3.5358114233907445E-2</v>
      </c>
    </row>
    <row r="283" spans="1:8" x14ac:dyDescent="0.2">
      <c r="A283" s="161">
        <v>44167</v>
      </c>
      <c r="B283" s="162">
        <v>1.1399999999999999</v>
      </c>
      <c r="C283" s="171">
        <f t="shared" si="40"/>
        <v>-2.0000000000000018E-3</v>
      </c>
      <c r="D283" s="168">
        <f t="shared" si="41"/>
        <v>-2.0000000000000018E-3</v>
      </c>
      <c r="E283" s="168">
        <f ca="1">IF(表2_367162629303421[[#This Row],[累计净值]]/MAX(INDIRECT("B21:B" &amp; ROW()))-1&lt;E282,表2_367162629303421[[#This Row],[累计净值]]/MAX(INDIRECT("B21:B" &amp; ROW()))-1,E282)</f>
        <v>-1.6085790884718509E-2</v>
      </c>
      <c r="F283" s="110">
        <f>表2_367162629303421[[#This Row],[累计净值]]</f>
        <v>1.1399999999999999</v>
      </c>
      <c r="G283" s="170">
        <f>表2_367162629303421[[#This Row],[累计净值]]/$B$21-1</f>
        <v>0.13432835820895517</v>
      </c>
      <c r="H283" s="170">
        <f>表2_367162629303421[[#This Row],[单位净值]]/$F$196-1</f>
        <v>3.354487760652769E-2</v>
      </c>
    </row>
    <row r="284" spans="1:8" x14ac:dyDescent="0.2">
      <c r="A284" s="161">
        <v>44168</v>
      </c>
      <c r="B284" s="162">
        <v>1.139</v>
      </c>
      <c r="C284" s="171">
        <f t="shared" si="40"/>
        <v>-9.9999999999988987E-4</v>
      </c>
      <c r="D284" s="168">
        <f t="shared" si="41"/>
        <v>-9.9999999999988987E-4</v>
      </c>
      <c r="E284" s="168">
        <f ca="1">IF(表2_367162629303421[[#This Row],[累计净值]]/MAX(INDIRECT("B21:B" &amp; ROW()))-1&lt;E283,表2_367162629303421[[#This Row],[累计净值]]/MAX(INDIRECT("B21:B" &amp; ROW()))-1,E283)</f>
        <v>-1.6085790884718509E-2</v>
      </c>
      <c r="F284" s="110">
        <f>表2_367162629303421[[#This Row],[累计净值]]</f>
        <v>1.139</v>
      </c>
      <c r="G284" s="170">
        <f>表2_367162629303421[[#This Row],[累计净值]]/$B$21-1</f>
        <v>0.13333333333333353</v>
      </c>
      <c r="H284" s="170">
        <f>表2_367162629303421[[#This Row],[单位净值]]/$F$196-1</f>
        <v>3.2638259292837812E-2</v>
      </c>
    </row>
    <row r="285" spans="1:8" x14ac:dyDescent="0.2">
      <c r="A285" s="161">
        <v>44169</v>
      </c>
      <c r="B285" s="162">
        <v>1.141</v>
      </c>
      <c r="C285" s="171">
        <f t="shared" si="40"/>
        <v>2.0000000000000018E-3</v>
      </c>
      <c r="D285" s="168" t="str">
        <f t="shared" si="41"/>
        <v>/</v>
      </c>
      <c r="E285" s="168">
        <f ca="1">IF(表2_367162629303421[[#This Row],[累计净值]]/MAX(INDIRECT("B21:B" &amp; ROW()))-1&lt;E284,表2_367162629303421[[#This Row],[累计净值]]/MAX(INDIRECT("B21:B" &amp; ROW()))-1,E284)</f>
        <v>-1.6085790884718509E-2</v>
      </c>
      <c r="F285" s="110">
        <f>表2_367162629303421[[#This Row],[累计净值]]</f>
        <v>1.141</v>
      </c>
      <c r="G285" s="170">
        <f>表2_367162629303421[[#This Row],[累计净值]]/$B$21-1</f>
        <v>0.13532338308457725</v>
      </c>
      <c r="H285" s="170">
        <f>表2_367162629303421[[#This Row],[单位净值]]/$F$196-1</f>
        <v>3.4451495920217567E-2</v>
      </c>
    </row>
    <row r="286" spans="1:8" x14ac:dyDescent="0.2">
      <c r="A286" s="161">
        <v>44172</v>
      </c>
      <c r="B286" s="162">
        <v>1.141</v>
      </c>
      <c r="C286" s="171">
        <f t="shared" si="40"/>
        <v>0</v>
      </c>
      <c r="D286" s="168" t="str">
        <f t="shared" si="41"/>
        <v>/</v>
      </c>
      <c r="E286" s="168">
        <f ca="1">IF(表2_367162629303421[[#This Row],[累计净值]]/MAX(INDIRECT("B21:B" &amp; ROW()))-1&lt;E285,表2_367162629303421[[#This Row],[累计净值]]/MAX(INDIRECT("B21:B" &amp; ROW()))-1,E285)</f>
        <v>-1.6085790884718509E-2</v>
      </c>
      <c r="F286" s="110">
        <f>表2_367162629303421[[#This Row],[累计净值]]</f>
        <v>1.141</v>
      </c>
      <c r="G286" s="170">
        <f>表2_367162629303421[[#This Row],[累计净值]]/$B$21-1</f>
        <v>0.13532338308457725</v>
      </c>
      <c r="H286" s="170">
        <f>表2_367162629303421[[#This Row],[单位净值]]/$F$196-1</f>
        <v>3.4451495920217567E-2</v>
      </c>
    </row>
    <row r="287" spans="1:8" x14ac:dyDescent="0.2">
      <c r="A287" s="161">
        <v>44173</v>
      </c>
      <c r="B287" s="162">
        <v>1.1419999999999999</v>
      </c>
      <c r="C287" s="171">
        <f t="shared" si="40"/>
        <v>9.9999999999988987E-4</v>
      </c>
      <c r="D287" s="168" t="str">
        <f t="shared" si="41"/>
        <v>/</v>
      </c>
      <c r="E287" s="168">
        <f ca="1">IF(表2_367162629303421[[#This Row],[累计净值]]/MAX(INDIRECT("B21:B" &amp; ROW()))-1&lt;E286,表2_367162629303421[[#This Row],[累计净值]]/MAX(INDIRECT("B21:B" &amp; ROW()))-1,E286)</f>
        <v>-1.6085790884718509E-2</v>
      </c>
      <c r="F287" s="110">
        <f>表2_367162629303421[[#This Row],[累计净值]]</f>
        <v>1.1419999999999999</v>
      </c>
      <c r="G287" s="170">
        <f>表2_367162629303421[[#This Row],[累计净值]]/$B$21-1</f>
        <v>0.13631840796019912</v>
      </c>
      <c r="H287" s="170">
        <f>表2_367162629303421[[#This Row],[单位净值]]/$F$196-1</f>
        <v>3.5358114233907445E-2</v>
      </c>
    </row>
    <row r="288" spans="1:8" x14ac:dyDescent="0.2">
      <c r="A288" s="161">
        <v>44174</v>
      </c>
      <c r="B288" s="162">
        <v>1.145</v>
      </c>
      <c r="C288" s="171">
        <f t="shared" ref="C288:C293" si="42">IFERROR(B288-B287,0)</f>
        <v>3.0000000000001137E-3</v>
      </c>
      <c r="D288" s="168" t="str">
        <f t="shared" ref="D288:D293" si="43">IF(C288&lt;0,C288,"/")</f>
        <v>/</v>
      </c>
      <c r="E288" s="168">
        <f ca="1">IF(表2_367162629303421[[#This Row],[累计净值]]/MAX(INDIRECT("B21:B" &amp; ROW()))-1&lt;E287,表2_367162629303421[[#This Row],[累计净值]]/MAX(INDIRECT("B21:B" &amp; ROW()))-1,E287)</f>
        <v>-1.6085790884718509E-2</v>
      </c>
      <c r="F288" s="110">
        <f>表2_367162629303421[[#This Row],[累计净值]]</f>
        <v>1.145</v>
      </c>
      <c r="G288" s="170">
        <f>表2_367162629303421[[#This Row],[累计净值]]/$B$21-1</f>
        <v>0.13930348258706471</v>
      </c>
      <c r="H288" s="170">
        <f>表2_367162629303421[[#This Row],[单位净值]]/$F$196-1</f>
        <v>3.80779691749773E-2</v>
      </c>
    </row>
    <row r="289" spans="1:8" x14ac:dyDescent="0.2">
      <c r="A289" s="161">
        <v>44175</v>
      </c>
      <c r="B289" s="162">
        <v>1.1459999999999999</v>
      </c>
      <c r="C289" s="171">
        <f t="shared" si="42"/>
        <v>9.9999999999988987E-4</v>
      </c>
      <c r="D289" s="168" t="str">
        <f t="shared" si="43"/>
        <v>/</v>
      </c>
      <c r="E289" s="168">
        <f ca="1">IF(表2_367162629303421[[#This Row],[累计净值]]/MAX(INDIRECT("B21:B" &amp; ROW()))-1&lt;E288,表2_367162629303421[[#This Row],[累计净值]]/MAX(INDIRECT("B21:B" &amp; ROW()))-1,E288)</f>
        <v>-1.6085790884718509E-2</v>
      </c>
      <c r="F289" s="110">
        <f>表2_367162629303421[[#This Row],[累计净值]]</f>
        <v>1.1459999999999999</v>
      </c>
      <c r="G289" s="170">
        <f>表2_367162629303421[[#This Row],[累计净值]]/$B$21-1</f>
        <v>0.14029850746268657</v>
      </c>
      <c r="H289" s="170">
        <f>表2_367162629303421[[#This Row],[单位净值]]/$F$196-1</f>
        <v>3.8984587488667177E-2</v>
      </c>
    </row>
    <row r="290" spans="1:8" x14ac:dyDescent="0.2">
      <c r="A290" s="161">
        <v>44176</v>
      </c>
      <c r="B290" s="162">
        <v>1.1519999999999999</v>
      </c>
      <c r="C290" s="171">
        <f t="shared" si="42"/>
        <v>6.0000000000000053E-3</v>
      </c>
      <c r="D290" s="168" t="str">
        <f t="shared" si="43"/>
        <v>/</v>
      </c>
      <c r="E290" s="168">
        <f ca="1">IF(表2_367162629303421[[#This Row],[累计净值]]/MAX(INDIRECT("B21:B" &amp; ROW()))-1&lt;E289,表2_367162629303421[[#This Row],[累计净值]]/MAX(INDIRECT("B21:B" &amp; ROW()))-1,E289)</f>
        <v>-1.6085790884718509E-2</v>
      </c>
      <c r="F290" s="110">
        <f>表2_367162629303421[[#This Row],[累计净值]]</f>
        <v>1.1519999999999999</v>
      </c>
      <c r="G290" s="170">
        <f>表2_367162629303421[[#This Row],[累计净值]]/$B$21-1</f>
        <v>0.14626865671641798</v>
      </c>
      <c r="H290" s="170">
        <f>表2_367162629303421[[#This Row],[单位净值]]/$F$196-1</f>
        <v>4.4424297370806887E-2</v>
      </c>
    </row>
    <row r="291" spans="1:8" x14ac:dyDescent="0.2">
      <c r="A291" s="161">
        <v>44179</v>
      </c>
      <c r="B291" s="162">
        <v>1.149</v>
      </c>
      <c r="C291" s="171">
        <f t="shared" si="42"/>
        <v>-2.9999999999998916E-3</v>
      </c>
      <c r="D291" s="168">
        <f t="shared" si="43"/>
        <v>-2.9999999999998916E-3</v>
      </c>
      <c r="E291" s="168">
        <f ca="1">IF(表2_367162629303421[[#This Row],[累计净值]]/MAX(INDIRECT("B21:B" &amp; ROW()))-1&lt;E290,表2_367162629303421[[#This Row],[累计净值]]/MAX(INDIRECT("B21:B" &amp; ROW()))-1,E290)</f>
        <v>-1.6085790884718509E-2</v>
      </c>
      <c r="F291" s="110">
        <f>表2_367162629303421[[#This Row],[累计净值]]</f>
        <v>1.149</v>
      </c>
      <c r="G291" s="170">
        <f>表2_367162629303421[[#This Row],[累计净值]]/$B$21-1</f>
        <v>0.14328358208955239</v>
      </c>
      <c r="H291" s="170">
        <f>表2_367162629303421[[#This Row],[单位净值]]/$F$196-1</f>
        <v>4.1704442429737032E-2</v>
      </c>
    </row>
    <row r="292" spans="1:8" x14ac:dyDescent="0.2">
      <c r="A292" s="161">
        <v>44180</v>
      </c>
      <c r="B292" s="162">
        <v>1.1539999999999999</v>
      </c>
      <c r="C292" s="171">
        <f t="shared" si="42"/>
        <v>4.9999999999998934E-3</v>
      </c>
      <c r="D292" s="168" t="str">
        <f t="shared" si="43"/>
        <v>/</v>
      </c>
      <c r="E292" s="168">
        <f ca="1">IF(表2_367162629303421[[#This Row],[累计净值]]/MAX(INDIRECT("B21:B" &amp; ROW()))-1&lt;E291,表2_367162629303421[[#This Row],[累计净值]]/MAX(INDIRECT("B21:B" &amp; ROW()))-1,E291)</f>
        <v>-1.6085790884718509E-2</v>
      </c>
      <c r="F292" s="110">
        <f>表2_367162629303421[[#This Row],[累计净值]]</f>
        <v>1.1539999999999999</v>
      </c>
      <c r="G292" s="170">
        <f>表2_367162629303421[[#This Row],[累计净值]]/$B$21-1</f>
        <v>0.14825870646766171</v>
      </c>
      <c r="H292" s="170">
        <f>表2_367162629303421[[#This Row],[单位净值]]/$F$196-1</f>
        <v>4.6237533998186642E-2</v>
      </c>
    </row>
    <row r="293" spans="1:8" x14ac:dyDescent="0.2">
      <c r="A293" s="161">
        <v>44181</v>
      </c>
      <c r="B293" s="178">
        <v>1.1559999999999999</v>
      </c>
      <c r="C293" s="171">
        <f t="shared" si="42"/>
        <v>2.0000000000000018E-3</v>
      </c>
      <c r="D293" s="168" t="str">
        <f t="shared" si="43"/>
        <v>/</v>
      </c>
      <c r="E293" s="168">
        <f ca="1">IF(表2_367162629303421[[#This Row],[累计净值]]/MAX(INDIRECT("B21:B" &amp; ROW()))-1&lt;E292,表2_367162629303421[[#This Row],[累计净值]]/MAX(INDIRECT("B21:B" &amp; ROW()))-1,E292)</f>
        <v>-1.6085790884718509E-2</v>
      </c>
      <c r="F293" s="110">
        <f>表2_367162629303421[[#This Row],[累计净值]]</f>
        <v>1.1559999999999999</v>
      </c>
      <c r="G293" s="170">
        <f>表2_367162629303421[[#This Row],[累计净值]]/$B$21-1</f>
        <v>0.15024875621890543</v>
      </c>
      <c r="H293" s="170">
        <f>表2_367162629303421[[#This Row],[单位净值]]/$F$196-1</f>
        <v>4.8050770625566619E-2</v>
      </c>
    </row>
    <row r="294" spans="1:8" x14ac:dyDescent="0.2">
      <c r="A294" s="161">
        <v>44182</v>
      </c>
      <c r="B294" s="162">
        <v>1.153</v>
      </c>
      <c r="C294" s="171">
        <f>IFERROR(B294-B293,0)</f>
        <v>-2.9999999999998916E-3</v>
      </c>
      <c r="D294" s="168">
        <f>IF(C294&lt;0,C294,"/")</f>
        <v>-2.9999999999998916E-3</v>
      </c>
      <c r="E294" s="168">
        <f ca="1">IF(表2_367162629303421[[#This Row],[累计净值]]/MAX(INDIRECT("B21:B" &amp; ROW()))-1&lt;E293,表2_367162629303421[[#This Row],[累计净值]]/MAX(INDIRECT("B21:B" &amp; ROW()))-1,E293)</f>
        <v>-1.6085790884718509E-2</v>
      </c>
      <c r="F294" s="110">
        <f>表2_367162629303421[[#This Row],[累计净值]]</f>
        <v>1.153</v>
      </c>
      <c r="G294" s="170">
        <f>表2_367162629303421[[#This Row],[累计净值]]/$B$21-1</f>
        <v>0.14726368159203984</v>
      </c>
      <c r="H294" s="170">
        <f>表2_367162629303421[[#This Row],[单位净值]]/$F$196-1</f>
        <v>4.5330915684496764E-2</v>
      </c>
    </row>
    <row r="295" spans="1:8" x14ac:dyDescent="0.2">
      <c r="A295" s="161">
        <v>44183</v>
      </c>
      <c r="B295" s="162">
        <v>1.155</v>
      </c>
      <c r="C295" s="171">
        <f>IFERROR(B295-B294,0)</f>
        <v>2.0000000000000018E-3</v>
      </c>
      <c r="D295" s="168" t="str">
        <f>IF(C295&lt;0,C295,"/")</f>
        <v>/</v>
      </c>
      <c r="E295" s="168">
        <f ca="1">IF(表2_367162629303421[[#This Row],[累计净值]]/MAX(INDIRECT("B21:B" &amp; ROW()))-1&lt;E294,表2_367162629303421[[#This Row],[累计净值]]/MAX(INDIRECT("B21:B" &amp; ROW()))-1,E294)</f>
        <v>-1.6085790884718509E-2</v>
      </c>
      <c r="F295" s="110">
        <f>表2_367162629303421[[#This Row],[累计净值]]</f>
        <v>1.155</v>
      </c>
      <c r="G295" s="170">
        <f>表2_367162629303421[[#This Row],[累计净值]]/$B$21-1</f>
        <v>0.14925373134328379</v>
      </c>
      <c r="H295" s="170">
        <f>表2_367162629303421[[#This Row],[单位净值]]/$F$196-1</f>
        <v>4.7144152311876741E-2</v>
      </c>
    </row>
    <row r="296" spans="1:8" x14ac:dyDescent="0.2">
      <c r="A296" s="161">
        <v>44186</v>
      </c>
      <c r="B296" s="162">
        <v>1.1579999999999999</v>
      </c>
      <c r="C296" s="171">
        <f>IFERROR(B296-B295,0)</f>
        <v>2.9999999999998916E-3</v>
      </c>
      <c r="D296" s="168" t="str">
        <f>IF(C296&lt;0,C296,"/")</f>
        <v>/</v>
      </c>
      <c r="E296" s="168">
        <f ca="1">IF(表2_367162629303421[[#This Row],[累计净值]]/MAX(INDIRECT("B21:B" &amp; ROW()))-1&lt;E295,表2_367162629303421[[#This Row],[累计净值]]/MAX(INDIRECT("B21:B" &amp; ROW()))-1,E295)</f>
        <v>-1.6085790884718509E-2</v>
      </c>
      <c r="F296" s="110">
        <f>表2_367162629303421[[#This Row],[累计净值]]-0.145</f>
        <v>1.0129999999999999</v>
      </c>
      <c r="G296" s="170">
        <f>表2_367162629303421[[#This Row],[累计净值]]/$B$21-1</f>
        <v>0.15223880597014938</v>
      </c>
      <c r="H296" s="170">
        <f>表2_367162629303421[[#This Row],[累计净值]]/$F$196-1</f>
        <v>4.9864007252946374E-2</v>
      </c>
    </row>
    <row r="297" spans="1:8" x14ac:dyDescent="0.2">
      <c r="A297" s="161">
        <v>44187</v>
      </c>
      <c r="B297" s="162">
        <v>1.165</v>
      </c>
      <c r="C297" s="171">
        <f>IFERROR(B297-B296,0)</f>
        <v>7.0000000000001172E-3</v>
      </c>
      <c r="D297" s="168" t="str">
        <f>IF(C297&lt;0,C297,"/")</f>
        <v>/</v>
      </c>
      <c r="E297" s="168">
        <f ca="1">IF(表2_367162629303421[[#This Row],[累计净值]]/MAX(INDIRECT("B21:B" &amp; ROW()))-1&lt;E296,表2_367162629303421[[#This Row],[累计净值]]/MAX(INDIRECT("B21:B" &amp; ROW()))-1,E296)</f>
        <v>-1.6085790884718509E-2</v>
      </c>
      <c r="F297" s="110">
        <f>表2_367162629303421[[#This Row],[累计净值]]-0.145</f>
        <v>1.02</v>
      </c>
      <c r="G297" s="170">
        <f>表2_367162629303421[[#This Row],[累计净值]]/$B$21-1</f>
        <v>0.15920398009950265</v>
      </c>
      <c r="H297" s="170">
        <f>表2_367162629303421[[#This Row],[累计净值]]/$F$196-1</f>
        <v>5.6210335448776183E-2</v>
      </c>
    </row>
    <row r="298" spans="1:8" x14ac:dyDescent="0.2">
      <c r="A298" s="161">
        <v>44188</v>
      </c>
      <c r="B298" s="162">
        <v>1.163</v>
      </c>
      <c r="C298" s="171">
        <f>IFERROR(B298-B297,0)</f>
        <v>-2.0000000000000018E-3</v>
      </c>
      <c r="D298" s="168">
        <f>IF(C298&lt;0,C298,"/")</f>
        <v>-2.0000000000000018E-3</v>
      </c>
      <c r="E298" s="168">
        <f ca="1">IF(表2_367162629303421[[#This Row],[累计净值]]/MAX(INDIRECT("B21:B" &amp; ROW()))-1&lt;E297,表2_367162629303421[[#This Row],[累计净值]]/MAX(INDIRECT("B21:B" &amp; ROW()))-1,E297)</f>
        <v>-1.6085790884718509E-2</v>
      </c>
      <c r="F298" s="110">
        <f>表2_367162629303421[[#This Row],[累计净值]]-0.145</f>
        <v>1.018</v>
      </c>
      <c r="G298" s="170">
        <f>表2_367162629303421[[#This Row],[累计净值]]/$B$21-1</f>
        <v>0.15721393034825892</v>
      </c>
      <c r="H298" s="170">
        <f>表2_367162629303421[[#This Row],[累计净值]]/$F$196-1</f>
        <v>5.4397098821396206E-2</v>
      </c>
    </row>
    <row r="299" spans="1:8" x14ac:dyDescent="0.2">
      <c r="A299" s="161">
        <v>44189</v>
      </c>
      <c r="B299" s="162">
        <v>1.1639999999999999</v>
      </c>
      <c r="C299" s="171">
        <f t="shared" ref="C299:C300" si="44">IFERROR(B299-B298,0)</f>
        <v>9.9999999999988987E-4</v>
      </c>
      <c r="D299" s="168" t="str">
        <f t="shared" ref="D299:D300" si="45">IF(C299&lt;0,C299,"/")</f>
        <v>/</v>
      </c>
      <c r="E299" s="168">
        <f ca="1">IF(表2_367162629303421[[#This Row],[累计净值]]/MAX(INDIRECT("B21:B" &amp; ROW()))-1&lt;E298,表2_367162629303421[[#This Row],[累计净值]]/MAX(INDIRECT("B21:B" &amp; ROW()))-1,E298)</f>
        <v>-1.6085790884718509E-2</v>
      </c>
      <c r="F299" s="110">
        <f>表2_367162629303421[[#This Row],[累计净值]]-0.145</f>
        <v>1.0189999999999999</v>
      </c>
      <c r="G299" s="170">
        <f>表2_367162629303421[[#This Row],[累计净值]]/$B$21-1</f>
        <v>0.15820895522388057</v>
      </c>
      <c r="H299" s="170">
        <f>表2_367162629303421[[#This Row],[累计净值]]/$F$196-1</f>
        <v>5.5303717135086083E-2</v>
      </c>
    </row>
    <row r="300" spans="1:8" x14ac:dyDescent="0.2">
      <c r="A300" s="161">
        <v>44190</v>
      </c>
      <c r="B300" s="162">
        <v>1.163</v>
      </c>
      <c r="C300" s="171">
        <f t="shared" si="44"/>
        <v>-9.9999999999988987E-4</v>
      </c>
      <c r="D300" s="168">
        <f t="shared" si="45"/>
        <v>-9.9999999999988987E-4</v>
      </c>
      <c r="E300" s="168">
        <f ca="1">IF(表2_367162629303421[[#This Row],[累计净值]]/MAX(INDIRECT("B21:B" &amp; ROW()))-1&lt;E299,表2_367162629303421[[#This Row],[累计净值]]/MAX(INDIRECT("B21:B" &amp; ROW()))-1,E299)</f>
        <v>-1.6085790884718509E-2</v>
      </c>
      <c r="F300" s="110">
        <f>表2_367162629303421[[#This Row],[累计净值]]-0.145</f>
        <v>1.018</v>
      </c>
      <c r="G300" s="170">
        <f>表2_367162629303421[[#This Row],[累计净值]]/$B$21-1</f>
        <v>0.15721393034825892</v>
      </c>
      <c r="H300" s="170">
        <f>表2_367162629303421[[#This Row],[累计净值]]/$F$196-1</f>
        <v>5.4397098821396206E-2</v>
      </c>
    </row>
    <row r="301" spans="1:8" x14ac:dyDescent="0.2">
      <c r="A301" s="161">
        <v>44193</v>
      </c>
      <c r="B301" s="162">
        <v>1.1639999999999999</v>
      </c>
      <c r="C301" s="171">
        <f t="shared" ref="C301:C307" si="46">IFERROR(B301-B300,0)</f>
        <v>9.9999999999988987E-4</v>
      </c>
      <c r="D301" s="168" t="str">
        <f t="shared" ref="D301:D307" si="47">IF(C301&lt;0,C301,"/")</f>
        <v>/</v>
      </c>
      <c r="E301" s="168">
        <f ca="1">IF(表2_367162629303421[[#This Row],[累计净值]]/MAX(INDIRECT("B21:B" &amp; ROW()))-1&lt;E300,表2_367162629303421[[#This Row],[累计净值]]/MAX(INDIRECT("B21:B" &amp; ROW()))-1,E300)</f>
        <v>-1.6085790884718509E-2</v>
      </c>
      <c r="F301" s="110">
        <f>表2_367162629303421[[#This Row],[累计净值]]-0.145</f>
        <v>1.0189999999999999</v>
      </c>
      <c r="G301" s="170">
        <f>表2_367162629303421[[#This Row],[累计净值]]/$B$21-1</f>
        <v>0.15820895522388057</v>
      </c>
      <c r="H301" s="170">
        <f>表2_367162629303421[[#This Row],[累计净值]]/$F$196-1</f>
        <v>5.5303717135086083E-2</v>
      </c>
    </row>
    <row r="302" spans="1:8" x14ac:dyDescent="0.2">
      <c r="A302" s="161">
        <v>44194</v>
      </c>
      <c r="B302" s="162">
        <v>1.163</v>
      </c>
      <c r="C302" s="171">
        <f t="shared" si="46"/>
        <v>-9.9999999999988987E-4</v>
      </c>
      <c r="D302" s="168">
        <f t="shared" si="47"/>
        <v>-9.9999999999988987E-4</v>
      </c>
      <c r="E302" s="168">
        <f ca="1">IF(表2_367162629303421[[#This Row],[累计净值]]/MAX(INDIRECT("B21:B" &amp; ROW()))-1&lt;E301,表2_367162629303421[[#This Row],[累计净值]]/MAX(INDIRECT("B21:B" &amp; ROW()))-1,E301)</f>
        <v>-1.6085790884718509E-2</v>
      </c>
      <c r="F302" s="110">
        <f>表2_367162629303421[[#This Row],[累计净值]]-0.145</f>
        <v>1.018</v>
      </c>
      <c r="G302" s="170">
        <f>表2_367162629303421[[#This Row],[累计净值]]/$B$21-1</f>
        <v>0.15721393034825892</v>
      </c>
      <c r="H302" s="170">
        <f>表2_367162629303421[[#This Row],[累计净值]]/$F$196-1</f>
        <v>5.4397098821396206E-2</v>
      </c>
    </row>
    <row r="303" spans="1:8" x14ac:dyDescent="0.2">
      <c r="A303" s="161">
        <v>44195</v>
      </c>
      <c r="B303" s="162">
        <v>1.1639999999999999</v>
      </c>
      <c r="C303" s="171">
        <f t="shared" si="46"/>
        <v>9.9999999999988987E-4</v>
      </c>
      <c r="D303" s="168" t="str">
        <f t="shared" si="47"/>
        <v>/</v>
      </c>
      <c r="E303" s="168">
        <f ca="1">IF(表2_367162629303421[[#This Row],[累计净值]]/MAX(INDIRECT("B21:B" &amp; ROW()))-1&lt;E302,表2_367162629303421[[#This Row],[累计净值]]/MAX(INDIRECT("B21:B" &amp; ROW()))-1,E302)</f>
        <v>-1.6085790884718509E-2</v>
      </c>
      <c r="F303" s="110">
        <f>表2_367162629303421[[#This Row],[累计净值]]-0.145</f>
        <v>1.0189999999999999</v>
      </c>
      <c r="G303" s="170">
        <f>表2_367162629303421[[#This Row],[累计净值]]/$B$21-1</f>
        <v>0.15820895522388057</v>
      </c>
      <c r="H303" s="170">
        <f>表2_367162629303421[[#This Row],[累计净值]]/$F$196-1</f>
        <v>5.5303717135086083E-2</v>
      </c>
    </row>
    <row r="304" spans="1:8" x14ac:dyDescent="0.2">
      <c r="A304" s="161">
        <v>44196</v>
      </c>
      <c r="B304" s="162">
        <v>1.165</v>
      </c>
      <c r="C304" s="171">
        <f t="shared" si="46"/>
        <v>1.0000000000001119E-3</v>
      </c>
      <c r="D304" s="168" t="str">
        <f t="shared" si="47"/>
        <v>/</v>
      </c>
      <c r="E304" s="168">
        <f ca="1">IF(表2_367162629303421[[#This Row],[累计净值]]/MAX(INDIRECT("B21:B" &amp; ROW()))-1&lt;E303,表2_367162629303421[[#This Row],[累计净值]]/MAX(INDIRECT("B21:B" &amp; ROW()))-1,E303)</f>
        <v>-1.6085790884718509E-2</v>
      </c>
      <c r="F304" s="110">
        <f>表2_367162629303421[[#This Row],[累计净值]]-0.145</f>
        <v>1.02</v>
      </c>
      <c r="G304" s="170">
        <f>表2_367162629303421[[#This Row],[累计净值]]/$B$21-1</f>
        <v>0.15920398009950265</v>
      </c>
      <c r="H304" s="170">
        <f>表2_367162629303421[[#This Row],[累计净值]]/$F$196-1</f>
        <v>5.6210335448776183E-2</v>
      </c>
    </row>
    <row r="305" spans="1:8" x14ac:dyDescent="0.2">
      <c r="A305" s="161">
        <v>44200</v>
      </c>
      <c r="B305" s="162">
        <v>1.165</v>
      </c>
      <c r="C305" s="171">
        <f t="shared" si="46"/>
        <v>0</v>
      </c>
      <c r="D305" s="168" t="str">
        <f t="shared" si="47"/>
        <v>/</v>
      </c>
      <c r="E305" s="168">
        <f ca="1">IF(表2_367162629303421[[#This Row],[累计净值]]/MAX(INDIRECT("B21:B" &amp; ROW()))-1&lt;E304,表2_367162629303421[[#This Row],[累计净值]]/MAX(INDIRECT("B21:B" &amp; ROW()))-1,E304)</f>
        <v>-1.6085790884718509E-2</v>
      </c>
      <c r="F305" s="110">
        <f>表2_367162629303421[[#This Row],[累计净值]]-0.145</f>
        <v>1.02</v>
      </c>
      <c r="G305" s="170">
        <f>表2_367162629303421[[#This Row],[累计净值]]/$B$21-1</f>
        <v>0.15920398009950265</v>
      </c>
      <c r="H305" s="170">
        <f>表2_367162629303421[[#This Row],[累计净值]]/$F$196-1</f>
        <v>5.6210335448776183E-2</v>
      </c>
    </row>
    <row r="306" spans="1:8" x14ac:dyDescent="0.2">
      <c r="A306" s="161">
        <v>44201</v>
      </c>
      <c r="B306" s="162">
        <v>1.1619999999999999</v>
      </c>
      <c r="C306" s="171">
        <f t="shared" si="46"/>
        <v>-3.0000000000001137E-3</v>
      </c>
      <c r="D306" s="168">
        <f t="shared" si="47"/>
        <v>-3.0000000000001137E-3</v>
      </c>
      <c r="E306" s="168">
        <f ca="1">IF(表2_367162629303421[[#This Row],[累计净值]]/MAX(INDIRECT("B21:B" &amp; ROW()))-1&lt;E305,表2_367162629303421[[#This Row],[累计净值]]/MAX(INDIRECT("B21:B" &amp; ROW()))-1,E305)</f>
        <v>-1.6085790884718509E-2</v>
      </c>
      <c r="F306" s="110">
        <f>表2_367162629303421[[#This Row],[累计净值]]-0.145</f>
        <v>1.0169999999999999</v>
      </c>
      <c r="G306" s="170">
        <f>表2_367162629303421[[#This Row],[累计净值]]/$B$21-1</f>
        <v>0.15621890547263684</v>
      </c>
      <c r="H306" s="170">
        <f>表2_367162629303421[[#This Row],[累计净值]]/$F$196-1</f>
        <v>5.3490480507706106E-2</v>
      </c>
    </row>
    <row r="307" spans="1:8" x14ac:dyDescent="0.2">
      <c r="A307" s="161">
        <v>44202</v>
      </c>
      <c r="B307" s="162">
        <v>1.1619999999999999</v>
      </c>
      <c r="C307" s="171">
        <f t="shared" si="46"/>
        <v>0</v>
      </c>
      <c r="D307" s="168" t="str">
        <f t="shared" si="47"/>
        <v>/</v>
      </c>
      <c r="E307" s="168">
        <f ca="1">IF(表2_367162629303421[[#This Row],[累计净值]]/MAX(INDIRECT("B21:B" &amp; ROW()))-1&lt;E306,表2_367162629303421[[#This Row],[累计净值]]/MAX(INDIRECT("B21:B" &amp; ROW()))-1,E306)</f>
        <v>-1.6085790884718509E-2</v>
      </c>
      <c r="F307" s="110">
        <f>表2_367162629303421[[#This Row],[累计净值]]-0.145</f>
        <v>1.0169999999999999</v>
      </c>
      <c r="G307" s="170">
        <f>表2_367162629303421[[#This Row],[累计净值]]/$B$21-1</f>
        <v>0.15621890547263684</v>
      </c>
      <c r="H307" s="170">
        <f>表2_367162629303421[[#This Row],[累计净值]]/$F$196-1</f>
        <v>5.3490480507706106E-2</v>
      </c>
    </row>
    <row r="308" spans="1:8" x14ac:dyDescent="0.2">
      <c r="A308" s="161">
        <v>44203</v>
      </c>
      <c r="B308" s="162">
        <v>1.1639999999999999</v>
      </c>
      <c r="C308" s="171">
        <f t="shared" ref="C308:C313" si="48">IFERROR(B308-B307,0)</f>
        <v>2.0000000000000018E-3</v>
      </c>
      <c r="D308" s="168" t="str">
        <f t="shared" ref="D308:D313" si="49">IF(C308&lt;0,C308,"/")</f>
        <v>/</v>
      </c>
      <c r="E308" s="168">
        <f ca="1">IF(表2_367162629303421[[#This Row],[累计净值]]/MAX(INDIRECT("B21:B" &amp; ROW()))-1&lt;E307,表2_367162629303421[[#This Row],[累计净值]]/MAX(INDIRECT("B21:B" &amp; ROW()))-1,E307)</f>
        <v>-1.6085790884718509E-2</v>
      </c>
      <c r="F308" s="110">
        <f>表2_367162629303421[[#This Row],[累计净值]]-0.145</f>
        <v>1.0189999999999999</v>
      </c>
      <c r="G308" s="170">
        <f>表2_367162629303421[[#This Row],[累计净值]]/$B$21-1</f>
        <v>0.15820895522388057</v>
      </c>
      <c r="H308" s="170">
        <f>表2_367162629303421[[#This Row],[累计净值]]/$F$196-1</f>
        <v>5.5303717135086083E-2</v>
      </c>
    </row>
    <row r="309" spans="1:8" x14ac:dyDescent="0.2">
      <c r="A309" s="161">
        <v>44204</v>
      </c>
      <c r="B309" s="162">
        <v>1.1619999999999999</v>
      </c>
      <c r="C309" s="171">
        <f t="shared" si="48"/>
        <v>-2.0000000000000018E-3</v>
      </c>
      <c r="D309" s="168">
        <f t="shared" si="49"/>
        <v>-2.0000000000000018E-3</v>
      </c>
      <c r="E309" s="168">
        <f ca="1">IF(表2_367162629303421[[#This Row],[累计净值]]/MAX(INDIRECT("B21:B" &amp; ROW()))-1&lt;E308,表2_367162629303421[[#This Row],[累计净值]]/MAX(INDIRECT("B21:B" &amp; ROW()))-1,E308)</f>
        <v>-1.6085790884718509E-2</v>
      </c>
      <c r="F309" s="110">
        <f>表2_367162629303421[[#This Row],[累计净值]]-0.145</f>
        <v>1.0169999999999999</v>
      </c>
      <c r="G309" s="170">
        <f>表2_367162629303421[[#This Row],[累计净值]]/$B$21-1</f>
        <v>0.15621890547263684</v>
      </c>
      <c r="H309" s="170">
        <f>表2_367162629303421[[#This Row],[累计净值]]/$F$196-1</f>
        <v>5.3490480507706106E-2</v>
      </c>
    </row>
    <row r="310" spans="1:8" x14ac:dyDescent="0.2">
      <c r="A310" s="161">
        <v>44207</v>
      </c>
      <c r="B310" s="162">
        <v>1.167</v>
      </c>
      <c r="C310" s="171">
        <f t="shared" si="48"/>
        <v>5.0000000000001155E-3</v>
      </c>
      <c r="D310" s="168" t="str">
        <f t="shared" si="49"/>
        <v>/</v>
      </c>
      <c r="E310" s="168">
        <f ca="1">IF(表2_367162629303421[[#This Row],[累计净值]]/MAX(INDIRECT("B21:B" &amp; ROW()))-1&lt;E309,表2_367162629303421[[#This Row],[累计净值]]/MAX(INDIRECT("B21:B" &amp; ROW()))-1,E309)</f>
        <v>-1.6085790884718509E-2</v>
      </c>
      <c r="F310" s="110">
        <f>表2_367162629303421[[#This Row],[累计净值]]-0.145</f>
        <v>1.022</v>
      </c>
      <c r="G310" s="170">
        <f>表2_367162629303421[[#This Row],[累计净值]]/$B$21-1</f>
        <v>0.16119402985074638</v>
      </c>
      <c r="H310" s="170">
        <f>表2_367162629303421[[#This Row],[累计净值]]/$F$196-1</f>
        <v>5.8023572076155938E-2</v>
      </c>
    </row>
    <row r="311" spans="1:8" x14ac:dyDescent="0.2">
      <c r="A311" s="161">
        <v>44208</v>
      </c>
      <c r="B311" s="162">
        <v>1.1679999999999999</v>
      </c>
      <c r="C311" s="171">
        <f t="shared" si="48"/>
        <v>9.9999999999988987E-4</v>
      </c>
      <c r="D311" s="168" t="str">
        <f t="shared" si="49"/>
        <v>/</v>
      </c>
      <c r="E311" s="168">
        <f ca="1">IF(表2_367162629303421[[#This Row],[累计净值]]/MAX(INDIRECT("B21:B" &amp; ROW()))-1&lt;E310,表2_367162629303421[[#This Row],[累计净值]]/MAX(INDIRECT("B21:B" &amp; ROW()))-1,E310)</f>
        <v>-1.6085790884718509E-2</v>
      </c>
      <c r="F311" s="110">
        <f>表2_367162629303421[[#This Row],[累计净值]]-0.145</f>
        <v>1.0229999999999999</v>
      </c>
      <c r="G311" s="170">
        <f>表2_367162629303421[[#This Row],[累计净值]]/$B$21-1</f>
        <v>0.16218905472636824</v>
      </c>
      <c r="H311" s="170">
        <f>表2_367162629303421[[#This Row],[累计净值]]/$F$196-1</f>
        <v>5.8930190389845816E-2</v>
      </c>
    </row>
    <row r="312" spans="1:8" x14ac:dyDescent="0.2">
      <c r="A312" s="161">
        <v>44209</v>
      </c>
      <c r="B312" s="162">
        <v>1.1639999999999999</v>
      </c>
      <c r="C312" s="171">
        <f t="shared" si="48"/>
        <v>-4.0000000000000036E-3</v>
      </c>
      <c r="D312" s="168">
        <f t="shared" si="49"/>
        <v>-4.0000000000000036E-3</v>
      </c>
      <c r="E312" s="168">
        <f ca="1">IF(表2_367162629303421[[#This Row],[累计净值]]/MAX(INDIRECT("B21:B" &amp; ROW()))-1&lt;E311,表2_367162629303421[[#This Row],[累计净值]]/MAX(INDIRECT("B21:B" &amp; ROW()))-1,E311)</f>
        <v>-1.6085790884718509E-2</v>
      </c>
      <c r="F312" s="110">
        <f>表2_367162629303421[[#This Row],[累计净值]]-0.145</f>
        <v>1.0189999999999999</v>
      </c>
      <c r="G312" s="170">
        <f>表2_367162629303421[[#This Row],[累计净值]]/$B$21-1</f>
        <v>0.15820895522388057</v>
      </c>
      <c r="H312" s="170">
        <f>表2_367162629303421[[#This Row],[累计净值]]/$F$196-1</f>
        <v>5.5303717135086083E-2</v>
      </c>
    </row>
    <row r="313" spans="1:8" x14ac:dyDescent="0.2">
      <c r="A313" s="161">
        <v>44210</v>
      </c>
      <c r="B313" s="162">
        <v>1.167</v>
      </c>
      <c r="C313" s="171">
        <f t="shared" si="48"/>
        <v>3.0000000000001137E-3</v>
      </c>
      <c r="D313" s="168" t="str">
        <f t="shared" si="49"/>
        <v>/</v>
      </c>
      <c r="E313" s="168">
        <f ca="1">IF(表2_367162629303421[[#This Row],[累计净值]]/MAX(INDIRECT("B21:B" &amp; ROW()))-1&lt;E312,表2_367162629303421[[#This Row],[累计净值]]/MAX(INDIRECT("B21:B" &amp; ROW()))-1,E312)</f>
        <v>-1.6085790884718509E-2</v>
      </c>
      <c r="F313" s="110">
        <f>表2_367162629303421[[#This Row],[累计净值]]-0.145</f>
        <v>1.022</v>
      </c>
      <c r="G313" s="170">
        <f>表2_367162629303421[[#This Row],[累计净值]]/$B$21-1</f>
        <v>0.16119402985074638</v>
      </c>
      <c r="H313" s="170">
        <f>表2_367162629303421[[#This Row],[累计净值]]/$F$196-1</f>
        <v>5.8023572076155938E-2</v>
      </c>
    </row>
    <row r="314" spans="1:8" x14ac:dyDescent="0.2">
      <c r="A314" s="161">
        <v>44211</v>
      </c>
      <c r="B314" s="162">
        <v>1.175</v>
      </c>
      <c r="C314" s="171">
        <f t="shared" ref="C314:C319" si="50">IFERROR(B314-B313,0)</f>
        <v>8.0000000000000071E-3</v>
      </c>
      <c r="D314" s="168" t="str">
        <f t="shared" ref="D314:D319" si="51">IF(C314&lt;0,C314,"/")</f>
        <v>/</v>
      </c>
      <c r="E314" s="168">
        <f ca="1">IF(表2_367162629303421[[#This Row],[累计净值]]/MAX(INDIRECT("B21:B" &amp; ROW()))-1&lt;E313,表2_367162629303421[[#This Row],[累计净值]]/MAX(INDIRECT("B21:B" &amp; ROW()))-1,E313)</f>
        <v>-1.6085790884718509E-2</v>
      </c>
      <c r="F314" s="110">
        <f>表2_367162629303421[[#This Row],[累计净值]]-0.145</f>
        <v>1.03</v>
      </c>
      <c r="G314" s="170">
        <f>表2_367162629303421[[#This Row],[累计净值]]/$B$21-1</f>
        <v>0.16915422885572151</v>
      </c>
      <c r="H314" s="170">
        <f>表2_367162629303421[[#This Row],[累计净值]]/$F$196-1</f>
        <v>6.5276518585675403E-2</v>
      </c>
    </row>
    <row r="315" spans="1:8" x14ac:dyDescent="0.2">
      <c r="A315" s="161">
        <v>44214</v>
      </c>
      <c r="B315" s="162">
        <v>1.173</v>
      </c>
      <c r="C315" s="171">
        <f t="shared" si="50"/>
        <v>-2.0000000000000018E-3</v>
      </c>
      <c r="D315" s="168">
        <f t="shared" si="51"/>
        <v>-2.0000000000000018E-3</v>
      </c>
      <c r="E315" s="168">
        <f ca="1">IF(表2_367162629303421[[#This Row],[累计净值]]/MAX(INDIRECT("B21:B" &amp; ROW()))-1&lt;E314,表2_367162629303421[[#This Row],[累计净值]]/MAX(INDIRECT("B21:B" &amp; ROW()))-1,E314)</f>
        <v>-1.6085790884718509E-2</v>
      </c>
      <c r="F315" s="110">
        <f>表2_367162629303421[[#This Row],[累计净值]]-0.145</f>
        <v>1.028</v>
      </c>
      <c r="G315" s="170">
        <f>表2_367162629303421[[#This Row],[累计净值]]/$B$21-1</f>
        <v>0.16716417910447778</v>
      </c>
      <c r="H315" s="170">
        <f>表2_367162629303421[[#This Row],[累计净值]]/$F$196-1</f>
        <v>6.3463281958295648E-2</v>
      </c>
    </row>
    <row r="316" spans="1:8" x14ac:dyDescent="0.2">
      <c r="A316" s="161">
        <v>44215</v>
      </c>
      <c r="B316" s="162">
        <v>1.173</v>
      </c>
      <c r="C316" s="171">
        <f t="shared" si="50"/>
        <v>0</v>
      </c>
      <c r="D316" s="168" t="str">
        <f t="shared" si="51"/>
        <v>/</v>
      </c>
      <c r="E316" s="168">
        <f ca="1">IF(表2_367162629303421[[#This Row],[累计净值]]/MAX(INDIRECT("B21:B" &amp; ROW()))-1&lt;E315,表2_367162629303421[[#This Row],[累计净值]]/MAX(INDIRECT("B21:B" &amp; ROW()))-1,E315)</f>
        <v>-1.6085790884718509E-2</v>
      </c>
      <c r="F316" s="110">
        <f>表2_367162629303421[[#This Row],[累计净值]]-0.145</f>
        <v>1.028</v>
      </c>
      <c r="G316" s="170">
        <f>表2_367162629303421[[#This Row],[累计净值]]/$B$21-1</f>
        <v>0.16716417910447778</v>
      </c>
      <c r="H316" s="170">
        <f>表2_367162629303421[[#This Row],[累计净值]]/$F$196-1</f>
        <v>6.3463281958295648E-2</v>
      </c>
    </row>
    <row r="317" spans="1:8" x14ac:dyDescent="0.2">
      <c r="A317" s="161">
        <v>44216</v>
      </c>
      <c r="B317" s="162">
        <v>1.1759999999999999</v>
      </c>
      <c r="C317" s="171">
        <f t="shared" si="50"/>
        <v>2.9999999999998916E-3</v>
      </c>
      <c r="D317" s="168" t="str">
        <f t="shared" si="51"/>
        <v>/</v>
      </c>
      <c r="E317" s="168">
        <f ca="1">IF(表2_367162629303421[[#This Row],[累计净值]]/MAX(INDIRECT("B21:B" &amp; ROW()))-1&lt;E316,表2_367162629303421[[#This Row],[累计净值]]/MAX(INDIRECT("B21:B" &amp; ROW()))-1,E316)</f>
        <v>-1.6085790884718509E-2</v>
      </c>
      <c r="F317" s="110">
        <f>表2_367162629303421[[#This Row],[累计净值]]-0.145</f>
        <v>1.0309999999999999</v>
      </c>
      <c r="G317" s="170">
        <f>表2_367162629303421[[#This Row],[累计净值]]/$B$21-1</f>
        <v>0.17014925373134338</v>
      </c>
      <c r="H317" s="170">
        <f>表2_367162629303421[[#This Row],[累计净值]]/$F$196-1</f>
        <v>6.618313689936528E-2</v>
      </c>
    </row>
    <row r="318" spans="1:8" x14ac:dyDescent="0.2">
      <c r="A318" s="161">
        <v>44217</v>
      </c>
      <c r="B318" s="162">
        <v>1.177</v>
      </c>
      <c r="C318" s="171">
        <f t="shared" si="50"/>
        <v>1.0000000000001119E-3</v>
      </c>
      <c r="D318" s="168" t="str">
        <f t="shared" si="51"/>
        <v>/</v>
      </c>
      <c r="E318" s="168">
        <f ca="1">IF(表2_367162629303421[[#This Row],[累计净值]]/MAX(INDIRECT("B21:B" &amp; ROW()))-1&lt;E317,表2_367162629303421[[#This Row],[累计净值]]/MAX(INDIRECT("B21:B" &amp; ROW()))-1,E317)</f>
        <v>-1.6085790884718509E-2</v>
      </c>
      <c r="F318" s="110">
        <f>表2_367162629303421[[#This Row],[累计净值]]-0.145</f>
        <v>1.032</v>
      </c>
      <c r="G318" s="170">
        <f>表2_367162629303421[[#This Row],[累计净值]]/$B$21-1</f>
        <v>0.17114427860696524</v>
      </c>
      <c r="H318" s="170">
        <f>表2_367162629303421[[#This Row],[累计净值]]/$F$196-1</f>
        <v>6.708975521305538E-2</v>
      </c>
    </row>
    <row r="319" spans="1:8" x14ac:dyDescent="0.2">
      <c r="A319" s="161">
        <v>44218</v>
      </c>
      <c r="B319" s="162">
        <v>1.177</v>
      </c>
      <c r="C319" s="171">
        <f t="shared" si="50"/>
        <v>0</v>
      </c>
      <c r="D319" s="168" t="str">
        <f t="shared" si="51"/>
        <v>/</v>
      </c>
      <c r="E319" s="168">
        <f ca="1">IF(表2_367162629303421[[#This Row],[累计净值]]/MAX(INDIRECT("B21:B" &amp; ROW()))-1&lt;E318,表2_367162629303421[[#This Row],[累计净值]]/MAX(INDIRECT("B21:B" &amp; ROW()))-1,E318)</f>
        <v>-1.6085790884718509E-2</v>
      </c>
      <c r="F319" s="110">
        <f>表2_367162629303421[[#This Row],[累计净值]]-0.145</f>
        <v>1.032</v>
      </c>
      <c r="G319" s="170">
        <f>表2_367162629303421[[#This Row],[累计净值]]/$B$21-1</f>
        <v>0.17114427860696524</v>
      </c>
      <c r="H319" s="170">
        <f>表2_367162629303421[[#This Row],[累计净值]]/$F$196-1</f>
        <v>6.708975521305538E-2</v>
      </c>
    </row>
    <row r="320" spans="1:8" x14ac:dyDescent="0.2">
      <c r="A320" s="161">
        <v>44221</v>
      </c>
      <c r="B320" s="162">
        <v>1.179</v>
      </c>
      <c r="C320" s="171">
        <f t="shared" ref="C320:C325" si="52">IFERROR(B320-B319,0)</f>
        <v>2.0000000000000018E-3</v>
      </c>
      <c r="D320" s="168" t="str">
        <f t="shared" ref="D320:D325" si="53">IF(C320&lt;0,C320,"/")</f>
        <v>/</v>
      </c>
      <c r="E320" s="168">
        <f ca="1">IF(表2_367162629303421[[#This Row],[累计净值]]/MAX(INDIRECT("B21:B" &amp; ROW()))-1&lt;E319,表2_367162629303421[[#This Row],[累计净值]]/MAX(INDIRECT("B21:B" &amp; ROW()))-1,E319)</f>
        <v>-1.6085790884718509E-2</v>
      </c>
      <c r="F320" s="110">
        <f>表2_367162629303421[[#This Row],[累计净值]]-0.145</f>
        <v>1.034</v>
      </c>
      <c r="G320" s="170">
        <f>表2_367162629303421[[#This Row],[累计净值]]/$B$21-1</f>
        <v>0.17313432835820919</v>
      </c>
      <c r="H320" s="170">
        <f>表2_367162629303421[[#This Row],[累计净值]]/$F$196-1</f>
        <v>6.8902991840435135E-2</v>
      </c>
    </row>
    <row r="321" spans="1:8" x14ac:dyDescent="0.2">
      <c r="A321" s="161">
        <v>44222</v>
      </c>
      <c r="B321" s="162">
        <v>1.1779999999999999</v>
      </c>
      <c r="C321" s="171">
        <f t="shared" si="52"/>
        <v>-1.0000000000001119E-3</v>
      </c>
      <c r="D321" s="168">
        <f t="shared" si="53"/>
        <v>-1.0000000000001119E-3</v>
      </c>
      <c r="E321" s="168">
        <f ca="1">IF(表2_367162629303421[[#This Row],[累计净值]]/MAX(INDIRECT("B21:B" &amp; ROW()))-1&lt;E320,表2_367162629303421[[#This Row],[累计净值]]/MAX(INDIRECT("B21:B" &amp; ROW()))-1,E320)</f>
        <v>-1.6085790884718509E-2</v>
      </c>
      <c r="F321" s="110">
        <f>表2_367162629303421[[#This Row],[累计净值]]-0.145</f>
        <v>1.0329999999999999</v>
      </c>
      <c r="G321" s="170">
        <f>表2_367162629303421[[#This Row],[累计净值]]/$B$21-1</f>
        <v>0.1721393034825871</v>
      </c>
      <c r="H321" s="170">
        <f>表2_367162629303421[[#This Row],[累计净值]]/$F$196-1</f>
        <v>6.7996373526745257E-2</v>
      </c>
    </row>
    <row r="322" spans="1:8" x14ac:dyDescent="0.2">
      <c r="A322" s="161">
        <v>44223</v>
      </c>
      <c r="B322" s="162">
        <v>1.181</v>
      </c>
      <c r="C322" s="171">
        <f t="shared" si="52"/>
        <v>3.0000000000001137E-3</v>
      </c>
      <c r="D322" s="168" t="str">
        <f t="shared" si="53"/>
        <v>/</v>
      </c>
      <c r="E322" s="168">
        <f ca="1">IF(表2_367162629303421[[#This Row],[累计净值]]/MAX(INDIRECT("B21:B" &amp; ROW()))-1&lt;E321,表2_367162629303421[[#This Row],[累计净值]]/MAX(INDIRECT("B21:B" &amp; ROW()))-1,E321)</f>
        <v>-1.6085790884718509E-2</v>
      </c>
      <c r="F322" s="110">
        <f>表2_367162629303421[[#This Row],[累计净值]]-0.145</f>
        <v>1.036</v>
      </c>
      <c r="G322" s="170">
        <f>表2_367162629303421[[#This Row],[累计净值]]/$B$21-1</f>
        <v>0.17512437810945292</v>
      </c>
      <c r="H322" s="170">
        <f>表2_367162629303421[[#This Row],[累计净值]]/$F$196-1</f>
        <v>7.0716228467815112E-2</v>
      </c>
    </row>
    <row r="323" spans="1:8" x14ac:dyDescent="0.2">
      <c r="A323" s="161">
        <v>44224</v>
      </c>
      <c r="B323" s="162">
        <v>1.181</v>
      </c>
      <c r="C323" s="171">
        <f t="shared" si="52"/>
        <v>0</v>
      </c>
      <c r="D323" s="168" t="str">
        <f t="shared" si="53"/>
        <v>/</v>
      </c>
      <c r="E323" s="168">
        <f ca="1">IF(表2_367162629303421[[#This Row],[累计净值]]/MAX(INDIRECT("B21:B" &amp; ROW()))-1&lt;E322,表2_367162629303421[[#This Row],[累计净值]]/MAX(INDIRECT("B21:B" &amp; ROW()))-1,E322)</f>
        <v>-1.6085790884718509E-2</v>
      </c>
      <c r="F323" s="110">
        <f>表2_367162629303421[[#This Row],[累计净值]]-0.145</f>
        <v>1.036</v>
      </c>
      <c r="G323" s="170">
        <f>表2_367162629303421[[#This Row],[累计净值]]/$B$21-1</f>
        <v>0.17512437810945292</v>
      </c>
      <c r="H323" s="170">
        <f>表2_367162629303421[[#This Row],[累计净值]]/$F$196-1</f>
        <v>7.0716228467815112E-2</v>
      </c>
    </row>
    <row r="324" spans="1:8" x14ac:dyDescent="0.2">
      <c r="A324" s="161">
        <v>44225</v>
      </c>
      <c r="B324" s="162">
        <v>1.1830000000000001</v>
      </c>
      <c r="C324" s="171">
        <f t="shared" si="52"/>
        <v>2.0000000000000018E-3</v>
      </c>
      <c r="D324" s="168" t="str">
        <f t="shared" si="53"/>
        <v>/</v>
      </c>
      <c r="E324" s="168">
        <f ca="1">IF(表2_367162629303421[[#This Row],[累计净值]]/MAX(INDIRECT("B21:B" &amp; ROW()))-1&lt;E323,表2_367162629303421[[#This Row],[累计净值]]/MAX(INDIRECT("B21:B" &amp; ROW()))-1,E323)</f>
        <v>-1.6085790884718509E-2</v>
      </c>
      <c r="F324" s="110">
        <f>表2_367162629303421[[#This Row],[累计净值]]-0.145</f>
        <v>1.038</v>
      </c>
      <c r="G324" s="170">
        <f>表2_367162629303421[[#This Row],[累计净值]]/$B$21-1</f>
        <v>0.17711442786069664</v>
      </c>
      <c r="H324" s="170">
        <f>表2_367162629303421[[#This Row],[累计净值]]/$F$196-1</f>
        <v>7.2529465095195089E-2</v>
      </c>
    </row>
    <row r="325" spans="1:8" x14ac:dyDescent="0.2">
      <c r="A325" s="161">
        <v>44228</v>
      </c>
      <c r="B325" s="162">
        <v>1.1819999999999999</v>
      </c>
      <c r="C325" s="171">
        <f t="shared" si="52"/>
        <v>-1.0000000000001119E-3</v>
      </c>
      <c r="D325" s="168">
        <f t="shared" si="53"/>
        <v>-1.0000000000001119E-3</v>
      </c>
      <c r="E325" s="168">
        <f ca="1">IF(表2_367162629303421[[#This Row],[累计净值]]/MAX(INDIRECT("B21:B" &amp; ROW()))-1&lt;E324,表2_367162629303421[[#This Row],[累计净值]]/MAX(INDIRECT("B21:B" &amp; ROW()))-1,E324)</f>
        <v>-1.6085790884718509E-2</v>
      </c>
      <c r="F325" s="110">
        <f>表2_367162629303421[[#This Row],[累计净值]]-0.145</f>
        <v>1.0369999999999999</v>
      </c>
      <c r="G325" s="170">
        <f>表2_367162629303421[[#This Row],[累计净值]]/$B$21-1</f>
        <v>0.17611940298507478</v>
      </c>
      <c r="H325" s="170">
        <f>表2_367162629303421[[#This Row],[累计净值]]/$F$196-1</f>
        <v>7.162284678150499E-2</v>
      </c>
    </row>
    <row r="326" spans="1:8" x14ac:dyDescent="0.2">
      <c r="A326" s="161">
        <v>44229</v>
      </c>
      <c r="B326" s="162">
        <v>1.1830000000000001</v>
      </c>
      <c r="C326" s="171">
        <f t="shared" ref="C326:C331" si="54">IFERROR(B326-B325,0)</f>
        <v>1.0000000000001119E-3</v>
      </c>
      <c r="D326" s="168" t="str">
        <f t="shared" ref="D326:D331" si="55">IF(C326&lt;0,C326,"/")</f>
        <v>/</v>
      </c>
      <c r="E326" s="168">
        <f ca="1">IF(表2_367162629303421[[#This Row],[累计净值]]/MAX(INDIRECT("B21:B" &amp; ROW()))-1&lt;E325,表2_367162629303421[[#This Row],[累计净值]]/MAX(INDIRECT("B21:B" &amp; ROW()))-1,E325)</f>
        <v>-1.6085790884718509E-2</v>
      </c>
      <c r="F326" s="110">
        <f>表2_367162629303421[[#This Row],[累计净值]]-0.145</f>
        <v>1.038</v>
      </c>
      <c r="G326" s="170">
        <f>表2_367162629303421[[#This Row],[累计净值]]/$B$21-1</f>
        <v>0.17711442786069664</v>
      </c>
      <c r="H326" s="170">
        <f>表2_367162629303421[[#This Row],[累计净值]]/$F$196-1</f>
        <v>7.2529465095195089E-2</v>
      </c>
    </row>
    <row r="327" spans="1:8" x14ac:dyDescent="0.2">
      <c r="A327" s="161">
        <v>44230</v>
      </c>
      <c r="B327" s="162">
        <v>1.1839999999999999</v>
      </c>
      <c r="C327" s="171">
        <f t="shared" si="54"/>
        <v>9.9999999999988987E-4</v>
      </c>
      <c r="D327" s="168" t="str">
        <f t="shared" si="55"/>
        <v>/</v>
      </c>
      <c r="E327" s="168">
        <f ca="1">IF(表2_367162629303421[[#This Row],[累计净值]]/MAX(INDIRECT("B21:B" &amp; ROW()))-1&lt;E326,表2_367162629303421[[#This Row],[累计净值]]/MAX(INDIRECT("B21:B" &amp; ROW()))-1,E326)</f>
        <v>-1.6085790884718509E-2</v>
      </c>
      <c r="F327" s="110">
        <f>表2_367162629303421[[#This Row],[累计净值]]-0.145</f>
        <v>1.0389999999999999</v>
      </c>
      <c r="G327" s="170">
        <f>表2_367162629303421[[#This Row],[累计净值]]/$B$21-1</f>
        <v>0.17810945273631851</v>
      </c>
      <c r="H327" s="170">
        <f>表2_367162629303421[[#This Row],[累计净值]]/$F$196-1</f>
        <v>7.3436083408884745E-2</v>
      </c>
    </row>
    <row r="328" spans="1:8" x14ac:dyDescent="0.2">
      <c r="A328" s="161">
        <v>44231</v>
      </c>
      <c r="B328" s="162">
        <v>1.1830000000000001</v>
      </c>
      <c r="C328" s="171">
        <f t="shared" si="54"/>
        <v>-9.9999999999988987E-4</v>
      </c>
      <c r="D328" s="168">
        <f t="shared" si="55"/>
        <v>-9.9999999999988987E-4</v>
      </c>
      <c r="E328" s="168">
        <f ca="1">IF(表2_367162629303421[[#This Row],[累计净值]]/MAX(INDIRECT("B21:B" &amp; ROW()))-1&lt;E327,表2_367162629303421[[#This Row],[累计净值]]/MAX(INDIRECT("B21:B" &amp; ROW()))-1,E327)</f>
        <v>-1.6085790884718509E-2</v>
      </c>
      <c r="F328" s="110">
        <f>表2_367162629303421[[#This Row],[累计净值]]-0.145</f>
        <v>1.038</v>
      </c>
      <c r="G328" s="170">
        <f>表2_367162629303421[[#This Row],[累计净值]]/$B$21-1</f>
        <v>0.17711442786069664</v>
      </c>
      <c r="H328" s="170">
        <f>表2_367162629303421[[#This Row],[累计净值]]/$F$196-1</f>
        <v>7.2529465095195089E-2</v>
      </c>
    </row>
    <row r="329" spans="1:8" x14ac:dyDescent="0.2">
      <c r="A329" s="161">
        <v>44232</v>
      </c>
      <c r="B329" s="162">
        <v>1.1830000000000001</v>
      </c>
      <c r="C329" s="171">
        <f t="shared" si="54"/>
        <v>0</v>
      </c>
      <c r="D329" s="168" t="str">
        <f t="shared" si="55"/>
        <v>/</v>
      </c>
      <c r="E329" s="168">
        <f ca="1">IF(表2_367162629303421[[#This Row],[累计净值]]/MAX(INDIRECT("B21:B" &amp; ROW()))-1&lt;E328,表2_367162629303421[[#This Row],[累计净值]]/MAX(INDIRECT("B21:B" &amp; ROW()))-1,E328)</f>
        <v>-1.6085790884718509E-2</v>
      </c>
      <c r="F329" s="110">
        <f>表2_367162629303421[[#This Row],[累计净值]]-0.145</f>
        <v>1.038</v>
      </c>
      <c r="G329" s="170">
        <f>表2_367162629303421[[#This Row],[累计净值]]/$B$21-1</f>
        <v>0.17711442786069664</v>
      </c>
      <c r="H329" s="170">
        <f>表2_367162629303421[[#This Row],[累计净值]]/$F$196-1</f>
        <v>7.2529465095195089E-2</v>
      </c>
    </row>
    <row r="330" spans="1:8" x14ac:dyDescent="0.2">
      <c r="A330" s="161">
        <v>44235</v>
      </c>
      <c r="B330" s="162">
        <v>1.1819999999999999</v>
      </c>
      <c r="C330" s="171">
        <f t="shared" si="54"/>
        <v>-1.0000000000001119E-3</v>
      </c>
      <c r="D330" s="168">
        <f t="shared" si="55"/>
        <v>-1.0000000000001119E-3</v>
      </c>
      <c r="E330" s="168">
        <f ca="1">IF(表2_367162629303421[[#This Row],[累计净值]]/MAX(INDIRECT("B21:B" &amp; ROW()))-1&lt;E329,表2_367162629303421[[#This Row],[累计净值]]/MAX(INDIRECT("B21:B" &amp; ROW()))-1,E329)</f>
        <v>-1.6085790884718509E-2</v>
      </c>
      <c r="F330" s="110">
        <f>表2_367162629303421[[#This Row],[累计净值]]-0.145</f>
        <v>1.0369999999999999</v>
      </c>
      <c r="G330" s="170">
        <f>表2_367162629303421[[#This Row],[累计净值]]/$B$21-1</f>
        <v>0.17611940298507478</v>
      </c>
      <c r="H330" s="170">
        <f>表2_367162629303421[[#This Row],[累计净值]]/$F$196-1</f>
        <v>7.162284678150499E-2</v>
      </c>
    </row>
    <row r="331" spans="1:8" x14ac:dyDescent="0.2">
      <c r="A331" s="161">
        <v>44236</v>
      </c>
      <c r="B331" s="162">
        <v>1.1819999999999999</v>
      </c>
      <c r="C331" s="171">
        <f t="shared" si="54"/>
        <v>0</v>
      </c>
      <c r="D331" s="168" t="str">
        <f t="shared" si="55"/>
        <v>/</v>
      </c>
      <c r="E331" s="168">
        <f ca="1">IF(表2_367162629303421[[#This Row],[累计净值]]/MAX(INDIRECT("B21:B" &amp; ROW()))-1&lt;E330,表2_367162629303421[[#This Row],[累计净值]]/MAX(INDIRECT("B21:B" &amp; ROW()))-1,E330)</f>
        <v>-1.6085790884718509E-2</v>
      </c>
      <c r="F331" s="110">
        <f>表2_367162629303421[[#This Row],[累计净值]]-0.145</f>
        <v>1.0369999999999999</v>
      </c>
      <c r="G331" s="170">
        <f>表2_367162629303421[[#This Row],[累计净值]]/$B$21-1</f>
        <v>0.17611940298507478</v>
      </c>
      <c r="H331" s="170">
        <f>表2_367162629303421[[#This Row],[累计净值]]/$F$196-1</f>
        <v>7.162284678150499E-2</v>
      </c>
    </row>
    <row r="332" spans="1:8" x14ac:dyDescent="0.2">
      <c r="A332" s="161">
        <v>44237</v>
      </c>
      <c r="B332" s="162">
        <v>1.181</v>
      </c>
      <c r="C332" s="171">
        <f t="shared" ref="C332:C333" si="56">IFERROR(B332-B331,0)</f>
        <v>-9.9999999999988987E-4</v>
      </c>
      <c r="D332" s="168">
        <f t="shared" ref="D332:D333" si="57">IF(C332&lt;0,C332,"/")</f>
        <v>-9.9999999999988987E-4</v>
      </c>
      <c r="E332" s="168">
        <f ca="1">IF(表2_367162629303421[[#This Row],[累计净值]]/MAX(INDIRECT("B21:B" &amp; ROW()))-1&lt;E331,表2_367162629303421[[#This Row],[累计净值]]/MAX(INDIRECT("B21:B" &amp; ROW()))-1,E331)</f>
        <v>-1.6085790884718509E-2</v>
      </c>
      <c r="F332" s="110">
        <f>表2_367162629303421[[#This Row],[累计净值]]-0.145</f>
        <v>1.036</v>
      </c>
      <c r="G332" s="170">
        <f>表2_367162629303421[[#This Row],[累计净值]]/$B$21-1</f>
        <v>0.17512437810945292</v>
      </c>
      <c r="H332" s="170">
        <f>表2_367162629303421[[#This Row],[累计净值]]/$F$196-1</f>
        <v>7.0716228467815112E-2</v>
      </c>
    </row>
    <row r="333" spans="1:8" x14ac:dyDescent="0.2">
      <c r="A333" s="161">
        <v>44245</v>
      </c>
      <c r="B333" s="162">
        <v>1.1819999999999999</v>
      </c>
      <c r="C333" s="171">
        <f t="shared" si="56"/>
        <v>9.9999999999988987E-4</v>
      </c>
      <c r="D333" s="168" t="str">
        <f t="shared" si="57"/>
        <v>/</v>
      </c>
      <c r="E333" s="168">
        <f ca="1">IF(表2_367162629303421[[#This Row],[累计净值]]/MAX(INDIRECT("B21:B" &amp; ROW()))-1&lt;E332,表2_367162629303421[[#This Row],[累计净值]]/MAX(INDIRECT("B21:B" &amp; ROW()))-1,E332)</f>
        <v>-1.6085790884718509E-2</v>
      </c>
      <c r="F333" s="110">
        <f>表2_367162629303421[[#This Row],[累计净值]]-0.145</f>
        <v>1.0369999999999999</v>
      </c>
      <c r="G333" s="170">
        <f>表2_367162629303421[[#This Row],[累计净值]]/$B$21-1</f>
        <v>0.17611940298507478</v>
      </c>
      <c r="H333" s="170">
        <f>表2_367162629303421[[#This Row],[累计净值]]/$F$196-1</f>
        <v>7.162284678150499E-2</v>
      </c>
    </row>
    <row r="334" spans="1:8" x14ac:dyDescent="0.2">
      <c r="A334" s="161">
        <v>44246</v>
      </c>
      <c r="B334" s="162">
        <v>1.1819999999999999</v>
      </c>
      <c r="C334" s="171">
        <f>IFERROR(B334-B333,0)</f>
        <v>0</v>
      </c>
      <c r="D334" s="168" t="str">
        <f>IF(C334&lt;0,C334,"/")</f>
        <v>/</v>
      </c>
      <c r="E334" s="168">
        <f ca="1">IF(表2_367162629303421[[#This Row],[累计净值]]/MAX(INDIRECT("B21:B" &amp; ROW()))-1&lt;E333,表2_367162629303421[[#This Row],[累计净值]]/MAX(INDIRECT("B21:B" &amp; ROW()))-1,E333)</f>
        <v>-1.6085790884718509E-2</v>
      </c>
      <c r="F334" s="110">
        <f>表2_367162629303421[[#This Row],[累计净值]]-0.145</f>
        <v>1.0369999999999999</v>
      </c>
      <c r="G334" s="170">
        <f>表2_367162629303421[[#This Row],[累计净值]]/$B$21-1</f>
        <v>0.17611940298507478</v>
      </c>
      <c r="H334" s="170">
        <f>表2_367162629303421[[#This Row],[累计净值]]/$F$196-1</f>
        <v>7.162284678150499E-2</v>
      </c>
    </row>
    <row r="335" spans="1:8" x14ac:dyDescent="0.2">
      <c r="A335" s="161">
        <v>44249</v>
      </c>
      <c r="B335" s="162">
        <v>1.1839999999999999</v>
      </c>
      <c r="C335" s="171">
        <f>IFERROR(B335-B334,0)</f>
        <v>2.0000000000000018E-3</v>
      </c>
      <c r="D335" s="168" t="str">
        <f>IF(C335&lt;0,C335,"/")</f>
        <v>/</v>
      </c>
      <c r="E335" s="168">
        <f ca="1">IF(表2_367162629303421[[#This Row],[累计净值]]/MAX(INDIRECT("B21:B" &amp; ROW()))-1&lt;E334,表2_367162629303421[[#This Row],[累计净值]]/MAX(INDIRECT("B21:B" &amp; ROW()))-1,E334)</f>
        <v>-1.6085790884718509E-2</v>
      </c>
      <c r="F335" s="110">
        <f>表2_367162629303421[[#This Row],[累计净值]]-0.145</f>
        <v>1.0389999999999999</v>
      </c>
      <c r="G335" s="170">
        <f>表2_367162629303421[[#This Row],[累计净值]]/$B$21-1</f>
        <v>0.17810945273631851</v>
      </c>
      <c r="H335" s="170">
        <f>表2_367162629303421[[#This Row],[累计净值]]/$F$196-1</f>
        <v>7.3436083408884745E-2</v>
      </c>
    </row>
    <row r="336" spans="1:8" x14ac:dyDescent="0.2">
      <c r="A336" s="161">
        <v>44250</v>
      </c>
      <c r="B336" s="162">
        <v>1.1830000000000001</v>
      </c>
      <c r="C336" s="171">
        <f>IFERROR(B336-B335,0)</f>
        <v>-9.9999999999988987E-4</v>
      </c>
      <c r="D336" s="168">
        <f>IF(C336&lt;0,C336,"/")</f>
        <v>-9.9999999999988987E-4</v>
      </c>
      <c r="E336" s="168">
        <f ca="1">IF(表2_367162629303421[[#This Row],[累计净值]]/MAX(INDIRECT("B21:B" &amp; ROW()))-1&lt;E335,表2_367162629303421[[#This Row],[累计净值]]/MAX(INDIRECT("B21:B" &amp; ROW()))-1,E335)</f>
        <v>-1.6085790884718509E-2</v>
      </c>
      <c r="F336" s="110">
        <f>表2_367162629303421[[#This Row],[累计净值]]-0.145</f>
        <v>1.038</v>
      </c>
      <c r="G336" s="170">
        <f>表2_367162629303421[[#This Row],[累计净值]]/$B$21-1</f>
        <v>0.17711442786069664</v>
      </c>
      <c r="H336" s="170">
        <f>表2_367162629303421[[#This Row],[累计净值]]/$F$196-1</f>
        <v>7.2529465095195089E-2</v>
      </c>
    </row>
    <row r="337" spans="1:8" x14ac:dyDescent="0.2">
      <c r="A337" s="161">
        <v>44251</v>
      </c>
      <c r="B337" s="162">
        <v>1.1830000000000001</v>
      </c>
      <c r="C337" s="171">
        <f>IFERROR(B337-B336,0)</f>
        <v>0</v>
      </c>
      <c r="D337" s="168" t="str">
        <f>IF(C337&lt;0,C337,"/")</f>
        <v>/</v>
      </c>
      <c r="E337" s="168">
        <f ca="1">IF(表2_367162629303421[[#This Row],[累计净值]]/MAX(INDIRECT("B21:B" &amp; ROW()))-1&lt;E336,表2_367162629303421[[#This Row],[累计净值]]/MAX(INDIRECT("B21:B" &amp; ROW()))-1,E336)</f>
        <v>-1.6085790884718509E-2</v>
      </c>
      <c r="F337" s="110">
        <f>表2_367162629303421[[#This Row],[累计净值]]-0.145</f>
        <v>1.038</v>
      </c>
      <c r="G337" s="170">
        <f>表2_367162629303421[[#This Row],[累计净值]]/$B$21-1</f>
        <v>0.17711442786069664</v>
      </c>
      <c r="H337" s="170">
        <f>表2_367162629303421[[#This Row],[累计净值]]/$F$196-1</f>
        <v>7.2529465095195089E-2</v>
      </c>
    </row>
    <row r="338" spans="1:8" x14ac:dyDescent="0.2">
      <c r="A338" s="161">
        <v>44252</v>
      </c>
      <c r="B338" s="162">
        <v>1.1850000000000001</v>
      </c>
      <c r="C338" s="171">
        <f t="shared" ref="C338" si="58">IFERROR(B338-B337,0)</f>
        <v>2.0000000000000018E-3</v>
      </c>
      <c r="D338" s="168" t="str">
        <f t="shared" ref="D338" si="59">IF(C338&lt;0,C338,"/")</f>
        <v>/</v>
      </c>
      <c r="E338" s="168">
        <f ca="1">IF(表2_367162629303421[[#This Row],[累计净值]]/MAX(INDIRECT("B21:B" &amp; ROW()))-1&lt;E337,表2_367162629303421[[#This Row],[累计净值]]/MAX(INDIRECT("B21:B" &amp; ROW()))-1,E337)</f>
        <v>-1.6085790884718509E-2</v>
      </c>
      <c r="F338" s="110">
        <f>表2_367162629303421[[#This Row],[累计净值]]-0.145</f>
        <v>1.04</v>
      </c>
      <c r="G338" s="170">
        <f>表2_367162629303421[[#This Row],[累计净值]]/$B$21-1</f>
        <v>0.17910447761194037</v>
      </c>
      <c r="H338" s="170">
        <f>表2_367162629303421[[#This Row],[累计净值]]/$F$196-1</f>
        <v>7.4342701722574844E-2</v>
      </c>
    </row>
    <row r="339" spans="1:8" x14ac:dyDescent="0.2">
      <c r="A339" s="161">
        <v>44253</v>
      </c>
      <c r="B339" s="162">
        <v>1.1830000000000001</v>
      </c>
      <c r="C339" s="171">
        <f>IFERROR(B339-B338,0)</f>
        <v>-2.0000000000000018E-3</v>
      </c>
      <c r="D339" s="168">
        <f>IF(C339&lt;0,C339,"/")</f>
        <v>-2.0000000000000018E-3</v>
      </c>
      <c r="E339" s="168">
        <f ca="1">IF(表2_367162629303421[[#This Row],[累计净值]]/MAX(INDIRECT("B21:B" &amp; ROW()))-1&lt;E338,表2_367162629303421[[#This Row],[累计净值]]/MAX(INDIRECT("B21:B" &amp; ROW()))-1,E338)</f>
        <v>-1.6085790884718509E-2</v>
      </c>
      <c r="F339" s="110">
        <f>表2_367162629303421[[#This Row],[累计净值]]-0.145</f>
        <v>1.038</v>
      </c>
      <c r="G339" s="170">
        <f>表2_367162629303421[[#This Row],[累计净值]]/$B$21-1</f>
        <v>0.17711442786069664</v>
      </c>
      <c r="H339" s="170">
        <f>表2_367162629303421[[#This Row],[累计净值]]/$F$196-1</f>
        <v>7.2529465095195089E-2</v>
      </c>
    </row>
    <row r="340" spans="1:8" x14ac:dyDescent="0.2">
      <c r="A340" s="161">
        <v>44256</v>
      </c>
      <c r="B340" s="178">
        <v>1.1879999999999999</v>
      </c>
      <c r="C340" s="171">
        <f>IFERROR(B340-B339,0)</f>
        <v>4.9999999999998934E-3</v>
      </c>
      <c r="D340" s="168" t="str">
        <f>IF(C340&lt;0,C340,"/")</f>
        <v>/</v>
      </c>
      <c r="E340" s="168">
        <f ca="1">IF(表2_367162629303421[[#This Row],[累计净值]]/MAX(INDIRECT("B21:B" &amp; ROW()))-1&lt;E339,表2_367162629303421[[#This Row],[累计净值]]/MAX(INDIRECT("B21:B" &amp; ROW()))-1,E339)</f>
        <v>-1.6085790884718509E-2</v>
      </c>
      <c r="F340" s="110">
        <f>表2_367162629303421[[#This Row],[累计净值]]-0.145</f>
        <v>1.0429999999999999</v>
      </c>
      <c r="G340" s="170">
        <f>表2_367162629303421[[#This Row],[累计净值]]/$B$21-1</f>
        <v>0.18208955223880596</v>
      </c>
      <c r="H340" s="170">
        <f>表2_367162629303421[[#This Row],[累计净值]]/$F$196-1</f>
        <v>7.7062556663644477E-2</v>
      </c>
    </row>
    <row r="341" spans="1:8" x14ac:dyDescent="0.2">
      <c r="A341" s="161">
        <v>44257</v>
      </c>
      <c r="B341" s="162">
        <v>1.1859999999999999</v>
      </c>
      <c r="C341" s="171">
        <f t="shared" ref="C341" si="60">IFERROR(B341-B340,0)</f>
        <v>-2.0000000000000018E-3</v>
      </c>
      <c r="D341" s="168">
        <f t="shared" ref="D341" si="61">IF(C341&lt;0,C341,"/")</f>
        <v>-2.0000000000000018E-3</v>
      </c>
      <c r="E341" s="168">
        <f ca="1">IF(表2_367162629303421[[#This Row],[累计净值]]/MAX(INDIRECT("B21:B" &amp; ROW()))-1&lt;E340,表2_367162629303421[[#This Row],[累计净值]]/MAX(INDIRECT("B21:B" &amp; ROW()))-1,E340)</f>
        <v>-1.6085790884718509E-2</v>
      </c>
      <c r="F341" s="110">
        <f>表2_367162629303421[[#This Row],[累计净值]]-0.145</f>
        <v>1.0409999999999999</v>
      </c>
      <c r="G341" s="170">
        <f>表2_367162629303421[[#This Row],[累计净值]]/$B$21-1</f>
        <v>0.18009950248756224</v>
      </c>
      <c r="H341" s="170">
        <f>表2_367162629303421[[#This Row],[累计净值]]/$F$196-1</f>
        <v>7.5249320036264722E-2</v>
      </c>
    </row>
    <row r="342" spans="1:8" x14ac:dyDescent="0.2">
      <c r="A342" s="161">
        <v>44258</v>
      </c>
      <c r="B342" s="162">
        <v>1.1850000000000001</v>
      </c>
      <c r="C342" s="171">
        <f t="shared" ref="C342:C343" si="62">IFERROR(B342-B341,0)</f>
        <v>-9.9999999999988987E-4</v>
      </c>
      <c r="D342" s="168">
        <f t="shared" ref="D342:D343" si="63">IF(C342&lt;0,C342,"/")</f>
        <v>-9.9999999999988987E-4</v>
      </c>
      <c r="E342" s="168">
        <f ca="1">IF(表2_367162629303421[[#This Row],[累计净值]]/MAX(INDIRECT("B21:B" &amp; ROW()))-1&lt;E341,表2_367162629303421[[#This Row],[累计净值]]/MAX(INDIRECT("B21:B" &amp; ROW()))-1,E341)</f>
        <v>-1.6085790884718509E-2</v>
      </c>
      <c r="F342" s="110">
        <f>表2_367162629303421[[#This Row],[累计净值]]-0.145</f>
        <v>1.04</v>
      </c>
      <c r="G342" s="170">
        <f>表2_367162629303421[[#This Row],[累计净值]]/$B$21-1</f>
        <v>0.17910447761194037</v>
      </c>
      <c r="H342" s="170">
        <f>表2_367162629303421[[#This Row],[累计净值]]/$F$196-1</f>
        <v>7.4342701722574844E-2</v>
      </c>
    </row>
    <row r="343" spans="1:8" x14ac:dyDescent="0.2">
      <c r="A343" s="161">
        <v>44259</v>
      </c>
      <c r="B343" s="162">
        <v>1.1870000000000001</v>
      </c>
      <c r="C343" s="171">
        <f t="shared" si="62"/>
        <v>2.0000000000000018E-3</v>
      </c>
      <c r="D343" s="168" t="str">
        <f t="shared" si="63"/>
        <v>/</v>
      </c>
      <c r="E343" s="168">
        <f ca="1">IF(表2_367162629303421[[#This Row],[累计净值]]/MAX(INDIRECT("B21:B" &amp; ROW()))-1&lt;E342,表2_367162629303421[[#This Row],[累计净值]]/MAX(INDIRECT("B21:B" &amp; ROW()))-1,E342)</f>
        <v>-1.6085790884718509E-2</v>
      </c>
      <c r="F343" s="110">
        <f>表2_367162629303421[[#This Row],[累计净值]]-0.145</f>
        <v>1.042</v>
      </c>
      <c r="G343" s="170">
        <f>表2_367162629303421[[#This Row],[累计净值]]/$B$21-1</f>
        <v>0.18109452736318432</v>
      </c>
      <c r="H343" s="170">
        <f>表2_367162629303421[[#This Row],[累计净值]]/$F$196-1</f>
        <v>7.6155938349954821E-2</v>
      </c>
    </row>
    <row r="344" spans="1:8" x14ac:dyDescent="0.2">
      <c r="A344" s="161">
        <v>44260</v>
      </c>
      <c r="B344" s="162">
        <v>1.1850000000000001</v>
      </c>
      <c r="C344" s="171">
        <f t="shared" ref="C344:C345" si="64">IFERROR(B344-B343,0)</f>
        <v>-2.0000000000000018E-3</v>
      </c>
      <c r="D344" s="168">
        <f t="shared" ref="D344:D345" si="65">IF(C344&lt;0,C344,"/")</f>
        <v>-2.0000000000000018E-3</v>
      </c>
      <c r="E344" s="168">
        <f ca="1">IF(表2_367162629303421[[#This Row],[累计净值]]/MAX(INDIRECT("B21:B" &amp; ROW()))-1&lt;E343,表2_367162629303421[[#This Row],[累计净值]]/MAX(INDIRECT("B21:B" &amp; ROW()))-1,E343)</f>
        <v>-1.6085790884718509E-2</v>
      </c>
      <c r="F344" s="110">
        <f>表2_367162629303421[[#This Row],[累计净值]]-0.145</f>
        <v>1.04</v>
      </c>
      <c r="G344" s="170">
        <f>表2_367162629303421[[#This Row],[累计净值]]/$B$21-1</f>
        <v>0.17910447761194037</v>
      </c>
      <c r="H344" s="170">
        <f>表2_367162629303421[[#This Row],[累计净值]]/$F$196-1</f>
        <v>7.4342701722574844E-2</v>
      </c>
    </row>
    <row r="345" spans="1:8" x14ac:dyDescent="0.2">
      <c r="A345" s="161">
        <v>44263</v>
      </c>
      <c r="B345" s="162">
        <v>1.1859999999999999</v>
      </c>
      <c r="C345" s="171">
        <f t="shared" si="64"/>
        <v>9.9999999999988987E-4</v>
      </c>
      <c r="D345" s="168" t="str">
        <f t="shared" si="65"/>
        <v>/</v>
      </c>
      <c r="E345" s="168">
        <f ca="1">IF(表2_367162629303421[[#This Row],[累计净值]]/MAX(INDIRECT("B21:B" &amp; ROW()))-1&lt;E344,表2_367162629303421[[#This Row],[累计净值]]/MAX(INDIRECT("B21:B" &amp; ROW()))-1,E344)</f>
        <v>-1.6085790884718509E-2</v>
      </c>
      <c r="F345" s="110">
        <f>表2_367162629303421[[#This Row],[累计净值]]-0.145</f>
        <v>1.0409999999999999</v>
      </c>
      <c r="G345" s="170">
        <f>表2_367162629303421[[#This Row],[累计净值]]/$B$21-1</f>
        <v>0.18009950248756224</v>
      </c>
      <c r="H345" s="170">
        <f>表2_367162629303421[[#This Row],[累计净值]]/$F$196-1</f>
        <v>7.5249320036264722E-2</v>
      </c>
    </row>
    <row r="346" spans="1:8" x14ac:dyDescent="0.2">
      <c r="A346" s="161">
        <v>44264</v>
      </c>
      <c r="B346" s="162">
        <v>1.1890000000000001</v>
      </c>
      <c r="C346" s="171">
        <f t="shared" ref="C346:C350" si="66">IFERROR(B346-B345,0)</f>
        <v>3.0000000000001137E-3</v>
      </c>
      <c r="D346" s="168" t="str">
        <f t="shared" ref="D346:D350" si="67">IF(C346&lt;0,C346,"/")</f>
        <v>/</v>
      </c>
      <c r="E346" s="168">
        <f ca="1">IF(表2_367162629303421[[#This Row],[累计净值]]/MAX(INDIRECT("B21:B" &amp; ROW()))-1&lt;E345,表2_367162629303421[[#This Row],[累计净值]]/MAX(INDIRECT("B21:B" &amp; ROW()))-1,E345)</f>
        <v>-1.6085790884718509E-2</v>
      </c>
      <c r="F346" s="110">
        <f>表2_367162629303421[[#This Row],[累计净值]]-0.145</f>
        <v>1.044</v>
      </c>
      <c r="G346" s="170">
        <f>表2_367162629303421[[#This Row],[累计净值]]/$B$21-1</f>
        <v>0.18308457711442805</v>
      </c>
      <c r="H346" s="170">
        <f>表2_367162629303421[[#This Row],[累计净值]]/$F$196-1</f>
        <v>7.7969174977334577E-2</v>
      </c>
    </row>
    <row r="347" spans="1:8" x14ac:dyDescent="0.2">
      <c r="A347" s="161">
        <v>44265</v>
      </c>
      <c r="B347" s="162">
        <v>1.19</v>
      </c>
      <c r="C347" s="171">
        <f t="shared" si="66"/>
        <v>9.9999999999988987E-4</v>
      </c>
      <c r="D347" s="168" t="str">
        <f t="shared" si="67"/>
        <v>/</v>
      </c>
      <c r="E347" s="168">
        <f ca="1">IF(表2_367162629303421[[#This Row],[累计净值]]/MAX(INDIRECT("B21:B" &amp; ROW()))-1&lt;E346,表2_367162629303421[[#This Row],[累计净值]]/MAX(INDIRECT("B21:B" &amp; ROW()))-1,E346)</f>
        <v>-1.6085790884718509E-2</v>
      </c>
      <c r="F347" s="110">
        <f>表2_367162629303421[[#This Row],[累计净值]]-0.145</f>
        <v>1.0449999999999999</v>
      </c>
      <c r="G347" s="170">
        <f>表2_367162629303421[[#This Row],[累计净值]]/$B$21-1</f>
        <v>0.18407960199004991</v>
      </c>
      <c r="H347" s="170">
        <f>表2_367162629303421[[#This Row],[累计净值]]/$F$196-1</f>
        <v>7.8875793291024454E-2</v>
      </c>
    </row>
    <row r="348" spans="1:8" x14ac:dyDescent="0.2">
      <c r="A348" s="161">
        <v>44266</v>
      </c>
      <c r="B348" s="162">
        <v>1.1879999999999999</v>
      </c>
      <c r="C348" s="171">
        <f t="shared" si="66"/>
        <v>-2.0000000000000018E-3</v>
      </c>
      <c r="D348" s="168">
        <f t="shared" si="67"/>
        <v>-2.0000000000000018E-3</v>
      </c>
      <c r="E348" s="168">
        <f ca="1">IF(表2_367162629303421[[#This Row],[累计净值]]/MAX(INDIRECT("B21:B" &amp; ROW()))-1&lt;E347,表2_367162629303421[[#This Row],[累计净值]]/MAX(INDIRECT("B21:B" &amp; ROW()))-1,E347)</f>
        <v>-1.6085790884718509E-2</v>
      </c>
      <c r="F348" s="110">
        <f>表2_367162629303421[[#This Row],[累计净值]]-0.145</f>
        <v>1.0429999999999999</v>
      </c>
      <c r="G348" s="170">
        <f>表2_367162629303421[[#This Row],[累计净值]]/$B$21-1</f>
        <v>0.18208955223880596</v>
      </c>
      <c r="H348" s="170">
        <f>表2_367162629303421[[#This Row],[累计净值]]/$F$196-1</f>
        <v>7.7062556663644477E-2</v>
      </c>
    </row>
    <row r="349" spans="1:8" x14ac:dyDescent="0.2">
      <c r="A349" s="161">
        <v>44267</v>
      </c>
      <c r="B349" s="162">
        <v>1.1910000000000001</v>
      </c>
      <c r="C349" s="171">
        <f t="shared" si="66"/>
        <v>3.0000000000001137E-3</v>
      </c>
      <c r="D349" s="168" t="str">
        <f t="shared" si="67"/>
        <v>/</v>
      </c>
      <c r="E349" s="168">
        <f ca="1">IF(表2_367162629303421[[#This Row],[累计净值]]/MAX(INDIRECT("B21:B" &amp; ROW()))-1&lt;E348,表2_367162629303421[[#This Row],[累计净值]]/MAX(INDIRECT("B21:B" &amp; ROW()))-1,E348)</f>
        <v>-1.6085790884718509E-2</v>
      </c>
      <c r="F349" s="110">
        <f>表2_367162629303421[[#This Row],[累计净值]]-0.145</f>
        <v>1.046</v>
      </c>
      <c r="G349" s="170">
        <f>表2_367162629303421[[#This Row],[累计净值]]/$B$21-1</f>
        <v>0.18507462686567178</v>
      </c>
      <c r="H349" s="170">
        <f>表2_367162629303421[[#This Row],[累计净值]]/$F$196-1</f>
        <v>7.9782411604714554E-2</v>
      </c>
    </row>
    <row r="350" spans="1:8" x14ac:dyDescent="0.2">
      <c r="A350" s="161">
        <v>44270</v>
      </c>
      <c r="B350" s="178">
        <v>1.194</v>
      </c>
      <c r="C350" s="171">
        <f t="shared" si="66"/>
        <v>2.9999999999998916E-3</v>
      </c>
      <c r="D350" s="168" t="str">
        <f t="shared" si="67"/>
        <v>/</v>
      </c>
      <c r="E350" s="168">
        <f ca="1">IF(表2_367162629303421[[#This Row],[累计净值]]/MAX(INDIRECT("B21:B" &amp; ROW()))-1&lt;E349,表2_367162629303421[[#This Row],[累计净值]]/MAX(INDIRECT("B21:B" &amp; ROW()))-1,E349)</f>
        <v>-1.6085790884718509E-2</v>
      </c>
      <c r="F350" s="110">
        <f>表2_367162629303421[[#This Row],[累计净值]]-0.145</f>
        <v>1.0489999999999999</v>
      </c>
      <c r="G350" s="170">
        <f>表2_367162629303421[[#This Row],[累计净值]]/$B$21-1</f>
        <v>0.18805970149253737</v>
      </c>
      <c r="H350" s="170">
        <f>表2_367162629303421[[#This Row],[累计净值]]/$F$196-1</f>
        <v>8.2502266545784186E-2</v>
      </c>
    </row>
    <row r="351" spans="1:8" x14ac:dyDescent="0.2">
      <c r="A351" s="161">
        <v>44271</v>
      </c>
      <c r="B351" s="162">
        <v>1.1919999999999999</v>
      </c>
      <c r="C351" s="171">
        <f>IFERROR(B351-B350,0)</f>
        <v>-2.0000000000000018E-3</v>
      </c>
      <c r="D351" s="168">
        <f>IF(C351&lt;0,C351,"/")</f>
        <v>-2.0000000000000018E-3</v>
      </c>
      <c r="E351" s="168">
        <f ca="1">IF(表2_367162629303421[[#This Row],[累计净值]]/MAX(INDIRECT("B21:B" &amp; ROW()))-1&lt;E350,表2_367162629303421[[#This Row],[累计净值]]/MAX(INDIRECT("B21:B" &amp; ROW()))-1,E350)</f>
        <v>-1.6085790884718509E-2</v>
      </c>
      <c r="F351" s="110">
        <f>表2_367162629303421[[#This Row],[累计净值]]-0.145</f>
        <v>1.0469999999999999</v>
      </c>
      <c r="G351" s="170">
        <f>表2_367162629303421[[#This Row],[累计净值]]/$B$21-1</f>
        <v>0.18606965174129364</v>
      </c>
      <c r="H351" s="170">
        <f>表2_367162629303421[[#This Row],[累计净值]]/$F$196-1</f>
        <v>8.0689029918404431E-2</v>
      </c>
    </row>
    <row r="352" spans="1:8" x14ac:dyDescent="0.2">
      <c r="A352" s="161">
        <v>44272</v>
      </c>
      <c r="B352" s="162">
        <v>1.1919999999999999</v>
      </c>
      <c r="C352" s="171">
        <f>IFERROR(B352-B351,0)</f>
        <v>0</v>
      </c>
      <c r="D352" s="168" t="str">
        <f>IF(C352&lt;0,C352,"/")</f>
        <v>/</v>
      </c>
      <c r="E352" s="168">
        <f ca="1">IF(表2_367162629303421[[#This Row],[累计净值]]/MAX(INDIRECT("B21:B" &amp; ROW()))-1&lt;E351,表2_367162629303421[[#This Row],[累计净值]]/MAX(INDIRECT("B21:B" &amp; ROW()))-1,E351)</f>
        <v>-1.6085790884718509E-2</v>
      </c>
      <c r="F352" s="110">
        <f>表2_367162629303421[[#This Row],[累计净值]]-0.145</f>
        <v>1.0469999999999999</v>
      </c>
      <c r="G352" s="170">
        <f>表2_367162629303421[[#This Row],[累计净值]]/$B$21-1</f>
        <v>0.18606965174129364</v>
      </c>
      <c r="H352" s="170">
        <f>表2_367162629303421[[#This Row],[累计净值]]/$F$196-1</f>
        <v>8.0689029918404431E-2</v>
      </c>
    </row>
    <row r="353" spans="1:8" x14ac:dyDescent="0.2">
      <c r="A353" s="161">
        <v>44273</v>
      </c>
      <c r="B353" s="162">
        <v>1.1930000000000001</v>
      </c>
      <c r="C353" s="171">
        <f>IFERROR(B353-B352,0)</f>
        <v>1.0000000000001119E-3</v>
      </c>
      <c r="D353" s="168" t="str">
        <f>IF(C353&lt;0,C353,"/")</f>
        <v>/</v>
      </c>
      <c r="E353" s="168">
        <f ca="1">IF(表2_367162629303421[[#This Row],[累计净值]]/MAX(INDIRECT("B21:B" &amp; ROW()))-1&lt;E352,表2_367162629303421[[#This Row],[累计净值]]/MAX(INDIRECT("B21:B" &amp; ROW()))-1,E352)</f>
        <v>-1.6085790884718509E-2</v>
      </c>
      <c r="F353" s="110">
        <f>表2_367162629303421[[#This Row],[累计净值]]-0.145</f>
        <v>1.048</v>
      </c>
      <c r="G353" s="170">
        <f>表2_367162629303421[[#This Row],[累计净值]]/$B$21-1</f>
        <v>0.1870646766169155</v>
      </c>
      <c r="H353" s="170">
        <f>表2_367162629303421[[#This Row],[累计净值]]/$F$196-1</f>
        <v>8.1595648232094309E-2</v>
      </c>
    </row>
    <row r="354" spans="1:8" x14ac:dyDescent="0.2">
      <c r="A354" s="161">
        <v>44274</v>
      </c>
      <c r="B354" s="162">
        <v>1.196</v>
      </c>
      <c r="C354" s="171">
        <f>IFERROR(B354-B353,0)</f>
        <v>2.9999999999998916E-3</v>
      </c>
      <c r="D354" s="168" t="str">
        <f>IF(C354&lt;0,C354,"/")</f>
        <v>/</v>
      </c>
      <c r="E354" s="168">
        <f ca="1">IF(表2_367162629303421[[#This Row],[累计净值]]/MAX(INDIRECT("B21:B" &amp; ROW()))-1&lt;E353,表2_367162629303421[[#This Row],[累计净值]]/MAX(INDIRECT("B21:B" &amp; ROW()))-1,E353)</f>
        <v>-1.6085790884718509E-2</v>
      </c>
      <c r="F354" s="110">
        <f>表2_367162629303421[[#This Row],[累计净值]]-0.145</f>
        <v>1.0509999999999999</v>
      </c>
      <c r="G354" s="170">
        <f>表2_367162629303421[[#This Row],[累计净值]]/$B$21-1</f>
        <v>0.1900497512437811</v>
      </c>
      <c r="H354" s="170">
        <f>表2_367162629303421[[#This Row],[累计净值]]/$F$196-1</f>
        <v>8.4315503173164164E-2</v>
      </c>
    </row>
    <row r="355" spans="1:8" x14ac:dyDescent="0.2">
      <c r="A355" s="161">
        <v>44277</v>
      </c>
      <c r="B355" s="162">
        <v>1.1950000000000001</v>
      </c>
      <c r="C355" s="171">
        <f>IFERROR(B355-B354,0)</f>
        <v>-9.9999999999988987E-4</v>
      </c>
      <c r="D355" s="168">
        <f>IF(C355&lt;0,C355,"/")</f>
        <v>-9.9999999999988987E-4</v>
      </c>
      <c r="E355" s="168">
        <f ca="1">IF(表2_367162629303421[[#This Row],[累计净值]]/MAX(INDIRECT("B21:B" &amp; ROW()))-1&lt;E354,表2_367162629303421[[#This Row],[累计净值]]/MAX(INDIRECT("B21:B" &amp; ROW()))-1,E354)</f>
        <v>-1.6085790884718509E-2</v>
      </c>
      <c r="F355" s="110">
        <f>表2_367162629303421[[#This Row],[累计净值]]-0.145</f>
        <v>1.05</v>
      </c>
      <c r="G355" s="170">
        <f>表2_367162629303421[[#This Row],[累计净值]]/$B$21-1</f>
        <v>0.18905472636815945</v>
      </c>
      <c r="H355" s="170">
        <f>表2_367162629303421[[#This Row],[累计净值]]/$F$196-1</f>
        <v>8.3408884859474286E-2</v>
      </c>
    </row>
    <row r="356" spans="1:8" x14ac:dyDescent="0.2">
      <c r="A356" s="161">
        <v>44278</v>
      </c>
      <c r="B356" s="162">
        <v>1.196</v>
      </c>
      <c r="C356" s="171">
        <f t="shared" ref="C356:C359" si="68">IFERROR(B356-B355,0)</f>
        <v>9.9999999999988987E-4</v>
      </c>
      <c r="D356" s="168" t="str">
        <f t="shared" ref="D356:D359" si="69">IF(C356&lt;0,C356,"/")</f>
        <v>/</v>
      </c>
      <c r="E356" s="168">
        <f ca="1">IF(表2_367162629303421[[#This Row],[累计净值]]/MAX(INDIRECT("B21:B" &amp; ROW()))-1&lt;E355,表2_367162629303421[[#This Row],[累计净值]]/MAX(INDIRECT("B21:B" &amp; ROW()))-1,E355)</f>
        <v>-1.6085790884718509E-2</v>
      </c>
      <c r="F356" s="110">
        <f>表2_367162629303421[[#This Row],[累计净值]]-0.145</f>
        <v>1.0509999999999999</v>
      </c>
      <c r="G356" s="170">
        <f>表2_367162629303421[[#This Row],[累计净值]]/$B$21-1</f>
        <v>0.1900497512437811</v>
      </c>
      <c r="H356" s="170">
        <f>表2_367162629303421[[#This Row],[累计净值]]/$F$196-1</f>
        <v>8.4315503173164164E-2</v>
      </c>
    </row>
    <row r="357" spans="1:8" x14ac:dyDescent="0.2">
      <c r="A357" s="161">
        <v>44279</v>
      </c>
      <c r="B357" s="162">
        <v>1.1950000000000001</v>
      </c>
      <c r="C357" s="171">
        <f t="shared" si="68"/>
        <v>-9.9999999999988987E-4</v>
      </c>
      <c r="D357" s="168">
        <f t="shared" si="69"/>
        <v>-9.9999999999988987E-4</v>
      </c>
      <c r="E357" s="168">
        <f ca="1">IF(表2_367162629303421[[#This Row],[累计净值]]/MAX(INDIRECT("B21:B" &amp; ROW()))-1&lt;E356,表2_367162629303421[[#This Row],[累计净值]]/MAX(INDIRECT("B21:B" &amp; ROW()))-1,E356)</f>
        <v>-1.6085790884718509E-2</v>
      </c>
      <c r="F357" s="110">
        <f>表2_367162629303421[[#This Row],[累计净值]]-0.145</f>
        <v>1.05</v>
      </c>
      <c r="G357" s="170">
        <f>表2_367162629303421[[#This Row],[累计净值]]/$B$21-1</f>
        <v>0.18905472636815945</v>
      </c>
      <c r="H357" s="170">
        <f>表2_367162629303421[[#This Row],[累计净值]]/$F$196-1</f>
        <v>8.3408884859474286E-2</v>
      </c>
    </row>
    <row r="358" spans="1:8" x14ac:dyDescent="0.2">
      <c r="A358" s="161">
        <v>44280</v>
      </c>
      <c r="B358" s="162">
        <v>1.1970000000000001</v>
      </c>
      <c r="C358" s="171">
        <f t="shared" si="68"/>
        <v>2.0000000000000018E-3</v>
      </c>
      <c r="D358" s="168" t="str">
        <f t="shared" si="69"/>
        <v>/</v>
      </c>
      <c r="E358" s="168">
        <f ca="1">IF(表2_367162629303421[[#This Row],[累计净值]]/MAX(INDIRECT("B21:B" &amp; ROW()))-1&lt;E357,表2_367162629303421[[#This Row],[累计净值]]/MAX(INDIRECT("B21:B" &amp; ROW()))-1,E357)</f>
        <v>-1.6085790884718509E-2</v>
      </c>
      <c r="F358" s="110">
        <f>表2_367162629303421[[#This Row],[累计净值]]-0.145</f>
        <v>1.052</v>
      </c>
      <c r="G358" s="170">
        <f>表2_367162629303421[[#This Row],[累计净值]]/$B$21-1</f>
        <v>0.19104477611940318</v>
      </c>
      <c r="H358" s="170">
        <f>表2_367162629303421[[#This Row],[累计净值]]/$F$196-1</f>
        <v>8.5222121486854041E-2</v>
      </c>
    </row>
    <row r="359" spans="1:8" x14ac:dyDescent="0.2">
      <c r="A359" s="161">
        <v>44281</v>
      </c>
      <c r="B359" s="162">
        <v>1.198</v>
      </c>
      <c r="C359" s="171">
        <f t="shared" si="68"/>
        <v>9.9999999999988987E-4</v>
      </c>
      <c r="D359" s="168" t="str">
        <f t="shared" si="69"/>
        <v>/</v>
      </c>
      <c r="E359" s="168">
        <f ca="1">IF(表2_367162629303421[[#This Row],[累计净值]]/MAX(INDIRECT("B21:B" &amp; ROW()))-1&lt;E358,表2_367162629303421[[#This Row],[累计净值]]/MAX(INDIRECT("B21:B" &amp; ROW()))-1,E358)</f>
        <v>-1.6085790884718509E-2</v>
      </c>
      <c r="F359" s="110">
        <f>表2_367162629303421[[#This Row],[累计净值]]-0.145</f>
        <v>1.0529999999999999</v>
      </c>
      <c r="G359" s="170">
        <f>表2_367162629303421[[#This Row],[累计净值]]/$B$21-1</f>
        <v>0.19203980099502505</v>
      </c>
      <c r="H359" s="170">
        <f>表2_367162629303421[[#This Row],[累计净值]]/$F$196-1</f>
        <v>8.6128739800543919E-2</v>
      </c>
    </row>
    <row r="360" spans="1:8" x14ac:dyDescent="0.2">
      <c r="A360" s="161">
        <v>44284</v>
      </c>
      <c r="B360" s="162">
        <v>1.2</v>
      </c>
      <c r="C360" s="171">
        <f t="shared" ref="C360:C366" si="70">IFERROR(B360-B359,0)</f>
        <v>2.0000000000000018E-3</v>
      </c>
      <c r="D360" s="168" t="str">
        <f t="shared" ref="D360:D366" si="71">IF(C360&lt;0,C360,"/")</f>
        <v>/</v>
      </c>
      <c r="E360" s="168">
        <f ca="1">IF(表2_367162629303421[[#This Row],[累计净值]]/MAX(INDIRECT("B21:B" &amp; ROW()))-1&lt;E359,表2_367162629303421[[#This Row],[累计净值]]/MAX(INDIRECT("B21:B" &amp; ROW()))-1,E359)</f>
        <v>-1.6085790884718509E-2</v>
      </c>
      <c r="F360" s="110">
        <f>表2_367162629303421[[#This Row],[累计净值]]-0.145</f>
        <v>1.0549999999999999</v>
      </c>
      <c r="G360" s="170">
        <f>表2_367162629303421[[#This Row],[累计净值]]/$B$21-1</f>
        <v>0.19402985074626877</v>
      </c>
      <c r="H360" s="170">
        <f>表2_367162629303421[[#This Row],[累计净值]]/$F$196-1</f>
        <v>8.7941976427923896E-2</v>
      </c>
    </row>
    <row r="361" spans="1:8" x14ac:dyDescent="0.2">
      <c r="A361" s="161">
        <v>44285</v>
      </c>
      <c r="B361" s="162">
        <v>1.204</v>
      </c>
      <c r="C361" s="171">
        <f t="shared" si="70"/>
        <v>4.0000000000000036E-3</v>
      </c>
      <c r="D361" s="168" t="str">
        <f t="shared" si="71"/>
        <v>/</v>
      </c>
      <c r="E361" s="168">
        <f ca="1">IF(表2_367162629303421[[#This Row],[累计净值]]/MAX(INDIRECT("B21:B" &amp; ROW()))-1&lt;E360,表2_367162629303421[[#This Row],[累计净值]]/MAX(INDIRECT("B21:B" &amp; ROW()))-1,E360)</f>
        <v>-1.6085790884718509E-2</v>
      </c>
      <c r="F361" s="110">
        <f>表2_367162629303421[[#This Row],[累计净值]]-0.145</f>
        <v>1.0589999999999999</v>
      </c>
      <c r="G361" s="170">
        <f>表2_367162629303421[[#This Row],[累计净值]]/$B$21-1</f>
        <v>0.19800995024875623</v>
      </c>
      <c r="H361" s="170">
        <f>表2_367162629303421[[#This Row],[累计净值]]/$F$196-1</f>
        <v>9.1568449682683628E-2</v>
      </c>
    </row>
    <row r="362" spans="1:8" x14ac:dyDescent="0.2">
      <c r="A362" s="161">
        <v>44286</v>
      </c>
      <c r="B362" s="162">
        <v>1.202</v>
      </c>
      <c r="C362" s="171">
        <f t="shared" si="70"/>
        <v>-2.0000000000000018E-3</v>
      </c>
      <c r="D362" s="168">
        <f t="shared" si="71"/>
        <v>-2.0000000000000018E-3</v>
      </c>
      <c r="E362" s="168">
        <f ca="1">IF(表2_367162629303421[[#This Row],[累计净值]]/MAX(INDIRECT("B21:B" &amp; ROW()))-1&lt;E361,表2_367162629303421[[#This Row],[累计净值]]/MAX(INDIRECT("B21:B" &amp; ROW()))-1,E361)</f>
        <v>-1.6085790884718509E-2</v>
      </c>
      <c r="F362" s="110">
        <f>表2_367162629303421[[#This Row],[累计净值]]-0.145</f>
        <v>1.0569999999999999</v>
      </c>
      <c r="G362" s="170">
        <f>表2_367162629303421[[#This Row],[累计净值]]/$B$21-1</f>
        <v>0.1960199004975125</v>
      </c>
      <c r="H362" s="170">
        <f>表2_367162629303421[[#This Row],[累计净值]]/$F$196-1</f>
        <v>8.9755213055303651E-2</v>
      </c>
    </row>
    <row r="363" spans="1:8" x14ac:dyDescent="0.2">
      <c r="A363" s="161">
        <v>44287</v>
      </c>
      <c r="B363" s="162">
        <v>1.2070000000000001</v>
      </c>
      <c r="C363" s="171">
        <f t="shared" si="70"/>
        <v>5.0000000000001155E-3</v>
      </c>
      <c r="D363" s="168" t="str">
        <f t="shared" si="71"/>
        <v>/</v>
      </c>
      <c r="E363" s="168">
        <f ca="1">IF(表2_367162629303421[[#This Row],[累计净值]]/MAX(INDIRECT("B21:B" &amp; ROW()))-1&lt;E362,表2_367162629303421[[#This Row],[累计净值]]/MAX(INDIRECT("B21:B" &amp; ROW()))-1,E362)</f>
        <v>-1.6085790884718509E-2</v>
      </c>
      <c r="F363" s="110">
        <f>表2_367162629303421[[#This Row],[累计净值]]-0.145</f>
        <v>1.0620000000000001</v>
      </c>
      <c r="G363" s="170">
        <f>表2_367162629303421[[#This Row],[累计净值]]/$B$21-1</f>
        <v>0.20099502487562204</v>
      </c>
      <c r="H363" s="170">
        <f>表2_367162629303421[[#This Row],[累计净值]]/$F$196-1</f>
        <v>9.4288304623753483E-2</v>
      </c>
    </row>
    <row r="364" spans="1:8" x14ac:dyDescent="0.2">
      <c r="A364" s="161">
        <v>44288</v>
      </c>
      <c r="B364" s="162">
        <v>1.208</v>
      </c>
      <c r="C364" s="171">
        <f t="shared" si="70"/>
        <v>9.9999999999988987E-4</v>
      </c>
      <c r="D364" s="168" t="str">
        <f t="shared" si="71"/>
        <v>/</v>
      </c>
      <c r="E364" s="168">
        <f ca="1">IF(表2_367162629303421[[#This Row],[累计净值]]/MAX(INDIRECT("B21:B" &amp; ROW()))-1&lt;E363,表2_367162629303421[[#This Row],[累计净值]]/MAX(INDIRECT("B21:B" &amp; ROW()))-1,E363)</f>
        <v>-1.6085790884718509E-2</v>
      </c>
      <c r="F364" s="110">
        <f>表2_367162629303421[[#This Row],[累计净值]]-0.145</f>
        <v>1.0629999999999999</v>
      </c>
      <c r="G364" s="170">
        <f>表2_367162629303421[[#This Row],[累计净值]]/$B$21-1</f>
        <v>0.20199004975124391</v>
      </c>
      <c r="H364" s="170">
        <f>表2_367162629303421[[#This Row],[累计净值]]/$F$196-1</f>
        <v>9.519492293744336E-2</v>
      </c>
    </row>
    <row r="365" spans="1:8" x14ac:dyDescent="0.2">
      <c r="A365" s="161">
        <v>44292</v>
      </c>
      <c r="B365" s="162">
        <v>1.2090000000000001</v>
      </c>
      <c r="C365" s="171">
        <f t="shared" si="70"/>
        <v>1.0000000000001119E-3</v>
      </c>
      <c r="D365" s="168" t="str">
        <f t="shared" si="71"/>
        <v>/</v>
      </c>
      <c r="E365" s="168">
        <f ca="1">IF(表2_367162629303421[[#This Row],[累计净值]]/MAX(INDIRECT("B21:B" &amp; ROW()))-1&lt;E364,表2_367162629303421[[#This Row],[累计净值]]/MAX(INDIRECT("B21:B" &amp; ROW()))-1,E364)</f>
        <v>-1.6085790884718509E-2</v>
      </c>
      <c r="F365" s="110">
        <f>表2_367162629303421[[#This Row],[累计净值]]-0.145</f>
        <v>1.0640000000000001</v>
      </c>
      <c r="G365" s="170">
        <f>表2_367162629303421[[#This Row],[累计净值]]/$B$21-1</f>
        <v>0.20298507462686577</v>
      </c>
      <c r="H365" s="170">
        <f>表2_367162629303421[[#This Row],[累计净值]]/$F$196-1</f>
        <v>9.610154125113346E-2</v>
      </c>
    </row>
    <row r="366" spans="1:8" x14ac:dyDescent="0.2">
      <c r="A366" s="161">
        <v>44293</v>
      </c>
      <c r="B366" s="162">
        <v>1.208</v>
      </c>
      <c r="C366" s="171">
        <f t="shared" si="70"/>
        <v>-1.0000000000001119E-3</v>
      </c>
      <c r="D366" s="168">
        <f t="shared" si="71"/>
        <v>-1.0000000000001119E-3</v>
      </c>
      <c r="E366" s="168">
        <f ca="1">IF(表2_367162629303421[[#This Row],[累计净值]]/MAX(INDIRECT("B21:B" &amp; ROW()))-1&lt;E365,表2_367162629303421[[#This Row],[累计净值]]/MAX(INDIRECT("B21:B" &amp; ROW()))-1,E365)</f>
        <v>-1.6085790884718509E-2</v>
      </c>
      <c r="F366" s="110">
        <f>表2_367162629303421[[#This Row],[累计净值]]-0.145</f>
        <v>1.0629999999999999</v>
      </c>
      <c r="G366" s="170">
        <f>表2_367162629303421[[#This Row],[累计净值]]/$B$21-1</f>
        <v>0.20199004975124391</v>
      </c>
      <c r="H366" s="170">
        <f>表2_367162629303421[[#This Row],[累计净值]]/$F$196-1</f>
        <v>9.519492293744336E-2</v>
      </c>
    </row>
    <row r="367" spans="1:8" x14ac:dyDescent="0.2">
      <c r="A367" s="161">
        <v>44294</v>
      </c>
      <c r="B367" s="162">
        <v>1.208</v>
      </c>
      <c r="C367" s="171">
        <f t="shared" ref="C367:C373" si="72">IFERROR(B367-B366,0)</f>
        <v>0</v>
      </c>
      <c r="D367" s="168" t="str">
        <f t="shared" ref="D367:D373" si="73">IF(C367&lt;0,C367,"/")</f>
        <v>/</v>
      </c>
      <c r="E367" s="168">
        <f ca="1">IF(表2_367162629303421[[#This Row],[累计净值]]/MAX(INDIRECT("B21:B" &amp; ROW()))-1&lt;E366,表2_367162629303421[[#This Row],[累计净值]]/MAX(INDIRECT("B21:B" &amp; ROW()))-1,E366)</f>
        <v>-1.6085790884718509E-2</v>
      </c>
      <c r="F367" s="110">
        <f>表2_367162629303421[[#This Row],[累计净值]]-0.145</f>
        <v>1.0629999999999999</v>
      </c>
      <c r="G367" s="170">
        <f>表2_367162629303421[[#This Row],[累计净值]]/$B$21-1</f>
        <v>0.20199004975124391</v>
      </c>
      <c r="H367" s="170">
        <f>表2_367162629303421[[#This Row],[累计净值]]/$F$196-1</f>
        <v>9.519492293744336E-2</v>
      </c>
    </row>
    <row r="368" spans="1:8" x14ac:dyDescent="0.2">
      <c r="A368" s="161">
        <v>44295</v>
      </c>
      <c r="B368" s="162">
        <v>1.208</v>
      </c>
      <c r="C368" s="171">
        <f t="shared" si="72"/>
        <v>0</v>
      </c>
      <c r="D368" s="168" t="str">
        <f t="shared" si="73"/>
        <v>/</v>
      </c>
      <c r="E368" s="168">
        <f ca="1">IF(表2_367162629303421[[#This Row],[累计净值]]/MAX(INDIRECT("B21:B" &amp; ROW()))-1&lt;E367,表2_367162629303421[[#This Row],[累计净值]]/MAX(INDIRECT("B21:B" &amp; ROW()))-1,E367)</f>
        <v>-1.6085790884718509E-2</v>
      </c>
      <c r="F368" s="110">
        <f>表2_367162629303421[[#This Row],[累计净值]]-0.145</f>
        <v>1.0629999999999999</v>
      </c>
      <c r="G368" s="170">
        <f>表2_367162629303421[[#This Row],[累计净值]]/$B$21-1</f>
        <v>0.20199004975124391</v>
      </c>
      <c r="H368" s="170">
        <f>表2_367162629303421[[#This Row],[累计净值]]/$F$196-1</f>
        <v>9.519492293744336E-2</v>
      </c>
    </row>
    <row r="369" spans="1:8" x14ac:dyDescent="0.2">
      <c r="A369" s="161">
        <v>44298</v>
      </c>
      <c r="B369" s="162">
        <v>1.2070000000000001</v>
      </c>
      <c r="C369" s="171">
        <f t="shared" si="72"/>
        <v>-9.9999999999988987E-4</v>
      </c>
      <c r="D369" s="168">
        <f t="shared" si="73"/>
        <v>-9.9999999999988987E-4</v>
      </c>
      <c r="E369" s="168">
        <f ca="1">IF(表2_367162629303421[[#This Row],[累计净值]]/MAX(INDIRECT("B21:B" &amp; ROW()))-1&lt;E368,表2_367162629303421[[#This Row],[累计净值]]/MAX(INDIRECT("B21:B" &amp; ROW()))-1,E368)</f>
        <v>-1.6085790884718509E-2</v>
      </c>
      <c r="F369" s="110">
        <f>表2_367162629303421[[#This Row],[累计净值]]-0.145</f>
        <v>1.0620000000000001</v>
      </c>
      <c r="G369" s="170">
        <f>表2_367162629303421[[#This Row],[累计净值]]/$B$21-1</f>
        <v>0.20099502487562204</v>
      </c>
      <c r="H369" s="170">
        <f>表2_367162629303421[[#This Row],[累计净值]]/$F$196-1</f>
        <v>9.4288304623753483E-2</v>
      </c>
    </row>
    <row r="370" spans="1:8" x14ac:dyDescent="0.2">
      <c r="A370" s="161">
        <v>44299</v>
      </c>
      <c r="B370" s="162">
        <v>1.2070000000000001</v>
      </c>
      <c r="C370" s="171">
        <f t="shared" si="72"/>
        <v>0</v>
      </c>
      <c r="D370" s="168" t="str">
        <f t="shared" si="73"/>
        <v>/</v>
      </c>
      <c r="E370" s="168">
        <f ca="1">IF(表2_367162629303421[[#This Row],[累计净值]]/MAX(INDIRECT("B21:B" &amp; ROW()))-1&lt;E369,表2_367162629303421[[#This Row],[累计净值]]/MAX(INDIRECT("B21:B" &amp; ROW()))-1,E369)</f>
        <v>-1.6085790884718509E-2</v>
      </c>
      <c r="F370" s="110">
        <f>表2_367162629303421[[#This Row],[累计净值]]-0.145</f>
        <v>1.0620000000000001</v>
      </c>
      <c r="G370" s="170">
        <f>表2_367162629303421[[#This Row],[累计净值]]/$B$21-1</f>
        <v>0.20099502487562204</v>
      </c>
      <c r="H370" s="170">
        <f>表2_367162629303421[[#This Row],[累计净值]]/$F$196-1</f>
        <v>9.4288304623753483E-2</v>
      </c>
    </row>
    <row r="371" spans="1:8" x14ac:dyDescent="0.2">
      <c r="A371" s="161">
        <v>44300</v>
      </c>
      <c r="B371" s="162">
        <v>1.208</v>
      </c>
      <c r="C371" s="171">
        <f t="shared" si="72"/>
        <v>9.9999999999988987E-4</v>
      </c>
      <c r="D371" s="168" t="str">
        <f t="shared" si="73"/>
        <v>/</v>
      </c>
      <c r="E371" s="168">
        <f ca="1">IF(表2_367162629303421[[#This Row],[累计净值]]/MAX(INDIRECT("B21:B" &amp; ROW()))-1&lt;E370,表2_367162629303421[[#This Row],[累计净值]]/MAX(INDIRECT("B21:B" &amp; ROW()))-1,E370)</f>
        <v>-1.6085790884718509E-2</v>
      </c>
      <c r="F371" s="110">
        <f>表2_367162629303421[[#This Row],[累计净值]]-0.145</f>
        <v>1.0629999999999999</v>
      </c>
      <c r="G371" s="170">
        <f>表2_367162629303421[[#This Row],[累计净值]]/$B$21-1</f>
        <v>0.20199004975124391</v>
      </c>
      <c r="H371" s="170">
        <f>表2_367162629303421[[#This Row],[累计净值]]/$F$196-1</f>
        <v>9.519492293744336E-2</v>
      </c>
    </row>
    <row r="372" spans="1:8" x14ac:dyDescent="0.2">
      <c r="A372" s="161">
        <v>44301</v>
      </c>
      <c r="B372" s="162">
        <v>1.21</v>
      </c>
      <c r="C372" s="171">
        <f t="shared" si="72"/>
        <v>2.0000000000000018E-3</v>
      </c>
      <c r="D372" s="168" t="str">
        <f t="shared" si="73"/>
        <v>/</v>
      </c>
      <c r="E372" s="168">
        <f ca="1">IF(表2_367162629303421[[#This Row],[累计净值]]/MAX(INDIRECT("B21:B" &amp; ROW()))-1&lt;E371,表2_367162629303421[[#This Row],[累计净值]]/MAX(INDIRECT("B21:B" &amp; ROW()))-1,E371)</f>
        <v>-1.6085790884718509E-2</v>
      </c>
      <c r="F372" s="110">
        <f>表2_367162629303421[[#This Row],[累计净值]]-0.145</f>
        <v>1.0649999999999999</v>
      </c>
      <c r="G372" s="170">
        <f>表2_367162629303421[[#This Row],[累计净值]]/$B$21-1</f>
        <v>0.20398009950248763</v>
      </c>
      <c r="H372" s="170">
        <f>表2_367162629303421[[#This Row],[累计净值]]/$F$196-1</f>
        <v>9.7008159564823115E-2</v>
      </c>
    </row>
    <row r="373" spans="1:8" x14ac:dyDescent="0.2">
      <c r="A373" s="161">
        <v>44302</v>
      </c>
      <c r="B373" s="162">
        <v>1.21</v>
      </c>
      <c r="C373" s="171">
        <f t="shared" si="72"/>
        <v>0</v>
      </c>
      <c r="D373" s="168" t="str">
        <f t="shared" si="73"/>
        <v>/</v>
      </c>
      <c r="E373" s="168">
        <f ca="1">IF(表2_367162629303421[[#This Row],[累计净值]]/MAX(INDIRECT("B21:B" &amp; ROW()))-1&lt;E372,表2_367162629303421[[#This Row],[累计净值]]/MAX(INDIRECT("B21:B" &amp; ROW()))-1,E372)</f>
        <v>-1.6085790884718509E-2</v>
      </c>
      <c r="F373" s="110">
        <f>表2_367162629303421[[#This Row],[累计净值]]-0.145</f>
        <v>1.0649999999999999</v>
      </c>
      <c r="G373" s="170">
        <f>表2_367162629303421[[#This Row],[累计净值]]/$B$21-1</f>
        <v>0.20398009950248763</v>
      </c>
      <c r="H373" s="170">
        <f>表2_367162629303421[[#This Row],[累计净值]]/$F$196-1</f>
        <v>9.7008159564823115E-2</v>
      </c>
    </row>
    <row r="374" spans="1:8" x14ac:dyDescent="0.2">
      <c r="A374" s="161">
        <v>44305</v>
      </c>
      <c r="B374" s="162">
        <v>1.2150000000000001</v>
      </c>
      <c r="C374" s="171">
        <f t="shared" ref="C374:C379" si="74">IFERROR(B374-B373,0)</f>
        <v>5.0000000000001155E-3</v>
      </c>
      <c r="D374" s="168" t="str">
        <f t="shared" ref="D374:D379" si="75">IF(C374&lt;0,C374,"/")</f>
        <v>/</v>
      </c>
      <c r="E374" s="168">
        <f ca="1">IF(表2_367162629303421[[#This Row],[累计净值]]/MAX(INDIRECT("B21:B" &amp; ROW()))-1&lt;E373,表2_367162629303421[[#This Row],[累计净值]]/MAX(INDIRECT("B21:B" &amp; ROW()))-1,E373)</f>
        <v>-1.6085790884718509E-2</v>
      </c>
      <c r="F374" s="110">
        <f>表2_367162629303421[[#This Row],[累计净值]]-0.145</f>
        <v>1.07</v>
      </c>
      <c r="G374" s="170">
        <f>表2_367162629303421[[#This Row],[累计净值]]/$B$21-1</f>
        <v>0.20895522388059717</v>
      </c>
      <c r="H374" s="170">
        <f>表2_367162629303421[[#This Row],[累计净值]]/$F$196-1</f>
        <v>0.10154125113327295</v>
      </c>
    </row>
    <row r="375" spans="1:8" x14ac:dyDescent="0.2">
      <c r="A375" s="161">
        <v>44306</v>
      </c>
      <c r="B375" s="162">
        <v>1.214</v>
      </c>
      <c r="C375" s="171">
        <f t="shared" si="74"/>
        <v>-1.0000000000001119E-3</v>
      </c>
      <c r="D375" s="168">
        <f t="shared" si="75"/>
        <v>-1.0000000000001119E-3</v>
      </c>
      <c r="E375" s="168">
        <f ca="1">IF(表2_367162629303421[[#This Row],[累计净值]]/MAX(INDIRECT("B21:B" &amp; ROW()))-1&lt;E374,表2_367162629303421[[#This Row],[累计净值]]/MAX(INDIRECT("B21:B" &amp; ROW()))-1,E374)</f>
        <v>-1.6085790884718509E-2</v>
      </c>
      <c r="F375" s="110">
        <f>表2_367162629303421[[#This Row],[累计净值]]-0.145</f>
        <v>1.069</v>
      </c>
      <c r="G375" s="170">
        <f>表2_367162629303421[[#This Row],[累计净值]]/$B$21-1</f>
        <v>0.20796019900497531</v>
      </c>
      <c r="H375" s="170">
        <f>表2_367162629303421[[#This Row],[累计净值]]/$F$196-1</f>
        <v>0.10063463281958285</v>
      </c>
    </row>
    <row r="376" spans="1:8" x14ac:dyDescent="0.2">
      <c r="A376" s="161">
        <v>44307</v>
      </c>
      <c r="B376" s="162">
        <v>1.2130000000000001</v>
      </c>
      <c r="C376" s="171">
        <f t="shared" si="74"/>
        <v>-9.9999999999988987E-4</v>
      </c>
      <c r="D376" s="168">
        <f t="shared" si="75"/>
        <v>-9.9999999999988987E-4</v>
      </c>
      <c r="E376" s="168">
        <f ca="1">IF(表2_367162629303421[[#This Row],[累计净值]]/MAX(INDIRECT("B21:B" &amp; ROW()))-1&lt;E375,表2_367162629303421[[#This Row],[累计净值]]/MAX(INDIRECT("B21:B" &amp; ROW()))-1,E375)</f>
        <v>-1.6085790884718509E-2</v>
      </c>
      <c r="F376" s="110">
        <f>表2_367162629303421[[#This Row],[累计净值]]-0.145</f>
        <v>1.0680000000000001</v>
      </c>
      <c r="G376" s="170">
        <f>表2_367162629303421[[#This Row],[累计净值]]/$B$21-1</f>
        <v>0.20696517412935345</v>
      </c>
      <c r="H376" s="170">
        <f>表2_367162629303421[[#This Row],[累计净值]]/$F$196-1</f>
        <v>9.9728014505893192E-2</v>
      </c>
    </row>
    <row r="377" spans="1:8" x14ac:dyDescent="0.2">
      <c r="A377" s="161">
        <v>44308</v>
      </c>
      <c r="B377" s="162">
        <v>1.214</v>
      </c>
      <c r="C377" s="171">
        <f t="shared" si="74"/>
        <v>9.9999999999988987E-4</v>
      </c>
      <c r="D377" s="168" t="str">
        <f t="shared" si="75"/>
        <v>/</v>
      </c>
      <c r="E377" s="168">
        <f ca="1">IF(表2_367162629303421[[#This Row],[累计净值]]/MAX(INDIRECT("B21:B" &amp; ROW()))-1&lt;E376,表2_367162629303421[[#This Row],[累计净值]]/MAX(INDIRECT("B21:B" &amp; ROW()))-1,E376)</f>
        <v>-1.6085790884718509E-2</v>
      </c>
      <c r="F377" s="110">
        <f>表2_367162629303421[[#This Row],[累计净值]]-0.145</f>
        <v>1.069</v>
      </c>
      <c r="G377" s="170">
        <f>表2_367162629303421[[#This Row],[累计净值]]/$B$21-1</f>
        <v>0.20796019900497531</v>
      </c>
      <c r="H377" s="170">
        <f>表2_367162629303421[[#This Row],[累计净值]]/$F$196-1</f>
        <v>0.10063463281958285</v>
      </c>
    </row>
    <row r="378" spans="1:8" x14ac:dyDescent="0.2">
      <c r="A378" s="161">
        <v>44309</v>
      </c>
      <c r="B378" s="162">
        <v>1.214</v>
      </c>
      <c r="C378" s="171">
        <f t="shared" si="74"/>
        <v>0</v>
      </c>
      <c r="D378" s="168" t="str">
        <f t="shared" si="75"/>
        <v>/</v>
      </c>
      <c r="E378" s="168">
        <f ca="1">IF(表2_367162629303421[[#This Row],[累计净值]]/MAX(INDIRECT("B21:B" &amp; ROW()))-1&lt;E377,表2_367162629303421[[#This Row],[累计净值]]/MAX(INDIRECT("B21:B" &amp; ROW()))-1,E377)</f>
        <v>-1.6085790884718509E-2</v>
      </c>
      <c r="F378" s="110">
        <f>表2_367162629303421[[#This Row],[累计净值]]-0.145</f>
        <v>1.069</v>
      </c>
      <c r="G378" s="170">
        <f>表2_367162629303421[[#This Row],[累计净值]]/$B$21-1</f>
        <v>0.20796019900497531</v>
      </c>
      <c r="H378" s="170">
        <f>表2_367162629303421[[#This Row],[累计净值]]/$F$196-1</f>
        <v>0.10063463281958285</v>
      </c>
    </row>
    <row r="379" spans="1:8" x14ac:dyDescent="0.2">
      <c r="A379" s="161">
        <v>44312</v>
      </c>
      <c r="B379" s="162">
        <v>1.216</v>
      </c>
      <c r="C379" s="171">
        <f t="shared" si="74"/>
        <v>2.0000000000000018E-3</v>
      </c>
      <c r="D379" s="168" t="str">
        <f t="shared" si="75"/>
        <v>/</v>
      </c>
      <c r="E379" s="168">
        <f ca="1">IF(表2_367162629303421[[#This Row],[累计净值]]/MAX(INDIRECT("B21:B" &amp; ROW()))-1&lt;E378,表2_367162629303421[[#This Row],[累计净值]]/MAX(INDIRECT("B21:B" &amp; ROW()))-1,E378)</f>
        <v>-1.6085790884718509E-2</v>
      </c>
      <c r="F379" s="110">
        <f>表2_367162629303421[[#This Row],[累计净值]]-0.145</f>
        <v>1.071</v>
      </c>
      <c r="G379" s="170">
        <f>表2_367162629303421[[#This Row],[累计净值]]/$B$21-1</f>
        <v>0.20995024875621904</v>
      </c>
      <c r="H379" s="170">
        <f>表2_367162629303421[[#This Row],[累计净值]]/$F$196-1</f>
        <v>0.10244786944696282</v>
      </c>
    </row>
    <row r="380" spans="1:8" x14ac:dyDescent="0.2">
      <c r="A380" s="161">
        <v>44313</v>
      </c>
      <c r="B380" s="162">
        <v>1.214</v>
      </c>
      <c r="C380" s="171">
        <f t="shared" ref="C380:C381" si="76">IFERROR(B380-B379,0)</f>
        <v>-2.0000000000000018E-3</v>
      </c>
      <c r="D380" s="168">
        <f t="shared" ref="D380:D381" si="77">IF(C380&lt;0,C380,"/")</f>
        <v>-2.0000000000000018E-3</v>
      </c>
      <c r="E380" s="168">
        <f ca="1">IF(表2_367162629303421[[#This Row],[累计净值]]/MAX(INDIRECT("B21:B" &amp; ROW()))-1&lt;E379,表2_367162629303421[[#This Row],[累计净值]]/MAX(INDIRECT("B21:B" &amp; ROW()))-1,E379)</f>
        <v>-1.6085790884718509E-2</v>
      </c>
      <c r="F380" s="110">
        <f>表2_367162629303421[[#This Row],[累计净值]]-0.145</f>
        <v>1.069</v>
      </c>
      <c r="G380" s="170">
        <f>表2_367162629303421[[#This Row],[累计净值]]/$B$21-1</f>
        <v>0.20796019900497531</v>
      </c>
      <c r="H380" s="170">
        <f>表2_367162629303421[[#This Row],[累计净值]]/$F$196-1</f>
        <v>0.10063463281958285</v>
      </c>
    </row>
    <row r="381" spans="1:8" x14ac:dyDescent="0.2">
      <c r="A381" s="161">
        <v>44314</v>
      </c>
      <c r="B381" s="162">
        <v>1.214</v>
      </c>
      <c r="C381" s="171">
        <f t="shared" si="76"/>
        <v>0</v>
      </c>
      <c r="D381" s="168" t="str">
        <f t="shared" si="77"/>
        <v>/</v>
      </c>
      <c r="E381" s="168">
        <f ca="1">IF(表2_367162629303421[[#This Row],[累计净值]]/MAX(INDIRECT("B21:B" &amp; ROW()))-1&lt;E380,表2_367162629303421[[#This Row],[累计净值]]/MAX(INDIRECT("B21:B" &amp; ROW()))-1,E380)</f>
        <v>-1.6085790884718509E-2</v>
      </c>
      <c r="F381" s="110">
        <f>表2_367162629303421[[#This Row],[累计净值]]-0.145</f>
        <v>1.069</v>
      </c>
      <c r="G381" s="170">
        <f>表2_367162629303421[[#This Row],[累计净值]]/$B$21-1</f>
        <v>0.20796019900497531</v>
      </c>
      <c r="H381" s="170">
        <f>表2_367162629303421[[#This Row],[累计净值]]/$F$196-1</f>
        <v>0.10063463281958285</v>
      </c>
    </row>
    <row r="382" spans="1:8" x14ac:dyDescent="0.2">
      <c r="A382" s="161">
        <v>44315</v>
      </c>
      <c r="B382" s="162">
        <v>1.214</v>
      </c>
      <c r="C382" s="171">
        <f>IFERROR(B382-B381,0)</f>
        <v>0</v>
      </c>
      <c r="D382" s="168" t="str">
        <f>IF(C382&lt;0,C382,"/")</f>
        <v>/</v>
      </c>
      <c r="E382" s="168">
        <f ca="1">IF(表2_367162629303421[[#This Row],[累计净值]]/MAX(INDIRECT("B21:B" &amp; ROW()))-1&lt;E381,表2_367162629303421[[#This Row],[累计净值]]/MAX(INDIRECT("B21:B" &amp; ROW()))-1,E381)</f>
        <v>-1.6085790884718509E-2</v>
      </c>
      <c r="F382" s="110">
        <f>表2_367162629303421[[#This Row],[累计净值]]-0.145</f>
        <v>1.069</v>
      </c>
      <c r="G382" s="170">
        <f>表2_367162629303421[[#This Row],[累计净值]]/$B$21-1</f>
        <v>0.20796019900497531</v>
      </c>
      <c r="H382" s="170">
        <f>表2_367162629303421[[#This Row],[累计净值]]/$F$196-1</f>
        <v>0.10063463281958285</v>
      </c>
    </row>
    <row r="383" spans="1:8" x14ac:dyDescent="0.2">
      <c r="A383" s="161">
        <v>44316</v>
      </c>
      <c r="B383" s="162">
        <v>1.2110000000000001</v>
      </c>
      <c r="C383" s="171">
        <f t="shared" ref="C383:C384" si="78">IFERROR(B383-B382,0)</f>
        <v>-2.9999999999998916E-3</v>
      </c>
      <c r="D383" s="168">
        <f t="shared" ref="D383:D384" si="79">IF(C383&lt;0,C383,"/")</f>
        <v>-2.9999999999998916E-3</v>
      </c>
      <c r="E383" s="168">
        <f ca="1">IF(表2_367162629303421[[#This Row],[累计净值]]/MAX(INDIRECT("B21:B" &amp; ROW()))-1&lt;E382,表2_367162629303421[[#This Row],[累计净值]]/MAX(INDIRECT("B21:B" &amp; ROW()))-1,E382)</f>
        <v>-1.6085790884718509E-2</v>
      </c>
      <c r="F383" s="110">
        <f>表2_367162629303421[[#This Row],[累计净值]]-0.145</f>
        <v>1.0660000000000001</v>
      </c>
      <c r="G383" s="170">
        <f>表2_367162629303421[[#This Row],[累计净值]]/$B$21-1</f>
        <v>0.20497512437810972</v>
      </c>
      <c r="H383" s="170">
        <f>表2_367162629303421[[#This Row],[累计净值]]/$F$196-1</f>
        <v>9.7914777878513215E-2</v>
      </c>
    </row>
    <row r="384" spans="1:8" x14ac:dyDescent="0.2">
      <c r="A384" s="161">
        <v>44322</v>
      </c>
      <c r="B384" s="162">
        <v>1.2110000000000001</v>
      </c>
      <c r="C384" s="171">
        <f t="shared" si="78"/>
        <v>0</v>
      </c>
      <c r="D384" s="168" t="str">
        <f t="shared" si="79"/>
        <v>/</v>
      </c>
      <c r="E384" s="168">
        <f ca="1">IF(表2_367162629303421[[#This Row],[累计净值]]/MAX(INDIRECT("B21:B" &amp; ROW()))-1&lt;E383,表2_367162629303421[[#This Row],[累计净值]]/MAX(INDIRECT("B21:B" &amp; ROW()))-1,E383)</f>
        <v>-1.6085790884718509E-2</v>
      </c>
      <c r="F384" s="110">
        <f>表2_367162629303421[[#This Row],[累计净值]]-0.145</f>
        <v>1.0660000000000001</v>
      </c>
      <c r="G384" s="170">
        <f>表2_367162629303421[[#This Row],[累计净值]]/$B$21-1</f>
        <v>0.20497512437810972</v>
      </c>
      <c r="H384" s="170">
        <f>表2_367162629303421[[#This Row],[累计净值]]/$F$196-1</f>
        <v>9.7914777878513215E-2</v>
      </c>
    </row>
    <row r="385" spans="1:8" x14ac:dyDescent="0.2">
      <c r="A385" s="161">
        <v>44323</v>
      </c>
      <c r="B385" s="162">
        <v>1.2110000000000001</v>
      </c>
      <c r="C385" s="171">
        <f t="shared" ref="C385:C390" si="80">IFERROR(B385-B384,0)</f>
        <v>0</v>
      </c>
      <c r="D385" s="168" t="str">
        <f t="shared" ref="D385:D390" si="81">IF(C385&lt;0,C385,"/")</f>
        <v>/</v>
      </c>
      <c r="E385" s="168">
        <f ca="1">IF(表2_367162629303421[[#This Row],[累计净值]]/MAX(INDIRECT("B21:B" &amp; ROW()))-1&lt;E384,表2_367162629303421[[#This Row],[累计净值]]/MAX(INDIRECT("B21:B" &amp; ROW()))-1,E384)</f>
        <v>-1.6085790884718509E-2</v>
      </c>
      <c r="F385" s="110">
        <f>表2_367162629303421[[#This Row],[累计净值]]-0.145</f>
        <v>1.0660000000000001</v>
      </c>
      <c r="G385" s="170">
        <f>表2_367162629303421[[#This Row],[累计净值]]/$B$21-1</f>
        <v>0.20497512437810972</v>
      </c>
      <c r="H385" s="170">
        <f>表2_367162629303421[[#This Row],[累计净值]]/$F$196-1</f>
        <v>9.7914777878513215E-2</v>
      </c>
    </row>
    <row r="386" spans="1:8" x14ac:dyDescent="0.2">
      <c r="A386" s="161">
        <v>44326</v>
      </c>
      <c r="B386" s="162">
        <v>1.212</v>
      </c>
      <c r="C386" s="171">
        <f t="shared" si="80"/>
        <v>9.9999999999988987E-4</v>
      </c>
      <c r="D386" s="168" t="str">
        <f t="shared" si="81"/>
        <v>/</v>
      </c>
      <c r="E386" s="168">
        <f ca="1">IF(表2_367162629303421[[#This Row],[累计净值]]/MAX(INDIRECT("B21:B" &amp; ROW()))-1&lt;E385,表2_367162629303421[[#This Row],[累计净值]]/MAX(INDIRECT("B21:B" &amp; ROW()))-1,E385)</f>
        <v>-1.6085790884718509E-2</v>
      </c>
      <c r="F386" s="110">
        <f>表2_367162629303421[[#This Row],[累计净值]]-0.145</f>
        <v>1.0669999999999999</v>
      </c>
      <c r="G386" s="170">
        <f>表2_367162629303421[[#This Row],[累计净值]]/$B$21-1</f>
        <v>0.20597014925373136</v>
      </c>
      <c r="H386" s="170">
        <f>表2_367162629303421[[#This Row],[累计净值]]/$F$196-1</f>
        <v>9.8821396192203093E-2</v>
      </c>
    </row>
    <row r="387" spans="1:8" x14ac:dyDescent="0.2">
      <c r="A387" s="161">
        <v>44327</v>
      </c>
      <c r="B387" s="162">
        <v>1.2130000000000001</v>
      </c>
      <c r="C387" s="171">
        <f t="shared" si="80"/>
        <v>1.0000000000001119E-3</v>
      </c>
      <c r="D387" s="168" t="str">
        <f t="shared" si="81"/>
        <v>/</v>
      </c>
      <c r="E387" s="168">
        <f ca="1">IF(表2_367162629303421[[#This Row],[累计净值]]/MAX(INDIRECT("B21:B" &amp; ROW()))-1&lt;E386,表2_367162629303421[[#This Row],[累计净值]]/MAX(INDIRECT("B21:B" &amp; ROW()))-1,E386)</f>
        <v>-1.6085790884718509E-2</v>
      </c>
      <c r="F387" s="110">
        <f>表2_367162629303421[[#This Row],[累计净值]]-0.145</f>
        <v>1.0680000000000001</v>
      </c>
      <c r="G387" s="170">
        <f>表2_367162629303421[[#This Row],[累计净值]]/$B$21-1</f>
        <v>0.20696517412935345</v>
      </c>
      <c r="H387" s="170">
        <f>表2_367162629303421[[#This Row],[累计净值]]/$F$196-1</f>
        <v>9.9728014505893192E-2</v>
      </c>
    </row>
    <row r="388" spans="1:8" x14ac:dyDescent="0.2">
      <c r="A388" s="161">
        <v>44328</v>
      </c>
      <c r="B388" s="162">
        <v>1.2130000000000001</v>
      </c>
      <c r="C388" s="171">
        <f t="shared" si="80"/>
        <v>0</v>
      </c>
      <c r="D388" s="168" t="str">
        <f t="shared" si="81"/>
        <v>/</v>
      </c>
      <c r="E388" s="168">
        <f ca="1">IF(表2_367162629303421[[#This Row],[累计净值]]/MAX(INDIRECT("B21:B" &amp; ROW()))-1&lt;E387,表2_367162629303421[[#This Row],[累计净值]]/MAX(INDIRECT("B21:B" &amp; ROW()))-1,E387)</f>
        <v>-1.6085790884718509E-2</v>
      </c>
      <c r="F388" s="110">
        <f>表2_367162629303421[[#This Row],[累计净值]]-0.145</f>
        <v>1.0680000000000001</v>
      </c>
      <c r="G388" s="170">
        <f>表2_367162629303421[[#This Row],[累计净值]]/$B$21-1</f>
        <v>0.20696517412935345</v>
      </c>
      <c r="H388" s="170">
        <f>表2_367162629303421[[#This Row],[累计净值]]/$F$196-1</f>
        <v>9.9728014505893192E-2</v>
      </c>
    </row>
    <row r="389" spans="1:8" x14ac:dyDescent="0.2">
      <c r="A389" s="161">
        <v>44329</v>
      </c>
      <c r="B389" s="162">
        <v>1.2130000000000001</v>
      </c>
      <c r="C389" s="171">
        <f t="shared" si="80"/>
        <v>0</v>
      </c>
      <c r="D389" s="168" t="str">
        <f t="shared" si="81"/>
        <v>/</v>
      </c>
      <c r="E389" s="168">
        <f ca="1">IF(表2_367162629303421[[#This Row],[累计净值]]/MAX(INDIRECT("B21:B" &amp; ROW()))-1&lt;E388,表2_367162629303421[[#This Row],[累计净值]]/MAX(INDIRECT("B21:B" &amp; ROW()))-1,E388)</f>
        <v>-1.6085790884718509E-2</v>
      </c>
      <c r="F389" s="110">
        <f>表2_367162629303421[[#This Row],[累计净值]]-0.145</f>
        <v>1.0680000000000001</v>
      </c>
      <c r="G389" s="170">
        <f>表2_367162629303421[[#This Row],[累计净值]]/$B$21-1</f>
        <v>0.20696517412935345</v>
      </c>
      <c r="H389" s="170">
        <f>表2_367162629303421[[#This Row],[累计净值]]/$F$196-1</f>
        <v>9.9728014505893192E-2</v>
      </c>
    </row>
    <row r="390" spans="1:8" x14ac:dyDescent="0.2">
      <c r="A390" s="161">
        <v>44330</v>
      </c>
      <c r="B390" s="162">
        <v>1.2150000000000001</v>
      </c>
      <c r="C390" s="171">
        <f t="shared" si="80"/>
        <v>2.0000000000000018E-3</v>
      </c>
      <c r="D390" s="168" t="str">
        <f t="shared" si="81"/>
        <v>/</v>
      </c>
      <c r="E390" s="168">
        <f ca="1">IF(表2_367162629303421[[#This Row],[累计净值]]/MAX(INDIRECT("B21:B" &amp; ROW()))-1&lt;E389,表2_367162629303421[[#This Row],[累计净值]]/MAX(INDIRECT("B21:B" &amp; ROW()))-1,E389)</f>
        <v>-1.6085790884718509E-2</v>
      </c>
      <c r="F390" s="110">
        <f>表2_367162629303421[[#This Row],[累计净值]]-0.145</f>
        <v>1.07</v>
      </c>
      <c r="G390" s="170">
        <f>表2_367162629303421[[#This Row],[累计净值]]/$B$21-1</f>
        <v>0.20895522388059717</v>
      </c>
      <c r="H390" s="170">
        <f>表2_367162629303421[[#This Row],[累计净值]]/$F$196-1</f>
        <v>0.10154125113327295</v>
      </c>
    </row>
    <row r="391" spans="1:8" x14ac:dyDescent="0.2">
      <c r="A391" s="161">
        <v>44333</v>
      </c>
      <c r="B391" s="162">
        <v>1.2150000000000001</v>
      </c>
      <c r="C391" s="171">
        <f>IFERROR(B391-B390,0)</f>
        <v>0</v>
      </c>
      <c r="D391" s="168" t="str">
        <f>IF(C391&lt;0,C391,"/")</f>
        <v>/</v>
      </c>
      <c r="E391" s="168">
        <f ca="1">IF(表2_367162629303421[[#This Row],[累计净值]]/MAX(INDIRECT("B21:B" &amp; ROW()))-1&lt;E390,表2_367162629303421[[#This Row],[累计净值]]/MAX(INDIRECT("B21:B" &amp; ROW()))-1,E390)</f>
        <v>-1.6085790884718509E-2</v>
      </c>
      <c r="F391" s="110">
        <f>表2_367162629303421[[#This Row],[累计净值]]-0.145</f>
        <v>1.07</v>
      </c>
      <c r="G391" s="170">
        <f>表2_367162629303421[[#This Row],[累计净值]]/$B$21-1</f>
        <v>0.20895522388059717</v>
      </c>
      <c r="H391" s="170">
        <f>表2_367162629303421[[#This Row],[累计净值]]/$F$196-1</f>
        <v>0.10154125113327295</v>
      </c>
    </row>
  </sheetData>
  <mergeCells count="1">
    <mergeCell ref="G2:G3"/>
  </mergeCells>
  <phoneticPr fontId="24" type="noConversion"/>
  <pageMargins left="0.7" right="0.7" top="0.75" bottom="0.75" header="0.3" footer="0.3"/>
  <pageSetup paperSize="9" orientation="portrait" horizontalDpi="200" verticalDpi="20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J263"/>
  <sheetViews>
    <sheetView workbookViewId="0">
      <pane xSplit="1" ySplit="20" topLeftCell="B247" activePane="bottomRight" state="frozen"/>
      <selection pane="topRight" activeCell="B1" sqref="B1"/>
      <selection pane="bottomLeft" activeCell="A21" sqref="A21"/>
      <selection pane="bottomRight" activeCell="M255" sqref="M255"/>
    </sheetView>
  </sheetViews>
  <sheetFormatPr defaultColWidth="9" defaultRowHeight="14.25" x14ac:dyDescent="0.2"/>
  <cols>
    <col min="1" max="1" width="11.625" style="1" bestFit="1" customWidth="1"/>
    <col min="2" max="2" width="13" style="1" customWidth="1"/>
    <col min="3" max="4" width="13.5" style="1" bestFit="1" customWidth="1"/>
    <col min="5" max="5" width="10.75" style="1" customWidth="1"/>
    <col min="6" max="6" width="11.125" style="1" customWidth="1"/>
    <col min="7" max="7" width="18.875" style="2" customWidth="1"/>
    <col min="8" max="8" width="14.25" style="1" customWidth="1"/>
    <col min="9" max="9" width="12" style="1" bestFit="1" customWidth="1"/>
    <col min="10" max="16384" width="9" style="1"/>
  </cols>
  <sheetData>
    <row r="1" spans="1:7" ht="15" thickBot="1" x14ac:dyDescent="0.25"/>
    <row r="2" spans="1:7" ht="15" thickBot="1" x14ac:dyDescent="0.25">
      <c r="A2" s="23" t="s">
        <v>0</v>
      </c>
      <c r="B2" s="24">
        <f>COUNT(表2_367162629303891213141518[每日盈亏])</f>
        <v>243</v>
      </c>
      <c r="C2" s="27"/>
      <c r="D2" s="3" t="s">
        <v>1</v>
      </c>
      <c r="E2" s="28"/>
      <c r="F2" s="1" t="s">
        <v>2</v>
      </c>
      <c r="G2" s="394" t="s">
        <v>3</v>
      </c>
    </row>
    <row r="3" spans="1:7" x14ac:dyDescent="0.2">
      <c r="A3" s="25" t="s">
        <v>4</v>
      </c>
      <c r="B3" s="26">
        <f>COUNTIF(表2_367162629303891213141518[每日盈亏],"&gt;0")</f>
        <v>113</v>
      </c>
      <c r="C3" s="29"/>
      <c r="D3" s="30" t="s">
        <v>5</v>
      </c>
      <c r="E3" s="31">
        <f>245^0.5*(B10-0.025/365)/E10</f>
        <v>0.88136029056990017</v>
      </c>
      <c r="G3" s="394"/>
    </row>
    <row r="4" spans="1:7" x14ac:dyDescent="0.2">
      <c r="A4" s="25" t="s">
        <v>6</v>
      </c>
      <c r="B4" s="26">
        <f>COUNTIF(表2_367162629303891213141518[每日盈亏],"&lt;0")</f>
        <v>100</v>
      </c>
      <c r="C4" s="29"/>
      <c r="D4" s="32" t="s">
        <v>7</v>
      </c>
      <c r="E4" s="31">
        <f ca="1">-B9/E8</f>
        <v>2.1692953658479124</v>
      </c>
      <c r="G4" s="2">
        <f>LOOKUP(999^10,表2_367162629303891213141518[累计净值])</f>
        <v>1.1419999999999999</v>
      </c>
    </row>
    <row r="5" spans="1:7" x14ac:dyDescent="0.2">
      <c r="A5" s="25" t="s">
        <v>8</v>
      </c>
      <c r="B5" s="26">
        <f>B2-B3-B4</f>
        <v>30</v>
      </c>
      <c r="C5" s="29"/>
      <c r="D5" s="33" t="s">
        <v>9</v>
      </c>
      <c r="E5" s="4">
        <f>245^0.5*(B10-0.025/365)/E9</f>
        <v>1.5268820152069527</v>
      </c>
    </row>
    <row r="6" spans="1:7" ht="15" thickBot="1" x14ac:dyDescent="0.25">
      <c r="A6" s="34"/>
      <c r="B6" s="35"/>
      <c r="C6" s="35"/>
      <c r="D6" s="35"/>
      <c r="E6" s="36"/>
    </row>
    <row r="7" spans="1:7" ht="15" thickBot="1" x14ac:dyDescent="0.25">
      <c r="A7" s="5" t="s">
        <v>10</v>
      </c>
      <c r="B7" s="35"/>
      <c r="C7" s="35"/>
      <c r="D7" s="3" t="s">
        <v>11</v>
      </c>
      <c r="E7" s="37"/>
    </row>
    <row r="8" spans="1:7" x14ac:dyDescent="0.2">
      <c r="A8" s="38" t="s">
        <v>12</v>
      </c>
      <c r="B8" s="39">
        <f>LOOKUP(999^10,表2_367162629303891213141518[累计净值])/$B$21-1</f>
        <v>6.928838951310845E-2</v>
      </c>
      <c r="C8" s="40"/>
      <c r="D8" s="30" t="s">
        <v>13</v>
      </c>
      <c r="E8" s="41">
        <f ca="1">MIN(表2_367162629303891213141518[最大回撤])</f>
        <v>-3.2203389830508522E-2</v>
      </c>
    </row>
    <row r="9" spans="1:7" x14ac:dyDescent="0.2">
      <c r="A9" s="25" t="s">
        <v>14</v>
      </c>
      <c r="B9" s="32">
        <f>B8*245/B2</f>
        <v>6.9858664323915923E-2</v>
      </c>
      <c r="C9" s="40"/>
      <c r="D9" s="33" t="s">
        <v>15</v>
      </c>
      <c r="E9" s="6">
        <f>STDEV(表2_367162629303891213141518[下跌幅度])</f>
        <v>2.4618298195866551E-3</v>
      </c>
    </row>
    <row r="10" spans="1:7" x14ac:dyDescent="0.2">
      <c r="A10" s="42" t="s">
        <v>16</v>
      </c>
      <c r="B10" s="43">
        <f>AVERAGE(表2_367162629303891213141518[每日盈亏])</f>
        <v>3.0864197530864181E-4</v>
      </c>
      <c r="C10" s="44"/>
      <c r="D10" s="33" t="s">
        <v>17</v>
      </c>
      <c r="E10" s="6">
        <f>STDEV(表2_367162629303891213141518[每日盈亏])</f>
        <v>4.26491154213048E-3</v>
      </c>
    </row>
    <row r="11" spans="1:7" x14ac:dyDescent="0.2">
      <c r="A11" s="7" t="s">
        <v>18</v>
      </c>
      <c r="B11" s="32">
        <f>B3/B2</f>
        <v>0.46502057613168724</v>
      </c>
      <c r="C11" s="40"/>
      <c r="D11" s="32" t="s">
        <v>19</v>
      </c>
      <c r="E11" s="41">
        <f>245^0.5*E10</f>
        <v>6.6756424883590487E-2</v>
      </c>
    </row>
    <row r="12" spans="1:7" ht="15" thickBot="1" x14ac:dyDescent="0.25">
      <c r="A12" s="45" t="s">
        <v>20</v>
      </c>
      <c r="B12" s="46">
        <f>-(SUMIF(表2_367162629303891213141518[每日盈亏],"&gt;=0")/B3)/(SUMIF(表2_367162629303891213141518[每日盈亏],"&lt;0")/B4)</f>
        <v>1.0693215339233035</v>
      </c>
      <c r="C12" s="47"/>
      <c r="D12" s="48"/>
      <c r="E12" s="49"/>
    </row>
    <row r="14" spans="1:7" ht="28.5" x14ac:dyDescent="0.2">
      <c r="A14" s="50" t="s">
        <v>21</v>
      </c>
      <c r="B14" s="50" t="s">
        <v>14</v>
      </c>
      <c r="C14" s="51" t="s">
        <v>19</v>
      </c>
      <c r="D14" s="51" t="s">
        <v>13</v>
      </c>
      <c r="E14" s="51" t="s">
        <v>5</v>
      </c>
      <c r="F14" s="51" t="s">
        <v>7</v>
      </c>
    </row>
    <row r="15" spans="1:7" x14ac:dyDescent="0.2">
      <c r="A15" s="78">
        <f>B2</f>
        <v>243</v>
      </c>
      <c r="B15" s="53">
        <f>B9</f>
        <v>6.9858664323915923E-2</v>
      </c>
      <c r="C15" s="53">
        <f>E11</f>
        <v>6.6756424883590487E-2</v>
      </c>
      <c r="D15" s="53">
        <f ca="1">E8</f>
        <v>-3.2203389830508522E-2</v>
      </c>
      <c r="E15" s="54">
        <f>E3</f>
        <v>0.88136029056990017</v>
      </c>
      <c r="F15" s="54">
        <f ca="1">E4</f>
        <v>2.1692953658479124</v>
      </c>
    </row>
    <row r="19" spans="1:8" x14ac:dyDescent="0.2">
      <c r="A19" s="8"/>
      <c r="B19" s="1" t="s">
        <v>22</v>
      </c>
    </row>
    <row r="20" spans="1:8" ht="15.75" x14ac:dyDescent="0.2">
      <c r="A20" s="22" t="s">
        <v>23</v>
      </c>
      <c r="B20" s="22" t="s">
        <v>24</v>
      </c>
      <c r="C20" s="22" t="s">
        <v>25</v>
      </c>
      <c r="D20" s="22" t="s">
        <v>26</v>
      </c>
      <c r="E20" s="22" t="s">
        <v>27</v>
      </c>
      <c r="F20" s="22" t="s">
        <v>28</v>
      </c>
      <c r="G20" s="22" t="s">
        <v>29</v>
      </c>
      <c r="H20" s="22" t="s">
        <v>39</v>
      </c>
    </row>
    <row r="21" spans="1:8" x14ac:dyDescent="0.2">
      <c r="A21" s="15">
        <v>43966</v>
      </c>
      <c r="B21" s="96">
        <v>1.0680000000000001</v>
      </c>
      <c r="C21" s="11">
        <f>IFERROR(B21-B20,0)</f>
        <v>0</v>
      </c>
      <c r="D21" s="12" t="str">
        <f>IF(C21&lt;0,C21,"/")</f>
        <v>/</v>
      </c>
      <c r="E21" s="12">
        <f ca="1">IF(表2_367162629303891213141518[[#This Row],[累计净值]]/MAX(INDIRECT("B21:B" &amp; ROW()))-1&lt;E20,表2_367162629303891213141518[[#This Row],[累计净值]]/MAX(INDIRECT("B21:B" &amp; ROW()))-1,E20)</f>
        <v>0</v>
      </c>
      <c r="F21" s="13">
        <f>表2_367162629303891213141518[[#This Row],[累计净值]]-0.12</f>
        <v>0.94800000000000006</v>
      </c>
      <c r="G21" s="119"/>
    </row>
    <row r="22" spans="1:8" x14ac:dyDescent="0.2">
      <c r="A22" s="15">
        <v>43969</v>
      </c>
      <c r="B22" s="104">
        <v>1.07</v>
      </c>
      <c r="C22" s="17">
        <f>IFERROR(B22-B21,0)</f>
        <v>2.0000000000000018E-3</v>
      </c>
      <c r="D22" s="18" t="str">
        <f>IF(C22&lt;0,C22,"/")</f>
        <v>/</v>
      </c>
      <c r="E22" s="18">
        <f ca="1">IF(表2_367162629303891213141518[[#This Row],[累计净值]]/MAX(INDIRECT("B21:B" &amp; ROW()))-1&lt;E21,表2_367162629303891213141518[[#This Row],[累计净值]]/MAX(INDIRECT("B21:B" &amp; ROW()))-1,E21)</f>
        <v>0</v>
      </c>
      <c r="F22" s="19">
        <f>表2_367162629303891213141518[[#This Row],[累计净值]]-0.12</f>
        <v>0.95000000000000007</v>
      </c>
      <c r="G22" s="20"/>
    </row>
    <row r="23" spans="1:8" x14ac:dyDescent="0.2">
      <c r="A23" s="15">
        <v>43970</v>
      </c>
      <c r="B23" s="104">
        <v>1.073</v>
      </c>
      <c r="C23" s="101">
        <f t="shared" ref="C23:C28" si="0">IFERROR(B23-B22,0)</f>
        <v>2.9999999999998916E-3</v>
      </c>
      <c r="D23" s="102" t="str">
        <f t="shared" ref="D23:D28" si="1">IF(C23&lt;0,C23,"/")</f>
        <v>/</v>
      </c>
      <c r="E23" s="102">
        <f ca="1">IF(表2_367162629303891213141518[[#This Row],[累计净值]]/MAX(INDIRECT("B21:B" &amp; ROW()))-1&lt;E22,表2_367162629303891213141518[[#This Row],[累计净值]]/MAX(INDIRECT("B21:B" &amp; ROW()))-1,E22)</f>
        <v>0</v>
      </c>
      <c r="F23" s="103">
        <f>表2_367162629303891213141518[[#This Row],[累计净值]]-0.12</f>
        <v>0.95299999999999996</v>
      </c>
      <c r="G23" s="20"/>
    </row>
    <row r="24" spans="1:8" x14ac:dyDescent="0.2">
      <c r="A24" s="15">
        <v>43971</v>
      </c>
      <c r="B24" s="104">
        <v>1.0780000000000001</v>
      </c>
      <c r="C24" s="101">
        <f t="shared" si="0"/>
        <v>5.0000000000001155E-3</v>
      </c>
      <c r="D24" s="102" t="str">
        <f t="shared" si="1"/>
        <v>/</v>
      </c>
      <c r="E24" s="102">
        <f ca="1">IF(表2_367162629303891213141518[[#This Row],[累计净值]]/MAX(INDIRECT("B21:B" &amp; ROW()))-1&lt;E23,表2_367162629303891213141518[[#This Row],[累计净值]]/MAX(INDIRECT("B21:B" &amp; ROW()))-1,E23)</f>
        <v>0</v>
      </c>
      <c r="F24" s="103">
        <f>表2_367162629303891213141518[[#This Row],[累计净值]]-0.12</f>
        <v>0.95800000000000007</v>
      </c>
      <c r="G24" s="20"/>
    </row>
    <row r="25" spans="1:8" x14ac:dyDescent="0.2">
      <c r="A25" s="15">
        <v>43972</v>
      </c>
      <c r="B25" s="104">
        <v>1.075</v>
      </c>
      <c r="C25" s="101">
        <f t="shared" si="0"/>
        <v>-3.0000000000001137E-3</v>
      </c>
      <c r="D25" s="102">
        <f t="shared" si="1"/>
        <v>-3.0000000000001137E-3</v>
      </c>
      <c r="E25" s="102">
        <f ca="1">IF(表2_367162629303891213141518[[#This Row],[累计净值]]/MAX(INDIRECT("B21:B" &amp; ROW()))-1&lt;E24,表2_367162629303891213141518[[#This Row],[累计净值]]/MAX(INDIRECT("B21:B" &amp; ROW()))-1,E24)</f>
        <v>-2.7829313543600298E-3</v>
      </c>
      <c r="F25" s="103">
        <f>表2_367162629303891213141518[[#This Row],[累计净值]]-0.12</f>
        <v>0.95499999999999996</v>
      </c>
      <c r="G25" s="20"/>
    </row>
    <row r="26" spans="1:8" x14ac:dyDescent="0.2">
      <c r="A26" s="15">
        <v>43973</v>
      </c>
      <c r="B26" s="112">
        <v>1.0649999999999999</v>
      </c>
      <c r="C26" s="108">
        <f t="shared" si="0"/>
        <v>-1.0000000000000009E-2</v>
      </c>
      <c r="D26" s="109">
        <f t="shared" si="1"/>
        <v>-1.0000000000000009E-2</v>
      </c>
      <c r="E26" s="109">
        <f ca="1">IF(表2_367162629303891213141518[[#This Row],[累计净值]]/MAX(INDIRECT("B21:B" &amp; ROW()))-1&lt;E25,表2_367162629303891213141518[[#This Row],[累计净值]]/MAX(INDIRECT("B21:B" &amp; ROW()))-1,E25)</f>
        <v>-1.20593692022265E-2</v>
      </c>
      <c r="F26" s="110">
        <f>表2_367162629303891213141518[[#This Row],[累计净值]]-0.12</f>
        <v>0.94499999999999995</v>
      </c>
      <c r="G26" s="20"/>
    </row>
    <row r="27" spans="1:8" x14ac:dyDescent="0.2">
      <c r="A27" s="15">
        <v>43976</v>
      </c>
      <c r="B27" s="112">
        <v>1.077</v>
      </c>
      <c r="C27" s="108">
        <f t="shared" si="0"/>
        <v>1.2000000000000011E-2</v>
      </c>
      <c r="D27" s="109" t="str">
        <f t="shared" si="1"/>
        <v>/</v>
      </c>
      <c r="E27" s="109">
        <f ca="1">IF(表2_367162629303891213141518[[#This Row],[累计净值]]/MAX(INDIRECT("B21:B" &amp; ROW()))-1&lt;E26,表2_367162629303891213141518[[#This Row],[累计净值]]/MAX(INDIRECT("B21:B" &amp; ROW()))-1,E26)</f>
        <v>-1.20593692022265E-2</v>
      </c>
      <c r="F27" s="110">
        <f>表2_367162629303891213141518[[#This Row],[累计净值]]-0.12</f>
        <v>0.95699999999999996</v>
      </c>
      <c r="G27" s="20"/>
    </row>
    <row r="28" spans="1:8" x14ac:dyDescent="0.2">
      <c r="A28" s="15">
        <v>43977</v>
      </c>
      <c r="B28" s="112">
        <v>1.083</v>
      </c>
      <c r="C28" s="108">
        <f t="shared" si="0"/>
        <v>6.0000000000000053E-3</v>
      </c>
      <c r="D28" s="109" t="str">
        <f t="shared" si="1"/>
        <v>/</v>
      </c>
      <c r="E28" s="109">
        <f ca="1">IF(表2_367162629303891213141518[[#This Row],[累计净值]]/MAX(INDIRECT("B21:B" &amp; ROW()))-1&lt;E27,表2_367162629303891213141518[[#This Row],[累计净值]]/MAX(INDIRECT("B21:B" &amp; ROW()))-1,E27)</f>
        <v>-1.20593692022265E-2</v>
      </c>
      <c r="F28" s="110">
        <f>表2_367162629303891213141518[[#This Row],[累计净值]]-0.12</f>
        <v>0.96299999999999997</v>
      </c>
      <c r="G28" s="20"/>
    </row>
    <row r="29" spans="1:8" x14ac:dyDescent="0.2">
      <c r="A29" s="15">
        <v>43978</v>
      </c>
      <c r="B29" s="112">
        <v>1.081</v>
      </c>
      <c r="C29" s="108">
        <f t="shared" ref="C29:C34" si="2">IFERROR(B29-B28,0)</f>
        <v>-2.0000000000000018E-3</v>
      </c>
      <c r="D29" s="109">
        <f t="shared" ref="D29:D34" si="3">IF(C29&lt;0,C29,"/")</f>
        <v>-2.0000000000000018E-3</v>
      </c>
      <c r="E29" s="109">
        <f ca="1">IF(表2_367162629303891213141518[[#This Row],[累计净值]]/MAX(INDIRECT("B21:B" &amp; ROW()))-1&lt;E28,表2_367162629303891213141518[[#This Row],[累计净值]]/MAX(INDIRECT("B21:B" &amp; ROW()))-1,E28)</f>
        <v>-1.20593692022265E-2</v>
      </c>
      <c r="F29" s="110">
        <f>表2_367162629303891213141518[[#This Row],[累计净值]]-0.12</f>
        <v>0.96099999999999997</v>
      </c>
      <c r="G29" s="20"/>
    </row>
    <row r="30" spans="1:8" x14ac:dyDescent="0.2">
      <c r="A30" s="15">
        <v>43979</v>
      </c>
      <c r="B30" s="112">
        <v>1.081</v>
      </c>
      <c r="C30" s="108">
        <f t="shared" si="2"/>
        <v>0</v>
      </c>
      <c r="D30" s="109" t="str">
        <f t="shared" si="3"/>
        <v>/</v>
      </c>
      <c r="E30" s="109">
        <f ca="1">IF(表2_367162629303891213141518[[#This Row],[累计净值]]/MAX(INDIRECT("B21:B" &amp; ROW()))-1&lt;E29,表2_367162629303891213141518[[#This Row],[累计净值]]/MAX(INDIRECT("B21:B" &amp; ROW()))-1,E29)</f>
        <v>-1.20593692022265E-2</v>
      </c>
      <c r="F30" s="110">
        <f>表2_367162629303891213141518[[#This Row],[累计净值]]-0.12</f>
        <v>0.96099999999999997</v>
      </c>
      <c r="G30" s="20"/>
    </row>
    <row r="31" spans="1:8" x14ac:dyDescent="0.2">
      <c r="A31" s="15">
        <v>43980</v>
      </c>
      <c r="B31" s="112">
        <v>1.087</v>
      </c>
      <c r="C31" s="108">
        <f t="shared" si="2"/>
        <v>6.0000000000000053E-3</v>
      </c>
      <c r="D31" s="109" t="str">
        <f t="shared" si="3"/>
        <v>/</v>
      </c>
      <c r="E31" s="109">
        <f ca="1">IF(表2_367162629303891213141518[[#This Row],[累计净值]]/MAX(INDIRECT("B21:B" &amp; ROW()))-1&lt;E30,表2_367162629303891213141518[[#This Row],[累计净值]]/MAX(INDIRECT("B21:B" &amp; ROW()))-1,E30)</f>
        <v>-1.20593692022265E-2</v>
      </c>
      <c r="F31" s="110">
        <f>表2_367162629303891213141518[[#This Row],[累计净值]]-0.12</f>
        <v>0.96699999999999997</v>
      </c>
      <c r="G31" s="20"/>
    </row>
    <row r="32" spans="1:8" x14ac:dyDescent="0.2">
      <c r="A32" s="15">
        <v>43983</v>
      </c>
      <c r="B32" s="117">
        <v>1.093</v>
      </c>
      <c r="C32" s="108">
        <f t="shared" si="2"/>
        <v>6.0000000000000053E-3</v>
      </c>
      <c r="D32" s="109" t="str">
        <f t="shared" si="3"/>
        <v>/</v>
      </c>
      <c r="E32" s="109">
        <f ca="1">IF(表2_367162629303891213141518[[#This Row],[累计净值]]/MAX(INDIRECT("B21:B" &amp; ROW()))-1&lt;E31,表2_367162629303891213141518[[#This Row],[累计净值]]/MAX(INDIRECT("B21:B" &amp; ROW()))-1,E31)</f>
        <v>-1.20593692022265E-2</v>
      </c>
      <c r="F32" s="110">
        <f>表2_367162629303891213141518[[#This Row],[累计净值]]-0.12</f>
        <v>0.97299999999999998</v>
      </c>
      <c r="G32" s="118"/>
    </row>
    <row r="33" spans="1:7" x14ac:dyDescent="0.2">
      <c r="A33" s="15">
        <v>43984</v>
      </c>
      <c r="B33" s="112">
        <v>1.087</v>
      </c>
      <c r="C33" s="108">
        <f t="shared" si="2"/>
        <v>-6.0000000000000053E-3</v>
      </c>
      <c r="D33" s="109">
        <f t="shared" si="3"/>
        <v>-6.0000000000000053E-3</v>
      </c>
      <c r="E33" s="109">
        <f ca="1">IF(表2_367162629303891213141518[[#This Row],[累计净值]]/MAX(INDIRECT("B21:B" &amp; ROW()))-1&lt;E32,表2_367162629303891213141518[[#This Row],[累计净值]]/MAX(INDIRECT("B21:B" &amp; ROW()))-1,E32)</f>
        <v>-1.20593692022265E-2</v>
      </c>
      <c r="F33" s="110">
        <f>表2_367162629303891213141518[[#This Row],[累计净值]]-0.12</f>
        <v>0.96699999999999997</v>
      </c>
      <c r="G33" s="14" t="s">
        <v>30</v>
      </c>
    </row>
    <row r="34" spans="1:7" x14ac:dyDescent="0.2">
      <c r="A34" s="15">
        <v>43985</v>
      </c>
      <c r="B34" s="112">
        <v>1.091</v>
      </c>
      <c r="C34" s="108">
        <f t="shared" si="2"/>
        <v>4.0000000000000036E-3</v>
      </c>
      <c r="D34" s="109" t="str">
        <f t="shared" si="3"/>
        <v>/</v>
      </c>
      <c r="E34" s="109">
        <f ca="1">IF(表2_367162629303891213141518[[#This Row],[累计净值]]/MAX(INDIRECT("B21:B" &amp; ROW()))-1&lt;E33,表2_367162629303891213141518[[#This Row],[累计净值]]/MAX(INDIRECT("B21:B" &amp; ROW()))-1,E33)</f>
        <v>-1.20593692022265E-2</v>
      </c>
      <c r="F34" s="110">
        <f>表2_367162629303891213141518[[#This Row],[累计净值]]-0.12</f>
        <v>0.97099999999999997</v>
      </c>
      <c r="G34" s="109">
        <f>IF(表2_367162629303891213141518[[#This Row],[累计净值]]&gt;1.087,0.7*(表2_367162629303891213141518[[#This Row],[累计净值]]-1.087)/1.087,(表2_367162629303891213141518[[#This Row],[累计净值]]-1.087)/1.087)</f>
        <v>2.575896964121437E-3</v>
      </c>
    </row>
    <row r="35" spans="1:7" x14ac:dyDescent="0.2">
      <c r="A35" s="15">
        <v>43986</v>
      </c>
      <c r="B35" s="112">
        <v>1.0940000000000001</v>
      </c>
      <c r="C35" s="108">
        <f t="shared" ref="C35:C40" si="4">IFERROR(B35-B34,0)</f>
        <v>3.0000000000001137E-3</v>
      </c>
      <c r="D35" s="109" t="str">
        <f t="shared" ref="D35:D40" si="5">IF(C35&lt;0,C35,"/")</f>
        <v>/</v>
      </c>
      <c r="E35" s="109">
        <f ca="1">IF(表2_367162629303891213141518[[#This Row],[累计净值]]/MAX(INDIRECT("B21:B" &amp; ROW()))-1&lt;E34,表2_367162629303891213141518[[#This Row],[累计净值]]/MAX(INDIRECT("B21:B" &amp; ROW()))-1,E34)</f>
        <v>-1.20593692022265E-2</v>
      </c>
      <c r="F35" s="110">
        <f>表2_367162629303891213141518[[#This Row],[累计净值]]-0.12</f>
        <v>0.97400000000000009</v>
      </c>
      <c r="G35" s="109">
        <f>IF(表2_367162629303891213141518[[#This Row],[累计净值]]&gt;1.087,0.7*(表2_367162629303891213141518[[#This Row],[累计净值]]-1.087)/1.087,(表2_367162629303891213141518[[#This Row],[累计净值]]-1.087)/1.087)</f>
        <v>4.5078196872125869E-3</v>
      </c>
    </row>
    <row r="36" spans="1:7" x14ac:dyDescent="0.2">
      <c r="A36" s="15">
        <v>43987</v>
      </c>
      <c r="B36" s="112">
        <v>1.0920000000000001</v>
      </c>
      <c r="C36" s="108">
        <f t="shared" si="4"/>
        <v>-2.0000000000000018E-3</v>
      </c>
      <c r="D36" s="109">
        <f t="shared" si="5"/>
        <v>-2.0000000000000018E-3</v>
      </c>
      <c r="E36" s="109">
        <f ca="1">IF(表2_367162629303891213141518[[#This Row],[累计净值]]/MAX(INDIRECT("B21:B" &amp; ROW()))-1&lt;E35,表2_367162629303891213141518[[#This Row],[累计净值]]/MAX(INDIRECT("B21:B" &amp; ROW()))-1,E35)</f>
        <v>-1.20593692022265E-2</v>
      </c>
      <c r="F36" s="110">
        <f>表2_367162629303891213141518[[#This Row],[累计净值]]-0.12</f>
        <v>0.97200000000000009</v>
      </c>
      <c r="G36" s="109">
        <f>IF(表2_367162629303891213141518[[#This Row],[累计净值]]&gt;1.087,0.7*(表2_367162629303891213141518[[#This Row],[累计净值]]-1.087)/1.087,(表2_367162629303891213141518[[#This Row],[累计净值]]-1.087)/1.087)</f>
        <v>3.2198712051518682E-3</v>
      </c>
    </row>
    <row r="37" spans="1:7" x14ac:dyDescent="0.2">
      <c r="A37" s="15">
        <v>43990</v>
      </c>
      <c r="B37" s="112">
        <v>1.0900000000000001</v>
      </c>
      <c r="C37" s="108">
        <f t="shared" si="4"/>
        <v>-2.0000000000000018E-3</v>
      </c>
      <c r="D37" s="109">
        <f t="shared" si="5"/>
        <v>-2.0000000000000018E-3</v>
      </c>
      <c r="E37" s="109">
        <f ca="1">IF(表2_367162629303891213141518[[#This Row],[累计净值]]/MAX(INDIRECT("B21:B" &amp; ROW()))-1&lt;E36,表2_367162629303891213141518[[#This Row],[累计净值]]/MAX(INDIRECT("B21:B" &amp; ROW()))-1,E36)</f>
        <v>-1.20593692022265E-2</v>
      </c>
      <c r="F37" s="110">
        <f>表2_367162629303891213141518[[#This Row],[累计净值]]-0.12</f>
        <v>0.97000000000000008</v>
      </c>
      <c r="G37" s="109">
        <f>IF(表2_367162629303891213141518[[#This Row],[累计净值]]&gt;1.087,0.7*(表2_367162629303891213141518[[#This Row],[累计净值]]-1.087)/1.087,(表2_367162629303891213141518[[#This Row],[累计净值]]-1.087)/1.087)</f>
        <v>1.9319227230911492E-3</v>
      </c>
    </row>
    <row r="38" spans="1:7" x14ac:dyDescent="0.2">
      <c r="A38" s="15">
        <v>43991</v>
      </c>
      <c r="B38" s="112">
        <v>1.0900000000000001</v>
      </c>
      <c r="C38" s="108">
        <f t="shared" si="4"/>
        <v>0</v>
      </c>
      <c r="D38" s="109" t="str">
        <f t="shared" si="5"/>
        <v>/</v>
      </c>
      <c r="E38" s="109">
        <f ca="1">IF(表2_367162629303891213141518[[#This Row],[累计净值]]/MAX(INDIRECT("B21:B" &amp; ROW()))-1&lt;E37,表2_367162629303891213141518[[#This Row],[累计净值]]/MAX(INDIRECT("B21:B" &amp; ROW()))-1,E37)</f>
        <v>-1.20593692022265E-2</v>
      </c>
      <c r="F38" s="110">
        <f>表2_367162629303891213141518[[#This Row],[累计净值]]-0.12</f>
        <v>0.97000000000000008</v>
      </c>
      <c r="G38" s="109">
        <f>IF(表2_367162629303891213141518[[#This Row],[累计净值]]&gt;1.087,0.7*(表2_367162629303891213141518[[#This Row],[累计净值]]-1.087)/1.087,(表2_367162629303891213141518[[#This Row],[累计净值]]-1.087)/1.087)</f>
        <v>1.9319227230911492E-3</v>
      </c>
    </row>
    <row r="39" spans="1:7" x14ac:dyDescent="0.2">
      <c r="A39" s="15">
        <v>43992</v>
      </c>
      <c r="B39" s="112">
        <v>1.093</v>
      </c>
      <c r="C39" s="108">
        <f t="shared" si="4"/>
        <v>2.9999999999998916E-3</v>
      </c>
      <c r="D39" s="109" t="str">
        <f t="shared" si="5"/>
        <v>/</v>
      </c>
      <c r="E39" s="109">
        <f ca="1">IF(表2_367162629303891213141518[[#This Row],[累计净值]]/MAX(INDIRECT("B21:B" &amp; ROW()))-1&lt;E38,表2_367162629303891213141518[[#This Row],[累计净值]]/MAX(INDIRECT("B21:B" &amp; ROW()))-1,E38)</f>
        <v>-1.20593692022265E-2</v>
      </c>
      <c r="F39" s="110">
        <f>表2_367162629303891213141518[[#This Row],[累计净值]]-0.12</f>
        <v>0.97299999999999998</v>
      </c>
      <c r="G39" s="109">
        <f>IF(表2_367162629303891213141518[[#This Row],[累计净值]]&gt;1.087,0.7*(表2_367162629303891213141518[[#This Row],[累计净值]]-1.087)/1.087,(表2_367162629303891213141518[[#This Row],[累计净值]]-1.087)/1.087)</f>
        <v>3.8638454461821558E-3</v>
      </c>
    </row>
    <row r="40" spans="1:7" x14ac:dyDescent="0.2">
      <c r="A40" s="15">
        <v>43993</v>
      </c>
      <c r="B40" s="112">
        <v>1.0940000000000001</v>
      </c>
      <c r="C40" s="108">
        <f t="shared" si="4"/>
        <v>1.0000000000001119E-3</v>
      </c>
      <c r="D40" s="109" t="str">
        <f t="shared" si="5"/>
        <v>/</v>
      </c>
      <c r="E40" s="109">
        <f ca="1">IF(表2_367162629303891213141518[[#This Row],[累计净值]]/MAX(INDIRECT("B21:B" &amp; ROW()))-1&lt;E39,表2_367162629303891213141518[[#This Row],[累计净值]]/MAX(INDIRECT("B21:B" &amp; ROW()))-1,E39)</f>
        <v>-1.20593692022265E-2</v>
      </c>
      <c r="F40" s="110">
        <f>表2_367162629303891213141518[[#This Row],[累计净值]]-0.12</f>
        <v>0.97400000000000009</v>
      </c>
      <c r="G40" s="109">
        <f>IF(表2_367162629303891213141518[[#This Row],[累计净值]]&gt;1.087,0.7*(表2_367162629303891213141518[[#This Row],[累计净值]]-1.087)/1.087,(表2_367162629303891213141518[[#This Row],[累计净值]]-1.087)/1.087)</f>
        <v>4.5078196872125869E-3</v>
      </c>
    </row>
    <row r="41" spans="1:7" x14ac:dyDescent="0.2">
      <c r="A41" s="15">
        <v>43994</v>
      </c>
      <c r="B41" s="112">
        <v>1.095</v>
      </c>
      <c r="C41" s="108">
        <f t="shared" ref="C41:C46" si="6">IFERROR(B41-B40,0)</f>
        <v>9.9999999999988987E-4</v>
      </c>
      <c r="D41" s="109" t="str">
        <f t="shared" ref="D41:D46" si="7">IF(C41&lt;0,C41,"/")</f>
        <v>/</v>
      </c>
      <c r="E41" s="109">
        <f ca="1">IF(表2_367162629303891213141518[[#This Row],[累计净值]]/MAX(INDIRECT("B21:B" &amp; ROW()))-1&lt;E40,表2_367162629303891213141518[[#This Row],[累计净值]]/MAX(INDIRECT("B21:B" &amp; ROW()))-1,E40)</f>
        <v>-1.20593692022265E-2</v>
      </c>
      <c r="F41" s="110">
        <f>表2_367162629303891213141518[[#This Row],[累计净值]]-0.12</f>
        <v>0.97499999999999998</v>
      </c>
      <c r="G41" s="109">
        <f>IF(表2_367162629303891213141518[[#This Row],[累计净值]]&gt;1.087,0.7*(表2_367162629303891213141518[[#This Row],[累计净值]]-1.087)/1.087,(表2_367162629303891213141518[[#This Row],[累计净值]]-1.087)/1.087)</f>
        <v>5.1517939282428741E-3</v>
      </c>
    </row>
    <row r="42" spans="1:7" x14ac:dyDescent="0.2">
      <c r="A42" s="15">
        <v>43997</v>
      </c>
      <c r="B42" s="112">
        <v>1.091</v>
      </c>
      <c r="C42" s="108">
        <f t="shared" si="6"/>
        <v>-4.0000000000000036E-3</v>
      </c>
      <c r="D42" s="109">
        <f t="shared" si="7"/>
        <v>-4.0000000000000036E-3</v>
      </c>
      <c r="E42" s="109">
        <f ca="1">IF(表2_367162629303891213141518[[#This Row],[累计净值]]/MAX(INDIRECT("B21:B" &amp; ROW()))-1&lt;E41,表2_367162629303891213141518[[#This Row],[累计净值]]/MAX(INDIRECT("B21:B" &amp; ROW()))-1,E41)</f>
        <v>-1.20593692022265E-2</v>
      </c>
      <c r="F42" s="110">
        <f>表2_367162629303891213141518[[#This Row],[累计净值]]-0.12</f>
        <v>0.97099999999999997</v>
      </c>
      <c r="G42" s="109">
        <f>IF(表2_367162629303891213141518[[#This Row],[累计净值]]&gt;1.087,0.7*(表2_367162629303891213141518[[#This Row],[累计净值]]-1.087)/1.087,(表2_367162629303891213141518[[#This Row],[累计净值]]-1.087)/1.087)</f>
        <v>2.575896964121437E-3</v>
      </c>
    </row>
    <row r="43" spans="1:7" x14ac:dyDescent="0.2">
      <c r="A43" s="15">
        <v>43998</v>
      </c>
      <c r="B43" s="117">
        <v>1.0980000000000001</v>
      </c>
      <c r="C43" s="108">
        <f t="shared" si="6"/>
        <v>7.0000000000001172E-3</v>
      </c>
      <c r="D43" s="109" t="str">
        <f t="shared" si="7"/>
        <v>/</v>
      </c>
      <c r="E43" s="109">
        <f ca="1">IF(表2_367162629303891213141518[[#This Row],[累计净值]]/MAX(INDIRECT("B21:B" &amp; ROW()))-1&lt;E42,表2_367162629303891213141518[[#This Row],[累计净值]]/MAX(INDIRECT("B21:B" &amp; ROW()))-1,E42)</f>
        <v>-1.20593692022265E-2</v>
      </c>
      <c r="F43" s="110">
        <f>表2_367162629303891213141518[[#This Row],[累计净值]]-0.12</f>
        <v>0.97800000000000009</v>
      </c>
      <c r="G43" s="109">
        <f>IF(表2_367162629303891213141518[[#This Row],[累计净值]]&gt;1.087,0.7*(表2_367162629303891213141518[[#This Row],[累计净值]]-1.087)/1.087,(表2_367162629303891213141518[[#This Row],[累计净值]]-1.087)/1.087)</f>
        <v>7.0837166513340244E-3</v>
      </c>
    </row>
    <row r="44" spans="1:7" x14ac:dyDescent="0.2">
      <c r="A44" s="9">
        <v>43999</v>
      </c>
      <c r="B44" s="190">
        <v>1.0980000000000001</v>
      </c>
      <c r="C44" s="191">
        <f t="shared" si="6"/>
        <v>0</v>
      </c>
      <c r="D44" s="192" t="str">
        <f t="shared" si="7"/>
        <v>/</v>
      </c>
      <c r="E44" s="192">
        <f ca="1">IF(表2_367162629303891213141518[[#This Row],[累计净值]]/MAX(INDIRECT("B21:B" &amp; ROW()))-1&lt;E43,表2_367162629303891213141518[[#This Row],[累计净值]]/MAX(INDIRECT("B21:B" &amp; ROW()))-1,E43)</f>
        <v>-1.20593692022265E-2</v>
      </c>
      <c r="F44" s="193">
        <f>表2_367162629303891213141518[[#This Row],[累计净值]]-0.12</f>
        <v>0.97800000000000009</v>
      </c>
      <c r="G44" s="192">
        <f>IF(表2_367162629303891213141518[[#This Row],[累计净值]]&gt;1.087,0.7*(表2_367162629303891213141518[[#This Row],[累计净值]]-1.087)/1.087,(表2_367162629303891213141518[[#This Row],[累计净值]]-1.087)/1.087)</f>
        <v>7.0837166513340244E-3</v>
      </c>
    </row>
    <row r="45" spans="1:7" x14ac:dyDescent="0.2">
      <c r="A45" s="15">
        <v>44000</v>
      </c>
      <c r="B45" s="112">
        <v>1.095</v>
      </c>
      <c r="C45" s="108">
        <f t="shared" si="6"/>
        <v>-3.0000000000001137E-3</v>
      </c>
      <c r="D45" s="109">
        <f t="shared" si="7"/>
        <v>-3.0000000000001137E-3</v>
      </c>
      <c r="E45" s="109">
        <f ca="1">IF(表2_367162629303891213141518[[#This Row],[累计净值]]/MAX(INDIRECT("B21:B" &amp; ROW()))-1&lt;E44,表2_367162629303891213141518[[#This Row],[累计净值]]/MAX(INDIRECT("B21:B" &amp; ROW()))-1,E44)</f>
        <v>-1.20593692022265E-2</v>
      </c>
      <c r="F45" s="110">
        <f>表2_367162629303891213141518[[#This Row],[累计净值]]-0.12</f>
        <v>0.97499999999999998</v>
      </c>
      <c r="G45" s="109">
        <f>IF(表2_367162629303891213141518[[#This Row],[累计净值]]&gt;1.087,0.7*(表2_367162629303891213141518[[#This Row],[累计净值]]-1.087)/1.087,(表2_367162629303891213141518[[#This Row],[累计净值]]-1.087)/1.087)</f>
        <v>5.1517939282428741E-3</v>
      </c>
    </row>
    <row r="46" spans="1:7" x14ac:dyDescent="0.2">
      <c r="A46" s="15">
        <v>44001</v>
      </c>
      <c r="B46" s="112">
        <v>1.089</v>
      </c>
      <c r="C46" s="108">
        <f t="shared" si="6"/>
        <v>-6.0000000000000053E-3</v>
      </c>
      <c r="D46" s="109">
        <f t="shared" si="7"/>
        <v>-6.0000000000000053E-3</v>
      </c>
      <c r="E46" s="109">
        <f ca="1">IF(表2_367162629303891213141518[[#This Row],[累计净值]]/MAX(INDIRECT("B21:B" &amp; ROW()))-1&lt;E45,表2_367162629303891213141518[[#This Row],[累计净值]]/MAX(INDIRECT("B21:B" &amp; ROW()))-1,E45)</f>
        <v>-1.20593692022265E-2</v>
      </c>
      <c r="F46" s="110">
        <f>表2_367162629303891213141518[[#This Row],[累计净值]]-0.12</f>
        <v>0.96899999999999997</v>
      </c>
      <c r="G46" s="109">
        <f>IF(表2_367162629303891213141518[[#This Row],[累计净值]]&gt;1.087,0.7*(表2_367162629303891213141518[[#This Row],[累计净值]]-1.087)/1.087,(表2_367162629303891213141518[[#This Row],[累计净值]]-1.087)/1.087)</f>
        <v>1.2879484820607185E-3</v>
      </c>
    </row>
    <row r="47" spans="1:7" x14ac:dyDescent="0.2">
      <c r="A47" s="15">
        <v>44004</v>
      </c>
      <c r="B47" s="112">
        <v>1.0860000000000001</v>
      </c>
      <c r="C47" s="108">
        <f t="shared" ref="C47:C52" si="8">IFERROR(B47-B46,0)</f>
        <v>-2.9999999999998916E-3</v>
      </c>
      <c r="D47" s="109">
        <f t="shared" ref="D47:D52" si="9">IF(C47&lt;0,C47,"/")</f>
        <v>-2.9999999999998916E-3</v>
      </c>
      <c r="E47" s="109">
        <f ca="1">IF(表2_367162629303891213141518[[#This Row],[累计净值]]/MAX(INDIRECT("B21:B" &amp; ROW()))-1&lt;E46,表2_367162629303891213141518[[#This Row],[累计净值]]/MAX(INDIRECT("B21:B" &amp; ROW()))-1,E46)</f>
        <v>-1.20593692022265E-2</v>
      </c>
      <c r="F47" s="110">
        <f>表2_367162629303891213141518[[#This Row],[累计净值]]-0.12</f>
        <v>0.96600000000000008</v>
      </c>
      <c r="G47" s="109">
        <f>IF(表2_367162629303891213141518[[#This Row],[累计净值]]&gt;1.087,0.7*(表2_367162629303891213141518[[#This Row],[累计净值]]-1.087)/1.087,(表2_367162629303891213141518[[#This Row],[累计净值]]-1.087)/1.087)</f>
        <v>-9.1996320147183985E-4</v>
      </c>
    </row>
    <row r="48" spans="1:7" x14ac:dyDescent="0.2">
      <c r="A48" s="15">
        <v>44005</v>
      </c>
      <c r="B48" s="112">
        <v>1.097</v>
      </c>
      <c r="C48" s="108">
        <f t="shared" si="8"/>
        <v>1.0999999999999899E-2</v>
      </c>
      <c r="D48" s="109" t="str">
        <f t="shared" si="9"/>
        <v>/</v>
      </c>
      <c r="E48" s="109">
        <f ca="1">IF(表2_367162629303891213141518[[#This Row],[累计净值]]/MAX(INDIRECT("B21:B" &amp; ROW()))-1&lt;E47,表2_367162629303891213141518[[#This Row],[累计净值]]/MAX(INDIRECT("B21:B" &amp; ROW()))-1,E47)</f>
        <v>-1.20593692022265E-2</v>
      </c>
      <c r="F48" s="110">
        <f>表2_367162629303891213141518[[#This Row],[累计净值]]-0.12</f>
        <v>0.97699999999999998</v>
      </c>
      <c r="G48" s="109">
        <f>IF(表2_367162629303891213141518[[#This Row],[累计净值]]&gt;1.087,0.7*(表2_367162629303891213141518[[#This Row],[累计净值]]-1.087)/1.087,(表2_367162629303891213141518[[#This Row],[累计净值]]-1.087)/1.087)</f>
        <v>6.4397424103035932E-3</v>
      </c>
    </row>
    <row r="49" spans="1:7" x14ac:dyDescent="0.2">
      <c r="A49" s="15">
        <v>44006</v>
      </c>
      <c r="B49" s="112">
        <v>1.093</v>
      </c>
      <c r="C49" s="108">
        <f t="shared" si="8"/>
        <v>-4.0000000000000036E-3</v>
      </c>
      <c r="D49" s="109">
        <f t="shared" si="9"/>
        <v>-4.0000000000000036E-3</v>
      </c>
      <c r="E49" s="109">
        <f ca="1">IF(表2_367162629303891213141518[[#This Row],[累计净值]]/MAX(INDIRECT("B21:B" &amp; ROW()))-1&lt;E48,表2_367162629303891213141518[[#This Row],[累计净值]]/MAX(INDIRECT("B21:B" &amp; ROW()))-1,E48)</f>
        <v>-1.20593692022265E-2</v>
      </c>
      <c r="F49" s="110">
        <f>表2_367162629303891213141518[[#This Row],[累计净值]]-0.12</f>
        <v>0.97299999999999998</v>
      </c>
      <c r="G49" s="109">
        <f>IF(表2_367162629303891213141518[[#This Row],[累计净值]]&gt;1.087,0.7*(表2_367162629303891213141518[[#This Row],[累计净值]]-1.087)/1.087,(表2_367162629303891213141518[[#This Row],[累计净值]]-1.087)/1.087)</f>
        <v>3.8638454461821558E-3</v>
      </c>
    </row>
    <row r="50" spans="1:7" x14ac:dyDescent="0.2">
      <c r="A50" s="15">
        <v>44011</v>
      </c>
      <c r="B50" s="112">
        <v>1.0940000000000001</v>
      </c>
      <c r="C50" s="108">
        <f t="shared" si="8"/>
        <v>1.0000000000001119E-3</v>
      </c>
      <c r="D50" s="109" t="str">
        <f t="shared" si="9"/>
        <v>/</v>
      </c>
      <c r="E50" s="109">
        <f ca="1">IF(表2_367162629303891213141518[[#This Row],[累计净值]]/MAX(INDIRECT("B21:B" &amp; ROW()))-1&lt;E49,表2_367162629303891213141518[[#This Row],[累计净值]]/MAX(INDIRECT("B21:B" &amp; ROW()))-1,E49)</f>
        <v>-1.20593692022265E-2</v>
      </c>
      <c r="F50" s="110">
        <f>表2_367162629303891213141518[[#This Row],[累计净值]]-0.12</f>
        <v>0.97400000000000009</v>
      </c>
      <c r="G50" s="109">
        <f>IF(表2_367162629303891213141518[[#This Row],[累计净值]]&gt;1.087,0.7*(表2_367162629303891213141518[[#This Row],[累计净值]]-1.087)/1.087,(表2_367162629303891213141518[[#This Row],[累计净值]]-1.087)/1.087)</f>
        <v>4.5078196872125869E-3</v>
      </c>
    </row>
    <row r="51" spans="1:7" x14ac:dyDescent="0.2">
      <c r="A51" s="15">
        <v>44012</v>
      </c>
      <c r="B51" s="112">
        <v>1.095</v>
      </c>
      <c r="C51" s="108">
        <f t="shared" si="8"/>
        <v>9.9999999999988987E-4</v>
      </c>
      <c r="D51" s="109" t="str">
        <f t="shared" si="9"/>
        <v>/</v>
      </c>
      <c r="E51" s="109">
        <f ca="1">IF(表2_367162629303891213141518[[#This Row],[累计净值]]/MAX(INDIRECT("B21:B" &amp; ROW()))-1&lt;E50,表2_367162629303891213141518[[#This Row],[累计净值]]/MAX(INDIRECT("B21:B" &amp; ROW()))-1,E50)</f>
        <v>-1.20593692022265E-2</v>
      </c>
      <c r="F51" s="110">
        <f>表2_367162629303891213141518[[#This Row],[累计净值]]-0.12</f>
        <v>0.97499999999999998</v>
      </c>
      <c r="G51" s="109">
        <f>IF(表2_367162629303891213141518[[#This Row],[累计净值]]&gt;1.087,0.7*(表2_367162629303891213141518[[#This Row],[累计净值]]-1.087)/1.087,(表2_367162629303891213141518[[#This Row],[累计净值]]-1.087)/1.087)</f>
        <v>5.1517939282428741E-3</v>
      </c>
    </row>
    <row r="52" spans="1:7" x14ac:dyDescent="0.2">
      <c r="A52" s="15">
        <v>44013</v>
      </c>
      <c r="B52" s="112">
        <v>1.0920000000000001</v>
      </c>
      <c r="C52" s="108">
        <f t="shared" si="8"/>
        <v>-2.9999999999998916E-3</v>
      </c>
      <c r="D52" s="109">
        <f t="shared" si="9"/>
        <v>-2.9999999999998916E-3</v>
      </c>
      <c r="E52" s="109">
        <f ca="1">IF(表2_367162629303891213141518[[#This Row],[累计净值]]/MAX(INDIRECT("B21:B" &amp; ROW()))-1&lt;E51,表2_367162629303891213141518[[#This Row],[累计净值]]/MAX(INDIRECT("B21:B" &amp; ROW()))-1,E51)</f>
        <v>-1.20593692022265E-2</v>
      </c>
      <c r="F52" s="110">
        <f>表2_367162629303891213141518[[#This Row],[累计净值]]-0.12</f>
        <v>0.97200000000000009</v>
      </c>
      <c r="G52" s="109">
        <f>IF(表2_367162629303891213141518[[#This Row],[累计净值]]&gt;1.087,0.7*(表2_367162629303891213141518[[#This Row],[累计净值]]-1.087)/1.087,(表2_367162629303891213141518[[#This Row],[累计净值]]-1.087)/1.087)</f>
        <v>3.2198712051518682E-3</v>
      </c>
    </row>
    <row r="53" spans="1:7" x14ac:dyDescent="0.2">
      <c r="A53" s="15">
        <v>44014</v>
      </c>
      <c r="B53" s="112">
        <v>1.089</v>
      </c>
      <c r="C53" s="108">
        <f>IFERROR(B53-B52,0)</f>
        <v>-3.0000000000001137E-3</v>
      </c>
      <c r="D53" s="109">
        <f>IF(C53&lt;0,C53,"/")</f>
        <v>-3.0000000000001137E-3</v>
      </c>
      <c r="E53" s="109">
        <f ca="1">IF(表2_367162629303891213141518[[#This Row],[累计净值]]/MAX(INDIRECT("B21:B" &amp; ROW()))-1&lt;E52,表2_367162629303891213141518[[#This Row],[累计净值]]/MAX(INDIRECT("B21:B" &amp; ROW()))-1,E52)</f>
        <v>-1.20593692022265E-2</v>
      </c>
      <c r="F53" s="110">
        <f>表2_367162629303891213141518[[#This Row],[累计净值]]-0.12</f>
        <v>0.96899999999999997</v>
      </c>
      <c r="G53" s="109">
        <f>IF(表2_367162629303891213141518[[#This Row],[累计净值]]&gt;1.087,0.7*(表2_367162629303891213141518[[#This Row],[累计净值]]-1.087)/1.087,(表2_367162629303891213141518[[#This Row],[累计净值]]-1.087)/1.087)</f>
        <v>1.2879484820607185E-3</v>
      </c>
    </row>
    <row r="54" spans="1:7" x14ac:dyDescent="0.2">
      <c r="A54" s="15">
        <v>44015</v>
      </c>
      <c r="B54" s="112">
        <v>1.0920000000000001</v>
      </c>
      <c r="C54" s="108">
        <f>IFERROR(B54-B53,0)</f>
        <v>3.0000000000001137E-3</v>
      </c>
      <c r="D54" s="109" t="str">
        <f>IF(C54&lt;0,C54,"/")</f>
        <v>/</v>
      </c>
      <c r="E54" s="109">
        <f ca="1">IF(表2_367162629303891213141518[[#This Row],[累计净值]]/MAX(INDIRECT("B21:B" &amp; ROW()))-1&lt;E53,表2_367162629303891213141518[[#This Row],[累计净值]]/MAX(INDIRECT("B21:B" &amp; ROW()))-1,E53)</f>
        <v>-1.20593692022265E-2</v>
      </c>
      <c r="F54" s="110">
        <f>表2_367162629303891213141518[[#This Row],[累计净值]]-0.12</f>
        <v>0.97200000000000009</v>
      </c>
      <c r="G54" s="109">
        <f>IF(表2_367162629303891213141518[[#This Row],[累计净值]]&gt;1.087,0.7*(表2_367162629303891213141518[[#This Row],[累计净值]]-1.087)/1.087,(表2_367162629303891213141518[[#This Row],[累计净值]]-1.087)/1.087)</f>
        <v>3.2198712051518682E-3</v>
      </c>
    </row>
    <row r="55" spans="1:7" x14ac:dyDescent="0.2">
      <c r="A55" s="15">
        <v>44018</v>
      </c>
      <c r="B55" s="112">
        <v>1.0760000000000001</v>
      </c>
      <c r="C55" s="108">
        <f t="shared" ref="C55:C60" si="10">IFERROR(B55-B54,0)</f>
        <v>-1.6000000000000014E-2</v>
      </c>
      <c r="D55" s="109">
        <f t="shared" ref="D55:D60" si="11">IF(C55&lt;0,C55,"/")</f>
        <v>-1.6000000000000014E-2</v>
      </c>
      <c r="E55" s="109">
        <f ca="1">IF(表2_367162629303891213141518[[#This Row],[累计净值]]/MAX(INDIRECT("B21:B" &amp; ROW()))-1&lt;E54,表2_367162629303891213141518[[#This Row],[累计净值]]/MAX(INDIRECT("B21:B" &amp; ROW()))-1,E54)</f>
        <v>-2.0036429872495432E-2</v>
      </c>
      <c r="F55" s="110">
        <f>表2_367162629303891213141518[[#This Row],[累计净值]]-0.12</f>
        <v>0.95600000000000007</v>
      </c>
      <c r="G55" s="109">
        <f>IF(表2_367162629303891213141518[[#This Row],[累计净值]]&gt;1.087,0.7*(表2_367162629303891213141518[[#This Row],[累计净值]]-1.087)/1.087,(表2_367162629303891213141518[[#This Row],[累计净值]]-1.087)/1.087)</f>
        <v>-1.011959521619126E-2</v>
      </c>
    </row>
    <row r="56" spans="1:7" x14ac:dyDescent="0.2">
      <c r="A56" s="15">
        <v>44019</v>
      </c>
      <c r="B56" s="112">
        <v>1.073</v>
      </c>
      <c r="C56" s="108">
        <f t="shared" si="10"/>
        <v>-3.0000000000001137E-3</v>
      </c>
      <c r="D56" s="109">
        <f t="shared" si="11"/>
        <v>-3.0000000000001137E-3</v>
      </c>
      <c r="E56" s="109">
        <f ca="1">IF(表2_367162629303891213141518[[#This Row],[累计净值]]/MAX(INDIRECT("B21:B" &amp; ROW()))-1&lt;E55,表2_367162629303891213141518[[#This Row],[累计净值]]/MAX(INDIRECT("B21:B" &amp; ROW()))-1,E55)</f>
        <v>-2.2768670309654016E-2</v>
      </c>
      <c r="F56" s="110">
        <f>表2_367162629303891213141518[[#This Row],[累计净值]]-0.12</f>
        <v>0.95299999999999996</v>
      </c>
      <c r="G56" s="109">
        <f>IF(表2_367162629303891213141518[[#This Row],[累计净值]]&gt;1.087,0.7*(表2_367162629303891213141518[[#This Row],[累计净值]]-1.087)/1.087,(表2_367162629303891213141518[[#This Row],[累计净值]]-1.087)/1.087)</f>
        <v>-1.2879484820607188E-2</v>
      </c>
    </row>
    <row r="57" spans="1:7" x14ac:dyDescent="0.2">
      <c r="A57" s="15">
        <v>44020</v>
      </c>
      <c r="B57" s="112">
        <v>1.0860000000000001</v>
      </c>
      <c r="C57" s="108">
        <f t="shared" si="10"/>
        <v>1.3000000000000123E-2</v>
      </c>
      <c r="D57" s="109" t="str">
        <f t="shared" si="11"/>
        <v>/</v>
      </c>
      <c r="E57" s="109">
        <f ca="1">IF(表2_367162629303891213141518[[#This Row],[累计净值]]/MAX(INDIRECT("B21:B" &amp; ROW()))-1&lt;E56,表2_367162629303891213141518[[#This Row],[累计净值]]/MAX(INDIRECT("B21:B" &amp; ROW()))-1,E56)</f>
        <v>-2.2768670309654016E-2</v>
      </c>
      <c r="F57" s="110">
        <f>表2_367162629303891213141518[[#This Row],[累计净值]]-0.12</f>
        <v>0.96600000000000008</v>
      </c>
      <c r="G57" s="109">
        <f>IF(表2_367162629303891213141518[[#This Row],[累计净值]]&gt;1.087,0.7*(表2_367162629303891213141518[[#This Row],[累计净值]]-1.087)/1.087,(表2_367162629303891213141518[[#This Row],[累计净值]]-1.087)/1.087)</f>
        <v>-9.1996320147183985E-4</v>
      </c>
    </row>
    <row r="58" spans="1:7" x14ac:dyDescent="0.2">
      <c r="A58" s="15">
        <v>44021</v>
      </c>
      <c r="B58" s="112">
        <v>1.093</v>
      </c>
      <c r="C58" s="108">
        <f t="shared" si="10"/>
        <v>6.9999999999998952E-3</v>
      </c>
      <c r="D58" s="109" t="str">
        <f t="shared" si="11"/>
        <v>/</v>
      </c>
      <c r="E58" s="109">
        <f ca="1">IF(表2_367162629303891213141518[[#This Row],[累计净值]]/MAX(INDIRECT("B21:B" &amp; ROW()))-1&lt;E57,表2_367162629303891213141518[[#This Row],[累计净值]]/MAX(INDIRECT("B21:B" &amp; ROW()))-1,E57)</f>
        <v>-2.2768670309654016E-2</v>
      </c>
      <c r="F58" s="110">
        <f>表2_367162629303891213141518[[#This Row],[累计净值]]-0.12</f>
        <v>0.97299999999999998</v>
      </c>
      <c r="G58" s="109">
        <f>IF(表2_367162629303891213141518[[#This Row],[累计净值]]&gt;1.087,0.7*(表2_367162629303891213141518[[#This Row],[累计净值]]-1.087)/1.087,(表2_367162629303891213141518[[#This Row],[累计净值]]-1.087)/1.087)</f>
        <v>3.8638454461821558E-3</v>
      </c>
    </row>
    <row r="59" spans="1:7" x14ac:dyDescent="0.2">
      <c r="A59" s="15">
        <v>44022</v>
      </c>
      <c r="B59" s="112">
        <v>1.087</v>
      </c>
      <c r="C59" s="108">
        <f t="shared" si="10"/>
        <v>-6.0000000000000053E-3</v>
      </c>
      <c r="D59" s="109">
        <f t="shared" si="11"/>
        <v>-6.0000000000000053E-3</v>
      </c>
      <c r="E59" s="109">
        <f ca="1">IF(表2_367162629303891213141518[[#This Row],[累计净值]]/MAX(INDIRECT("B21:B" &amp; ROW()))-1&lt;E58,表2_367162629303891213141518[[#This Row],[累计净值]]/MAX(INDIRECT("B21:B" &amp; ROW()))-1,E58)</f>
        <v>-2.2768670309654016E-2</v>
      </c>
      <c r="F59" s="110">
        <f>表2_367162629303891213141518[[#This Row],[累计净值]]-0.12</f>
        <v>0.96699999999999997</v>
      </c>
      <c r="G59" s="109">
        <f>IF(表2_367162629303891213141518[[#This Row],[累计净值]]&gt;1.087,0.7*(表2_367162629303891213141518[[#This Row],[累计净值]]-1.087)/1.087,(表2_367162629303891213141518[[#This Row],[累计净值]]-1.087)/1.087)</f>
        <v>0</v>
      </c>
    </row>
    <row r="60" spans="1:7" x14ac:dyDescent="0.2">
      <c r="A60" s="15">
        <v>44025</v>
      </c>
      <c r="B60" s="112">
        <v>1.0880000000000001</v>
      </c>
      <c r="C60" s="108">
        <f t="shared" si="10"/>
        <v>1.0000000000001119E-3</v>
      </c>
      <c r="D60" s="109" t="str">
        <f t="shared" si="11"/>
        <v>/</v>
      </c>
      <c r="E60" s="109">
        <f ca="1">IF(表2_367162629303891213141518[[#This Row],[累计净值]]/MAX(INDIRECT("B21:B" &amp; ROW()))-1&lt;E59,表2_367162629303891213141518[[#This Row],[累计净值]]/MAX(INDIRECT("B21:B" &amp; ROW()))-1,E59)</f>
        <v>-2.2768670309654016E-2</v>
      </c>
      <c r="F60" s="110">
        <f>表2_367162629303891213141518[[#This Row],[累计净值]]-0.12</f>
        <v>0.96800000000000008</v>
      </c>
      <c r="G60" s="109">
        <f>IF(表2_367162629303891213141518[[#This Row],[累计净值]]&gt;1.087,0.7*(表2_367162629303891213141518[[#This Row],[累计净值]]-1.087)/1.087,(表2_367162629303891213141518[[#This Row],[累计净值]]-1.087)/1.087)</f>
        <v>6.4397424103043081E-4</v>
      </c>
    </row>
    <row r="61" spans="1:7" x14ac:dyDescent="0.2">
      <c r="A61" s="15">
        <v>44026</v>
      </c>
      <c r="B61" s="112">
        <v>1.0860000000000001</v>
      </c>
      <c r="C61" s="108">
        <f t="shared" ref="C61:C67" si="12">IFERROR(B61-B60,0)</f>
        <v>-2.0000000000000018E-3</v>
      </c>
      <c r="D61" s="109">
        <f t="shared" ref="D61:D67" si="13">IF(C61&lt;0,C61,"/")</f>
        <v>-2.0000000000000018E-3</v>
      </c>
      <c r="E61" s="109">
        <f ca="1">IF(表2_367162629303891213141518[[#This Row],[累计净值]]/MAX(INDIRECT("B21:B" &amp; ROW()))-1&lt;E60,表2_367162629303891213141518[[#This Row],[累计净值]]/MAX(INDIRECT("B21:B" &amp; ROW()))-1,E60)</f>
        <v>-2.2768670309654016E-2</v>
      </c>
      <c r="F61" s="110">
        <f>表2_367162629303891213141518[[#This Row],[累计净值]]-0.12</f>
        <v>0.96600000000000008</v>
      </c>
      <c r="G61" s="109">
        <f>IF(表2_367162629303891213141518[[#This Row],[累计净值]]&gt;1.087,0.7*(表2_367162629303891213141518[[#This Row],[累计净值]]-1.087)/1.087,(表2_367162629303891213141518[[#This Row],[累计净值]]-1.087)/1.087)</f>
        <v>-9.1996320147183985E-4</v>
      </c>
    </row>
    <row r="62" spans="1:7" x14ac:dyDescent="0.2">
      <c r="A62" s="15">
        <v>44027</v>
      </c>
      <c r="B62" s="112">
        <v>1.093</v>
      </c>
      <c r="C62" s="108">
        <f t="shared" si="12"/>
        <v>6.9999999999998952E-3</v>
      </c>
      <c r="D62" s="109" t="str">
        <f t="shared" si="13"/>
        <v>/</v>
      </c>
      <c r="E62" s="109">
        <f ca="1">IF(表2_367162629303891213141518[[#This Row],[累计净值]]/MAX(INDIRECT("B21:B" &amp; ROW()))-1&lt;E61,表2_367162629303891213141518[[#This Row],[累计净值]]/MAX(INDIRECT("B21:B" &amp; ROW()))-1,E61)</f>
        <v>-2.2768670309654016E-2</v>
      </c>
      <c r="F62" s="110">
        <f>表2_367162629303891213141518[[#This Row],[累计净值]]-0.12</f>
        <v>0.97299999999999998</v>
      </c>
      <c r="G62" s="109">
        <f>IF(表2_367162629303891213141518[[#This Row],[累计净值]]&gt;1.087,0.7*(表2_367162629303891213141518[[#This Row],[累计净值]]-1.087)/1.087,(表2_367162629303891213141518[[#This Row],[累计净值]]-1.087)/1.087)</f>
        <v>3.8638454461821558E-3</v>
      </c>
    </row>
    <row r="63" spans="1:7" x14ac:dyDescent="0.2">
      <c r="A63" s="15">
        <v>44028</v>
      </c>
      <c r="B63" s="112">
        <v>1.0900000000000001</v>
      </c>
      <c r="C63" s="108">
        <f t="shared" si="12"/>
        <v>-2.9999999999998916E-3</v>
      </c>
      <c r="D63" s="109">
        <f t="shared" si="13"/>
        <v>-2.9999999999998916E-3</v>
      </c>
      <c r="E63" s="109">
        <f ca="1">IF(表2_367162629303891213141518[[#This Row],[累计净值]]/MAX(INDIRECT("B21:B" &amp; ROW()))-1&lt;E62,表2_367162629303891213141518[[#This Row],[累计净值]]/MAX(INDIRECT("B21:B" &amp; ROW()))-1,E62)</f>
        <v>-2.2768670309654016E-2</v>
      </c>
      <c r="F63" s="110">
        <f>表2_367162629303891213141518[[#This Row],[累计净值]]-0.12</f>
        <v>0.97000000000000008</v>
      </c>
      <c r="G63" s="109">
        <f>IF(表2_367162629303891213141518[[#This Row],[累计净值]]&gt;1.087,0.7*(表2_367162629303891213141518[[#This Row],[累计净值]]-1.087)/1.087,(表2_367162629303891213141518[[#This Row],[累计净值]]-1.087)/1.087)</f>
        <v>1.9319227230911492E-3</v>
      </c>
    </row>
    <row r="64" spans="1:7" x14ac:dyDescent="0.2">
      <c r="A64" s="15">
        <v>44029</v>
      </c>
      <c r="B64" s="112">
        <v>1.1000000000000001</v>
      </c>
      <c r="C64" s="108">
        <f t="shared" si="12"/>
        <v>1.0000000000000009E-2</v>
      </c>
      <c r="D64" s="109" t="str">
        <f t="shared" si="13"/>
        <v>/</v>
      </c>
      <c r="E64" s="109">
        <f ca="1">IF(表2_367162629303891213141518[[#This Row],[累计净值]]/MAX(INDIRECT("B21:B" &amp; ROW()))-1&lt;E63,表2_367162629303891213141518[[#This Row],[累计净值]]/MAX(INDIRECT("B21:B" &amp; ROW()))-1,E63)</f>
        <v>-2.2768670309654016E-2</v>
      </c>
      <c r="F64" s="110">
        <f>表2_367162629303891213141518[[#This Row],[累计净值]]-0.12</f>
        <v>0.98000000000000009</v>
      </c>
      <c r="G64" s="109">
        <f>IF(表2_367162629303891213141518[[#This Row],[累计净值]]&gt;1.087,0.7*(表2_367162629303891213141518[[#This Row],[累计净值]]-1.087)/1.087,(表2_367162629303891213141518[[#This Row],[累计净值]]-1.087)/1.087)</f>
        <v>8.3716651333947435E-3</v>
      </c>
    </row>
    <row r="65" spans="1:7" x14ac:dyDescent="0.2">
      <c r="A65" s="15">
        <v>44032</v>
      </c>
      <c r="B65" s="112">
        <v>1.1000000000000001</v>
      </c>
      <c r="C65" s="108">
        <f t="shared" si="12"/>
        <v>0</v>
      </c>
      <c r="D65" s="109" t="str">
        <f t="shared" si="13"/>
        <v>/</v>
      </c>
      <c r="E65" s="109">
        <f ca="1">IF(表2_367162629303891213141518[[#This Row],[累计净值]]/MAX(INDIRECT("B21:B" &amp; ROW()))-1&lt;E64,表2_367162629303891213141518[[#This Row],[累计净值]]/MAX(INDIRECT("B21:B" &amp; ROW()))-1,E64)</f>
        <v>-2.2768670309654016E-2</v>
      </c>
      <c r="F65" s="110">
        <f>表2_367162629303891213141518[[#This Row],[累计净值]]-0.12</f>
        <v>0.98000000000000009</v>
      </c>
      <c r="G65" s="109">
        <f>IF(表2_367162629303891213141518[[#This Row],[累计净值]]&gt;1.087,0.7*(表2_367162629303891213141518[[#This Row],[累计净值]]-1.087)/1.087,(表2_367162629303891213141518[[#This Row],[累计净值]]-1.087)/1.087)</f>
        <v>8.3716651333947435E-3</v>
      </c>
    </row>
    <row r="66" spans="1:7" x14ac:dyDescent="0.2">
      <c r="A66" s="15">
        <v>44033</v>
      </c>
      <c r="B66" s="112">
        <v>1.1040000000000001</v>
      </c>
      <c r="C66" s="108">
        <f t="shared" si="12"/>
        <v>4.0000000000000036E-3</v>
      </c>
      <c r="D66" s="109" t="str">
        <f t="shared" si="13"/>
        <v>/</v>
      </c>
      <c r="E66" s="109">
        <f ca="1">IF(表2_367162629303891213141518[[#This Row],[累计净值]]/MAX(INDIRECT("B21:B" &amp; ROW()))-1&lt;E65,表2_367162629303891213141518[[#This Row],[累计净值]]/MAX(INDIRECT("B21:B" &amp; ROW()))-1,E65)</f>
        <v>-2.2768670309654016E-2</v>
      </c>
      <c r="F66" s="110">
        <f>表2_367162629303891213141518[[#This Row],[累计净值]]-0.12</f>
        <v>0.9840000000000001</v>
      </c>
      <c r="G66" s="109">
        <f>IF(表2_367162629303891213141518[[#This Row],[累计净值]]&gt;1.087,0.7*(表2_367162629303891213141518[[#This Row],[累计净值]]-1.087)/1.087,(表2_367162629303891213141518[[#This Row],[累计净值]]-1.087)/1.087)</f>
        <v>1.094756209751618E-2</v>
      </c>
    </row>
    <row r="67" spans="1:7" x14ac:dyDescent="0.2">
      <c r="A67" s="15">
        <v>44034</v>
      </c>
      <c r="B67" s="112">
        <v>1.0980000000000001</v>
      </c>
      <c r="C67" s="108">
        <f t="shared" si="12"/>
        <v>-6.0000000000000053E-3</v>
      </c>
      <c r="D67" s="109">
        <f t="shared" si="13"/>
        <v>-6.0000000000000053E-3</v>
      </c>
      <c r="E67" s="109">
        <f ca="1">IF(表2_367162629303891213141518[[#This Row],[累计净值]]/MAX(INDIRECT("B21:B" &amp; ROW()))-1&lt;E66,表2_367162629303891213141518[[#This Row],[累计净值]]/MAX(INDIRECT("B21:B" &amp; ROW()))-1,E66)</f>
        <v>-2.2768670309654016E-2</v>
      </c>
      <c r="F67" s="110">
        <f>表2_367162629303891213141518[[#This Row],[累计净值]]-0.12</f>
        <v>0.97800000000000009</v>
      </c>
      <c r="G67" s="109">
        <f>IF(表2_367162629303891213141518[[#This Row],[累计净值]]&gt;1.087,0.7*(表2_367162629303891213141518[[#This Row],[累计净值]]-1.087)/1.087,(表2_367162629303891213141518[[#This Row],[累计净值]]-1.087)/1.087)</f>
        <v>7.0837166513340244E-3</v>
      </c>
    </row>
    <row r="68" spans="1:7" x14ac:dyDescent="0.2">
      <c r="A68" s="15">
        <v>44035</v>
      </c>
      <c r="B68" s="112">
        <v>1.1040000000000001</v>
      </c>
      <c r="C68" s="108">
        <f>IFERROR(B68-B67,0)</f>
        <v>6.0000000000000053E-3</v>
      </c>
      <c r="D68" s="109" t="str">
        <f>IF(C68&lt;0,C68,"/")</f>
        <v>/</v>
      </c>
      <c r="E68" s="109">
        <f ca="1">IF(表2_367162629303891213141518[[#This Row],[累计净值]]/MAX(INDIRECT("B21:B" &amp; ROW()))-1&lt;E67,表2_367162629303891213141518[[#This Row],[累计净值]]/MAX(INDIRECT("B21:B" &amp; ROW()))-1,E67)</f>
        <v>-2.2768670309654016E-2</v>
      </c>
      <c r="F68" s="110">
        <f>表2_367162629303891213141518[[#This Row],[累计净值]]-0.12</f>
        <v>0.9840000000000001</v>
      </c>
      <c r="G68" s="109">
        <f>IF(表2_367162629303891213141518[[#This Row],[累计净值]]&gt;1.087,0.7*(表2_367162629303891213141518[[#This Row],[累计净值]]-1.087)/1.087,(表2_367162629303891213141518[[#This Row],[累计净值]]-1.087)/1.087)</f>
        <v>1.094756209751618E-2</v>
      </c>
    </row>
    <row r="69" spans="1:7" x14ac:dyDescent="0.2">
      <c r="A69" s="15">
        <v>44036</v>
      </c>
      <c r="B69" s="112">
        <v>1.1040000000000001</v>
      </c>
      <c r="C69" s="108">
        <f>IFERROR(B69-B68,0)</f>
        <v>0</v>
      </c>
      <c r="D69" s="109" t="str">
        <f>IF(C69&lt;0,C69,"/")</f>
        <v>/</v>
      </c>
      <c r="E69" s="109">
        <f ca="1">IF(表2_367162629303891213141518[[#This Row],[累计净值]]/MAX(INDIRECT("B21:B" &amp; ROW()))-1&lt;E68,表2_367162629303891213141518[[#This Row],[累计净值]]/MAX(INDIRECT("B21:B" &amp; ROW()))-1,E68)</f>
        <v>-2.2768670309654016E-2</v>
      </c>
      <c r="F69" s="110">
        <f>表2_367162629303891213141518[[#This Row],[累计净值]]-0.12</f>
        <v>0.9840000000000001</v>
      </c>
      <c r="G69" s="109">
        <f>IF(表2_367162629303891213141518[[#This Row],[累计净值]]&gt;1.087,0.7*(表2_367162629303891213141518[[#This Row],[累计净值]]-1.087)/1.087,(表2_367162629303891213141518[[#This Row],[累计净值]]-1.087)/1.087)</f>
        <v>1.094756209751618E-2</v>
      </c>
    </row>
    <row r="70" spans="1:7" x14ac:dyDescent="0.2">
      <c r="A70" s="15">
        <v>44039</v>
      </c>
      <c r="B70" s="112">
        <v>1.101</v>
      </c>
      <c r="C70" s="108">
        <f t="shared" ref="C70:C75" si="14">IFERROR(B70-B69,0)</f>
        <v>-3.0000000000001137E-3</v>
      </c>
      <c r="D70" s="109">
        <f t="shared" ref="D70:D75" si="15">IF(C70&lt;0,C70,"/")</f>
        <v>-3.0000000000001137E-3</v>
      </c>
      <c r="E70" s="109">
        <f ca="1">IF(表2_367162629303891213141518[[#This Row],[累计净值]]/MAX(INDIRECT("B21:B" &amp; ROW()))-1&lt;E69,表2_367162629303891213141518[[#This Row],[累计净值]]/MAX(INDIRECT("B21:B" &amp; ROW()))-1,E69)</f>
        <v>-2.2768670309654016E-2</v>
      </c>
      <c r="F70" s="110">
        <f>表2_367162629303891213141518[[#This Row],[累计净值]]-0.12</f>
        <v>0.98099999999999998</v>
      </c>
      <c r="G70" s="109">
        <f>IF(表2_367162629303891213141518[[#This Row],[累计净值]]&gt;1.087,0.7*(表2_367162629303891213141518[[#This Row],[累计净值]]-1.087)/1.087,(表2_367162629303891213141518[[#This Row],[累计净值]]-1.087)/1.087)</f>
        <v>9.0156393744250315E-3</v>
      </c>
    </row>
    <row r="71" spans="1:7" x14ac:dyDescent="0.2">
      <c r="A71" s="15">
        <v>44040</v>
      </c>
      <c r="B71" s="112">
        <v>1.107</v>
      </c>
      <c r="C71" s="108">
        <f t="shared" si="14"/>
        <v>6.0000000000000053E-3</v>
      </c>
      <c r="D71" s="109" t="str">
        <f t="shared" si="15"/>
        <v>/</v>
      </c>
      <c r="E71" s="109">
        <f ca="1">IF(表2_367162629303891213141518[[#This Row],[累计净值]]/MAX(INDIRECT("B21:B" &amp; ROW()))-1&lt;E70,表2_367162629303891213141518[[#This Row],[累计净值]]/MAX(INDIRECT("B21:B" &amp; ROW()))-1,E70)</f>
        <v>-2.2768670309654016E-2</v>
      </c>
      <c r="F71" s="110">
        <f>表2_367162629303891213141518[[#This Row],[累计净值]]-0.12</f>
        <v>0.98699999999999999</v>
      </c>
      <c r="G71" s="109">
        <f>IF(表2_367162629303891213141518[[#This Row],[累计净值]]&gt;1.087,0.7*(表2_367162629303891213141518[[#This Row],[累计净值]]-1.087)/1.087,(表2_367162629303891213141518[[#This Row],[累计净值]]-1.087)/1.087)</f>
        <v>1.2879484820607186E-2</v>
      </c>
    </row>
    <row r="72" spans="1:7" x14ac:dyDescent="0.2">
      <c r="A72" s="15">
        <v>44041</v>
      </c>
      <c r="B72" s="112">
        <v>1.1000000000000001</v>
      </c>
      <c r="C72" s="108">
        <f t="shared" si="14"/>
        <v>-6.9999999999998952E-3</v>
      </c>
      <c r="D72" s="109">
        <f t="shared" si="15"/>
        <v>-6.9999999999998952E-3</v>
      </c>
      <c r="E72" s="109">
        <f ca="1">IF(表2_367162629303891213141518[[#This Row],[累计净值]]/MAX(INDIRECT("B21:B" &amp; ROW()))-1&lt;E71,表2_367162629303891213141518[[#This Row],[累计净值]]/MAX(INDIRECT("B21:B" &amp; ROW()))-1,E71)</f>
        <v>-2.2768670309654016E-2</v>
      </c>
      <c r="F72" s="110">
        <f>表2_367162629303891213141518[[#This Row],[累计净值]]-0.12</f>
        <v>0.98000000000000009</v>
      </c>
      <c r="G72" s="109">
        <f>IF(表2_367162629303891213141518[[#This Row],[累计净值]]&gt;1.087,0.7*(表2_367162629303891213141518[[#This Row],[累计净值]]-1.087)/1.087,(表2_367162629303891213141518[[#This Row],[累计净值]]-1.087)/1.087)</f>
        <v>8.3716651333947435E-3</v>
      </c>
    </row>
    <row r="73" spans="1:7" x14ac:dyDescent="0.2">
      <c r="A73" s="15">
        <v>44042</v>
      </c>
      <c r="B73" s="112">
        <v>1.1020000000000001</v>
      </c>
      <c r="C73" s="108">
        <f t="shared" si="14"/>
        <v>2.0000000000000018E-3</v>
      </c>
      <c r="D73" s="109" t="str">
        <f t="shared" si="15"/>
        <v>/</v>
      </c>
      <c r="E73" s="109">
        <f ca="1">IF(表2_367162629303891213141518[[#This Row],[累计净值]]/MAX(INDIRECT("B21:B" &amp; ROW()))-1&lt;E72,表2_367162629303891213141518[[#This Row],[累计净值]]/MAX(INDIRECT("B21:B" &amp; ROW()))-1,E72)</f>
        <v>-2.2768670309654016E-2</v>
      </c>
      <c r="F73" s="110">
        <f>表2_367162629303891213141518[[#This Row],[累计净值]]-0.12</f>
        <v>0.9820000000000001</v>
      </c>
      <c r="G73" s="109">
        <f>IF(表2_367162629303891213141518[[#This Row],[累计净值]]&gt;1.087,0.7*(表2_367162629303891213141518[[#This Row],[累计净值]]-1.087)/1.087,(表2_367162629303891213141518[[#This Row],[累计净值]]-1.087)/1.087)</f>
        <v>9.6596136154554601E-3</v>
      </c>
    </row>
    <row r="74" spans="1:7" x14ac:dyDescent="0.2">
      <c r="A74" s="15">
        <v>44043</v>
      </c>
      <c r="B74" s="112">
        <v>1.1020000000000001</v>
      </c>
      <c r="C74" s="108">
        <f t="shared" si="14"/>
        <v>0</v>
      </c>
      <c r="D74" s="109" t="str">
        <f t="shared" si="15"/>
        <v>/</v>
      </c>
      <c r="E74" s="109">
        <f ca="1">IF(表2_367162629303891213141518[[#This Row],[累计净值]]/MAX(INDIRECT("B21:B" &amp; ROW()))-1&lt;E73,表2_367162629303891213141518[[#This Row],[累计净值]]/MAX(INDIRECT("B21:B" &amp; ROW()))-1,E73)</f>
        <v>-2.2768670309654016E-2</v>
      </c>
      <c r="F74" s="110">
        <f>表2_367162629303891213141518[[#This Row],[累计净值]]-0.12</f>
        <v>0.9820000000000001</v>
      </c>
      <c r="G74" s="109">
        <f>IF(表2_367162629303891213141518[[#This Row],[累计净值]]&gt;1.087,0.7*(表2_367162629303891213141518[[#This Row],[累计净值]]-1.087)/1.087,(表2_367162629303891213141518[[#This Row],[累计净值]]-1.087)/1.087)</f>
        <v>9.6596136154554601E-3</v>
      </c>
    </row>
    <row r="75" spans="1:7" x14ac:dyDescent="0.2">
      <c r="A75" s="15">
        <v>44046</v>
      </c>
      <c r="B75" s="112">
        <v>1.1060000000000001</v>
      </c>
      <c r="C75" s="108">
        <f t="shared" si="14"/>
        <v>4.0000000000000036E-3</v>
      </c>
      <c r="D75" s="109" t="str">
        <f t="shared" si="15"/>
        <v>/</v>
      </c>
      <c r="E75" s="109">
        <f ca="1">IF(表2_367162629303891213141518[[#This Row],[累计净值]]/MAX(INDIRECT("B21:B" &amp; ROW()))-1&lt;E74,表2_367162629303891213141518[[#This Row],[累计净值]]/MAX(INDIRECT("B21:B" &amp; ROW()))-1,E74)</f>
        <v>-2.2768670309654016E-2</v>
      </c>
      <c r="F75" s="110">
        <f>表2_367162629303891213141518[[#This Row],[累计净值]]-0.12</f>
        <v>0.9860000000000001</v>
      </c>
      <c r="G75" s="109">
        <f>IF(表2_367162629303891213141518[[#This Row],[累计净值]]&gt;1.087,0.7*(表2_367162629303891213141518[[#This Row],[累计净值]]-1.087)/1.087,(表2_367162629303891213141518[[#This Row],[累计净值]]-1.087)/1.087)</f>
        <v>1.22355105795769E-2</v>
      </c>
    </row>
    <row r="76" spans="1:7" x14ac:dyDescent="0.2">
      <c r="A76" s="15">
        <v>44047</v>
      </c>
      <c r="B76" s="112">
        <v>1.1080000000000001</v>
      </c>
      <c r="C76" s="108">
        <f t="shared" ref="C76:C81" si="16">IFERROR(B76-B75,0)</f>
        <v>2.0000000000000018E-3</v>
      </c>
      <c r="D76" s="109" t="str">
        <f t="shared" ref="D76:D81" si="17">IF(C76&lt;0,C76,"/")</f>
        <v>/</v>
      </c>
      <c r="E76" s="109">
        <f ca="1">IF(表2_367162629303891213141518[[#This Row],[累计净值]]/MAX(INDIRECT("B21:B" &amp; ROW()))-1&lt;E75,表2_367162629303891213141518[[#This Row],[累计净值]]/MAX(INDIRECT("B21:B" &amp; ROW()))-1,E75)</f>
        <v>-2.2768670309654016E-2</v>
      </c>
      <c r="F76" s="110">
        <f>表2_367162629303891213141518[[#This Row],[累计净值]]-0.12</f>
        <v>0.9880000000000001</v>
      </c>
      <c r="G76" s="109">
        <f>IF(表2_367162629303891213141518[[#This Row],[累计净值]]&gt;1.087,0.7*(表2_367162629303891213141518[[#This Row],[累计净值]]-1.087)/1.087,(表2_367162629303891213141518[[#This Row],[累计净值]]-1.087)/1.087)</f>
        <v>1.3523459061637617E-2</v>
      </c>
    </row>
    <row r="77" spans="1:7" x14ac:dyDescent="0.2">
      <c r="A77" s="15">
        <v>44048</v>
      </c>
      <c r="B77" s="112">
        <v>1.1100000000000001</v>
      </c>
      <c r="C77" s="108">
        <f t="shared" si="16"/>
        <v>2.0000000000000018E-3</v>
      </c>
      <c r="D77" s="109" t="str">
        <f t="shared" si="17"/>
        <v>/</v>
      </c>
      <c r="E77" s="109">
        <f ca="1">IF(表2_367162629303891213141518[[#This Row],[累计净值]]/MAX(INDIRECT("B21:B" &amp; ROW()))-1&lt;E76,表2_367162629303891213141518[[#This Row],[累计净值]]/MAX(INDIRECT("B21:B" &amp; ROW()))-1,E76)</f>
        <v>-2.2768670309654016E-2</v>
      </c>
      <c r="F77" s="110">
        <f>表2_367162629303891213141518[[#This Row],[累计净值]]-0.12</f>
        <v>0.9900000000000001</v>
      </c>
      <c r="G77" s="109">
        <f>IF(表2_367162629303891213141518[[#This Row],[累计净值]]&gt;1.087,0.7*(表2_367162629303891213141518[[#This Row],[累计净值]]-1.087)/1.087,(表2_367162629303891213141518[[#This Row],[累计净值]]-1.087)/1.087)</f>
        <v>1.4811407543698335E-2</v>
      </c>
    </row>
    <row r="78" spans="1:7" x14ac:dyDescent="0.2">
      <c r="A78" s="15">
        <v>44049</v>
      </c>
      <c r="B78" s="112">
        <v>1.109</v>
      </c>
      <c r="C78" s="108">
        <f t="shared" si="16"/>
        <v>-1.0000000000001119E-3</v>
      </c>
      <c r="D78" s="109">
        <f t="shared" si="17"/>
        <v>-1.0000000000001119E-3</v>
      </c>
      <c r="E78" s="109">
        <f ca="1">IF(表2_367162629303891213141518[[#This Row],[累计净值]]/MAX(INDIRECT("B21:B" &amp; ROW()))-1&lt;E77,表2_367162629303891213141518[[#This Row],[累计净值]]/MAX(INDIRECT("B21:B" &amp; ROW()))-1,E77)</f>
        <v>-2.2768670309654016E-2</v>
      </c>
      <c r="F78" s="110">
        <f>表2_367162629303891213141518[[#This Row],[累计净值]]-0.12</f>
        <v>0.98899999999999999</v>
      </c>
      <c r="G78" s="109">
        <f>IF(表2_367162629303891213141518[[#This Row],[累计净值]]&gt;1.087,0.7*(表2_367162629303891213141518[[#This Row],[累计净值]]-1.087)/1.087,(表2_367162629303891213141518[[#This Row],[累计净值]]-1.087)/1.087)</f>
        <v>1.4167433302667905E-2</v>
      </c>
    </row>
    <row r="79" spans="1:7" x14ac:dyDescent="0.2">
      <c r="A79" s="15">
        <v>44050</v>
      </c>
      <c r="B79" s="112">
        <v>1.107</v>
      </c>
      <c r="C79" s="108">
        <f t="shared" si="16"/>
        <v>-2.0000000000000018E-3</v>
      </c>
      <c r="D79" s="109">
        <f t="shared" si="17"/>
        <v>-2.0000000000000018E-3</v>
      </c>
      <c r="E79" s="109">
        <f ca="1">IF(表2_367162629303891213141518[[#This Row],[累计净值]]/MAX(INDIRECT("B21:B" &amp; ROW()))-1&lt;E78,表2_367162629303891213141518[[#This Row],[累计净值]]/MAX(INDIRECT("B21:B" &amp; ROW()))-1,E78)</f>
        <v>-2.2768670309654016E-2</v>
      </c>
      <c r="F79" s="110">
        <f>表2_367162629303891213141518[[#This Row],[累计净值]]-0.12</f>
        <v>0.98699999999999999</v>
      </c>
      <c r="G79" s="109">
        <f>IF(表2_367162629303891213141518[[#This Row],[累计净值]]&gt;1.087,0.7*(表2_367162629303891213141518[[#This Row],[累计净值]]-1.087)/1.087,(表2_367162629303891213141518[[#This Row],[累计净值]]-1.087)/1.087)</f>
        <v>1.2879484820607186E-2</v>
      </c>
    </row>
    <row r="80" spans="1:7" x14ac:dyDescent="0.2">
      <c r="A80" s="15">
        <v>44053</v>
      </c>
      <c r="B80" s="112">
        <v>1.105</v>
      </c>
      <c r="C80" s="108">
        <f t="shared" si="16"/>
        <v>-2.0000000000000018E-3</v>
      </c>
      <c r="D80" s="109">
        <f t="shared" si="17"/>
        <v>-2.0000000000000018E-3</v>
      </c>
      <c r="E80" s="109">
        <f ca="1">IF(表2_367162629303891213141518[[#This Row],[累计净值]]/MAX(INDIRECT("B21:B" &amp; ROW()))-1&lt;E79,表2_367162629303891213141518[[#This Row],[累计净值]]/MAX(INDIRECT("B21:B" &amp; ROW()))-1,E79)</f>
        <v>-2.2768670309654016E-2</v>
      </c>
      <c r="F80" s="110">
        <f>表2_367162629303891213141518[[#This Row],[累计净值]]-0.12</f>
        <v>0.98499999999999999</v>
      </c>
      <c r="G80" s="109">
        <f>IF(表2_367162629303891213141518[[#This Row],[累计净值]]&gt;1.087,0.7*(表2_367162629303891213141518[[#This Row],[累计净值]]-1.087)/1.087,(表2_367162629303891213141518[[#This Row],[累计净值]]-1.087)/1.087)</f>
        <v>1.1591536338546468E-2</v>
      </c>
    </row>
    <row r="81" spans="1:8" x14ac:dyDescent="0.2">
      <c r="A81" s="15">
        <v>44054</v>
      </c>
      <c r="B81" s="112">
        <v>1.1080000000000001</v>
      </c>
      <c r="C81" s="108">
        <f t="shared" si="16"/>
        <v>3.0000000000001137E-3</v>
      </c>
      <c r="D81" s="109" t="str">
        <f t="shared" si="17"/>
        <v>/</v>
      </c>
      <c r="E81" s="109">
        <f ca="1">IF(表2_367162629303891213141518[[#This Row],[累计净值]]/MAX(INDIRECT("B21:B" &amp; ROW()))-1&lt;E80,表2_367162629303891213141518[[#This Row],[累计净值]]/MAX(INDIRECT("B21:B" &amp; ROW()))-1,E80)</f>
        <v>-2.2768670309654016E-2</v>
      </c>
      <c r="F81" s="110">
        <f>表2_367162629303891213141518[[#This Row],[累计净值]]-0.12</f>
        <v>0.9880000000000001</v>
      </c>
      <c r="G81" s="109">
        <f>IF(表2_367162629303891213141518[[#This Row],[累计净值]]&gt;1.087,0.7*(表2_367162629303891213141518[[#This Row],[累计净值]]-1.087)/1.087,(表2_367162629303891213141518[[#This Row],[累计净值]]-1.087)/1.087)</f>
        <v>1.3523459061637617E-2</v>
      </c>
    </row>
    <row r="82" spans="1:8" x14ac:dyDescent="0.2">
      <c r="A82" s="15">
        <v>44055</v>
      </c>
      <c r="B82" s="112">
        <v>1.1080000000000001</v>
      </c>
      <c r="C82" s="108">
        <f t="shared" ref="C82:C87" si="18">IFERROR(B82-B81,0)</f>
        <v>0</v>
      </c>
      <c r="D82" s="109" t="str">
        <f t="shared" ref="D82:D87" si="19">IF(C82&lt;0,C82,"/")</f>
        <v>/</v>
      </c>
      <c r="E82" s="109">
        <f ca="1">IF(表2_367162629303891213141518[[#This Row],[累计净值]]/MAX(INDIRECT("B21:B" &amp; ROW()))-1&lt;E81,表2_367162629303891213141518[[#This Row],[累计净值]]/MAX(INDIRECT("B21:B" &amp; ROW()))-1,E81)</f>
        <v>-2.2768670309654016E-2</v>
      </c>
      <c r="F82" s="110">
        <f>表2_367162629303891213141518[[#This Row],[累计净值]]-0.12</f>
        <v>0.9880000000000001</v>
      </c>
      <c r="G82" s="109">
        <f>IF(表2_367162629303891213141518[[#This Row],[累计净值]]&gt;1.087,0.7*(表2_367162629303891213141518[[#This Row],[累计净值]]-1.087)/1.087,(表2_367162629303891213141518[[#This Row],[累计净值]]-1.087)/1.087)</f>
        <v>1.3523459061637617E-2</v>
      </c>
      <c r="H82" s="196" t="s">
        <v>38</v>
      </c>
    </row>
    <row r="83" spans="1:8" x14ac:dyDescent="0.2">
      <c r="A83" s="15">
        <v>44056</v>
      </c>
      <c r="B83" s="112">
        <v>1.1080000000000001</v>
      </c>
      <c r="C83" s="108">
        <f t="shared" si="18"/>
        <v>0</v>
      </c>
      <c r="D83" s="109" t="str">
        <f t="shared" si="19"/>
        <v>/</v>
      </c>
      <c r="E83" s="109">
        <f ca="1">IF(表2_367162629303891213141518[[#This Row],[累计净值]]/MAX(INDIRECT("B21:B" &amp; ROW()))-1&lt;E82,表2_367162629303891213141518[[#This Row],[累计净值]]/MAX(INDIRECT("B21:B" &amp; ROW()))-1,E82)</f>
        <v>-2.2768670309654016E-2</v>
      </c>
      <c r="F83" s="110">
        <f>表2_367162629303891213141518[[#This Row],[累计净值]]-0.12</f>
        <v>0.9880000000000001</v>
      </c>
      <c r="G83" s="109">
        <f>IF(表2_367162629303891213141518[[#This Row],[累计净值]]&gt;1.087,0.7*(表2_367162629303891213141518[[#This Row],[累计净值]]-1.087)/1.087,(表2_367162629303891213141518[[#This Row],[累计净值]]-1.087)/1.087)</f>
        <v>1.3523459061637617E-2</v>
      </c>
    </row>
    <row r="84" spans="1:8" x14ac:dyDescent="0.2">
      <c r="A84" s="15">
        <v>44057</v>
      </c>
      <c r="B84" s="112">
        <v>1.109</v>
      </c>
      <c r="C84" s="108">
        <f t="shared" si="18"/>
        <v>9.9999999999988987E-4</v>
      </c>
      <c r="D84" s="109" t="str">
        <f t="shared" si="19"/>
        <v>/</v>
      </c>
      <c r="E84" s="109">
        <f ca="1">IF(表2_367162629303891213141518[[#This Row],[累计净值]]/MAX(INDIRECT("B21:B" &amp; ROW()))-1&lt;E83,表2_367162629303891213141518[[#This Row],[累计净值]]/MAX(INDIRECT("B21:B" &amp; ROW()))-1,E83)</f>
        <v>-2.2768670309654016E-2</v>
      </c>
      <c r="F84" s="110">
        <f>表2_367162629303891213141518[[#This Row],[累计净值]]-0.12</f>
        <v>0.98899999999999999</v>
      </c>
      <c r="G84" s="109">
        <f>IF(表2_367162629303891213141518[[#This Row],[累计净值]]&gt;1.087,0.7*(表2_367162629303891213141518[[#This Row],[累计净值]]-1.087)/1.087,(表2_367162629303891213141518[[#This Row],[累计净值]]-1.087)/1.087)</f>
        <v>1.4167433302667905E-2</v>
      </c>
      <c r="H84" s="197"/>
    </row>
    <row r="85" spans="1:8" x14ac:dyDescent="0.2">
      <c r="A85" s="15">
        <v>44060</v>
      </c>
      <c r="B85" s="112">
        <v>1.101</v>
      </c>
      <c r="C85" s="108">
        <f t="shared" si="18"/>
        <v>-8.0000000000000071E-3</v>
      </c>
      <c r="D85" s="109">
        <f t="shared" si="19"/>
        <v>-8.0000000000000071E-3</v>
      </c>
      <c r="E85" s="109">
        <f ca="1">IF(表2_367162629303891213141518[[#This Row],[累计净值]]/MAX(INDIRECT("B21:B" &amp; ROW()))-1&lt;E84,表2_367162629303891213141518[[#This Row],[累计净值]]/MAX(INDIRECT("B21:B" &amp; ROW()))-1,E84)</f>
        <v>-2.2768670309654016E-2</v>
      </c>
      <c r="F85" s="110">
        <f>表2_367162629303891213141518[[#This Row],[累计净值]]-0.12</f>
        <v>0.98099999999999998</v>
      </c>
      <c r="G85" s="109">
        <f>IF(表2_367162629303891213141518[[#This Row],[累计净值]]&gt;1.087,0.7*(表2_367162629303891213141518[[#This Row],[累计净值]]-1.087)/1.087,(表2_367162629303891213141518[[#This Row],[累计净值]]-1.087)/1.087)</f>
        <v>9.0156393744250315E-3</v>
      </c>
      <c r="H85" s="197"/>
    </row>
    <row r="86" spans="1:8" x14ac:dyDescent="0.2">
      <c r="A86" s="15">
        <v>44061</v>
      </c>
      <c r="B86" s="112">
        <v>1.103</v>
      </c>
      <c r="C86" s="108">
        <f t="shared" si="18"/>
        <v>2.0000000000000018E-3</v>
      </c>
      <c r="D86" s="109" t="str">
        <f t="shared" si="19"/>
        <v>/</v>
      </c>
      <c r="E86" s="109">
        <f ca="1">IF(表2_367162629303891213141518[[#This Row],[累计净值]]/MAX(INDIRECT("B21:B" &amp; ROW()))-1&lt;E85,表2_367162629303891213141518[[#This Row],[累计净值]]/MAX(INDIRECT("B21:B" &amp; ROW()))-1,E85)</f>
        <v>-2.2768670309654016E-2</v>
      </c>
      <c r="F86" s="110">
        <f>表2_367162629303891213141518[[#This Row],[累计净值]]-0.12</f>
        <v>0.98299999999999998</v>
      </c>
      <c r="G86" s="109">
        <f>IF(表2_367162629303891213141518[[#This Row],[累计净值]]&gt;1.087,0.7*(表2_367162629303891213141518[[#This Row],[累计净值]]-1.087)/1.087,(表2_367162629303891213141518[[#This Row],[累计净值]]-1.087)/1.087)</f>
        <v>1.0303587856485748E-2</v>
      </c>
      <c r="H86" s="197"/>
    </row>
    <row r="87" spans="1:8" x14ac:dyDescent="0.2">
      <c r="A87" s="15">
        <v>44062</v>
      </c>
      <c r="B87" s="112">
        <v>1.1040000000000001</v>
      </c>
      <c r="C87" s="108">
        <f t="shared" si="18"/>
        <v>1.0000000000001119E-3</v>
      </c>
      <c r="D87" s="109" t="str">
        <f t="shared" si="19"/>
        <v>/</v>
      </c>
      <c r="E87" s="109">
        <f ca="1">IF(表2_367162629303891213141518[[#This Row],[累计净值]]/MAX(INDIRECT("B21:B" &amp; ROW()))-1&lt;E86,表2_367162629303891213141518[[#This Row],[累计净值]]/MAX(INDIRECT("B21:B" &amp; ROW()))-1,E86)</f>
        <v>-2.2768670309654016E-2</v>
      </c>
      <c r="F87" s="110">
        <f>表2_367162629303891213141518[[#This Row],[累计净值]]-0.12</f>
        <v>0.9840000000000001</v>
      </c>
      <c r="G87" s="109">
        <f>IF(表2_367162629303891213141518[[#This Row],[累计净值]]&gt;1.087,0.7*(表2_367162629303891213141518[[#This Row],[累计净值]]-1.087)/1.087,(表2_367162629303891213141518[[#This Row],[累计净值]]-1.087)/1.087)</f>
        <v>1.094756209751618E-2</v>
      </c>
      <c r="H87" s="197"/>
    </row>
    <row r="88" spans="1:8" x14ac:dyDescent="0.2">
      <c r="A88" s="15">
        <v>44063</v>
      </c>
      <c r="B88" s="112">
        <v>1.1060000000000001</v>
      </c>
      <c r="C88" s="108">
        <f t="shared" ref="C88:C93" si="20">IFERROR(B88-B87,0)</f>
        <v>2.0000000000000018E-3</v>
      </c>
      <c r="D88" s="109" t="str">
        <f t="shared" ref="D88:D93" si="21">IF(C88&lt;0,C88,"/")</f>
        <v>/</v>
      </c>
      <c r="E88" s="109">
        <f ca="1">IF(表2_367162629303891213141518[[#This Row],[累计净值]]/MAX(INDIRECT("B21:B" &amp; ROW()))-1&lt;E87,表2_367162629303891213141518[[#This Row],[累计净值]]/MAX(INDIRECT("B21:B" &amp; ROW()))-1,E87)</f>
        <v>-2.2768670309654016E-2</v>
      </c>
      <c r="F88" s="110">
        <f>表2_367162629303891213141518[[#This Row],[累计净值]]-0.12</f>
        <v>0.9860000000000001</v>
      </c>
      <c r="G88" s="109">
        <f>IF(表2_367162629303891213141518[[#This Row],[累计净值]]&gt;1.087,0.7*(表2_367162629303891213141518[[#This Row],[累计净值]]-1.087)/1.087,(表2_367162629303891213141518[[#This Row],[累计净值]]-1.087)/1.087)</f>
        <v>1.22355105795769E-2</v>
      </c>
      <c r="H88" s="197"/>
    </row>
    <row r="89" spans="1:8" x14ac:dyDescent="0.2">
      <c r="A89" s="15">
        <v>44064</v>
      </c>
      <c r="B89" s="112">
        <v>1.109</v>
      </c>
      <c r="C89" s="108">
        <f t="shared" si="20"/>
        <v>2.9999999999998916E-3</v>
      </c>
      <c r="D89" s="109" t="str">
        <f t="shared" si="21"/>
        <v>/</v>
      </c>
      <c r="E89" s="109">
        <f ca="1">IF(表2_367162629303891213141518[[#This Row],[累计净值]]/MAX(INDIRECT("B21:B" &amp; ROW()))-1&lt;E88,表2_367162629303891213141518[[#This Row],[累计净值]]/MAX(INDIRECT("B21:B" &amp; ROW()))-1,E88)</f>
        <v>-2.2768670309654016E-2</v>
      </c>
      <c r="F89" s="110">
        <f>表2_367162629303891213141518[[#This Row],[累计净值]]-0.12</f>
        <v>0.98899999999999999</v>
      </c>
      <c r="G89" s="109">
        <f>IF(表2_367162629303891213141518[[#This Row],[累计净值]]&gt;1.087,0.7*(表2_367162629303891213141518[[#This Row],[累计净值]]-1.087)/1.087,(表2_367162629303891213141518[[#This Row],[累计净值]]-1.087)/1.087)</f>
        <v>1.4167433302667905E-2</v>
      </c>
      <c r="H89" s="197"/>
    </row>
    <row r="90" spans="1:8" x14ac:dyDescent="0.2">
      <c r="A90" s="15">
        <v>44067</v>
      </c>
      <c r="B90" s="112">
        <v>1.115</v>
      </c>
      <c r="C90" s="108">
        <f t="shared" si="20"/>
        <v>6.0000000000000053E-3</v>
      </c>
      <c r="D90" s="109" t="str">
        <f t="shared" si="21"/>
        <v>/</v>
      </c>
      <c r="E90" s="109">
        <f ca="1">IF(表2_367162629303891213141518[[#This Row],[累计净值]]/MAX(INDIRECT("B21:B" &amp; ROW()))-1&lt;E89,表2_367162629303891213141518[[#This Row],[累计净值]]/MAX(INDIRECT("B21:B" &amp; ROW()))-1,E89)</f>
        <v>-2.2768670309654016E-2</v>
      </c>
      <c r="F90" s="110">
        <f>表2_367162629303891213141518[[#This Row],[累计净值]]-0.12</f>
        <v>0.995</v>
      </c>
      <c r="G90" s="109">
        <f>IF(表2_367162629303891213141518[[#This Row],[累计净值]]&gt;1.087,0.7*(表2_367162629303891213141518[[#This Row],[累计净值]]-1.087)/1.087,(表2_367162629303891213141518[[#This Row],[累计净值]]-1.087)/1.087)</f>
        <v>1.8031278748850063E-2</v>
      </c>
      <c r="H90" s="197"/>
    </row>
    <row r="91" spans="1:8" x14ac:dyDescent="0.2">
      <c r="A91" s="15">
        <v>44068</v>
      </c>
      <c r="B91" s="112">
        <v>1.1180000000000001</v>
      </c>
      <c r="C91" s="108">
        <f t="shared" si="20"/>
        <v>3.0000000000001137E-3</v>
      </c>
      <c r="D91" s="109" t="str">
        <f t="shared" si="21"/>
        <v>/</v>
      </c>
      <c r="E91" s="109">
        <f ca="1">IF(表2_367162629303891213141518[[#This Row],[累计净值]]/MAX(INDIRECT("B21:B" &amp; ROW()))-1&lt;E90,表2_367162629303891213141518[[#This Row],[累计净值]]/MAX(INDIRECT("B21:B" &amp; ROW()))-1,E90)</f>
        <v>-2.2768670309654016E-2</v>
      </c>
      <c r="F91" s="110">
        <f>表2_367162629303891213141518[[#This Row],[累计净值]]-0.12</f>
        <v>0.99800000000000011</v>
      </c>
      <c r="G91" s="109">
        <f>IF(表2_367162629303891213141518[[#This Row],[累计净值]]&gt;1.087,0.7*(表2_367162629303891213141518[[#This Row],[累计净值]]-1.087)/1.087,(表2_367162629303891213141518[[#This Row],[累计净值]]-1.087)/1.087)</f>
        <v>1.9963201471941208E-2</v>
      </c>
      <c r="H91" s="197"/>
    </row>
    <row r="92" spans="1:8" x14ac:dyDescent="0.2">
      <c r="A92" s="15">
        <v>44069</v>
      </c>
      <c r="B92" s="112">
        <v>1.123</v>
      </c>
      <c r="C92" s="108">
        <f t="shared" si="20"/>
        <v>4.9999999999998934E-3</v>
      </c>
      <c r="D92" s="109" t="str">
        <f t="shared" si="21"/>
        <v>/</v>
      </c>
      <c r="E92" s="109">
        <f ca="1">IF(表2_367162629303891213141518[[#This Row],[累计净值]]/MAX(INDIRECT("B21:B" &amp; ROW()))-1&lt;E91,表2_367162629303891213141518[[#This Row],[累计净值]]/MAX(INDIRECT("B21:B" &amp; ROW()))-1,E91)</f>
        <v>-2.2768670309654016E-2</v>
      </c>
      <c r="F92" s="110">
        <f>表2_367162629303891213141518[[#This Row],[累计净值]]-0.12</f>
        <v>1.0030000000000001</v>
      </c>
      <c r="G92" s="109">
        <f>IF(表2_367162629303891213141518[[#This Row],[累计净值]]&gt;1.087,0.7*(表2_367162629303891213141518[[#This Row],[累计净值]]-1.087)/1.087,(表2_367162629303891213141518[[#This Row],[累计净值]]-1.087)/1.087)</f>
        <v>2.3183072677092936E-2</v>
      </c>
      <c r="H92" s="197"/>
    </row>
    <row r="93" spans="1:8" x14ac:dyDescent="0.2">
      <c r="A93" s="15">
        <v>44070</v>
      </c>
      <c r="B93" s="117">
        <v>1.1240000000000001</v>
      </c>
      <c r="C93" s="108">
        <f t="shared" si="20"/>
        <v>1.0000000000001119E-3</v>
      </c>
      <c r="D93" s="109" t="str">
        <f t="shared" si="21"/>
        <v>/</v>
      </c>
      <c r="E93" s="109">
        <f ca="1">IF(表2_367162629303891213141518[[#This Row],[累计净值]]/MAX(INDIRECT("B21:B" &amp; ROW()))-1&lt;E92,表2_367162629303891213141518[[#This Row],[累计净值]]/MAX(INDIRECT("B21:B" &amp; ROW()))-1,E92)</f>
        <v>-2.2768670309654016E-2</v>
      </c>
      <c r="F93" s="110">
        <f>表2_367162629303891213141518[[#This Row],[累计净值]]-0.12</f>
        <v>1.004</v>
      </c>
      <c r="G93" s="109">
        <f>IF(表2_367162629303891213141518[[#This Row],[累计净值]]&gt;1.087,0.7*(表2_367162629303891213141518[[#This Row],[累计净值]]-1.087)/1.087,(表2_367162629303891213141518[[#This Row],[累计净值]]-1.087)/1.087)</f>
        <v>2.3827046918123367E-2</v>
      </c>
      <c r="H93" s="197"/>
    </row>
    <row r="94" spans="1:8" x14ac:dyDescent="0.2">
      <c r="A94" s="15">
        <v>44071</v>
      </c>
      <c r="B94" s="112">
        <v>1.1160000000000001</v>
      </c>
      <c r="C94" s="108">
        <f t="shared" ref="C94:C99" si="22">IFERROR(B94-B93,0)</f>
        <v>-8.0000000000000071E-3</v>
      </c>
      <c r="D94" s="109">
        <f t="shared" ref="D94:D99" si="23">IF(C94&lt;0,C94,"/")</f>
        <v>-8.0000000000000071E-3</v>
      </c>
      <c r="E94" s="109">
        <f ca="1">IF(表2_367162629303891213141518[[#This Row],[累计净值]]/MAX(INDIRECT("B21:B" &amp; ROW()))-1&lt;E93,表2_367162629303891213141518[[#This Row],[累计净值]]/MAX(INDIRECT("B21:B" &amp; ROW()))-1,E93)</f>
        <v>-2.2768670309654016E-2</v>
      </c>
      <c r="F94" s="110">
        <f>表2_367162629303891213141518[[#This Row],[累计净值]]-0.12</f>
        <v>0.99600000000000011</v>
      </c>
      <c r="G94" s="109">
        <f>IF(表2_367162629303891213141518[[#This Row],[累计净值]]&gt;1.087,0.7*(表2_367162629303891213141518[[#This Row],[累计净值]]-1.087)/1.087,(表2_367162629303891213141518[[#This Row],[累计净值]]-1.087)/1.087)</f>
        <v>1.8675252989880493E-2</v>
      </c>
      <c r="H94" s="197"/>
    </row>
    <row r="95" spans="1:8" x14ac:dyDescent="0.2">
      <c r="A95" s="15">
        <v>44074</v>
      </c>
      <c r="B95" s="112">
        <v>1.111</v>
      </c>
      <c r="C95" s="108">
        <f t="shared" si="22"/>
        <v>-5.0000000000001155E-3</v>
      </c>
      <c r="D95" s="109">
        <f t="shared" si="23"/>
        <v>-5.0000000000001155E-3</v>
      </c>
      <c r="E95" s="109">
        <f ca="1">IF(表2_367162629303891213141518[[#This Row],[累计净值]]/MAX(INDIRECT("B21:B" &amp; ROW()))-1&lt;E94,表2_367162629303891213141518[[#This Row],[累计净值]]/MAX(INDIRECT("B21:B" &amp; ROW()))-1,E94)</f>
        <v>-2.2768670309654016E-2</v>
      </c>
      <c r="F95" s="110">
        <f>表2_367162629303891213141518[[#This Row],[累计净值]]-0.12</f>
        <v>0.99099999999999999</v>
      </c>
      <c r="G95" s="109">
        <f>IF(表2_367162629303891213141518[[#This Row],[累计净值]]&gt;1.087,0.7*(表2_367162629303891213141518[[#This Row],[累计净值]]-1.087)/1.087,(表2_367162629303891213141518[[#This Row],[累计净值]]-1.087)/1.087)</f>
        <v>1.5455381784728623E-2</v>
      </c>
      <c r="H95" s="197"/>
    </row>
    <row r="96" spans="1:8" x14ac:dyDescent="0.2">
      <c r="A96" s="15">
        <v>44075</v>
      </c>
      <c r="B96" s="112">
        <v>1.1160000000000001</v>
      </c>
      <c r="C96" s="108">
        <f t="shared" si="22"/>
        <v>5.0000000000001155E-3</v>
      </c>
      <c r="D96" s="109" t="str">
        <f t="shared" si="23"/>
        <v>/</v>
      </c>
      <c r="E96" s="109">
        <f ca="1">IF(表2_367162629303891213141518[[#This Row],[累计净值]]/MAX(INDIRECT("B21:B" &amp; ROW()))-1&lt;E95,表2_367162629303891213141518[[#This Row],[累计净值]]/MAX(INDIRECT("B21:B" &amp; ROW()))-1,E95)</f>
        <v>-2.2768670309654016E-2</v>
      </c>
      <c r="F96" s="110">
        <f>表2_367162629303891213141518[[#This Row],[累计净值]]-0.12</f>
        <v>0.99600000000000011</v>
      </c>
      <c r="G96" s="109">
        <f>IF(表2_367162629303891213141518[[#This Row],[累计净值]]&gt;1.087,0.7*(表2_367162629303891213141518[[#This Row],[累计净值]]-1.087)/1.087,(表2_367162629303891213141518[[#This Row],[累计净值]]-1.087)/1.087)</f>
        <v>1.8675252989880493E-2</v>
      </c>
      <c r="H96" s="197"/>
    </row>
    <row r="97" spans="1:8" x14ac:dyDescent="0.2">
      <c r="A97" s="15">
        <v>44076</v>
      </c>
      <c r="B97" s="112">
        <v>1.1220000000000001</v>
      </c>
      <c r="C97" s="108">
        <f t="shared" si="22"/>
        <v>6.0000000000000053E-3</v>
      </c>
      <c r="D97" s="109" t="str">
        <f t="shared" si="23"/>
        <v>/</v>
      </c>
      <c r="E97" s="109">
        <f ca="1">IF(表2_367162629303891213141518[[#This Row],[累计净值]]/MAX(INDIRECT("B21:B" &amp; ROW()))-1&lt;E96,表2_367162629303891213141518[[#This Row],[累计净值]]/MAX(INDIRECT("B21:B" &amp; ROW()))-1,E96)</f>
        <v>-2.2768670309654016E-2</v>
      </c>
      <c r="F97" s="110">
        <f>表2_367162629303891213141518[[#This Row],[累计净值]]-0.12</f>
        <v>1.0020000000000002</v>
      </c>
      <c r="G97" s="109">
        <f>IF(表2_367162629303891213141518[[#This Row],[累计净值]]&gt;1.087,0.7*(表2_367162629303891213141518[[#This Row],[累计净值]]-1.087)/1.087,(表2_367162629303891213141518[[#This Row],[累计净值]]-1.087)/1.087)</f>
        <v>2.2539098436062648E-2</v>
      </c>
      <c r="H97" s="197"/>
    </row>
    <row r="98" spans="1:8" x14ac:dyDescent="0.2">
      <c r="A98" s="15">
        <v>44077</v>
      </c>
      <c r="B98" s="112">
        <v>1.1180000000000001</v>
      </c>
      <c r="C98" s="108">
        <f t="shared" si="22"/>
        <v>-4.0000000000000036E-3</v>
      </c>
      <c r="D98" s="109">
        <f t="shared" si="23"/>
        <v>-4.0000000000000036E-3</v>
      </c>
      <c r="E98" s="109">
        <f ca="1">IF(表2_367162629303891213141518[[#This Row],[累计净值]]/MAX(INDIRECT("B21:B" &amp; ROW()))-1&lt;E97,表2_367162629303891213141518[[#This Row],[累计净值]]/MAX(INDIRECT("B21:B" &amp; ROW()))-1,E97)</f>
        <v>-2.2768670309654016E-2</v>
      </c>
      <c r="F98" s="110">
        <f>表2_367162629303891213141518[[#This Row],[累计净值]]-0.12</f>
        <v>0.99800000000000011</v>
      </c>
      <c r="G98" s="109">
        <f>IF(表2_367162629303891213141518[[#This Row],[累计净值]]&gt;1.087,0.7*(表2_367162629303891213141518[[#This Row],[累计净值]]-1.087)/1.087,(表2_367162629303891213141518[[#This Row],[累计净值]]-1.087)/1.087)</f>
        <v>1.9963201471941208E-2</v>
      </c>
      <c r="H98" s="197"/>
    </row>
    <row r="99" spans="1:8" x14ac:dyDescent="0.2">
      <c r="A99" s="15">
        <v>44078</v>
      </c>
      <c r="B99" s="112">
        <v>1.1160000000000001</v>
      </c>
      <c r="C99" s="108">
        <f t="shared" si="22"/>
        <v>-2.0000000000000018E-3</v>
      </c>
      <c r="D99" s="109">
        <f t="shared" si="23"/>
        <v>-2.0000000000000018E-3</v>
      </c>
      <c r="E99" s="109">
        <f ca="1">IF(表2_367162629303891213141518[[#This Row],[累计净值]]/MAX(INDIRECT("B21:B" &amp; ROW()))-1&lt;E98,表2_367162629303891213141518[[#This Row],[累计净值]]/MAX(INDIRECT("B21:B" &amp; ROW()))-1,E98)</f>
        <v>-2.2768670309654016E-2</v>
      </c>
      <c r="F99" s="110">
        <f>表2_367162629303891213141518[[#This Row],[累计净值]]-0.12</f>
        <v>0.99600000000000011</v>
      </c>
      <c r="G99" s="109">
        <f>IF(表2_367162629303891213141518[[#This Row],[累计净值]]&gt;1.087,0.7*(表2_367162629303891213141518[[#This Row],[累计净值]]-1.087)/1.087,(表2_367162629303891213141518[[#This Row],[累计净值]]-1.087)/1.087)</f>
        <v>1.8675252989880493E-2</v>
      </c>
      <c r="H99" s="197"/>
    </row>
    <row r="100" spans="1:8" x14ac:dyDescent="0.2">
      <c r="A100" s="15">
        <v>44081</v>
      </c>
      <c r="B100" s="112">
        <v>1.117</v>
      </c>
      <c r="C100" s="108">
        <f t="shared" ref="C100:C105" si="24">IFERROR(B100-B99,0)</f>
        <v>9.9999999999988987E-4</v>
      </c>
      <c r="D100" s="109" t="str">
        <f t="shared" ref="D100:D105" si="25">IF(C100&lt;0,C100,"/")</f>
        <v>/</v>
      </c>
      <c r="E100" s="109">
        <f ca="1">IF(表2_367162629303891213141518[[#This Row],[累计净值]]/MAX(INDIRECT("B21:B" &amp; ROW()))-1&lt;E99,表2_367162629303891213141518[[#This Row],[累计净值]]/MAX(INDIRECT("B21:B" &amp; ROW()))-1,E99)</f>
        <v>-2.2768670309654016E-2</v>
      </c>
      <c r="F100" s="110">
        <f>表2_367162629303891213141518[[#This Row],[累计净值]]-0.12</f>
        <v>0.997</v>
      </c>
      <c r="G100" s="109">
        <f>IF(表2_367162629303891213141518[[#This Row],[累计净值]]&gt;1.087,0.7*(表2_367162629303891213141518[[#This Row],[累计净值]]-1.087)/1.087,(表2_367162629303891213141518[[#This Row],[累计净值]]-1.087)/1.087)</f>
        <v>1.9319227230910781E-2</v>
      </c>
      <c r="H100" s="197"/>
    </row>
    <row r="101" spans="1:8" x14ac:dyDescent="0.2">
      <c r="A101" s="15">
        <v>44082</v>
      </c>
      <c r="B101" s="112">
        <v>1.1120000000000001</v>
      </c>
      <c r="C101" s="108">
        <f t="shared" si="24"/>
        <v>-4.9999999999998934E-3</v>
      </c>
      <c r="D101" s="109">
        <f t="shared" si="25"/>
        <v>-4.9999999999998934E-3</v>
      </c>
      <c r="E101" s="109">
        <f ca="1">IF(表2_367162629303891213141518[[#This Row],[累计净值]]/MAX(INDIRECT("B21:B" &amp; ROW()))-1&lt;E100,表2_367162629303891213141518[[#This Row],[累计净值]]/MAX(INDIRECT("B21:B" &amp; ROW()))-1,E100)</f>
        <v>-2.2768670309654016E-2</v>
      </c>
      <c r="F101" s="110">
        <f>表2_367162629303891213141518[[#This Row],[累计净值]]-0.12</f>
        <v>0.9920000000000001</v>
      </c>
      <c r="G101" s="109">
        <f>IF(表2_367162629303891213141518[[#This Row],[累计净值]]&gt;1.087,0.7*(表2_367162629303891213141518[[#This Row],[累计净值]]-1.087)/1.087,(表2_367162629303891213141518[[#This Row],[累计净值]]-1.087)/1.087)</f>
        <v>1.6099356025759053E-2</v>
      </c>
      <c r="H101" s="197"/>
    </row>
    <row r="102" spans="1:8" x14ac:dyDescent="0.2">
      <c r="A102" s="15">
        <v>44083</v>
      </c>
      <c r="B102" s="112">
        <v>1.1160000000000001</v>
      </c>
      <c r="C102" s="108">
        <f t="shared" si="24"/>
        <v>4.0000000000000036E-3</v>
      </c>
      <c r="D102" s="109" t="str">
        <f t="shared" si="25"/>
        <v>/</v>
      </c>
      <c r="E102" s="109">
        <f ca="1">IF(表2_367162629303891213141518[[#This Row],[累计净值]]/MAX(INDIRECT("B21:B" &amp; ROW()))-1&lt;E101,表2_367162629303891213141518[[#This Row],[累计净值]]/MAX(INDIRECT("B21:B" &amp; ROW()))-1,E101)</f>
        <v>-2.2768670309654016E-2</v>
      </c>
      <c r="F102" s="110">
        <f>表2_367162629303891213141518[[#This Row],[累计净值]]-0.12</f>
        <v>0.99600000000000011</v>
      </c>
      <c r="G102" s="109">
        <f>IF(表2_367162629303891213141518[[#This Row],[累计净值]]&gt;1.087,0.7*(表2_367162629303891213141518[[#This Row],[累计净值]]-1.087)/1.087,(表2_367162629303891213141518[[#This Row],[累计净值]]-1.087)/1.087)</f>
        <v>1.8675252989880493E-2</v>
      </c>
      <c r="H102" s="197"/>
    </row>
    <row r="103" spans="1:8" x14ac:dyDescent="0.2">
      <c r="A103" s="15">
        <v>44084</v>
      </c>
      <c r="B103" s="112">
        <v>1.115</v>
      </c>
      <c r="C103" s="108">
        <f t="shared" si="24"/>
        <v>-1.0000000000001119E-3</v>
      </c>
      <c r="D103" s="109">
        <f t="shared" si="25"/>
        <v>-1.0000000000001119E-3</v>
      </c>
      <c r="E103" s="109">
        <f ca="1">IF(表2_367162629303891213141518[[#This Row],[累计净值]]/MAX(INDIRECT("B21:B" &amp; ROW()))-1&lt;E102,表2_367162629303891213141518[[#This Row],[累计净值]]/MAX(INDIRECT("B21:B" &amp; ROW()))-1,E102)</f>
        <v>-2.2768670309654016E-2</v>
      </c>
      <c r="F103" s="110">
        <f>表2_367162629303891213141518[[#This Row],[累计净值]]-0.12</f>
        <v>0.995</v>
      </c>
      <c r="G103" s="109">
        <f>IF(表2_367162629303891213141518[[#This Row],[累计净值]]&gt;1.087,0.7*(表2_367162629303891213141518[[#This Row],[累计净值]]-1.087)/1.087,(表2_367162629303891213141518[[#This Row],[累计净值]]-1.087)/1.087)</f>
        <v>1.8031278748850063E-2</v>
      </c>
      <c r="H103" s="197"/>
    </row>
    <row r="104" spans="1:8" x14ac:dyDescent="0.2">
      <c r="A104" s="15">
        <v>44085</v>
      </c>
      <c r="B104" s="112">
        <v>1.119</v>
      </c>
      <c r="C104" s="108">
        <f t="shared" si="24"/>
        <v>4.0000000000000036E-3</v>
      </c>
      <c r="D104" s="109" t="str">
        <f t="shared" si="25"/>
        <v>/</v>
      </c>
      <c r="E104" s="109">
        <f ca="1">IF(表2_367162629303891213141518[[#This Row],[累计净值]]/MAX(INDIRECT("B21:B" &amp; ROW()))-1&lt;E103,表2_367162629303891213141518[[#This Row],[累计净值]]/MAX(INDIRECT("B21:B" &amp; ROW()))-1,E103)</f>
        <v>-2.2768670309654016E-2</v>
      </c>
      <c r="F104" s="110">
        <f>表2_367162629303891213141518[[#This Row],[累计净值]]-0.12</f>
        <v>0.999</v>
      </c>
      <c r="G104" s="109">
        <f>IF(表2_367162629303891213141518[[#This Row],[累计净值]]&gt;1.087,0.7*(表2_367162629303891213141518[[#This Row],[累计净值]]-1.087)/1.087,(表2_367162629303891213141518[[#This Row],[累计净值]]-1.087)/1.087)</f>
        <v>2.0607175712971496E-2</v>
      </c>
      <c r="H104" s="197"/>
    </row>
    <row r="105" spans="1:8" x14ac:dyDescent="0.2">
      <c r="A105" s="15">
        <v>44088</v>
      </c>
      <c r="B105" s="112">
        <v>1.1200000000000001</v>
      </c>
      <c r="C105" s="108">
        <f t="shared" si="24"/>
        <v>1.0000000000001119E-3</v>
      </c>
      <c r="D105" s="109" t="str">
        <f t="shared" si="25"/>
        <v>/</v>
      </c>
      <c r="E105" s="109">
        <f ca="1">IF(表2_367162629303891213141518[[#This Row],[累计净值]]/MAX(INDIRECT("B21:B" &amp; ROW()))-1&lt;E104,表2_367162629303891213141518[[#This Row],[累计净值]]/MAX(INDIRECT("B21:B" &amp; ROW()))-1,E104)</f>
        <v>-2.2768670309654016E-2</v>
      </c>
      <c r="F105" s="110">
        <f>表2_367162629303891213141518[[#This Row],[累计净值]]-0.12</f>
        <v>1</v>
      </c>
      <c r="G105" s="109">
        <f>IF(表2_367162629303891213141518[[#This Row],[累计净值]]&gt;1.087,0.7*(表2_367162629303891213141518[[#This Row],[累计净值]]-1.087)/1.087,(表2_367162629303891213141518[[#This Row],[累计净值]]-1.087)/1.087)</f>
        <v>2.125114995400193E-2</v>
      </c>
      <c r="H105" s="197"/>
    </row>
    <row r="106" spans="1:8" x14ac:dyDescent="0.2">
      <c r="A106" s="15">
        <v>44089</v>
      </c>
      <c r="B106" s="112">
        <v>1.121</v>
      </c>
      <c r="C106" s="108">
        <f t="shared" ref="C106:C111" si="26">IFERROR(B106-B105,0)</f>
        <v>9.9999999999988987E-4</v>
      </c>
      <c r="D106" s="109" t="str">
        <f t="shared" ref="D106:D111" si="27">IF(C106&lt;0,C106,"/")</f>
        <v>/</v>
      </c>
      <c r="E106" s="109">
        <f ca="1">IF(表2_367162629303891213141518[[#This Row],[累计净值]]/MAX(INDIRECT("B21:B" &amp; ROW()))-1&lt;E105,表2_367162629303891213141518[[#This Row],[累计净值]]/MAX(INDIRECT("B21:B" &amp; ROW()))-1,E105)</f>
        <v>-2.2768670309654016E-2</v>
      </c>
      <c r="F106" s="110">
        <f>表2_367162629303891213141518[[#This Row],[累计净值]]-0.12</f>
        <v>1.0009999999999999</v>
      </c>
      <c r="G106" s="109">
        <f>IF(表2_367162629303891213141518[[#This Row],[累计净值]]&gt;1.087,0.7*(表2_367162629303891213141518[[#This Row],[累计净值]]-1.087)/1.087,(表2_367162629303891213141518[[#This Row],[累计净值]]-1.087)/1.087)</f>
        <v>2.1895124195032218E-2</v>
      </c>
      <c r="H106" s="197"/>
    </row>
    <row r="107" spans="1:8" x14ac:dyDescent="0.2">
      <c r="A107" s="15">
        <v>44090</v>
      </c>
      <c r="B107" s="112">
        <v>1.1240000000000001</v>
      </c>
      <c r="C107" s="108">
        <f t="shared" si="26"/>
        <v>3.0000000000001137E-3</v>
      </c>
      <c r="D107" s="109" t="str">
        <f t="shared" si="27"/>
        <v>/</v>
      </c>
      <c r="E107" s="109">
        <f ca="1">IF(表2_367162629303891213141518[[#This Row],[累计净值]]/MAX(INDIRECT("B21:B" &amp; ROW()))-1&lt;E106,表2_367162629303891213141518[[#This Row],[累计净值]]/MAX(INDIRECT("B21:B" &amp; ROW()))-1,E106)</f>
        <v>-2.2768670309654016E-2</v>
      </c>
      <c r="F107" s="110">
        <f>表2_367162629303891213141518[[#This Row],[累计净值]]-0.12</f>
        <v>1.004</v>
      </c>
      <c r="G107" s="109">
        <f>IF(表2_367162629303891213141518[[#This Row],[累计净值]]&gt;1.087,0.7*(表2_367162629303891213141518[[#This Row],[累计净值]]-1.087)/1.087,(表2_367162629303891213141518[[#This Row],[累计净值]]-1.087)/1.087)</f>
        <v>2.3827046918123367E-2</v>
      </c>
      <c r="H107" s="197"/>
    </row>
    <row r="108" spans="1:8" x14ac:dyDescent="0.2">
      <c r="A108" s="15">
        <v>44091</v>
      </c>
      <c r="B108" s="112">
        <v>1.123</v>
      </c>
      <c r="C108" s="108">
        <f t="shared" si="26"/>
        <v>-1.0000000000001119E-3</v>
      </c>
      <c r="D108" s="109">
        <f t="shared" si="27"/>
        <v>-1.0000000000001119E-3</v>
      </c>
      <c r="E108" s="109">
        <f ca="1">IF(表2_367162629303891213141518[[#This Row],[累计净值]]/MAX(INDIRECT("B21:B" &amp; ROW()))-1&lt;E107,表2_367162629303891213141518[[#This Row],[累计净值]]/MAX(INDIRECT("B21:B" &amp; ROW()))-1,E107)</f>
        <v>-2.2768670309654016E-2</v>
      </c>
      <c r="F108" s="110">
        <f>表2_367162629303891213141518[[#This Row],[累计净值]]-0.12</f>
        <v>1.0030000000000001</v>
      </c>
      <c r="G108" s="109">
        <f>IF(表2_367162629303891213141518[[#This Row],[累计净值]]&gt;1.087,0.7*(表2_367162629303891213141518[[#This Row],[累计净值]]-1.087)/1.087,(表2_367162629303891213141518[[#This Row],[累计净值]]-1.087)/1.087)</f>
        <v>2.3183072677092936E-2</v>
      </c>
      <c r="H108" s="197"/>
    </row>
    <row r="109" spans="1:8" x14ac:dyDescent="0.2">
      <c r="A109" s="15">
        <v>44092</v>
      </c>
      <c r="B109" s="112">
        <v>1.119</v>
      </c>
      <c r="C109" s="108">
        <f t="shared" si="26"/>
        <v>-4.0000000000000036E-3</v>
      </c>
      <c r="D109" s="109">
        <f t="shared" si="27"/>
        <v>-4.0000000000000036E-3</v>
      </c>
      <c r="E109" s="109">
        <f ca="1">IF(表2_367162629303891213141518[[#This Row],[累计净值]]/MAX(INDIRECT("B21:B" &amp; ROW()))-1&lt;E108,表2_367162629303891213141518[[#This Row],[累计净值]]/MAX(INDIRECT("B21:B" &amp; ROW()))-1,E108)</f>
        <v>-2.2768670309654016E-2</v>
      </c>
      <c r="F109" s="110">
        <f>表2_367162629303891213141518[[#This Row],[累计净值]]-0.12</f>
        <v>0.999</v>
      </c>
      <c r="G109" s="109">
        <f>IF(表2_367162629303891213141518[[#This Row],[累计净值]]&gt;1.087,0.7*(表2_367162629303891213141518[[#This Row],[累计净值]]-1.087)/1.087,(表2_367162629303891213141518[[#This Row],[累计净值]]-1.087)/1.087)</f>
        <v>2.0607175712971496E-2</v>
      </c>
      <c r="H109" s="197"/>
    </row>
    <row r="110" spans="1:8" x14ac:dyDescent="0.2">
      <c r="A110" s="15">
        <v>44095</v>
      </c>
      <c r="B110" s="112">
        <v>1.115</v>
      </c>
      <c r="C110" s="108">
        <f t="shared" si="26"/>
        <v>-4.0000000000000036E-3</v>
      </c>
      <c r="D110" s="109">
        <f t="shared" si="27"/>
        <v>-4.0000000000000036E-3</v>
      </c>
      <c r="E110" s="109">
        <f ca="1">IF(表2_367162629303891213141518[[#This Row],[累计净值]]/MAX(INDIRECT("B21:B" &amp; ROW()))-1&lt;E109,表2_367162629303891213141518[[#This Row],[累计净值]]/MAX(INDIRECT("B21:B" &amp; ROW()))-1,E109)</f>
        <v>-2.2768670309654016E-2</v>
      </c>
      <c r="F110" s="110">
        <f>表2_367162629303891213141518[[#This Row],[累计净值]]-0.12</f>
        <v>0.995</v>
      </c>
      <c r="G110" s="109">
        <f>IF(表2_367162629303891213141518[[#This Row],[累计净值]]&gt;1.087,0.7*(表2_367162629303891213141518[[#This Row],[累计净值]]-1.087)/1.087,(表2_367162629303891213141518[[#This Row],[累计净值]]-1.087)/1.087)</f>
        <v>1.8031278748850063E-2</v>
      </c>
      <c r="H110" s="197"/>
    </row>
    <row r="111" spans="1:8" x14ac:dyDescent="0.2">
      <c r="A111" s="15">
        <v>44096</v>
      </c>
      <c r="B111" s="112">
        <v>1.1200000000000001</v>
      </c>
      <c r="C111" s="108">
        <f t="shared" si="26"/>
        <v>5.0000000000001155E-3</v>
      </c>
      <c r="D111" s="109" t="str">
        <f t="shared" si="27"/>
        <v>/</v>
      </c>
      <c r="E111" s="109">
        <f ca="1">IF(表2_367162629303891213141518[[#This Row],[累计净值]]/MAX(INDIRECT("B21:B" &amp; ROW()))-1&lt;E110,表2_367162629303891213141518[[#This Row],[累计净值]]/MAX(INDIRECT("B21:B" &amp; ROW()))-1,E110)</f>
        <v>-2.2768670309654016E-2</v>
      </c>
      <c r="F111" s="110">
        <f>表2_367162629303891213141518[[#This Row],[累计净值]]-0.12</f>
        <v>1</v>
      </c>
      <c r="G111" s="109">
        <f>IF(表2_367162629303891213141518[[#This Row],[累计净值]]&gt;1.087,0.7*(表2_367162629303891213141518[[#This Row],[累计净值]]-1.087)/1.087,(表2_367162629303891213141518[[#This Row],[累计净值]]-1.087)/1.087)</f>
        <v>2.125114995400193E-2</v>
      </c>
      <c r="H111" s="197"/>
    </row>
    <row r="112" spans="1:8" x14ac:dyDescent="0.2">
      <c r="A112" s="15">
        <v>44097</v>
      </c>
      <c r="B112" s="112">
        <v>1.1220000000000001</v>
      </c>
      <c r="C112" s="108">
        <f t="shared" ref="C112:C117" si="28">IFERROR(B112-B111,0)</f>
        <v>2.0000000000000018E-3</v>
      </c>
      <c r="D112" s="109" t="str">
        <f t="shared" ref="D112:D117" si="29">IF(C112&lt;0,C112,"/")</f>
        <v>/</v>
      </c>
      <c r="E112" s="109">
        <f ca="1">IF(表2_367162629303891213141518[[#This Row],[累计净值]]/MAX(INDIRECT("B21:B" &amp; ROW()))-1&lt;E111,表2_367162629303891213141518[[#This Row],[累计净值]]/MAX(INDIRECT("B21:B" &amp; ROW()))-1,E111)</f>
        <v>-2.2768670309654016E-2</v>
      </c>
      <c r="F112" s="110">
        <f>表2_367162629303891213141518[[#This Row],[累计净值]]-0.12</f>
        <v>1.0020000000000002</v>
      </c>
      <c r="G112" s="109">
        <f>IF(表2_367162629303891213141518[[#This Row],[累计净值]]&gt;1.087,0.7*(表2_367162629303891213141518[[#This Row],[累计净值]]-1.087)/1.087,(表2_367162629303891213141518[[#This Row],[累计净值]]-1.087)/1.087)</f>
        <v>2.2539098436062648E-2</v>
      </c>
      <c r="H112" s="197"/>
    </row>
    <row r="113" spans="1:8" x14ac:dyDescent="0.2">
      <c r="A113" s="15">
        <v>44098</v>
      </c>
      <c r="B113" s="112">
        <v>1.119</v>
      </c>
      <c r="C113" s="108">
        <f t="shared" si="28"/>
        <v>-3.0000000000001137E-3</v>
      </c>
      <c r="D113" s="109">
        <f t="shared" si="29"/>
        <v>-3.0000000000001137E-3</v>
      </c>
      <c r="E113" s="109">
        <f ca="1">IF(表2_367162629303891213141518[[#This Row],[累计净值]]/MAX(INDIRECT("B21:B" &amp; ROW()))-1&lt;E112,表2_367162629303891213141518[[#This Row],[累计净值]]/MAX(INDIRECT("B21:B" &amp; ROW()))-1,E112)</f>
        <v>-2.2768670309654016E-2</v>
      </c>
      <c r="F113" s="110">
        <f>表2_367162629303891213141518[[#This Row],[累计净值]]-0.12</f>
        <v>0.999</v>
      </c>
      <c r="G113" s="109">
        <f>IF(表2_367162629303891213141518[[#This Row],[累计净值]]&gt;1.087,0.7*(表2_367162629303891213141518[[#This Row],[累计净值]]-1.087)/1.087,(表2_367162629303891213141518[[#This Row],[累计净值]]-1.087)/1.087)</f>
        <v>2.0607175712971496E-2</v>
      </c>
      <c r="H113" s="197"/>
    </row>
    <row r="114" spans="1:8" x14ac:dyDescent="0.2">
      <c r="A114" s="15">
        <v>44099</v>
      </c>
      <c r="B114" s="112">
        <v>1.117</v>
      </c>
      <c r="C114" s="108">
        <f t="shared" si="28"/>
        <v>-2.0000000000000018E-3</v>
      </c>
      <c r="D114" s="109">
        <f t="shared" si="29"/>
        <v>-2.0000000000000018E-3</v>
      </c>
      <c r="E114" s="109">
        <f ca="1">IF(表2_367162629303891213141518[[#This Row],[累计净值]]/MAX(INDIRECT("B21:B" &amp; ROW()))-1&lt;E113,表2_367162629303891213141518[[#This Row],[累计净值]]/MAX(INDIRECT("B21:B" &amp; ROW()))-1,E113)</f>
        <v>-2.2768670309654016E-2</v>
      </c>
      <c r="F114" s="110">
        <f>表2_367162629303891213141518[[#This Row],[累计净值]]-0.12</f>
        <v>0.997</v>
      </c>
      <c r="G114" s="109">
        <f>IF(表2_367162629303891213141518[[#This Row],[累计净值]]&gt;1.087,0.7*(表2_367162629303891213141518[[#This Row],[累计净值]]-1.087)/1.087,(表2_367162629303891213141518[[#This Row],[累计净值]]-1.087)/1.087)</f>
        <v>1.9319227230910781E-2</v>
      </c>
      <c r="H114" s="197"/>
    </row>
    <row r="115" spans="1:8" x14ac:dyDescent="0.2">
      <c r="A115" s="15">
        <v>44102</v>
      </c>
      <c r="B115" s="112">
        <v>1.1220000000000001</v>
      </c>
      <c r="C115" s="108">
        <f t="shared" si="28"/>
        <v>5.0000000000001155E-3</v>
      </c>
      <c r="D115" s="109" t="str">
        <f t="shared" si="29"/>
        <v>/</v>
      </c>
      <c r="E115" s="109">
        <f ca="1">IF(表2_367162629303891213141518[[#This Row],[累计净值]]/MAX(INDIRECT("B21:B" &amp; ROW()))-1&lt;E114,表2_367162629303891213141518[[#This Row],[累计净值]]/MAX(INDIRECT("B21:B" &amp; ROW()))-1,E114)</f>
        <v>-2.2768670309654016E-2</v>
      </c>
      <c r="F115" s="110">
        <f>表2_367162629303891213141518[[#This Row],[累计净值]]-0.12</f>
        <v>1.0020000000000002</v>
      </c>
      <c r="G115" s="109">
        <f>IF(表2_367162629303891213141518[[#This Row],[累计净值]]&gt;1.087,0.7*(表2_367162629303891213141518[[#This Row],[累计净值]]-1.087)/1.087,(表2_367162629303891213141518[[#This Row],[累计净值]]-1.087)/1.087)</f>
        <v>2.2539098436062648E-2</v>
      </c>
      <c r="H115" s="197"/>
    </row>
    <row r="116" spans="1:8" x14ac:dyDescent="0.2">
      <c r="A116" s="15">
        <v>44103</v>
      </c>
      <c r="B116" s="112">
        <v>1.119</v>
      </c>
      <c r="C116" s="108">
        <f t="shared" si="28"/>
        <v>-3.0000000000001137E-3</v>
      </c>
      <c r="D116" s="109">
        <f t="shared" si="29"/>
        <v>-3.0000000000001137E-3</v>
      </c>
      <c r="E116" s="109">
        <f ca="1">IF(表2_367162629303891213141518[[#This Row],[累计净值]]/MAX(INDIRECT("B21:B" &amp; ROW()))-1&lt;E115,表2_367162629303891213141518[[#This Row],[累计净值]]/MAX(INDIRECT("B21:B" &amp; ROW()))-1,E115)</f>
        <v>-2.2768670309654016E-2</v>
      </c>
      <c r="F116" s="110">
        <f>表2_367162629303891213141518[[#This Row],[累计净值]]-0.12</f>
        <v>0.999</v>
      </c>
      <c r="G116" s="109">
        <f>IF(表2_367162629303891213141518[[#This Row],[累计净值]]&gt;1.087,0.7*(表2_367162629303891213141518[[#This Row],[累计净值]]-1.087)/1.087,(表2_367162629303891213141518[[#This Row],[累计净值]]-1.087)/1.087)</f>
        <v>2.0607175712971496E-2</v>
      </c>
      <c r="H116" s="197"/>
    </row>
    <row r="117" spans="1:8" x14ac:dyDescent="0.2">
      <c r="A117" s="15">
        <v>44104</v>
      </c>
      <c r="B117" s="112">
        <v>1.123</v>
      </c>
      <c r="C117" s="108">
        <f t="shared" si="28"/>
        <v>4.0000000000000036E-3</v>
      </c>
      <c r="D117" s="109" t="str">
        <f t="shared" si="29"/>
        <v>/</v>
      </c>
      <c r="E117" s="109">
        <f ca="1">IF(表2_367162629303891213141518[[#This Row],[累计净值]]/MAX(INDIRECT("B21:B" &amp; ROW()))-1&lt;E116,表2_367162629303891213141518[[#This Row],[累计净值]]/MAX(INDIRECT("B21:B" &amp; ROW()))-1,E116)</f>
        <v>-2.2768670309654016E-2</v>
      </c>
      <c r="F117" s="110">
        <f>表2_367162629303891213141518[[#This Row],[累计净值]]-0.12</f>
        <v>1.0030000000000001</v>
      </c>
      <c r="G117" s="109">
        <f>IF(表2_367162629303891213141518[[#This Row],[累计净值]]&gt;1.087,0.7*(表2_367162629303891213141518[[#This Row],[累计净值]]-1.087)/1.087,(表2_367162629303891213141518[[#This Row],[累计净值]]-1.087)/1.087)</f>
        <v>2.3183072677092936E-2</v>
      </c>
      <c r="H117" s="197"/>
    </row>
    <row r="118" spans="1:8" x14ac:dyDescent="0.2">
      <c r="A118" s="15">
        <v>44113</v>
      </c>
      <c r="B118" s="112">
        <v>1.1279999999999999</v>
      </c>
      <c r="C118" s="108">
        <f t="shared" ref="C118:C124" si="30">IFERROR(B118-B117,0)</f>
        <v>4.9999999999998934E-3</v>
      </c>
      <c r="D118" s="109" t="str">
        <f t="shared" ref="D118:D124" si="31">IF(C118&lt;0,C118,"/")</f>
        <v>/</v>
      </c>
      <c r="E118" s="109">
        <f ca="1">IF(表2_367162629303891213141518[[#This Row],[累计净值]]/MAX(INDIRECT("B21:B" &amp; ROW()))-1&lt;E117,表2_367162629303891213141518[[#This Row],[累计净值]]/MAX(INDIRECT("B21:B" &amp; ROW()))-1,E117)</f>
        <v>-2.2768670309654016E-2</v>
      </c>
      <c r="F118" s="110">
        <f>表2_367162629303891213141518[[#This Row],[累计净值]]-0.12</f>
        <v>1.008</v>
      </c>
      <c r="G118" s="109">
        <f>IF(表2_367162629303891213141518[[#This Row],[累计净值]]&gt;1.087,0.7*(表2_367162629303891213141518[[#This Row],[累计净值]]-1.087)/1.087,(表2_367162629303891213141518[[#This Row],[累计净值]]-1.087)/1.087)</f>
        <v>2.6402943882244661E-2</v>
      </c>
      <c r="H118" s="197"/>
    </row>
    <row r="119" spans="1:8" x14ac:dyDescent="0.2">
      <c r="A119" s="15">
        <v>44116</v>
      </c>
      <c r="B119" s="112">
        <v>1.1259999999999999</v>
      </c>
      <c r="C119" s="108">
        <f t="shared" si="30"/>
        <v>-2.0000000000000018E-3</v>
      </c>
      <c r="D119" s="109">
        <f t="shared" si="31"/>
        <v>-2.0000000000000018E-3</v>
      </c>
      <c r="E119" s="109">
        <f ca="1">IF(表2_367162629303891213141518[[#This Row],[累计净值]]/MAX(INDIRECT("B21:B" &amp; ROW()))-1&lt;E118,表2_367162629303891213141518[[#This Row],[累计净值]]/MAX(INDIRECT("B21:B" &amp; ROW()))-1,E118)</f>
        <v>-2.2768670309654016E-2</v>
      </c>
      <c r="F119" s="110">
        <f>表2_367162629303891213141518[[#This Row],[累计净值]]-0.12</f>
        <v>1.0059999999999998</v>
      </c>
      <c r="G119" s="109">
        <f>IF(表2_367162629303891213141518[[#This Row],[累计净值]]&gt;1.087,0.7*(表2_367162629303891213141518[[#This Row],[累计净值]]-1.087)/1.087,(表2_367162629303891213141518[[#This Row],[累计净值]]-1.087)/1.087)</f>
        <v>2.5114995400183943E-2</v>
      </c>
      <c r="H119" s="197"/>
    </row>
    <row r="120" spans="1:8" x14ac:dyDescent="0.2">
      <c r="A120" s="15">
        <v>44117</v>
      </c>
      <c r="B120" s="112">
        <v>1.1259999999999999</v>
      </c>
      <c r="C120" s="108">
        <f t="shared" si="30"/>
        <v>0</v>
      </c>
      <c r="D120" s="109" t="str">
        <f t="shared" si="31"/>
        <v>/</v>
      </c>
      <c r="E120" s="109">
        <f ca="1">IF(表2_367162629303891213141518[[#This Row],[累计净值]]/MAX(INDIRECT("B21:B" &amp; ROW()))-1&lt;E119,表2_367162629303891213141518[[#This Row],[累计净值]]/MAX(INDIRECT("B21:B" &amp; ROW()))-1,E119)</f>
        <v>-2.2768670309654016E-2</v>
      </c>
      <c r="F120" s="110">
        <f>表2_367162629303891213141518[[#This Row],[累计净值]]-0.12</f>
        <v>1.0059999999999998</v>
      </c>
      <c r="G120" s="109">
        <f>IF(表2_367162629303891213141518[[#This Row],[累计净值]]&gt;1.087,0.7*(表2_367162629303891213141518[[#This Row],[累计净值]]-1.087)/1.087,(表2_367162629303891213141518[[#This Row],[累计净值]]-1.087)/1.087)</f>
        <v>2.5114995400183943E-2</v>
      </c>
      <c r="H120" s="197"/>
    </row>
    <row r="121" spans="1:8" x14ac:dyDescent="0.2">
      <c r="A121" s="15">
        <v>44118</v>
      </c>
      <c r="B121" s="112">
        <v>1.131</v>
      </c>
      <c r="C121" s="108">
        <f t="shared" si="30"/>
        <v>5.0000000000001155E-3</v>
      </c>
      <c r="D121" s="109" t="str">
        <f t="shared" si="31"/>
        <v>/</v>
      </c>
      <c r="E121" s="109">
        <f ca="1">IF(表2_367162629303891213141518[[#This Row],[累计净值]]/MAX(INDIRECT("B21:B" &amp; ROW()))-1&lt;E120,表2_367162629303891213141518[[#This Row],[累计净值]]/MAX(INDIRECT("B21:B" &amp; ROW()))-1,E120)</f>
        <v>-2.2768670309654016E-2</v>
      </c>
      <c r="F121" s="110">
        <f>表2_367162629303891213141518[[#This Row],[累计净值]]-0.12</f>
        <v>1.0110000000000001</v>
      </c>
      <c r="G121" s="109">
        <f>IF(表2_367162629303891213141518[[#This Row],[累计净值]]&gt;1.087,0.7*(表2_367162629303891213141518[[#This Row],[累计净值]]-1.087)/1.087,(表2_367162629303891213141518[[#This Row],[累计净值]]-1.087)/1.087)</f>
        <v>2.8334866605335809E-2</v>
      </c>
      <c r="H121" s="197"/>
    </row>
    <row r="122" spans="1:8" x14ac:dyDescent="0.2">
      <c r="A122" s="15">
        <v>44119</v>
      </c>
      <c r="B122" s="112">
        <v>1.1259999999999999</v>
      </c>
      <c r="C122" s="108">
        <f t="shared" si="30"/>
        <v>-5.0000000000001155E-3</v>
      </c>
      <c r="D122" s="109">
        <f t="shared" si="31"/>
        <v>-5.0000000000001155E-3</v>
      </c>
      <c r="E122" s="109">
        <f ca="1">IF(表2_367162629303891213141518[[#This Row],[累计净值]]/MAX(INDIRECT("B21:B" &amp; ROW()))-1&lt;E121,表2_367162629303891213141518[[#This Row],[累计净值]]/MAX(INDIRECT("B21:B" &amp; ROW()))-1,E121)</f>
        <v>-2.2768670309654016E-2</v>
      </c>
      <c r="F122" s="110">
        <f>表2_367162629303891213141518[[#This Row],[累计净值]]-0.12</f>
        <v>1.0059999999999998</v>
      </c>
      <c r="G122" s="109">
        <f>IF(表2_367162629303891213141518[[#This Row],[累计净值]]&gt;1.087,0.7*(表2_367162629303891213141518[[#This Row],[累计净值]]-1.087)/1.087,(表2_367162629303891213141518[[#This Row],[累计净值]]-1.087)/1.087)</f>
        <v>2.5114995400183943E-2</v>
      </c>
      <c r="H122" s="197"/>
    </row>
    <row r="123" spans="1:8" x14ac:dyDescent="0.2">
      <c r="A123" s="9">
        <v>44120</v>
      </c>
      <c r="B123" s="190">
        <v>1.129</v>
      </c>
      <c r="C123" s="191">
        <f t="shared" si="30"/>
        <v>3.0000000000001137E-3</v>
      </c>
      <c r="D123" s="192" t="str">
        <f t="shared" si="31"/>
        <v>/</v>
      </c>
      <c r="E123" s="192">
        <f ca="1">IF(表2_367162629303891213141518[[#This Row],[累计净值]]/MAX(INDIRECT("B21:B" &amp; ROW()))-1&lt;E122,表2_367162629303891213141518[[#This Row],[累计净值]]/MAX(INDIRECT("B21:B" &amp; ROW()))-1,E122)</f>
        <v>-2.2768670309654016E-2</v>
      </c>
      <c r="F123" s="193">
        <f>表2_367162629303891213141518[[#This Row],[累计净值]]-0.12</f>
        <v>1.0089999999999999</v>
      </c>
      <c r="G123" s="192">
        <f>IF(表2_367162629303891213141518[[#This Row],[累计净值]]&gt;1.087,0.7*(表2_367162629303891213141518[[#This Row],[累计净值]]-1.087)/1.087,(表2_367162629303891213141518[[#This Row],[累计净值]]-1.087)/1.087)</f>
        <v>2.7046918123275091E-2</v>
      </c>
      <c r="H123" s="199"/>
    </row>
    <row r="124" spans="1:8" x14ac:dyDescent="0.2">
      <c r="A124" s="15">
        <v>44123</v>
      </c>
      <c r="B124" s="112">
        <v>1.127</v>
      </c>
      <c r="C124" s="108">
        <f t="shared" si="30"/>
        <v>-2.0000000000000018E-3</v>
      </c>
      <c r="D124" s="109">
        <f t="shared" si="31"/>
        <v>-2.0000000000000018E-3</v>
      </c>
      <c r="E124" s="109">
        <f ca="1">IF(表2_367162629303891213141518[[#This Row],[累计净值]]/MAX(INDIRECT("B21:B" &amp; ROW()))-1&lt;E123,表2_367162629303891213141518[[#This Row],[累计净值]]/MAX(INDIRECT("B21:B" &amp; ROW()))-1,E123)</f>
        <v>-2.2768670309654016E-2</v>
      </c>
      <c r="F124" s="110">
        <f>表2_367162629303891213141518[[#This Row],[累计净值]]-0.12</f>
        <v>1.0070000000000001</v>
      </c>
      <c r="G124" s="109">
        <f>IF(表2_367162629303891213141518[[#This Row],[累计净值]]&gt;1.087,0.7*(表2_367162629303891213141518[[#This Row],[累计净值]]-1.087)/1.087,(表2_367162629303891213141518[[#This Row],[累计净值]]-1.087)/1.087)</f>
        <v>2.5758969641214373E-2</v>
      </c>
      <c r="H124" s="109">
        <f>IF(表2_367162629303891213141518[[#This Row],[累计净值]]&gt;1.129,0.7*(表2_367162629303891213141518[[#This Row],[累计净值]]-1.129)/1.129,(表2_367162629303891213141518[[#This Row],[累计净值]]-1.129)/1.129)</f>
        <v>-1.7714791851195764E-3</v>
      </c>
    </row>
    <row r="125" spans="1:8" x14ac:dyDescent="0.2">
      <c r="A125" s="15">
        <v>44124</v>
      </c>
      <c r="B125" s="112">
        <v>1.1279999999999999</v>
      </c>
      <c r="C125" s="108">
        <f t="shared" ref="C125:C130" si="32">IFERROR(B125-B124,0)</f>
        <v>9.9999999999988987E-4</v>
      </c>
      <c r="D125" s="109" t="str">
        <f t="shared" ref="D125:D130" si="33">IF(C125&lt;0,C125,"/")</f>
        <v>/</v>
      </c>
      <c r="E125" s="109">
        <f ca="1">IF(表2_367162629303891213141518[[#This Row],[累计净值]]/MAX(INDIRECT("B21:B" &amp; ROW()))-1&lt;E124,表2_367162629303891213141518[[#This Row],[累计净值]]/MAX(INDIRECT("B21:B" &amp; ROW()))-1,E124)</f>
        <v>-2.2768670309654016E-2</v>
      </c>
      <c r="F125" s="110">
        <f>表2_367162629303891213141518[[#This Row],[累计净值]]-0.12</f>
        <v>1.008</v>
      </c>
      <c r="G125" s="109">
        <f>IF(表2_367162629303891213141518[[#This Row],[累计净值]]&gt;1.087,0.7*(表2_367162629303891213141518[[#This Row],[累计净值]]-1.087)/1.087,(表2_367162629303891213141518[[#This Row],[累计净值]]-1.087)/1.087)</f>
        <v>2.6402943882244661E-2</v>
      </c>
      <c r="H125" s="109">
        <f>IF(表2_367162629303891213141518[[#This Row],[累计净值]]&gt;1.129,0.7*(表2_367162629303891213141518[[#This Row],[累计净值]]-1.129)/1.129,(表2_367162629303891213141518[[#This Row],[累计净值]]-1.129)/1.129)</f>
        <v>-8.8573959255988655E-4</v>
      </c>
    </row>
    <row r="126" spans="1:8" x14ac:dyDescent="0.2">
      <c r="A126" s="15">
        <v>44125</v>
      </c>
      <c r="B126" s="112">
        <v>1.1279999999999999</v>
      </c>
      <c r="C126" s="108">
        <f t="shared" si="32"/>
        <v>0</v>
      </c>
      <c r="D126" s="109" t="str">
        <f t="shared" si="33"/>
        <v>/</v>
      </c>
      <c r="E126" s="109">
        <f ca="1">IF(表2_367162629303891213141518[[#This Row],[累计净值]]/MAX(INDIRECT("B21:B" &amp; ROW()))-1&lt;E125,表2_367162629303891213141518[[#This Row],[累计净值]]/MAX(INDIRECT("B21:B" &amp; ROW()))-1,E125)</f>
        <v>-2.2768670309654016E-2</v>
      </c>
      <c r="F126" s="110">
        <f>表2_367162629303891213141518[[#This Row],[累计净值]]-0.12</f>
        <v>1.008</v>
      </c>
      <c r="G126" s="109">
        <f>IF(表2_367162629303891213141518[[#This Row],[累计净值]]&gt;1.087,0.7*(表2_367162629303891213141518[[#This Row],[累计净值]]-1.087)/1.087,(表2_367162629303891213141518[[#This Row],[累计净值]]-1.087)/1.087)</f>
        <v>2.6402943882244661E-2</v>
      </c>
      <c r="H126" s="109">
        <f>IF(表2_367162629303891213141518[[#This Row],[累计净值]]&gt;1.129,0.7*(表2_367162629303891213141518[[#This Row],[累计净值]]-1.129)/1.129,(表2_367162629303891213141518[[#This Row],[累计净值]]-1.129)/1.129)</f>
        <v>-8.8573959255988655E-4</v>
      </c>
    </row>
    <row r="127" spans="1:8" x14ac:dyDescent="0.2">
      <c r="A127" s="15">
        <v>44126</v>
      </c>
      <c r="B127" s="112">
        <v>1.1279999999999999</v>
      </c>
      <c r="C127" s="108">
        <f t="shared" si="32"/>
        <v>0</v>
      </c>
      <c r="D127" s="109" t="str">
        <f t="shared" si="33"/>
        <v>/</v>
      </c>
      <c r="E127" s="109">
        <f ca="1">IF(表2_367162629303891213141518[[#This Row],[累计净值]]/MAX(INDIRECT("B21:B" &amp; ROW()))-1&lt;E126,表2_367162629303891213141518[[#This Row],[累计净值]]/MAX(INDIRECT("B21:B" &amp; ROW()))-1,E126)</f>
        <v>-2.2768670309654016E-2</v>
      </c>
      <c r="F127" s="110">
        <f>表2_367162629303891213141518[[#This Row],[累计净值]]-0.12</f>
        <v>1.008</v>
      </c>
      <c r="G127" s="109">
        <f>IF(表2_367162629303891213141518[[#This Row],[累计净值]]&gt;1.087,0.7*(表2_367162629303891213141518[[#This Row],[累计净值]]-1.087)/1.087,(表2_367162629303891213141518[[#This Row],[累计净值]]-1.087)/1.087)</f>
        <v>2.6402943882244661E-2</v>
      </c>
      <c r="H127" s="109">
        <f>IF(表2_367162629303891213141518[[#This Row],[累计净值]]&gt;1.129,0.7*(表2_367162629303891213141518[[#This Row],[累计净值]]-1.129)/1.129,(表2_367162629303891213141518[[#This Row],[累计净值]]-1.129)/1.129)</f>
        <v>-8.8573959255988655E-4</v>
      </c>
    </row>
    <row r="128" spans="1:8" x14ac:dyDescent="0.2">
      <c r="A128" s="15">
        <v>44127</v>
      </c>
      <c r="B128" s="112">
        <v>1.1279999999999999</v>
      </c>
      <c r="C128" s="108">
        <f t="shared" si="32"/>
        <v>0</v>
      </c>
      <c r="D128" s="109" t="str">
        <f t="shared" si="33"/>
        <v>/</v>
      </c>
      <c r="E128" s="109">
        <f ca="1">IF(表2_367162629303891213141518[[#This Row],[累计净值]]/MAX(INDIRECT("B21:B" &amp; ROW()))-1&lt;E127,表2_367162629303891213141518[[#This Row],[累计净值]]/MAX(INDIRECT("B21:B" &amp; ROW()))-1,E127)</f>
        <v>-2.2768670309654016E-2</v>
      </c>
      <c r="F128" s="110">
        <f>表2_367162629303891213141518[[#This Row],[累计净值]]-0.12</f>
        <v>1.008</v>
      </c>
      <c r="G128" s="109">
        <f>IF(表2_367162629303891213141518[[#This Row],[累计净值]]&gt;1.087,0.7*(表2_367162629303891213141518[[#This Row],[累计净值]]-1.087)/1.087,(表2_367162629303891213141518[[#This Row],[累计净值]]-1.087)/1.087)</f>
        <v>2.6402943882244661E-2</v>
      </c>
      <c r="H128" s="109">
        <f>IF(表2_367162629303891213141518[[#This Row],[累计净值]]&gt;1.129,0.7*(表2_367162629303891213141518[[#This Row],[累计净值]]-1.129)/1.129,(表2_367162629303891213141518[[#This Row],[累计净值]]-1.129)/1.129)</f>
        <v>-8.8573959255988655E-4</v>
      </c>
    </row>
    <row r="129" spans="1:8" x14ac:dyDescent="0.2">
      <c r="A129" s="15">
        <v>44130</v>
      </c>
      <c r="B129" s="112">
        <v>1.127</v>
      </c>
      <c r="C129" s="108">
        <f t="shared" si="32"/>
        <v>-9.9999999999988987E-4</v>
      </c>
      <c r="D129" s="109">
        <f t="shared" si="33"/>
        <v>-9.9999999999988987E-4</v>
      </c>
      <c r="E129" s="109">
        <f ca="1">IF(表2_367162629303891213141518[[#This Row],[累计净值]]/MAX(INDIRECT("B21:B" &amp; ROW()))-1&lt;E128,表2_367162629303891213141518[[#This Row],[累计净值]]/MAX(INDIRECT("B21:B" &amp; ROW()))-1,E128)</f>
        <v>-2.2768670309654016E-2</v>
      </c>
      <c r="F129" s="110">
        <f>表2_367162629303891213141518[[#This Row],[累计净值]]-0.12</f>
        <v>1.0070000000000001</v>
      </c>
      <c r="G129" s="109">
        <f>IF(表2_367162629303891213141518[[#This Row],[累计净值]]&gt;1.087,0.7*(表2_367162629303891213141518[[#This Row],[累计净值]]-1.087)/1.087,(表2_367162629303891213141518[[#This Row],[累计净值]]-1.087)/1.087)</f>
        <v>2.5758969641214373E-2</v>
      </c>
      <c r="H129" s="109">
        <f>IF(表2_367162629303891213141518[[#This Row],[累计净值]]&gt;1.129,0.7*(表2_367162629303891213141518[[#This Row],[累计净值]]-1.129)/1.129,(表2_367162629303891213141518[[#This Row],[累计净值]]-1.129)/1.129)</f>
        <v>-1.7714791851195764E-3</v>
      </c>
    </row>
    <row r="130" spans="1:8" x14ac:dyDescent="0.2">
      <c r="A130" s="15">
        <v>44131</v>
      </c>
      <c r="B130" s="112">
        <v>1.1259999999999999</v>
      </c>
      <c r="C130" s="108">
        <f t="shared" si="32"/>
        <v>-1.0000000000001119E-3</v>
      </c>
      <c r="D130" s="109">
        <f t="shared" si="33"/>
        <v>-1.0000000000001119E-3</v>
      </c>
      <c r="E130" s="109">
        <f ca="1">IF(表2_367162629303891213141518[[#This Row],[累计净值]]/MAX(INDIRECT("B21:B" &amp; ROW()))-1&lt;E129,表2_367162629303891213141518[[#This Row],[累计净值]]/MAX(INDIRECT("B21:B" &amp; ROW()))-1,E129)</f>
        <v>-2.2768670309654016E-2</v>
      </c>
      <c r="F130" s="110">
        <f>表2_367162629303891213141518[[#This Row],[累计净值]]-0.12</f>
        <v>1.0059999999999998</v>
      </c>
      <c r="G130" s="109">
        <f>IF(表2_367162629303891213141518[[#This Row],[累计净值]]&gt;1.087,0.7*(表2_367162629303891213141518[[#This Row],[累计净值]]-1.087)/1.087,(表2_367162629303891213141518[[#This Row],[累计净值]]-1.087)/1.087)</f>
        <v>2.5114995400183943E-2</v>
      </c>
      <c r="H130" s="109">
        <f>IF(表2_367162629303891213141518[[#This Row],[累计净值]]&gt;1.129,0.7*(表2_367162629303891213141518[[#This Row],[累计净值]]-1.129)/1.129,(表2_367162629303891213141518[[#This Row],[累计净值]]-1.129)/1.129)</f>
        <v>-2.6572187776794627E-3</v>
      </c>
    </row>
    <row r="131" spans="1:8" x14ac:dyDescent="0.2">
      <c r="A131" s="15">
        <v>44132</v>
      </c>
      <c r="B131" s="112">
        <v>1.1259999999999999</v>
      </c>
      <c r="C131" s="108">
        <f>IFERROR(B131-B130,0)</f>
        <v>0</v>
      </c>
      <c r="D131" s="109" t="str">
        <f>IF(C131&lt;0,C131,"/")</f>
        <v>/</v>
      </c>
      <c r="E131" s="109">
        <f ca="1">IF(表2_367162629303891213141518[[#This Row],[累计净值]]/MAX(INDIRECT("B21:B" &amp; ROW()))-1&lt;E130,表2_367162629303891213141518[[#This Row],[累计净值]]/MAX(INDIRECT("B21:B" &amp; ROW()))-1,E130)</f>
        <v>-2.2768670309654016E-2</v>
      </c>
      <c r="F131" s="110">
        <f>表2_367162629303891213141518[[#This Row],[累计净值]]-0.12</f>
        <v>1.0059999999999998</v>
      </c>
      <c r="G131" s="109">
        <f>IF(表2_367162629303891213141518[[#This Row],[累计净值]]&gt;1.087,0.7*(表2_367162629303891213141518[[#This Row],[累计净值]]-1.087)/1.087,(表2_367162629303891213141518[[#This Row],[累计净值]]-1.087)/1.087)</f>
        <v>2.5114995400183943E-2</v>
      </c>
      <c r="H131" s="109">
        <f>IF(表2_367162629303891213141518[[#This Row],[累计净值]]&gt;1.129,0.7*(表2_367162629303891213141518[[#This Row],[累计净值]]-1.129)/1.129,(表2_367162629303891213141518[[#This Row],[累计净值]]-1.129)/1.129)</f>
        <v>-2.6572187776794627E-3</v>
      </c>
    </row>
    <row r="132" spans="1:8" x14ac:dyDescent="0.2">
      <c r="A132" s="15">
        <v>44133</v>
      </c>
      <c r="B132" s="112">
        <v>1.1279999999999999</v>
      </c>
      <c r="C132" s="108">
        <f>IFERROR(B132-B131,0)</f>
        <v>2.0000000000000018E-3</v>
      </c>
      <c r="D132" s="109" t="str">
        <f>IF(C132&lt;0,C132,"/")</f>
        <v>/</v>
      </c>
      <c r="E132" s="109">
        <f ca="1">IF(表2_367162629303891213141518[[#This Row],[累计净值]]/MAX(INDIRECT("B21:B" &amp; ROW()))-1&lt;E131,表2_367162629303891213141518[[#This Row],[累计净值]]/MAX(INDIRECT("B21:B" &amp; ROW()))-1,E131)</f>
        <v>-2.2768670309654016E-2</v>
      </c>
      <c r="F132" s="110">
        <f>表2_367162629303891213141518[[#This Row],[累计净值]]-0.12</f>
        <v>1.008</v>
      </c>
      <c r="G132" s="109">
        <f>IF(表2_367162629303891213141518[[#This Row],[累计净值]]&gt;1.087,0.7*(表2_367162629303891213141518[[#This Row],[累计净值]]-1.087)/1.087,(表2_367162629303891213141518[[#This Row],[累计净值]]-1.087)/1.087)</f>
        <v>2.6402943882244661E-2</v>
      </c>
      <c r="H132" s="109">
        <f>IF(表2_367162629303891213141518[[#This Row],[累计净值]]&gt;1.129,0.7*(表2_367162629303891213141518[[#This Row],[累计净值]]-1.129)/1.129,(表2_367162629303891213141518[[#This Row],[累计净值]]-1.129)/1.129)</f>
        <v>-8.8573959255988655E-4</v>
      </c>
    </row>
    <row r="133" spans="1:8" x14ac:dyDescent="0.2">
      <c r="A133" s="15">
        <v>44134</v>
      </c>
      <c r="B133" s="112">
        <v>1.127</v>
      </c>
      <c r="C133" s="108">
        <f>IFERROR(B133-B132,0)</f>
        <v>-9.9999999999988987E-4</v>
      </c>
      <c r="D133" s="109">
        <f>IF(C133&lt;0,C133,"/")</f>
        <v>-9.9999999999988987E-4</v>
      </c>
      <c r="E133" s="109">
        <f ca="1">IF(表2_367162629303891213141518[[#This Row],[累计净值]]/MAX(INDIRECT("B21:B" &amp; ROW()))-1&lt;E132,表2_367162629303891213141518[[#This Row],[累计净值]]/MAX(INDIRECT("B21:B" &amp; ROW()))-1,E132)</f>
        <v>-2.2768670309654016E-2</v>
      </c>
      <c r="F133" s="110">
        <f>表2_367162629303891213141518[[#This Row],[累计净值]]-0.12</f>
        <v>1.0070000000000001</v>
      </c>
      <c r="G133" s="109">
        <f>IF(表2_367162629303891213141518[[#This Row],[累计净值]]&gt;1.087,0.7*(表2_367162629303891213141518[[#This Row],[累计净值]]-1.087)/1.087,(表2_367162629303891213141518[[#This Row],[累计净值]]-1.087)/1.087)</f>
        <v>2.5758969641214373E-2</v>
      </c>
      <c r="H133" s="109">
        <f>IF(表2_367162629303891213141518[[#This Row],[累计净值]]&gt;1.129,0.7*(表2_367162629303891213141518[[#This Row],[累计净值]]-1.129)/1.129,(表2_367162629303891213141518[[#This Row],[累计净值]]-1.129)/1.129)</f>
        <v>-1.7714791851195764E-3</v>
      </c>
    </row>
    <row r="134" spans="1:8" x14ac:dyDescent="0.2">
      <c r="A134" s="15">
        <v>44137</v>
      </c>
      <c r="B134" s="112">
        <v>1.1259999999999999</v>
      </c>
      <c r="C134" s="108">
        <f>IFERROR(B134-#REF!,0)</f>
        <v>0</v>
      </c>
      <c r="D134" s="109" t="str">
        <f t="shared" ref="D134:D135" si="34">IF(C134&lt;0,C134,"/")</f>
        <v>/</v>
      </c>
      <c r="E134" s="109">
        <f ca="1">IF(表2_367162629303891213141518[[#This Row],[累计净值]]/MAX(INDIRECT("B21:B" &amp; ROW()))-1&lt;E133,表2_367162629303891213141518[[#This Row],[累计净值]]/MAX(INDIRECT("B21:B" &amp; ROW()))-1,E133)</f>
        <v>-2.2768670309654016E-2</v>
      </c>
      <c r="F134" s="110">
        <f>表2_367162629303891213141518[[#This Row],[累计净值]]-0.12</f>
        <v>1.0059999999999998</v>
      </c>
      <c r="G134" s="109">
        <f>IF(表2_367162629303891213141518[[#This Row],[累计净值]]&gt;1.087,0.7*(表2_367162629303891213141518[[#This Row],[累计净值]]-1.087)/1.087,(表2_367162629303891213141518[[#This Row],[累计净值]]-1.087)/1.087)</f>
        <v>2.5114995400183943E-2</v>
      </c>
      <c r="H134" s="109">
        <f>IF(表2_367162629303891213141518[[#This Row],[累计净值]]&gt;1.129,0.7*(表2_367162629303891213141518[[#This Row],[累计净值]]-1.129)/1.129,(表2_367162629303891213141518[[#This Row],[累计净值]]-1.129)/1.129)</f>
        <v>-2.6572187776794627E-3</v>
      </c>
    </row>
    <row r="135" spans="1:8" x14ac:dyDescent="0.2">
      <c r="A135" s="15">
        <v>44138</v>
      </c>
      <c r="B135" s="112">
        <v>1.1279999999999999</v>
      </c>
      <c r="C135" s="108">
        <f t="shared" ref="C135" si="35">IFERROR(B135-B134,0)</f>
        <v>2.0000000000000018E-3</v>
      </c>
      <c r="D135" s="109" t="str">
        <f t="shared" si="34"/>
        <v>/</v>
      </c>
      <c r="E135" s="109">
        <f ca="1">IF(表2_367162629303891213141518[[#This Row],[累计净值]]/MAX(INDIRECT("B21:B" &amp; ROW()))-1&lt;E134,表2_367162629303891213141518[[#This Row],[累计净值]]/MAX(INDIRECT("B21:B" &amp; ROW()))-1,E134)</f>
        <v>-2.2768670309654016E-2</v>
      </c>
      <c r="F135" s="110">
        <f>表2_367162629303891213141518[[#This Row],[累计净值]]-0.12</f>
        <v>1.008</v>
      </c>
      <c r="G135" s="109">
        <f>IF(表2_367162629303891213141518[[#This Row],[累计净值]]&gt;1.087,0.7*(表2_367162629303891213141518[[#This Row],[累计净值]]-1.087)/1.087,(表2_367162629303891213141518[[#This Row],[累计净值]]-1.087)/1.087)</f>
        <v>2.6402943882244661E-2</v>
      </c>
      <c r="H135" s="109">
        <f>IF(表2_367162629303891213141518[[#This Row],[累计净值]]&gt;1.129,0.7*(表2_367162629303891213141518[[#This Row],[累计净值]]-1.129)/1.129,(表2_367162629303891213141518[[#This Row],[累计净值]]-1.129)/1.129)</f>
        <v>-8.8573959255988655E-4</v>
      </c>
    </row>
    <row r="136" spans="1:8" x14ac:dyDescent="0.2">
      <c r="A136" s="15">
        <v>44139</v>
      </c>
      <c r="B136" s="112">
        <v>1.1279999999999999</v>
      </c>
      <c r="C136" s="108">
        <f t="shared" ref="C136:C141" si="36">IFERROR(B136-B135,0)</f>
        <v>0</v>
      </c>
      <c r="D136" s="109" t="str">
        <f t="shared" ref="D136:D141" si="37">IF(C136&lt;0,C136,"/")</f>
        <v>/</v>
      </c>
      <c r="E136" s="109">
        <f ca="1">IF(表2_367162629303891213141518[[#This Row],[累计净值]]/MAX(INDIRECT("B21:B" &amp; ROW()))-1&lt;E135,表2_367162629303891213141518[[#This Row],[累计净值]]/MAX(INDIRECT("B21:B" &amp; ROW()))-1,E135)</f>
        <v>-2.2768670309654016E-2</v>
      </c>
      <c r="F136" s="110">
        <f>表2_367162629303891213141518[[#This Row],[累计净值]]-0.12</f>
        <v>1.008</v>
      </c>
      <c r="G136" s="109">
        <f>IF(表2_367162629303891213141518[[#This Row],[累计净值]]&gt;1.087,0.7*(表2_367162629303891213141518[[#This Row],[累计净值]]-1.087)/1.087,(表2_367162629303891213141518[[#This Row],[累计净值]]-1.087)/1.087)</f>
        <v>2.6402943882244661E-2</v>
      </c>
      <c r="H136" s="109">
        <f>IF(表2_367162629303891213141518[[#This Row],[累计净值]]&gt;1.129,0.7*(表2_367162629303891213141518[[#This Row],[累计净值]]-1.129)/1.129,(表2_367162629303891213141518[[#This Row],[累计净值]]-1.129)/1.129)</f>
        <v>-8.8573959255988655E-4</v>
      </c>
    </row>
    <row r="137" spans="1:8" x14ac:dyDescent="0.2">
      <c r="A137" s="15">
        <v>44140</v>
      </c>
      <c r="B137" s="117">
        <v>1.1319999999999999</v>
      </c>
      <c r="C137" s="108">
        <f t="shared" si="36"/>
        <v>4.0000000000000036E-3</v>
      </c>
      <c r="D137" s="109" t="str">
        <f t="shared" si="37"/>
        <v>/</v>
      </c>
      <c r="E137" s="109">
        <f ca="1">IF(表2_367162629303891213141518[[#This Row],[累计净值]]/MAX(INDIRECT("B21:B" &amp; ROW()))-1&lt;E136,表2_367162629303891213141518[[#This Row],[累计净值]]/MAX(INDIRECT("B21:B" &amp; ROW()))-1,E136)</f>
        <v>-2.2768670309654016E-2</v>
      </c>
      <c r="F137" s="110">
        <f>表2_367162629303891213141518[[#This Row],[累计净值]]-0.12</f>
        <v>1.012</v>
      </c>
      <c r="G137" s="109">
        <f>IF(表2_367162629303891213141518[[#This Row],[累计净值]]&gt;1.087,0.7*(表2_367162629303891213141518[[#This Row],[累计净值]]-1.087)/1.087,(表2_367162629303891213141518[[#This Row],[累计净值]]-1.087)/1.087)</f>
        <v>2.8978840846366101E-2</v>
      </c>
      <c r="H137" s="109">
        <f>IF(表2_367162629303891213141518[[#This Row],[累计净值]]&gt;1.129,0.7*(表2_367162629303891213141518[[#This Row],[累计净值]]-1.129)/1.129,(表2_367162629303891213141518[[#This Row],[累计净值]]-1.129)/1.129)</f>
        <v>1.8600531443754861E-3</v>
      </c>
    </row>
    <row r="138" spans="1:8" x14ac:dyDescent="0.2">
      <c r="A138" s="15">
        <v>44141</v>
      </c>
      <c r="B138" s="112">
        <v>1.1279999999999999</v>
      </c>
      <c r="C138" s="108">
        <f t="shared" si="36"/>
        <v>-4.0000000000000036E-3</v>
      </c>
      <c r="D138" s="109">
        <f t="shared" si="37"/>
        <v>-4.0000000000000036E-3</v>
      </c>
      <c r="E138" s="109">
        <f ca="1">IF(表2_367162629303891213141518[[#This Row],[累计净值]]/MAX(INDIRECT("B21:B" &amp; ROW()))-1&lt;E137,表2_367162629303891213141518[[#This Row],[累计净值]]/MAX(INDIRECT("B21:B" &amp; ROW()))-1,E137)</f>
        <v>-2.2768670309654016E-2</v>
      </c>
      <c r="F138" s="110">
        <f>表2_367162629303891213141518[[#This Row],[累计净值]]-0.12</f>
        <v>1.008</v>
      </c>
      <c r="G138" s="109">
        <f>IF(表2_367162629303891213141518[[#This Row],[累计净值]]&gt;1.087,0.7*(表2_367162629303891213141518[[#This Row],[累计净值]]-1.087)/1.087,(表2_367162629303891213141518[[#This Row],[累计净值]]-1.087)/1.087)</f>
        <v>2.6402943882244661E-2</v>
      </c>
      <c r="H138" s="109">
        <f>IF(表2_367162629303891213141518[[#This Row],[累计净值]]&gt;1.129,0.7*(表2_367162629303891213141518[[#This Row],[累计净值]]-1.129)/1.129,(表2_367162629303891213141518[[#This Row],[累计净值]]-1.129)/1.129)</f>
        <v>-8.8573959255988655E-4</v>
      </c>
    </row>
    <row r="139" spans="1:8" x14ac:dyDescent="0.2">
      <c r="A139" s="15">
        <v>44144</v>
      </c>
      <c r="B139" s="112">
        <v>1.129</v>
      </c>
      <c r="C139" s="108">
        <f t="shared" si="36"/>
        <v>1.0000000000001119E-3</v>
      </c>
      <c r="D139" s="109" t="str">
        <f t="shared" si="37"/>
        <v>/</v>
      </c>
      <c r="E139" s="109">
        <f ca="1">IF(表2_367162629303891213141518[[#This Row],[累计净值]]/MAX(INDIRECT("B21:B" &amp; ROW()))-1&lt;E138,表2_367162629303891213141518[[#This Row],[累计净值]]/MAX(INDIRECT("B21:B" &amp; ROW()))-1,E138)</f>
        <v>-2.2768670309654016E-2</v>
      </c>
      <c r="F139" s="110">
        <f>表2_367162629303891213141518[[#This Row],[累计净值]]-0.12</f>
        <v>1.0089999999999999</v>
      </c>
      <c r="G139" s="109">
        <f>IF(表2_367162629303891213141518[[#This Row],[累计净值]]&gt;1.087,0.7*(表2_367162629303891213141518[[#This Row],[累计净值]]-1.087)/1.087,(表2_367162629303891213141518[[#This Row],[累计净值]]-1.087)/1.087)</f>
        <v>2.7046918123275091E-2</v>
      </c>
      <c r="H139" s="109">
        <f>IF(表2_367162629303891213141518[[#This Row],[累计净值]]&gt;1.129,0.7*(表2_367162629303891213141518[[#This Row],[累计净值]]-1.129)/1.129,(表2_367162629303891213141518[[#This Row],[累计净值]]-1.129)/1.129)</f>
        <v>0</v>
      </c>
    </row>
    <row r="140" spans="1:8" x14ac:dyDescent="0.2">
      <c r="A140" s="15">
        <v>44145</v>
      </c>
      <c r="B140" s="112">
        <v>1.1259999999999999</v>
      </c>
      <c r="C140" s="108">
        <f t="shared" si="36"/>
        <v>-3.0000000000001137E-3</v>
      </c>
      <c r="D140" s="109">
        <f t="shared" si="37"/>
        <v>-3.0000000000001137E-3</v>
      </c>
      <c r="E140" s="109">
        <f ca="1">IF(表2_367162629303891213141518[[#This Row],[累计净值]]/MAX(INDIRECT("B21:B" &amp; ROW()))-1&lt;E139,表2_367162629303891213141518[[#This Row],[累计净值]]/MAX(INDIRECT("B21:B" &amp; ROW()))-1,E139)</f>
        <v>-2.2768670309654016E-2</v>
      </c>
      <c r="F140" s="110">
        <f>表2_367162629303891213141518[[#This Row],[累计净值]]-0.12</f>
        <v>1.0059999999999998</v>
      </c>
      <c r="G140" s="109">
        <f>IF(表2_367162629303891213141518[[#This Row],[累计净值]]&gt;1.087,0.7*(表2_367162629303891213141518[[#This Row],[累计净值]]-1.087)/1.087,(表2_367162629303891213141518[[#This Row],[累计净值]]-1.087)/1.087)</f>
        <v>2.5114995400183943E-2</v>
      </c>
      <c r="H140" s="109">
        <f>IF(表2_367162629303891213141518[[#This Row],[累计净值]]&gt;1.129,0.7*(表2_367162629303891213141518[[#This Row],[累计净值]]-1.129)/1.129,(表2_367162629303891213141518[[#This Row],[累计净值]]-1.129)/1.129)</f>
        <v>-2.6572187776794627E-3</v>
      </c>
    </row>
    <row r="141" spans="1:8" x14ac:dyDescent="0.2">
      <c r="A141" s="15">
        <v>44146</v>
      </c>
      <c r="B141" s="112">
        <v>1.121</v>
      </c>
      <c r="C141" s="108">
        <f t="shared" si="36"/>
        <v>-4.9999999999998934E-3</v>
      </c>
      <c r="D141" s="109">
        <f t="shared" si="37"/>
        <v>-4.9999999999998934E-3</v>
      </c>
      <c r="E141" s="109">
        <f ca="1">IF(表2_367162629303891213141518[[#This Row],[累计净值]]/MAX(INDIRECT("B21:B" &amp; ROW()))-1&lt;E140,表2_367162629303891213141518[[#This Row],[累计净值]]/MAX(INDIRECT("B21:B" &amp; ROW()))-1,E140)</f>
        <v>-2.2768670309654016E-2</v>
      </c>
      <c r="F141" s="110">
        <f>表2_367162629303891213141518[[#This Row],[累计净值]]-0.12</f>
        <v>1.0009999999999999</v>
      </c>
      <c r="G141" s="109">
        <f>IF(表2_367162629303891213141518[[#This Row],[累计净值]]&gt;1.087,0.7*(表2_367162629303891213141518[[#This Row],[累计净值]]-1.087)/1.087,(表2_367162629303891213141518[[#This Row],[累计净值]]-1.087)/1.087)</f>
        <v>2.1895124195032218E-2</v>
      </c>
      <c r="H141" s="109">
        <f>IF(表2_367162629303891213141518[[#This Row],[累计净值]]&gt;1.129,0.7*(表2_367162629303891213141518[[#This Row],[累计净值]]-1.129)/1.129,(表2_367162629303891213141518[[#This Row],[累计净值]]-1.129)/1.129)</f>
        <v>-7.0859167404783057E-3</v>
      </c>
    </row>
    <row r="142" spans="1:8" x14ac:dyDescent="0.2">
      <c r="A142" s="15">
        <v>44147</v>
      </c>
      <c r="B142" s="112">
        <v>1.1259999999999999</v>
      </c>
      <c r="C142" s="108">
        <f t="shared" ref="C142:C147" si="38">IFERROR(B142-B141,0)</f>
        <v>4.9999999999998934E-3</v>
      </c>
      <c r="D142" s="109" t="str">
        <f t="shared" ref="D142:D147" si="39">IF(C142&lt;0,C142,"/")</f>
        <v>/</v>
      </c>
      <c r="E142" s="109">
        <f ca="1">IF(表2_367162629303891213141518[[#This Row],[累计净值]]/MAX(INDIRECT("B21:B" &amp; ROW()))-1&lt;E141,表2_367162629303891213141518[[#This Row],[累计净值]]/MAX(INDIRECT("B21:B" &amp; ROW()))-1,E141)</f>
        <v>-2.2768670309654016E-2</v>
      </c>
      <c r="F142" s="110">
        <f>表2_367162629303891213141518[[#This Row],[累计净值]]-0.12</f>
        <v>1.0059999999999998</v>
      </c>
      <c r="G142" s="109">
        <f>IF(表2_367162629303891213141518[[#This Row],[累计净值]]&gt;1.087,0.7*(表2_367162629303891213141518[[#This Row],[累计净值]]-1.087)/1.087,(表2_367162629303891213141518[[#This Row],[累计净值]]-1.087)/1.087)</f>
        <v>2.5114995400183943E-2</v>
      </c>
      <c r="H142" s="109">
        <f>IF(表2_367162629303891213141518[[#This Row],[累计净值]]&gt;1.129,0.7*(表2_367162629303891213141518[[#This Row],[累计净值]]-1.129)/1.129,(表2_367162629303891213141518[[#This Row],[累计净值]]-1.129)/1.129)</f>
        <v>-2.6572187776794627E-3</v>
      </c>
    </row>
    <row r="143" spans="1:8" x14ac:dyDescent="0.2">
      <c r="A143" s="15">
        <v>44148</v>
      </c>
      <c r="B143" s="112">
        <v>1.131</v>
      </c>
      <c r="C143" s="108">
        <f t="shared" si="38"/>
        <v>5.0000000000001155E-3</v>
      </c>
      <c r="D143" s="109" t="str">
        <f t="shared" si="39"/>
        <v>/</v>
      </c>
      <c r="E143" s="109">
        <f ca="1">IF(表2_367162629303891213141518[[#This Row],[累计净值]]/MAX(INDIRECT("B21:B" &amp; ROW()))-1&lt;E142,表2_367162629303891213141518[[#This Row],[累计净值]]/MAX(INDIRECT("B21:B" &amp; ROW()))-1,E142)</f>
        <v>-2.2768670309654016E-2</v>
      </c>
      <c r="F143" s="110">
        <f>表2_367162629303891213141518[[#This Row],[累计净值]]-0.12</f>
        <v>1.0110000000000001</v>
      </c>
      <c r="G143" s="109">
        <f>IF(表2_367162629303891213141518[[#This Row],[累计净值]]&gt;1.087,0.7*(表2_367162629303891213141518[[#This Row],[累计净值]]-1.087)/1.087,(表2_367162629303891213141518[[#This Row],[累计净值]]-1.087)/1.087)</f>
        <v>2.8334866605335809E-2</v>
      </c>
      <c r="H143" s="109">
        <f>IF(表2_367162629303891213141518[[#This Row],[累计净值]]&gt;1.129,0.7*(表2_367162629303891213141518[[#This Row],[累计净值]]-1.129)/1.129,(表2_367162629303891213141518[[#This Row],[累计净值]]-1.129)/1.129)</f>
        <v>1.2400354295837033E-3</v>
      </c>
    </row>
    <row r="144" spans="1:8" x14ac:dyDescent="0.2">
      <c r="A144" s="15">
        <v>44151</v>
      </c>
      <c r="B144" s="112">
        <v>1.1319999999999999</v>
      </c>
      <c r="C144" s="108">
        <f t="shared" si="38"/>
        <v>9.9999999999988987E-4</v>
      </c>
      <c r="D144" s="109" t="str">
        <f t="shared" si="39"/>
        <v>/</v>
      </c>
      <c r="E144" s="109">
        <f ca="1">IF(表2_367162629303891213141518[[#This Row],[累计净值]]/MAX(INDIRECT("B21:B" &amp; ROW()))-1&lt;E143,表2_367162629303891213141518[[#This Row],[累计净值]]/MAX(INDIRECT("B21:B" &amp; ROW()))-1,E143)</f>
        <v>-2.2768670309654016E-2</v>
      </c>
      <c r="F144" s="110">
        <f>表2_367162629303891213141518[[#This Row],[累计净值]]-0.12</f>
        <v>1.012</v>
      </c>
      <c r="G144" s="109">
        <f>IF(表2_367162629303891213141518[[#This Row],[累计净值]]&gt;1.087,0.7*(表2_367162629303891213141518[[#This Row],[累计净值]]-1.087)/1.087,(表2_367162629303891213141518[[#This Row],[累计净值]]-1.087)/1.087)</f>
        <v>2.8978840846366101E-2</v>
      </c>
      <c r="H144" s="109">
        <f>IF(表2_367162629303891213141518[[#This Row],[累计净值]]&gt;1.129,0.7*(表2_367162629303891213141518[[#This Row],[累计净值]]-1.129)/1.129,(表2_367162629303891213141518[[#This Row],[累计净值]]-1.129)/1.129)</f>
        <v>1.8600531443754861E-3</v>
      </c>
    </row>
    <row r="145" spans="1:8" x14ac:dyDescent="0.2">
      <c r="A145" s="15">
        <v>44152</v>
      </c>
      <c r="B145" s="112">
        <v>1.131</v>
      </c>
      <c r="C145" s="108">
        <f t="shared" si="38"/>
        <v>-9.9999999999988987E-4</v>
      </c>
      <c r="D145" s="109">
        <f t="shared" si="39"/>
        <v>-9.9999999999988987E-4</v>
      </c>
      <c r="E145" s="109">
        <f ca="1">IF(表2_367162629303891213141518[[#This Row],[累计净值]]/MAX(INDIRECT("B21:B" &amp; ROW()))-1&lt;E144,表2_367162629303891213141518[[#This Row],[累计净值]]/MAX(INDIRECT("B21:B" &amp; ROW()))-1,E144)</f>
        <v>-2.2768670309654016E-2</v>
      </c>
      <c r="F145" s="110">
        <f>表2_367162629303891213141518[[#This Row],[累计净值]]-0.12</f>
        <v>1.0110000000000001</v>
      </c>
      <c r="G145" s="109">
        <f>IF(表2_367162629303891213141518[[#This Row],[累计净值]]&gt;1.087,0.7*(表2_367162629303891213141518[[#This Row],[累计净值]]-1.087)/1.087,(表2_367162629303891213141518[[#This Row],[累计净值]]-1.087)/1.087)</f>
        <v>2.8334866605335809E-2</v>
      </c>
      <c r="H145" s="109">
        <f>IF(表2_367162629303891213141518[[#This Row],[累计净值]]&gt;1.129,0.7*(表2_367162629303891213141518[[#This Row],[累计净值]]-1.129)/1.129,(表2_367162629303891213141518[[#This Row],[累计净值]]-1.129)/1.129)</f>
        <v>1.2400354295837033E-3</v>
      </c>
    </row>
    <row r="146" spans="1:8" x14ac:dyDescent="0.2">
      <c r="A146" s="15">
        <v>44153</v>
      </c>
      <c r="B146" s="112">
        <v>1.1319999999999999</v>
      </c>
      <c r="C146" s="108">
        <f t="shared" si="38"/>
        <v>9.9999999999988987E-4</v>
      </c>
      <c r="D146" s="109" t="str">
        <f t="shared" si="39"/>
        <v>/</v>
      </c>
      <c r="E146" s="109">
        <f ca="1">IF(表2_367162629303891213141518[[#This Row],[累计净值]]/MAX(INDIRECT("B21:B" &amp; ROW()))-1&lt;E145,表2_367162629303891213141518[[#This Row],[累计净值]]/MAX(INDIRECT("B21:B" &amp; ROW()))-1,E145)</f>
        <v>-2.2768670309654016E-2</v>
      </c>
      <c r="F146" s="110">
        <f>表2_367162629303891213141518[[#This Row],[累计净值]]-0.12</f>
        <v>1.012</v>
      </c>
      <c r="G146" s="109">
        <f>IF(表2_367162629303891213141518[[#This Row],[累计净值]]&gt;1.087,0.7*(表2_367162629303891213141518[[#This Row],[累计净值]]-1.087)/1.087,(表2_367162629303891213141518[[#This Row],[累计净值]]-1.087)/1.087)</f>
        <v>2.8978840846366101E-2</v>
      </c>
      <c r="H146" s="109">
        <f>IF(表2_367162629303891213141518[[#This Row],[累计净值]]&gt;1.129,0.7*(表2_367162629303891213141518[[#This Row],[累计净值]]-1.129)/1.129,(表2_367162629303891213141518[[#This Row],[累计净值]]-1.129)/1.129)</f>
        <v>1.8600531443754861E-3</v>
      </c>
    </row>
    <row r="147" spans="1:8" x14ac:dyDescent="0.2">
      <c r="A147" s="15">
        <v>44154</v>
      </c>
      <c r="B147" s="112">
        <v>1.1279999999999999</v>
      </c>
      <c r="C147" s="108">
        <f t="shared" si="38"/>
        <v>-4.0000000000000036E-3</v>
      </c>
      <c r="D147" s="109">
        <f t="shared" si="39"/>
        <v>-4.0000000000000036E-3</v>
      </c>
      <c r="E147" s="109">
        <f ca="1">IF(表2_367162629303891213141518[[#This Row],[累计净值]]/MAX(INDIRECT("B21:B" &amp; ROW()))-1&lt;E146,表2_367162629303891213141518[[#This Row],[累计净值]]/MAX(INDIRECT("B21:B" &amp; ROW()))-1,E146)</f>
        <v>-2.2768670309654016E-2</v>
      </c>
      <c r="F147" s="110">
        <f>表2_367162629303891213141518[[#This Row],[累计净值]]-0.12</f>
        <v>1.008</v>
      </c>
      <c r="G147" s="109">
        <f>IF(表2_367162629303891213141518[[#This Row],[累计净值]]&gt;1.087,0.7*(表2_367162629303891213141518[[#This Row],[累计净值]]-1.087)/1.087,(表2_367162629303891213141518[[#This Row],[累计净值]]-1.087)/1.087)</f>
        <v>2.6402943882244661E-2</v>
      </c>
      <c r="H147" s="109">
        <f>IF(表2_367162629303891213141518[[#This Row],[累计净值]]&gt;1.129,0.7*(表2_367162629303891213141518[[#This Row],[累计净值]]-1.129)/1.129,(表2_367162629303891213141518[[#This Row],[累计净值]]-1.129)/1.129)</f>
        <v>-8.8573959255988655E-4</v>
      </c>
    </row>
    <row r="148" spans="1:8" x14ac:dyDescent="0.2">
      <c r="A148" s="15">
        <v>44155</v>
      </c>
      <c r="B148" s="112">
        <v>1.1299999999999999</v>
      </c>
      <c r="C148" s="108">
        <f t="shared" ref="C148:C153" si="40">IFERROR(B148-B147,0)</f>
        <v>2.0000000000000018E-3</v>
      </c>
      <c r="D148" s="109" t="str">
        <f t="shared" ref="D148:D153" si="41">IF(C148&lt;0,C148,"/")</f>
        <v>/</v>
      </c>
      <c r="E148" s="109">
        <f ca="1">IF(表2_367162629303891213141518[[#This Row],[累计净值]]/MAX(INDIRECT("B21:B" &amp; ROW()))-1&lt;E147,表2_367162629303891213141518[[#This Row],[累计净值]]/MAX(INDIRECT("B21:B" &amp; ROW()))-1,E147)</f>
        <v>-2.2768670309654016E-2</v>
      </c>
      <c r="F148" s="110">
        <f>表2_367162629303891213141518[[#This Row],[累计净值]]-0.12</f>
        <v>1.0099999999999998</v>
      </c>
      <c r="G148" s="109">
        <f>IF(表2_367162629303891213141518[[#This Row],[累计净值]]&gt;1.087,0.7*(表2_367162629303891213141518[[#This Row],[累计净值]]-1.087)/1.087,(表2_367162629303891213141518[[#This Row],[累计净值]]-1.087)/1.087)</f>
        <v>2.7690892364305379E-2</v>
      </c>
      <c r="H148" s="109">
        <f>IF(表2_367162629303891213141518[[#This Row],[累计净值]]&gt;1.129,0.7*(表2_367162629303891213141518[[#This Row],[累计净值]]-1.129)/1.129,(表2_367162629303891213141518[[#This Row],[累计净值]]-1.129)/1.129)</f>
        <v>6.2001771479178289E-4</v>
      </c>
    </row>
    <row r="149" spans="1:8" x14ac:dyDescent="0.2">
      <c r="A149" s="15">
        <v>44158</v>
      </c>
      <c r="B149" s="112">
        <v>1.1279999999999999</v>
      </c>
      <c r="C149" s="108">
        <f t="shared" si="40"/>
        <v>-2.0000000000000018E-3</v>
      </c>
      <c r="D149" s="109">
        <f t="shared" si="41"/>
        <v>-2.0000000000000018E-3</v>
      </c>
      <c r="E149" s="109">
        <f ca="1">IF(表2_367162629303891213141518[[#This Row],[累计净值]]/MAX(INDIRECT("B21:B" &amp; ROW()))-1&lt;E148,表2_367162629303891213141518[[#This Row],[累计净值]]/MAX(INDIRECT("B21:B" &amp; ROW()))-1,E148)</f>
        <v>-2.2768670309654016E-2</v>
      </c>
      <c r="F149" s="110">
        <f>表2_367162629303891213141518[[#This Row],[累计净值]]-0.12</f>
        <v>1.008</v>
      </c>
      <c r="G149" s="109">
        <f>IF(表2_367162629303891213141518[[#This Row],[累计净值]]&gt;1.087,0.7*(表2_367162629303891213141518[[#This Row],[累计净值]]-1.087)/1.087,(表2_367162629303891213141518[[#This Row],[累计净值]]-1.087)/1.087)</f>
        <v>2.6402943882244661E-2</v>
      </c>
      <c r="H149" s="109">
        <f>IF(表2_367162629303891213141518[[#This Row],[累计净值]]&gt;1.129,0.7*(表2_367162629303891213141518[[#This Row],[累计净值]]-1.129)/1.129,(表2_367162629303891213141518[[#This Row],[累计净值]]-1.129)/1.129)</f>
        <v>-8.8573959255988655E-4</v>
      </c>
    </row>
    <row r="150" spans="1:8" x14ac:dyDescent="0.2">
      <c r="A150" s="15">
        <v>44159</v>
      </c>
      <c r="B150" s="112">
        <v>1.125</v>
      </c>
      <c r="C150" s="108">
        <f t="shared" si="40"/>
        <v>-2.9999999999998916E-3</v>
      </c>
      <c r="D150" s="109">
        <f t="shared" si="41"/>
        <v>-2.9999999999998916E-3</v>
      </c>
      <c r="E150" s="109">
        <f ca="1">IF(表2_367162629303891213141518[[#This Row],[累计净值]]/MAX(INDIRECT("B21:B" &amp; ROW()))-1&lt;E149,表2_367162629303891213141518[[#This Row],[累计净值]]/MAX(INDIRECT("B21:B" &amp; ROW()))-1,E149)</f>
        <v>-2.2768670309654016E-2</v>
      </c>
      <c r="F150" s="110">
        <f>表2_367162629303891213141518[[#This Row],[累计净值]]-0.12</f>
        <v>1.0049999999999999</v>
      </c>
      <c r="G150" s="109">
        <f>IF(表2_367162629303891213141518[[#This Row],[累计净值]]&gt;1.087,0.7*(表2_367162629303891213141518[[#This Row],[累计净值]]-1.087)/1.087,(表2_367162629303891213141518[[#This Row],[累计净值]]-1.087)/1.087)</f>
        <v>2.4471021159153655E-2</v>
      </c>
      <c r="H150" s="109">
        <f>IF(表2_367162629303891213141518[[#This Row],[累计净值]]&gt;1.129,0.7*(表2_367162629303891213141518[[#This Row],[累计净值]]-1.129)/1.129,(表2_367162629303891213141518[[#This Row],[累计净值]]-1.129)/1.129)</f>
        <v>-3.5429583702391528E-3</v>
      </c>
    </row>
    <row r="151" spans="1:8" x14ac:dyDescent="0.2">
      <c r="A151" s="15">
        <v>44160</v>
      </c>
      <c r="B151" s="112">
        <v>1.1220000000000001</v>
      </c>
      <c r="C151" s="108">
        <f t="shared" si="40"/>
        <v>-2.9999999999998916E-3</v>
      </c>
      <c r="D151" s="109">
        <f t="shared" si="41"/>
        <v>-2.9999999999998916E-3</v>
      </c>
      <c r="E151" s="109">
        <f ca="1">IF(表2_367162629303891213141518[[#This Row],[累计净值]]/MAX(INDIRECT("B21:B" &amp; ROW()))-1&lt;E150,表2_367162629303891213141518[[#This Row],[累计净值]]/MAX(INDIRECT("B21:B" &amp; ROW()))-1,E150)</f>
        <v>-2.2768670309654016E-2</v>
      </c>
      <c r="F151" s="110">
        <f>表2_367162629303891213141518[[#This Row],[累计净值]]-0.12</f>
        <v>1.0020000000000002</v>
      </c>
      <c r="G151" s="109">
        <f>IF(表2_367162629303891213141518[[#This Row],[累计净值]]&gt;1.087,0.7*(表2_367162629303891213141518[[#This Row],[累计净值]]-1.087)/1.087,(表2_367162629303891213141518[[#This Row],[累计净值]]-1.087)/1.087)</f>
        <v>2.2539098436062648E-2</v>
      </c>
      <c r="H151" s="109">
        <f>IF(表2_367162629303891213141518[[#This Row],[累计净值]]&gt;1.129,0.7*(表2_367162629303891213141518[[#This Row],[累计净值]]-1.129)/1.129,(表2_367162629303891213141518[[#This Row],[累计净值]]-1.129)/1.129)</f>
        <v>-6.2001771479184191E-3</v>
      </c>
    </row>
    <row r="152" spans="1:8" x14ac:dyDescent="0.2">
      <c r="A152" s="15">
        <v>44161</v>
      </c>
      <c r="B152" s="112">
        <v>1.133</v>
      </c>
      <c r="C152" s="108">
        <f t="shared" si="40"/>
        <v>1.0999999999999899E-2</v>
      </c>
      <c r="D152" s="109" t="str">
        <f t="shared" si="41"/>
        <v>/</v>
      </c>
      <c r="E152" s="109">
        <f ca="1">IF(表2_367162629303891213141518[[#This Row],[累计净值]]/MAX(INDIRECT("B21:B" &amp; ROW()))-1&lt;E151,表2_367162629303891213141518[[#This Row],[累计净值]]/MAX(INDIRECT("B21:B" &amp; ROW()))-1,E151)</f>
        <v>-2.2768670309654016E-2</v>
      </c>
      <c r="F152" s="110">
        <f>表2_367162629303891213141518[[#This Row],[累计净值]]-0.12</f>
        <v>1.0129999999999999</v>
      </c>
      <c r="G152" s="109">
        <f>IF(表2_367162629303891213141518[[#This Row],[累计净值]]&gt;1.087,0.7*(表2_367162629303891213141518[[#This Row],[累计净值]]-1.087)/1.087,(表2_367162629303891213141518[[#This Row],[累计净值]]-1.087)/1.087)</f>
        <v>2.9622815087396531E-2</v>
      </c>
      <c r="H152" s="109">
        <f>IF(表2_367162629303891213141518[[#This Row],[累计净值]]&gt;1.129,0.7*(表2_367162629303891213141518[[#This Row],[累计净值]]-1.129)/1.129,(表2_367162629303891213141518[[#This Row],[累计净值]]-1.129)/1.129)</f>
        <v>2.4800708591674065E-3</v>
      </c>
    </row>
    <row r="153" spans="1:8" x14ac:dyDescent="0.2">
      <c r="A153" s="15">
        <v>44162</v>
      </c>
      <c r="B153" s="112">
        <v>1.1299999999999999</v>
      </c>
      <c r="C153" s="108">
        <f t="shared" si="40"/>
        <v>-3.0000000000001137E-3</v>
      </c>
      <c r="D153" s="109">
        <f t="shared" si="41"/>
        <v>-3.0000000000001137E-3</v>
      </c>
      <c r="E153" s="109">
        <f ca="1">IF(表2_367162629303891213141518[[#This Row],[累计净值]]/MAX(INDIRECT("B21:B" &amp; ROW()))-1&lt;E152,表2_367162629303891213141518[[#This Row],[累计净值]]/MAX(INDIRECT("B21:B" &amp; ROW()))-1,E152)</f>
        <v>-2.2768670309654016E-2</v>
      </c>
      <c r="F153" s="110">
        <f>表2_367162629303891213141518[[#This Row],[累计净值]]-0.12</f>
        <v>1.0099999999999998</v>
      </c>
      <c r="G153" s="109">
        <f>IF(表2_367162629303891213141518[[#This Row],[累计净值]]&gt;1.087,0.7*(表2_367162629303891213141518[[#This Row],[累计净值]]-1.087)/1.087,(表2_367162629303891213141518[[#This Row],[累计净值]]-1.087)/1.087)</f>
        <v>2.7690892364305379E-2</v>
      </c>
      <c r="H153" s="109">
        <f>IF(表2_367162629303891213141518[[#This Row],[累计净值]]&gt;1.129,0.7*(表2_367162629303891213141518[[#This Row],[累计净值]]-1.129)/1.129,(表2_367162629303891213141518[[#This Row],[累计净值]]-1.129)/1.129)</f>
        <v>6.2001771479178289E-4</v>
      </c>
    </row>
    <row r="154" spans="1:8" x14ac:dyDescent="0.2">
      <c r="A154" s="15">
        <v>44165</v>
      </c>
      <c r="B154" s="112">
        <v>1.1299999999999999</v>
      </c>
      <c r="C154" s="108">
        <f t="shared" ref="C154:C159" si="42">IFERROR(B154-B153,0)</f>
        <v>0</v>
      </c>
      <c r="D154" s="109" t="str">
        <f t="shared" ref="D154:D159" si="43">IF(C154&lt;0,C154,"/")</f>
        <v>/</v>
      </c>
      <c r="E154" s="109">
        <f ca="1">IF(表2_367162629303891213141518[[#This Row],[累计净值]]/MAX(INDIRECT("B21:B" &amp; ROW()))-1&lt;E153,表2_367162629303891213141518[[#This Row],[累计净值]]/MAX(INDIRECT("B21:B" &amp; ROW()))-1,E153)</f>
        <v>-2.2768670309654016E-2</v>
      </c>
      <c r="F154" s="110">
        <f>表2_367162629303891213141518[[#This Row],[累计净值]]-0.12</f>
        <v>1.0099999999999998</v>
      </c>
      <c r="G154" s="109">
        <f>IF(表2_367162629303891213141518[[#This Row],[累计净值]]&gt;1.087,0.7*(表2_367162629303891213141518[[#This Row],[累计净值]]-1.087)/1.087,(表2_367162629303891213141518[[#This Row],[累计净值]]-1.087)/1.087)</f>
        <v>2.7690892364305379E-2</v>
      </c>
      <c r="H154" s="109">
        <f>IF(表2_367162629303891213141518[[#This Row],[累计净值]]&gt;1.129,0.7*(表2_367162629303891213141518[[#This Row],[累计净值]]-1.129)/1.129,(表2_367162629303891213141518[[#This Row],[累计净值]]-1.129)/1.129)</f>
        <v>6.2001771479178289E-4</v>
      </c>
    </row>
    <row r="155" spans="1:8" x14ac:dyDescent="0.2">
      <c r="A155" s="15">
        <v>44166</v>
      </c>
      <c r="B155" s="112">
        <v>1.127</v>
      </c>
      <c r="C155" s="108">
        <f t="shared" si="42"/>
        <v>-2.9999999999998916E-3</v>
      </c>
      <c r="D155" s="109">
        <f t="shared" si="43"/>
        <v>-2.9999999999998916E-3</v>
      </c>
      <c r="E155" s="109">
        <f ca="1">IF(表2_367162629303891213141518[[#This Row],[累计净值]]/MAX(INDIRECT("B21:B" &amp; ROW()))-1&lt;E154,表2_367162629303891213141518[[#This Row],[累计净值]]/MAX(INDIRECT("B21:B" &amp; ROW()))-1,E154)</f>
        <v>-2.2768670309654016E-2</v>
      </c>
      <c r="F155" s="110">
        <f>表2_367162629303891213141518[[#This Row],[累计净值]]-0.12</f>
        <v>1.0070000000000001</v>
      </c>
      <c r="G155" s="109">
        <f>IF(表2_367162629303891213141518[[#This Row],[累计净值]]&gt;1.087,0.7*(表2_367162629303891213141518[[#This Row],[累计净值]]-1.087)/1.087,(表2_367162629303891213141518[[#This Row],[累计净值]]-1.087)/1.087)</f>
        <v>2.5758969641214373E-2</v>
      </c>
      <c r="H155" s="109">
        <f>IF(表2_367162629303891213141518[[#This Row],[累计净值]]&gt;1.129,0.7*(表2_367162629303891213141518[[#This Row],[累计净值]]-1.129)/1.129,(表2_367162629303891213141518[[#This Row],[累计净值]]-1.129)/1.129)</f>
        <v>-1.7714791851195764E-3</v>
      </c>
    </row>
    <row r="156" spans="1:8" x14ac:dyDescent="0.2">
      <c r="A156" s="15">
        <v>44167</v>
      </c>
      <c r="B156" s="112">
        <v>1.125</v>
      </c>
      <c r="C156" s="108">
        <f t="shared" si="42"/>
        <v>-2.0000000000000018E-3</v>
      </c>
      <c r="D156" s="109">
        <f t="shared" si="43"/>
        <v>-2.0000000000000018E-3</v>
      </c>
      <c r="E156" s="109">
        <f ca="1">IF(表2_367162629303891213141518[[#This Row],[累计净值]]/MAX(INDIRECT("B21:B" &amp; ROW()))-1&lt;E155,表2_367162629303891213141518[[#This Row],[累计净值]]/MAX(INDIRECT("B21:B" &amp; ROW()))-1,E155)</f>
        <v>-2.2768670309654016E-2</v>
      </c>
      <c r="F156" s="110">
        <f>表2_367162629303891213141518[[#This Row],[累计净值]]-0.12</f>
        <v>1.0049999999999999</v>
      </c>
      <c r="G156" s="109">
        <f>IF(表2_367162629303891213141518[[#This Row],[累计净值]]&gt;1.087,0.7*(表2_367162629303891213141518[[#This Row],[累计净值]]-1.087)/1.087,(表2_367162629303891213141518[[#This Row],[累计净值]]-1.087)/1.087)</f>
        <v>2.4471021159153655E-2</v>
      </c>
      <c r="H156" s="109">
        <f>IF(表2_367162629303891213141518[[#This Row],[累计净值]]&gt;1.129,0.7*(表2_367162629303891213141518[[#This Row],[累计净值]]-1.129)/1.129,(表2_367162629303891213141518[[#This Row],[累计净值]]-1.129)/1.129)</f>
        <v>-3.5429583702391528E-3</v>
      </c>
    </row>
    <row r="157" spans="1:8" x14ac:dyDescent="0.2">
      <c r="A157" s="15">
        <v>44168</v>
      </c>
      <c r="B157" s="112">
        <v>1.1279999999999999</v>
      </c>
      <c r="C157" s="108">
        <f t="shared" si="42"/>
        <v>2.9999999999998916E-3</v>
      </c>
      <c r="D157" s="109" t="str">
        <f t="shared" si="43"/>
        <v>/</v>
      </c>
      <c r="E157" s="109">
        <f ca="1">IF(表2_367162629303891213141518[[#This Row],[累计净值]]/MAX(INDIRECT("B21:B" &amp; ROW()))-1&lt;E156,表2_367162629303891213141518[[#This Row],[累计净值]]/MAX(INDIRECT("B21:B" &amp; ROW()))-1,E156)</f>
        <v>-2.2768670309654016E-2</v>
      </c>
      <c r="F157" s="110">
        <f>表2_367162629303891213141518[[#This Row],[累计净值]]-0.12</f>
        <v>1.008</v>
      </c>
      <c r="G157" s="109">
        <f>IF(表2_367162629303891213141518[[#This Row],[累计净值]]&gt;1.087,0.7*(表2_367162629303891213141518[[#This Row],[累计净值]]-1.087)/1.087,(表2_367162629303891213141518[[#This Row],[累计净值]]-1.087)/1.087)</f>
        <v>2.6402943882244661E-2</v>
      </c>
      <c r="H157" s="109">
        <f>IF(表2_367162629303891213141518[[#This Row],[累计净值]]&gt;1.129,0.7*(表2_367162629303891213141518[[#This Row],[累计净值]]-1.129)/1.129,(表2_367162629303891213141518[[#This Row],[累计净值]]-1.129)/1.129)</f>
        <v>-8.8573959255988655E-4</v>
      </c>
    </row>
    <row r="158" spans="1:8" x14ac:dyDescent="0.2">
      <c r="A158" s="15">
        <v>44169</v>
      </c>
      <c r="B158" s="112">
        <v>1.129</v>
      </c>
      <c r="C158" s="108">
        <f t="shared" si="42"/>
        <v>1.0000000000001119E-3</v>
      </c>
      <c r="D158" s="109" t="str">
        <f t="shared" si="43"/>
        <v>/</v>
      </c>
      <c r="E158" s="109">
        <f ca="1">IF(表2_367162629303891213141518[[#This Row],[累计净值]]/MAX(INDIRECT("B21:B" &amp; ROW()))-1&lt;E157,表2_367162629303891213141518[[#This Row],[累计净值]]/MAX(INDIRECT("B21:B" &amp; ROW()))-1,E157)</f>
        <v>-2.2768670309654016E-2</v>
      </c>
      <c r="F158" s="110">
        <f>表2_367162629303891213141518[[#This Row],[累计净值]]-0.12</f>
        <v>1.0089999999999999</v>
      </c>
      <c r="G158" s="109">
        <f>IF(表2_367162629303891213141518[[#This Row],[累计净值]]&gt;1.087,0.7*(表2_367162629303891213141518[[#This Row],[累计净值]]-1.087)/1.087,(表2_367162629303891213141518[[#This Row],[累计净值]]-1.087)/1.087)</f>
        <v>2.7046918123275091E-2</v>
      </c>
      <c r="H158" s="109">
        <f>IF(表2_367162629303891213141518[[#This Row],[累计净值]]&gt;1.129,0.7*(表2_367162629303891213141518[[#This Row],[累计净值]]-1.129)/1.129,(表2_367162629303891213141518[[#This Row],[累计净值]]-1.129)/1.129)</f>
        <v>0</v>
      </c>
    </row>
    <row r="159" spans="1:8" x14ac:dyDescent="0.2">
      <c r="A159" s="15">
        <v>44172</v>
      </c>
      <c r="B159" s="112">
        <v>1.1299999999999999</v>
      </c>
      <c r="C159" s="108">
        <f t="shared" si="42"/>
        <v>9.9999999999988987E-4</v>
      </c>
      <c r="D159" s="109" t="str">
        <f t="shared" si="43"/>
        <v>/</v>
      </c>
      <c r="E159" s="109">
        <f ca="1">IF(表2_367162629303891213141518[[#This Row],[累计净值]]/MAX(INDIRECT("B21:B" &amp; ROW()))-1&lt;E158,表2_367162629303891213141518[[#This Row],[累计净值]]/MAX(INDIRECT("B21:B" &amp; ROW()))-1,E158)</f>
        <v>-2.2768670309654016E-2</v>
      </c>
      <c r="F159" s="110">
        <f>表2_367162629303891213141518[[#This Row],[累计净值]]-0.12</f>
        <v>1.0099999999999998</v>
      </c>
      <c r="G159" s="109">
        <f>IF(表2_367162629303891213141518[[#This Row],[累计净值]]&gt;1.087,0.7*(表2_367162629303891213141518[[#This Row],[累计净值]]-1.087)/1.087,(表2_367162629303891213141518[[#This Row],[累计净值]]-1.087)/1.087)</f>
        <v>2.7690892364305379E-2</v>
      </c>
      <c r="H159" s="109">
        <f>IF(表2_367162629303891213141518[[#This Row],[累计净值]]&gt;1.129,0.7*(表2_367162629303891213141518[[#This Row],[累计净值]]-1.129)/1.129,(表2_367162629303891213141518[[#This Row],[累计净值]]-1.129)/1.129)</f>
        <v>6.2001771479178289E-4</v>
      </c>
    </row>
    <row r="160" spans="1:8" x14ac:dyDescent="0.2">
      <c r="A160" s="15">
        <v>44173</v>
      </c>
      <c r="B160" s="112">
        <v>1.133</v>
      </c>
      <c r="C160" s="108">
        <f t="shared" ref="C160:C165" si="44">IFERROR(B160-B159,0)</f>
        <v>3.0000000000001137E-3</v>
      </c>
      <c r="D160" s="109" t="str">
        <f t="shared" ref="D160:D165" si="45">IF(C160&lt;0,C160,"/")</f>
        <v>/</v>
      </c>
      <c r="E160" s="109">
        <f ca="1">IF(表2_367162629303891213141518[[#This Row],[累计净值]]/MAX(INDIRECT("B21:B" &amp; ROW()))-1&lt;E159,表2_367162629303891213141518[[#This Row],[累计净值]]/MAX(INDIRECT("B21:B" &amp; ROW()))-1,E159)</f>
        <v>-2.2768670309654016E-2</v>
      </c>
      <c r="F160" s="110">
        <f>表2_367162629303891213141518[[#This Row],[累计净值]]-0.12</f>
        <v>1.0129999999999999</v>
      </c>
      <c r="G160" s="109">
        <f>IF(表2_367162629303891213141518[[#This Row],[累计净值]]&gt;1.087,0.7*(表2_367162629303891213141518[[#This Row],[累计净值]]-1.087)/1.087,(表2_367162629303891213141518[[#This Row],[累计净值]]-1.087)/1.087)</f>
        <v>2.9622815087396531E-2</v>
      </c>
      <c r="H160" s="109">
        <f>IF(表2_367162629303891213141518[[#This Row],[累计净值]]&gt;1.129,0.7*(表2_367162629303891213141518[[#This Row],[累计净值]]-1.129)/1.129,(表2_367162629303891213141518[[#This Row],[累计净值]]-1.129)/1.129)</f>
        <v>2.4800708591674065E-3</v>
      </c>
    </row>
    <row r="161" spans="1:10" x14ac:dyDescent="0.2">
      <c r="A161" s="15">
        <v>44174</v>
      </c>
      <c r="B161" s="112">
        <v>1.1339999999999999</v>
      </c>
      <c r="C161" s="108">
        <f t="shared" si="44"/>
        <v>9.9999999999988987E-4</v>
      </c>
      <c r="D161" s="109" t="str">
        <f t="shared" si="45"/>
        <v>/</v>
      </c>
      <c r="E161" s="109">
        <f ca="1">IF(表2_367162629303891213141518[[#This Row],[累计净值]]/MAX(INDIRECT("B21:B" &amp; ROW()))-1&lt;E160,表2_367162629303891213141518[[#This Row],[累计净值]]/MAX(INDIRECT("B21:B" &amp; ROW()))-1,E160)</f>
        <v>-2.2768670309654016E-2</v>
      </c>
      <c r="F161" s="110">
        <f>表2_367162629303891213141518[[#This Row],[累计净值]]-0.12</f>
        <v>1.0139999999999998</v>
      </c>
      <c r="G161" s="109">
        <f>IF(表2_367162629303891213141518[[#This Row],[累计净值]]&gt;1.087,0.7*(表2_367162629303891213141518[[#This Row],[累计净值]]-1.087)/1.087,(表2_367162629303891213141518[[#This Row],[累计净值]]-1.087)/1.087)</f>
        <v>3.0266789328426819E-2</v>
      </c>
      <c r="H161" s="109">
        <f>IF(表2_367162629303891213141518[[#This Row],[累计净值]]&gt;1.129,0.7*(表2_367162629303891213141518[[#This Row],[累计净值]]-1.129)/1.129,(表2_367162629303891213141518[[#This Row],[累计净值]]-1.129)/1.129)</f>
        <v>3.1000885739591896E-3</v>
      </c>
    </row>
    <row r="162" spans="1:10" x14ac:dyDescent="0.2">
      <c r="A162" s="15">
        <v>44175</v>
      </c>
      <c r="B162" s="112">
        <v>1.1339999999999999</v>
      </c>
      <c r="C162" s="108">
        <f t="shared" si="44"/>
        <v>0</v>
      </c>
      <c r="D162" s="109" t="str">
        <f t="shared" si="45"/>
        <v>/</v>
      </c>
      <c r="E162" s="109">
        <f ca="1">IF(表2_367162629303891213141518[[#This Row],[累计净值]]/MAX(INDIRECT("B21:B" &amp; ROW()))-1&lt;E161,表2_367162629303891213141518[[#This Row],[累计净值]]/MAX(INDIRECT("B21:B" &amp; ROW()))-1,E161)</f>
        <v>-2.2768670309654016E-2</v>
      </c>
      <c r="F162" s="110">
        <f>表2_367162629303891213141518[[#This Row],[累计净值]]-0.12</f>
        <v>1.0139999999999998</v>
      </c>
      <c r="G162" s="109">
        <f>IF(表2_367162629303891213141518[[#This Row],[累计净值]]&gt;1.087,0.7*(表2_367162629303891213141518[[#This Row],[累计净值]]-1.087)/1.087,(表2_367162629303891213141518[[#This Row],[累计净值]]-1.087)/1.087)</f>
        <v>3.0266789328426819E-2</v>
      </c>
      <c r="H162" s="109">
        <f>IF(表2_367162629303891213141518[[#This Row],[累计净值]]&gt;1.129,0.7*(表2_367162629303891213141518[[#This Row],[累计净值]]-1.129)/1.129,(表2_367162629303891213141518[[#This Row],[累计净值]]-1.129)/1.129)</f>
        <v>3.1000885739591896E-3</v>
      </c>
    </row>
    <row r="163" spans="1:10" x14ac:dyDescent="0.2">
      <c r="A163" s="15">
        <v>44176</v>
      </c>
      <c r="B163" s="117">
        <v>1.139</v>
      </c>
      <c r="C163" s="108">
        <f t="shared" si="44"/>
        <v>5.0000000000001155E-3</v>
      </c>
      <c r="D163" s="109" t="str">
        <f t="shared" si="45"/>
        <v>/</v>
      </c>
      <c r="E163" s="109">
        <f ca="1">IF(表2_367162629303891213141518[[#This Row],[累计净值]]/MAX(INDIRECT("B21:B" &amp; ROW()))-1&lt;E162,表2_367162629303891213141518[[#This Row],[累计净值]]/MAX(INDIRECT("B21:B" &amp; ROW()))-1,E162)</f>
        <v>-2.2768670309654016E-2</v>
      </c>
      <c r="F163" s="110">
        <f>表2_367162629303891213141518[[#This Row],[累计净值]]-0.12</f>
        <v>1.0190000000000001</v>
      </c>
      <c r="G163" s="109">
        <f>IF(表2_367162629303891213141518[[#This Row],[累计净值]]&gt;1.087,0.7*(表2_367162629303891213141518[[#This Row],[累计净值]]-1.087)/1.087,(表2_367162629303891213141518[[#This Row],[累计净值]]-1.087)/1.087)</f>
        <v>3.3486660533578683E-2</v>
      </c>
      <c r="H163" s="109">
        <f>IF(表2_367162629303891213141518[[#This Row],[累计净值]]&gt;1.129,0.7*(表2_367162629303891213141518[[#This Row],[累计净值]]-1.129)/1.129,(表2_367162629303891213141518[[#This Row],[累计净值]]-1.129)/1.129)</f>
        <v>6.2001771479185163E-3</v>
      </c>
    </row>
    <row r="164" spans="1:10" x14ac:dyDescent="0.2">
      <c r="A164" s="15">
        <v>44179</v>
      </c>
      <c r="B164" s="112">
        <v>1.135</v>
      </c>
      <c r="C164" s="108">
        <f t="shared" si="44"/>
        <v>-4.0000000000000036E-3</v>
      </c>
      <c r="D164" s="109">
        <f t="shared" si="45"/>
        <v>-4.0000000000000036E-3</v>
      </c>
      <c r="E164" s="109">
        <f ca="1">IF(表2_367162629303891213141518[[#This Row],[累计净值]]/MAX(INDIRECT("B21:B" &amp; ROW()))-1&lt;E163,表2_367162629303891213141518[[#This Row],[累计净值]]/MAX(INDIRECT("B21:B" &amp; ROW()))-1,E163)</f>
        <v>-2.2768670309654016E-2</v>
      </c>
      <c r="F164" s="110">
        <f>表2_367162629303891213141518[[#This Row],[累计净值]]-0.12</f>
        <v>1.0150000000000001</v>
      </c>
      <c r="G164" s="109">
        <f>IF(表2_367162629303891213141518[[#This Row],[累计净值]]&gt;1.087,0.7*(表2_367162629303891213141518[[#This Row],[累计净值]]-1.087)/1.087,(表2_367162629303891213141518[[#This Row],[累计净值]]-1.087)/1.087)</f>
        <v>3.0910763569457246E-2</v>
      </c>
      <c r="H164" s="109">
        <f>IF(表2_367162629303891213141518[[#This Row],[累计净值]]&gt;1.129,0.7*(表2_367162629303891213141518[[#This Row],[累计净值]]-1.129)/1.129,(表2_367162629303891213141518[[#This Row],[累计净值]]-1.129)/1.129)</f>
        <v>3.7201062887511102E-3</v>
      </c>
    </row>
    <row r="165" spans="1:10" x14ac:dyDescent="0.2">
      <c r="A165" s="15">
        <v>44180</v>
      </c>
      <c r="B165" s="112">
        <v>1.131</v>
      </c>
      <c r="C165" s="108">
        <f t="shared" si="44"/>
        <v>-4.0000000000000036E-3</v>
      </c>
      <c r="D165" s="109">
        <f t="shared" si="45"/>
        <v>-4.0000000000000036E-3</v>
      </c>
      <c r="E165" s="109">
        <f ca="1">IF(表2_367162629303891213141518[[#This Row],[累计净值]]/MAX(INDIRECT("B21:B" &amp; ROW()))-1&lt;E164,表2_367162629303891213141518[[#This Row],[累计净值]]/MAX(INDIRECT("B21:B" &amp; ROW()))-1,E164)</f>
        <v>-2.2768670309654016E-2</v>
      </c>
      <c r="F165" s="110">
        <f>表2_367162629303891213141518[[#This Row],[累计净值]]-0.12</f>
        <v>1.0110000000000001</v>
      </c>
      <c r="G165" s="109">
        <f>IF(表2_367162629303891213141518[[#This Row],[累计净值]]&gt;1.087,0.7*(表2_367162629303891213141518[[#This Row],[累计净值]]-1.087)/1.087,(表2_367162629303891213141518[[#This Row],[累计净值]]-1.087)/1.087)</f>
        <v>2.8334866605335809E-2</v>
      </c>
      <c r="H165" s="109">
        <f>IF(表2_367162629303891213141518[[#This Row],[累计净值]]&gt;1.129,0.7*(表2_367162629303891213141518[[#This Row],[累计净值]]-1.129)/1.129,(表2_367162629303891213141518[[#This Row],[累计净值]]-1.129)/1.129)</f>
        <v>1.2400354295837033E-3</v>
      </c>
    </row>
    <row r="166" spans="1:10" x14ac:dyDescent="0.2">
      <c r="A166" s="15">
        <v>44181</v>
      </c>
      <c r="B166" s="112">
        <v>1.133</v>
      </c>
      <c r="C166" s="108">
        <f t="shared" ref="C166:C171" si="46">IFERROR(B166-B165,0)</f>
        <v>2.0000000000000018E-3</v>
      </c>
      <c r="D166" s="109" t="str">
        <f t="shared" ref="D166:D171" si="47">IF(C166&lt;0,C166,"/")</f>
        <v>/</v>
      </c>
      <c r="E166" s="109">
        <f ca="1">IF(表2_367162629303891213141518[[#This Row],[累计净值]]/MAX(INDIRECT("B21:B" &amp; ROW()))-1&lt;E165,表2_367162629303891213141518[[#This Row],[累计净值]]/MAX(INDIRECT("B21:B" &amp; ROW()))-1,E165)</f>
        <v>-2.2768670309654016E-2</v>
      </c>
      <c r="F166" s="110">
        <f>表2_367162629303891213141518[[#This Row],[累计净值]]-0.12</f>
        <v>1.0129999999999999</v>
      </c>
      <c r="G166" s="109">
        <f>IF(表2_367162629303891213141518[[#This Row],[累计净值]]&gt;1.087,0.7*(表2_367162629303891213141518[[#This Row],[累计净值]]-1.087)/1.087,(表2_367162629303891213141518[[#This Row],[累计净值]]-1.087)/1.087)</f>
        <v>2.9622815087396531E-2</v>
      </c>
      <c r="H166" s="109">
        <f>IF(表2_367162629303891213141518[[#This Row],[累计净值]]&gt;1.129,0.7*(表2_367162629303891213141518[[#This Row],[累计净值]]-1.129)/1.129,(表2_367162629303891213141518[[#This Row],[累计净值]]-1.129)/1.129)</f>
        <v>2.4800708591674065E-3</v>
      </c>
    </row>
    <row r="167" spans="1:10" x14ac:dyDescent="0.2">
      <c r="A167" s="15">
        <v>44182</v>
      </c>
      <c r="B167" s="112">
        <v>1.1319999999999999</v>
      </c>
      <c r="C167" s="108">
        <f t="shared" si="46"/>
        <v>-1.0000000000001119E-3</v>
      </c>
      <c r="D167" s="109">
        <f t="shared" si="47"/>
        <v>-1.0000000000001119E-3</v>
      </c>
      <c r="E167" s="109">
        <f ca="1">IF(表2_367162629303891213141518[[#This Row],[累计净值]]/MAX(INDIRECT("B21:B" &amp; ROW()))-1&lt;E166,表2_367162629303891213141518[[#This Row],[累计净值]]/MAX(INDIRECT("B21:B" &amp; ROW()))-1,E166)</f>
        <v>-2.2768670309654016E-2</v>
      </c>
      <c r="F167" s="110">
        <f>表2_367162629303891213141518[[#This Row],[累计净值]]-0.12</f>
        <v>1.012</v>
      </c>
      <c r="G167" s="109">
        <f>IF(表2_367162629303891213141518[[#This Row],[累计净值]]&gt;1.087,0.7*(表2_367162629303891213141518[[#This Row],[累计净值]]-1.087)/1.087,(表2_367162629303891213141518[[#This Row],[累计净值]]-1.087)/1.087)</f>
        <v>2.8978840846366101E-2</v>
      </c>
      <c r="H167" s="109">
        <f>IF(表2_367162629303891213141518[[#This Row],[累计净值]]&gt;1.129,0.7*(表2_367162629303891213141518[[#This Row],[累计净值]]-1.129)/1.129,(表2_367162629303891213141518[[#This Row],[累计净值]]-1.129)/1.129)</f>
        <v>1.8600531443754861E-3</v>
      </c>
    </row>
    <row r="168" spans="1:10" x14ac:dyDescent="0.2">
      <c r="A168" s="15">
        <v>44183</v>
      </c>
      <c r="B168" s="112">
        <v>1.1279999999999999</v>
      </c>
      <c r="C168" s="108">
        <f t="shared" si="46"/>
        <v>-4.0000000000000036E-3</v>
      </c>
      <c r="D168" s="109">
        <f t="shared" si="47"/>
        <v>-4.0000000000000036E-3</v>
      </c>
      <c r="E168" s="109">
        <f ca="1">IF(表2_367162629303891213141518[[#This Row],[累计净值]]/MAX(INDIRECT("B21:B" &amp; ROW()))-1&lt;E167,表2_367162629303891213141518[[#This Row],[累计净值]]/MAX(INDIRECT("B21:B" &amp; ROW()))-1,E167)</f>
        <v>-2.2768670309654016E-2</v>
      </c>
      <c r="F168" s="110">
        <f>表2_367162629303891213141518[[#This Row],[累计净值]]-0.12</f>
        <v>1.008</v>
      </c>
      <c r="G168" s="109">
        <f>IF(表2_367162629303891213141518[[#This Row],[累计净值]]&gt;1.087,0.7*(表2_367162629303891213141518[[#This Row],[累计净值]]-1.087)/1.087,(表2_367162629303891213141518[[#This Row],[累计净值]]-1.087)/1.087)</f>
        <v>2.6402943882244661E-2</v>
      </c>
      <c r="H168" s="109">
        <f>IF(表2_367162629303891213141518[[#This Row],[累计净值]]&gt;1.129,0.7*(表2_367162629303891213141518[[#This Row],[累计净值]]-1.129)/1.129,(表2_367162629303891213141518[[#This Row],[累计净值]]-1.129)/1.129)</f>
        <v>-8.8573959255988655E-4</v>
      </c>
    </row>
    <row r="169" spans="1:10" x14ac:dyDescent="0.2">
      <c r="A169" s="15">
        <v>44186</v>
      </c>
      <c r="B169" s="112">
        <v>1.1259999999999999</v>
      </c>
      <c r="C169" s="108">
        <f t="shared" si="46"/>
        <v>-2.0000000000000018E-3</v>
      </c>
      <c r="D169" s="109">
        <f t="shared" si="47"/>
        <v>-2.0000000000000018E-3</v>
      </c>
      <c r="E169" s="109">
        <f ca="1">IF(表2_367162629303891213141518[[#This Row],[累计净值]]/MAX(INDIRECT("B21:B" &amp; ROW()))-1&lt;E168,表2_367162629303891213141518[[#This Row],[累计净值]]/MAX(INDIRECT("B21:B" &amp; ROW()))-1,E168)</f>
        <v>-2.2768670309654016E-2</v>
      </c>
      <c r="F169" s="110">
        <f>表2_367162629303891213141518[[#This Row],[累计净值]]-0.12</f>
        <v>1.0059999999999998</v>
      </c>
      <c r="G169" s="109">
        <f>IF(表2_367162629303891213141518[[#This Row],[累计净值]]&gt;1.087,0.7*(表2_367162629303891213141518[[#This Row],[累计净值]]-1.087)/1.087,(表2_367162629303891213141518[[#This Row],[累计净值]]-1.087)/1.087)</f>
        <v>2.5114995400183943E-2</v>
      </c>
      <c r="H169" s="109">
        <f>IF(表2_367162629303891213141518[[#This Row],[累计净值]]&gt;1.129,0.7*(表2_367162629303891213141518[[#This Row],[累计净值]]-1.129)/1.129,(表2_367162629303891213141518[[#This Row],[累计净值]]-1.129)/1.129)</f>
        <v>-2.6572187776794627E-3</v>
      </c>
    </row>
    <row r="170" spans="1:10" x14ac:dyDescent="0.2">
      <c r="A170" s="15">
        <v>44187</v>
      </c>
      <c r="B170" s="112">
        <v>1.1319999999999999</v>
      </c>
      <c r="C170" s="108">
        <f t="shared" si="46"/>
        <v>6.0000000000000053E-3</v>
      </c>
      <c r="D170" s="109" t="str">
        <f t="shared" si="47"/>
        <v>/</v>
      </c>
      <c r="E170" s="109">
        <f ca="1">IF(表2_367162629303891213141518[[#This Row],[累计净值]]/MAX(INDIRECT("B21:B" &amp; ROW()))-1&lt;E169,表2_367162629303891213141518[[#This Row],[累计净值]]/MAX(INDIRECT("B21:B" &amp; ROW()))-1,E169)</f>
        <v>-2.2768670309654016E-2</v>
      </c>
      <c r="F170" s="110">
        <f>表2_367162629303891213141518[[#This Row],[累计净值]]-0.12</f>
        <v>1.012</v>
      </c>
      <c r="G170" s="109">
        <f>IF(表2_367162629303891213141518[[#This Row],[累计净值]]&gt;1.087,0.7*(表2_367162629303891213141518[[#This Row],[累计净值]]-1.087)/1.087,(表2_367162629303891213141518[[#This Row],[累计净值]]-1.087)/1.087)</f>
        <v>2.8978840846366101E-2</v>
      </c>
      <c r="H170" s="109">
        <f>IF(表2_367162629303891213141518[[#This Row],[累计净值]]&gt;1.129,0.7*(表2_367162629303891213141518[[#This Row],[累计净值]]-1.129)/1.129,(表2_367162629303891213141518[[#This Row],[累计净值]]-1.129)/1.129)</f>
        <v>1.8600531443754861E-3</v>
      </c>
    </row>
    <row r="171" spans="1:10" x14ac:dyDescent="0.2">
      <c r="A171" s="15">
        <v>44188</v>
      </c>
      <c r="B171" s="112">
        <v>1.131</v>
      </c>
      <c r="C171" s="108">
        <f t="shared" si="46"/>
        <v>-9.9999999999988987E-4</v>
      </c>
      <c r="D171" s="109">
        <f t="shared" si="47"/>
        <v>-9.9999999999988987E-4</v>
      </c>
      <c r="E171" s="109">
        <f ca="1">IF(表2_367162629303891213141518[[#This Row],[累计净值]]/MAX(INDIRECT("B21:B" &amp; ROW()))-1&lt;E170,表2_367162629303891213141518[[#This Row],[累计净值]]/MAX(INDIRECT("B21:B" &amp; ROW()))-1,E170)</f>
        <v>-2.2768670309654016E-2</v>
      </c>
      <c r="F171" s="110">
        <f>表2_367162629303891213141518[[#This Row],[累计净值]]-0.12</f>
        <v>1.0110000000000001</v>
      </c>
      <c r="G171" s="109">
        <f>IF(表2_367162629303891213141518[[#This Row],[累计净值]]&gt;1.087,0.7*(表2_367162629303891213141518[[#This Row],[累计净值]]-1.087)/1.087,(表2_367162629303891213141518[[#This Row],[累计净值]]-1.087)/1.087)</f>
        <v>2.8334866605335809E-2</v>
      </c>
      <c r="H171" s="109">
        <f>IF(表2_367162629303891213141518[[#This Row],[累计净值]]&gt;1.129,0.7*(表2_367162629303891213141518[[#This Row],[累计净值]]-1.129)/1.129,(表2_367162629303891213141518[[#This Row],[累计净值]]-1.129)/1.129)</f>
        <v>1.2400354295837033E-3</v>
      </c>
    </row>
    <row r="172" spans="1:10" x14ac:dyDescent="0.2">
      <c r="A172" s="15">
        <v>44189</v>
      </c>
      <c r="B172" s="112">
        <v>1.1279999999999999</v>
      </c>
      <c r="C172" s="108">
        <f t="shared" ref="C172:C178" si="48">IFERROR(B172-B171,0)</f>
        <v>-3.0000000000001137E-3</v>
      </c>
      <c r="D172" s="109">
        <f t="shared" ref="D172:D178" si="49">IF(C172&lt;0,C172,"/")</f>
        <v>-3.0000000000001137E-3</v>
      </c>
      <c r="E172" s="109">
        <f ca="1">IF(表2_367162629303891213141518[[#This Row],[累计净值]]/MAX(INDIRECT("B21:B" &amp; ROW()))-1&lt;E171,表2_367162629303891213141518[[#This Row],[累计净值]]/MAX(INDIRECT("B21:B" &amp; ROW()))-1,E171)</f>
        <v>-2.2768670309654016E-2</v>
      </c>
      <c r="F172" s="110">
        <f>表2_367162629303891213141518[[#This Row],[累计净值]]-0.12</f>
        <v>1.008</v>
      </c>
      <c r="G172" s="109">
        <f>IF(表2_367162629303891213141518[[#This Row],[累计净值]]&gt;1.087,0.7*(表2_367162629303891213141518[[#This Row],[累计净值]]-1.087)/1.087,(表2_367162629303891213141518[[#This Row],[累计净值]]-1.087)/1.087)</f>
        <v>2.6402943882244661E-2</v>
      </c>
      <c r="H172" s="109">
        <f>IF(表2_367162629303891213141518[[#This Row],[累计净值]]&gt;1.129,0.7*(表2_367162629303891213141518[[#This Row],[累计净值]]-1.129)/1.129,(表2_367162629303891213141518[[#This Row],[累计净值]]-1.129)/1.129)</f>
        <v>-8.8573959255988655E-4</v>
      </c>
    </row>
    <row r="173" spans="1:10" x14ac:dyDescent="0.2">
      <c r="A173" s="15">
        <v>44190</v>
      </c>
      <c r="B173" s="112">
        <v>1.125</v>
      </c>
      <c r="C173" s="108">
        <f t="shared" si="48"/>
        <v>-2.9999999999998916E-3</v>
      </c>
      <c r="D173" s="109">
        <f t="shared" si="49"/>
        <v>-2.9999999999998916E-3</v>
      </c>
      <c r="E173" s="109">
        <f ca="1">IF(表2_367162629303891213141518[[#This Row],[累计净值]]/MAX(INDIRECT("B21:B" &amp; ROW()))-1&lt;E172,表2_367162629303891213141518[[#This Row],[累计净值]]/MAX(INDIRECT("B21:B" &amp; ROW()))-1,E172)</f>
        <v>-2.2768670309654016E-2</v>
      </c>
      <c r="F173" s="110">
        <f>表2_367162629303891213141518[[#This Row],[累计净值]]-0.12</f>
        <v>1.0049999999999999</v>
      </c>
      <c r="G173" s="109">
        <f>IF(表2_367162629303891213141518[[#This Row],[累计净值]]&gt;1.087,0.7*(表2_367162629303891213141518[[#This Row],[累计净值]]-1.087)/1.087,(表2_367162629303891213141518[[#This Row],[累计净值]]-1.087)/1.087)</f>
        <v>2.4471021159153655E-2</v>
      </c>
      <c r="H173" s="109">
        <f>IF(表2_367162629303891213141518[[#This Row],[累计净值]]&gt;1.129,0.7*(表2_367162629303891213141518[[#This Row],[累计净值]]-1.129)/1.129,(表2_367162629303891213141518[[#This Row],[累计净值]]-1.129)/1.129)</f>
        <v>-3.5429583702391528E-3</v>
      </c>
    </row>
    <row r="174" spans="1:10" x14ac:dyDescent="0.2">
      <c r="A174" s="15">
        <v>44193</v>
      </c>
      <c r="B174" s="112">
        <v>1.121</v>
      </c>
      <c r="C174" s="108">
        <f t="shared" si="48"/>
        <v>-4.0000000000000036E-3</v>
      </c>
      <c r="D174" s="109">
        <f t="shared" si="49"/>
        <v>-4.0000000000000036E-3</v>
      </c>
      <c r="E174" s="109">
        <f ca="1">IF(表2_367162629303891213141518[[#This Row],[累计净值]]/MAX(INDIRECT("B21:B" &amp; ROW()))-1&lt;E173,表2_367162629303891213141518[[#This Row],[累计净值]]/MAX(INDIRECT("B21:B" &amp; ROW()))-1,E173)</f>
        <v>-2.2768670309654016E-2</v>
      </c>
      <c r="F174" s="110">
        <f>表2_367162629303891213141518[[#This Row],[累计净值]]-0.12</f>
        <v>1.0009999999999999</v>
      </c>
      <c r="G174" s="109">
        <f>IF(表2_367162629303891213141518[[#This Row],[累计净值]]&gt;1.087,0.7*(表2_367162629303891213141518[[#This Row],[累计净值]]-1.087)/1.087,(表2_367162629303891213141518[[#This Row],[累计净值]]-1.087)/1.087)</f>
        <v>2.1895124195032218E-2</v>
      </c>
      <c r="H174" s="109">
        <f>IF(表2_367162629303891213141518[[#This Row],[累计净值]]&gt;1.129,0.7*(表2_367162629303891213141518[[#This Row],[累计净值]]-1.129)/1.129,(表2_367162629303891213141518[[#This Row],[累计净值]]-1.129)/1.129)</f>
        <v>-7.0859167404783057E-3</v>
      </c>
      <c r="J174" s="209" t="s">
        <v>46</v>
      </c>
    </row>
    <row r="175" spans="1:10" x14ac:dyDescent="0.2">
      <c r="A175" s="15">
        <v>44194</v>
      </c>
      <c r="B175" s="112">
        <v>1.125</v>
      </c>
      <c r="C175" s="108">
        <f t="shared" si="48"/>
        <v>4.0000000000000036E-3</v>
      </c>
      <c r="D175" s="109" t="str">
        <f t="shared" si="49"/>
        <v>/</v>
      </c>
      <c r="E175" s="109">
        <f ca="1">IF(表2_367162629303891213141518[[#This Row],[累计净值]]/MAX(INDIRECT("B21:B" &amp; ROW()))-1&lt;E174,表2_367162629303891213141518[[#This Row],[累计净值]]/MAX(INDIRECT("B21:B" &amp; ROW()))-1,E174)</f>
        <v>-2.2768670309654016E-2</v>
      </c>
      <c r="F175" s="110">
        <f>表2_367162629303891213141518[[#This Row],[累计净值]]-0.12</f>
        <v>1.0049999999999999</v>
      </c>
      <c r="G175" s="109">
        <f>IF(表2_367162629303891213141518[[#This Row],[累计净值]]&gt;1.087,0.7*(表2_367162629303891213141518[[#This Row],[累计净值]]-1.087)/1.087,(表2_367162629303891213141518[[#This Row],[累计净值]]-1.087)/1.087)</f>
        <v>2.4471021159153655E-2</v>
      </c>
      <c r="H175" s="109">
        <f>IF(表2_367162629303891213141518[[#This Row],[累计净值]]&gt;1.129,0.7*(表2_367162629303891213141518[[#This Row],[累计净值]]-1.129)/1.129,(表2_367162629303891213141518[[#This Row],[累计净值]]-1.129)/1.129)</f>
        <v>-3.5429583702391528E-3</v>
      </c>
    </row>
    <row r="176" spans="1:10" x14ac:dyDescent="0.2">
      <c r="A176" s="15">
        <v>44195</v>
      </c>
      <c r="B176" s="112">
        <v>1.1279999999999999</v>
      </c>
      <c r="C176" s="108">
        <f t="shared" si="48"/>
        <v>2.9999999999998916E-3</v>
      </c>
      <c r="D176" s="109" t="str">
        <f t="shared" si="49"/>
        <v>/</v>
      </c>
      <c r="E176" s="109">
        <f ca="1">IF(表2_367162629303891213141518[[#This Row],[累计净值]]/MAX(INDIRECT("B21:B" &amp; ROW()))-1&lt;E175,表2_367162629303891213141518[[#This Row],[累计净值]]/MAX(INDIRECT("B21:B" &amp; ROW()))-1,E175)</f>
        <v>-2.2768670309654016E-2</v>
      </c>
      <c r="F176" s="110">
        <f>表2_367162629303891213141518[[#This Row],[累计净值]]-0.12</f>
        <v>1.008</v>
      </c>
      <c r="G176" s="109">
        <f>IF(表2_367162629303891213141518[[#This Row],[累计净值]]&gt;1.087,0.7*(表2_367162629303891213141518[[#This Row],[累计净值]]-1.087)/1.087,(表2_367162629303891213141518[[#This Row],[累计净值]]-1.087)/1.087)</f>
        <v>2.6402943882244661E-2</v>
      </c>
      <c r="H176" s="109">
        <f>IF(表2_367162629303891213141518[[#This Row],[累计净值]]&gt;1.129,0.7*(表2_367162629303891213141518[[#This Row],[累计净值]]-1.129)/1.129,(表2_367162629303891213141518[[#This Row],[累计净值]]-1.129)/1.129)</f>
        <v>-8.8573959255988655E-4</v>
      </c>
    </row>
    <row r="177" spans="1:8" x14ac:dyDescent="0.2">
      <c r="A177" s="15">
        <v>44196</v>
      </c>
      <c r="B177" s="112">
        <v>1.129</v>
      </c>
      <c r="C177" s="108">
        <f t="shared" si="48"/>
        <v>1.0000000000001119E-3</v>
      </c>
      <c r="D177" s="109" t="str">
        <f t="shared" si="49"/>
        <v>/</v>
      </c>
      <c r="E177" s="109">
        <f ca="1">IF(表2_367162629303891213141518[[#This Row],[累计净值]]/MAX(INDIRECT("B21:B" &amp; ROW()))-1&lt;E176,表2_367162629303891213141518[[#This Row],[累计净值]]/MAX(INDIRECT("B21:B" &amp; ROW()))-1,E176)</f>
        <v>-2.2768670309654016E-2</v>
      </c>
      <c r="F177" s="110">
        <f>表2_367162629303891213141518[[#This Row],[累计净值]]-0.12</f>
        <v>1.0089999999999999</v>
      </c>
      <c r="G177" s="109">
        <f>IF(表2_367162629303891213141518[[#This Row],[累计净值]]&gt;1.087,0.7*(表2_367162629303891213141518[[#This Row],[累计净值]]-1.087)/1.087,(表2_367162629303891213141518[[#This Row],[累计净值]]-1.087)/1.087)</f>
        <v>2.7046918123275091E-2</v>
      </c>
      <c r="H177" s="109">
        <f>IF(表2_367162629303891213141518[[#This Row],[累计净值]]&gt;1.129,0.7*(表2_367162629303891213141518[[#This Row],[累计净值]]-1.129)/1.129,(表2_367162629303891213141518[[#This Row],[累计净值]]-1.129)/1.129)</f>
        <v>0</v>
      </c>
    </row>
    <row r="178" spans="1:8" x14ac:dyDescent="0.2">
      <c r="A178" s="15">
        <v>44200</v>
      </c>
      <c r="B178" s="112">
        <v>1.1240000000000001</v>
      </c>
      <c r="C178" s="108">
        <f t="shared" si="48"/>
        <v>-4.9999999999998934E-3</v>
      </c>
      <c r="D178" s="109">
        <f t="shared" si="49"/>
        <v>-4.9999999999998934E-3</v>
      </c>
      <c r="E178" s="109">
        <f ca="1">IF(表2_367162629303891213141518[[#This Row],[累计净值]]/MAX(INDIRECT("B21:B" &amp; ROW()))-1&lt;E177,表2_367162629303891213141518[[#This Row],[累计净值]]/MAX(INDIRECT("B21:B" &amp; ROW()))-1,E177)</f>
        <v>-2.2768670309654016E-2</v>
      </c>
      <c r="F178" s="110">
        <f>表2_367162629303891213141518[[#This Row],[累计净值]]-0.12</f>
        <v>1.004</v>
      </c>
      <c r="G178" s="109">
        <f>IF(表2_367162629303891213141518[[#This Row],[累计净值]]&gt;1.087,0.7*(表2_367162629303891213141518[[#This Row],[累计净值]]-1.087)/1.087,(表2_367162629303891213141518[[#This Row],[累计净值]]-1.087)/1.087)</f>
        <v>2.3827046918123367E-2</v>
      </c>
      <c r="H178" s="109">
        <f>IF(表2_367162629303891213141518[[#This Row],[累计净值]]&gt;1.129,0.7*(表2_367162629303891213141518[[#This Row],[累计净值]]-1.129)/1.129,(表2_367162629303891213141518[[#This Row],[累计净值]]-1.129)/1.129)</f>
        <v>-4.4286979627988429E-3</v>
      </c>
    </row>
    <row r="179" spans="1:8" x14ac:dyDescent="0.2">
      <c r="A179" s="15">
        <v>44201</v>
      </c>
      <c r="B179" s="112">
        <v>1.121</v>
      </c>
      <c r="C179" s="108">
        <f t="shared" ref="C179:C185" si="50">IFERROR(B179-B178,0)</f>
        <v>-3.0000000000001137E-3</v>
      </c>
      <c r="D179" s="109">
        <f t="shared" ref="D179:D185" si="51">IF(C179&lt;0,C179,"/")</f>
        <v>-3.0000000000001137E-3</v>
      </c>
      <c r="E179" s="109">
        <f ca="1">IF(表2_367162629303891213141518[[#This Row],[累计净值]]/MAX(INDIRECT("B21:B" &amp; ROW()))-1&lt;E178,表2_367162629303891213141518[[#This Row],[累计净值]]/MAX(INDIRECT("B21:B" &amp; ROW()))-1,E178)</f>
        <v>-2.2768670309654016E-2</v>
      </c>
      <c r="F179" s="110">
        <f>表2_367162629303891213141518[[#This Row],[累计净值]]-0.12</f>
        <v>1.0009999999999999</v>
      </c>
      <c r="G179" s="109">
        <f>IF(表2_367162629303891213141518[[#This Row],[累计净值]]&gt;1.087,0.7*(表2_367162629303891213141518[[#This Row],[累计净值]]-1.087)/1.087,(表2_367162629303891213141518[[#This Row],[累计净值]]-1.087)/1.087)</f>
        <v>2.1895124195032218E-2</v>
      </c>
      <c r="H179" s="109">
        <f>IF(表2_367162629303891213141518[[#This Row],[累计净值]]&gt;1.129,0.7*(表2_367162629303891213141518[[#This Row],[累计净值]]-1.129)/1.129,(表2_367162629303891213141518[[#This Row],[累计净值]]-1.129)/1.129)</f>
        <v>-7.0859167404783057E-3</v>
      </c>
    </row>
    <row r="180" spans="1:8" x14ac:dyDescent="0.2">
      <c r="A180" s="15">
        <v>44202</v>
      </c>
      <c r="B180" s="112">
        <v>1.1220000000000001</v>
      </c>
      <c r="C180" s="108">
        <f t="shared" si="50"/>
        <v>1.0000000000001119E-3</v>
      </c>
      <c r="D180" s="109" t="str">
        <f t="shared" si="51"/>
        <v>/</v>
      </c>
      <c r="E180" s="109">
        <f ca="1">IF(表2_367162629303891213141518[[#This Row],[累计净值]]/MAX(INDIRECT("B21:B" &amp; ROW()))-1&lt;E179,表2_367162629303891213141518[[#This Row],[累计净值]]/MAX(INDIRECT("B21:B" &amp; ROW()))-1,E179)</f>
        <v>-2.2768670309654016E-2</v>
      </c>
      <c r="F180" s="110">
        <f>表2_367162629303891213141518[[#This Row],[累计净值]]-0.12</f>
        <v>1.0020000000000002</v>
      </c>
      <c r="G180" s="109">
        <f>IF(表2_367162629303891213141518[[#This Row],[累计净值]]&gt;1.087,0.7*(表2_367162629303891213141518[[#This Row],[累计净值]]-1.087)/1.087,(表2_367162629303891213141518[[#This Row],[累计净值]]-1.087)/1.087)</f>
        <v>2.2539098436062648E-2</v>
      </c>
      <c r="H180" s="109">
        <f>IF(表2_367162629303891213141518[[#This Row],[累计净值]]&gt;1.129,0.7*(表2_367162629303891213141518[[#This Row],[累计净值]]-1.129)/1.129,(表2_367162629303891213141518[[#This Row],[累计净值]]-1.129)/1.129)</f>
        <v>-6.2001771479184191E-3</v>
      </c>
    </row>
    <row r="181" spans="1:8" x14ac:dyDescent="0.2">
      <c r="A181" s="15">
        <v>44203</v>
      </c>
      <c r="B181" s="112">
        <v>1.1160000000000001</v>
      </c>
      <c r="C181" s="108">
        <f t="shared" si="50"/>
        <v>-6.0000000000000053E-3</v>
      </c>
      <c r="D181" s="109">
        <f t="shared" si="51"/>
        <v>-6.0000000000000053E-3</v>
      </c>
      <c r="E181" s="109">
        <f ca="1">IF(表2_367162629303891213141518[[#This Row],[累计净值]]/MAX(INDIRECT("B21:B" &amp; ROW()))-1&lt;E180,表2_367162629303891213141518[[#This Row],[累计净值]]/MAX(INDIRECT("B21:B" &amp; ROW()))-1,E180)</f>
        <v>-2.2768670309654016E-2</v>
      </c>
      <c r="F181" s="110">
        <f>表2_367162629303891213141518[[#This Row],[累计净值]]-0.12</f>
        <v>0.99600000000000011</v>
      </c>
      <c r="G181" s="109">
        <f>IF(表2_367162629303891213141518[[#This Row],[累计净值]]&gt;1.087,0.7*(表2_367162629303891213141518[[#This Row],[累计净值]]-1.087)/1.087,(表2_367162629303891213141518[[#This Row],[累计净值]]-1.087)/1.087)</f>
        <v>1.8675252989880493E-2</v>
      </c>
      <c r="H181" s="109">
        <f>IF(表2_367162629303891213141518[[#This Row],[累计净值]]&gt;1.129,0.7*(表2_367162629303891213141518[[#This Row],[累计净值]]-1.129)/1.129,(表2_367162629303891213141518[[#This Row],[累计净值]]-1.129)/1.129)</f>
        <v>-1.1514614703277148E-2</v>
      </c>
    </row>
    <row r="182" spans="1:8" x14ac:dyDescent="0.2">
      <c r="A182" s="15">
        <v>44204</v>
      </c>
      <c r="B182" s="112">
        <v>1.1140000000000001</v>
      </c>
      <c r="C182" s="108">
        <f t="shared" si="50"/>
        <v>-2.0000000000000018E-3</v>
      </c>
      <c r="D182" s="109">
        <f t="shared" si="51"/>
        <v>-2.0000000000000018E-3</v>
      </c>
      <c r="E182" s="109">
        <f ca="1">IF(表2_367162629303891213141518[[#This Row],[累计净值]]/MAX(INDIRECT("B21:B" &amp; ROW()))-1&lt;E181,表2_367162629303891213141518[[#This Row],[累计净值]]/MAX(INDIRECT("B21:B" &amp; ROW()))-1,E181)</f>
        <v>-2.2768670309654016E-2</v>
      </c>
      <c r="F182" s="110">
        <f>表2_367162629303891213141518[[#This Row],[累计净值]]-0.12</f>
        <v>0.99400000000000011</v>
      </c>
      <c r="G182" s="109">
        <f>IF(表2_367162629303891213141518[[#This Row],[累计净值]]&gt;1.087,0.7*(表2_367162629303891213141518[[#This Row],[累计净值]]-1.087)/1.087,(表2_367162629303891213141518[[#This Row],[累计净值]]-1.087)/1.087)</f>
        <v>1.7387304507819775E-2</v>
      </c>
      <c r="H182" s="109">
        <f>IF(表2_367162629303891213141518[[#This Row],[累计净值]]&gt;1.129,0.7*(表2_367162629303891213141518[[#This Row],[累计净值]]-1.129)/1.129,(表2_367162629303891213141518[[#This Row],[累计净值]]-1.129)/1.129)</f>
        <v>-1.3286093888396725E-2</v>
      </c>
    </row>
    <row r="183" spans="1:8" x14ac:dyDescent="0.2">
      <c r="A183" s="15">
        <v>44207</v>
      </c>
      <c r="B183" s="112">
        <v>1.1200000000000001</v>
      </c>
      <c r="C183" s="108">
        <f t="shared" si="50"/>
        <v>6.0000000000000053E-3</v>
      </c>
      <c r="D183" s="109" t="str">
        <f t="shared" si="51"/>
        <v>/</v>
      </c>
      <c r="E183" s="109">
        <f ca="1">IF(表2_367162629303891213141518[[#This Row],[累计净值]]/MAX(INDIRECT("B21:B" &amp; ROW()))-1&lt;E182,表2_367162629303891213141518[[#This Row],[累计净值]]/MAX(INDIRECT("B21:B" &amp; ROW()))-1,E182)</f>
        <v>-2.2768670309654016E-2</v>
      </c>
      <c r="F183" s="110">
        <f>表2_367162629303891213141518[[#This Row],[累计净值]]-0.12</f>
        <v>1</v>
      </c>
      <c r="G183" s="109">
        <f>IF(表2_367162629303891213141518[[#This Row],[累计净值]]&gt;1.087,0.7*(表2_367162629303891213141518[[#This Row],[累计净值]]-1.087)/1.087,(表2_367162629303891213141518[[#This Row],[累计净值]]-1.087)/1.087)</f>
        <v>2.125114995400193E-2</v>
      </c>
      <c r="H183" s="109">
        <f>IF(表2_367162629303891213141518[[#This Row],[累计净值]]&gt;1.129,0.7*(表2_367162629303891213141518[[#This Row],[累计净值]]-1.129)/1.129,(表2_367162629303891213141518[[#This Row],[累计净值]]-1.129)/1.129)</f>
        <v>-7.9716563330379953E-3</v>
      </c>
    </row>
    <row r="184" spans="1:8" x14ac:dyDescent="0.2">
      <c r="A184" s="15">
        <v>44208</v>
      </c>
      <c r="B184" s="112">
        <v>1.121</v>
      </c>
      <c r="C184" s="108">
        <f t="shared" si="50"/>
        <v>9.9999999999988987E-4</v>
      </c>
      <c r="D184" s="109" t="str">
        <f t="shared" si="51"/>
        <v>/</v>
      </c>
      <c r="E184" s="109">
        <f ca="1">IF(表2_367162629303891213141518[[#This Row],[累计净值]]/MAX(INDIRECT("B21:B" &amp; ROW()))-1&lt;E183,表2_367162629303891213141518[[#This Row],[累计净值]]/MAX(INDIRECT("B21:B" &amp; ROW()))-1,E183)</f>
        <v>-2.2768670309654016E-2</v>
      </c>
      <c r="F184" s="110">
        <f>表2_367162629303891213141518[[#This Row],[累计净值]]-0.12</f>
        <v>1.0009999999999999</v>
      </c>
      <c r="G184" s="109">
        <f>IF(表2_367162629303891213141518[[#This Row],[累计净值]]&gt;1.087,0.7*(表2_367162629303891213141518[[#This Row],[累计净值]]-1.087)/1.087,(表2_367162629303891213141518[[#This Row],[累计净值]]-1.087)/1.087)</f>
        <v>2.1895124195032218E-2</v>
      </c>
      <c r="H184" s="109">
        <f>IF(表2_367162629303891213141518[[#This Row],[累计净值]]&gt;1.129,0.7*(表2_367162629303891213141518[[#This Row],[累计净值]]-1.129)/1.129,(表2_367162629303891213141518[[#This Row],[累计净值]]-1.129)/1.129)</f>
        <v>-7.0859167404783057E-3</v>
      </c>
    </row>
    <row r="185" spans="1:8" x14ac:dyDescent="0.2">
      <c r="A185" s="15">
        <v>44209</v>
      </c>
      <c r="B185" s="112">
        <v>1.1180000000000001</v>
      </c>
      <c r="C185" s="108">
        <f t="shared" si="50"/>
        <v>-2.9999999999998916E-3</v>
      </c>
      <c r="D185" s="109">
        <f t="shared" si="51"/>
        <v>-2.9999999999998916E-3</v>
      </c>
      <c r="E185" s="109">
        <f ca="1">IF(表2_367162629303891213141518[[#This Row],[累计净值]]/MAX(INDIRECT("B21:B" &amp; ROW()))-1&lt;E184,表2_367162629303891213141518[[#This Row],[累计净值]]/MAX(INDIRECT("B21:B" &amp; ROW()))-1,E184)</f>
        <v>-2.2768670309654016E-2</v>
      </c>
      <c r="F185" s="110">
        <f>表2_367162629303891213141518[[#This Row],[累计净值]]-0.12</f>
        <v>0.99800000000000011</v>
      </c>
      <c r="G185" s="109">
        <f>IF(表2_367162629303891213141518[[#This Row],[累计净值]]&gt;1.087,0.7*(表2_367162629303891213141518[[#This Row],[累计净值]]-1.087)/1.087,(表2_367162629303891213141518[[#This Row],[累计净值]]-1.087)/1.087)</f>
        <v>1.9963201471941208E-2</v>
      </c>
      <c r="H185" s="109">
        <f>IF(表2_367162629303891213141518[[#This Row],[累计净值]]&gt;1.129,0.7*(表2_367162629303891213141518[[#This Row],[累计净值]]-1.129)/1.129,(表2_367162629303891213141518[[#This Row],[累计净值]]-1.129)/1.129)</f>
        <v>-9.7431355181575724E-3</v>
      </c>
    </row>
    <row r="186" spans="1:8" x14ac:dyDescent="0.2">
      <c r="A186" s="15">
        <v>44210</v>
      </c>
      <c r="B186" s="112">
        <v>1.125</v>
      </c>
      <c r="C186" s="108">
        <f t="shared" ref="C186:C191" si="52">IFERROR(B186-B185,0)</f>
        <v>6.9999999999998952E-3</v>
      </c>
      <c r="D186" s="109" t="str">
        <f t="shared" ref="D186:D191" si="53">IF(C186&lt;0,C186,"/")</f>
        <v>/</v>
      </c>
      <c r="E186" s="109">
        <f ca="1">IF(表2_367162629303891213141518[[#This Row],[累计净值]]/MAX(INDIRECT("B21:B" &amp; ROW()))-1&lt;E185,表2_367162629303891213141518[[#This Row],[累计净值]]/MAX(INDIRECT("B21:B" &amp; ROW()))-1,E185)</f>
        <v>-2.2768670309654016E-2</v>
      </c>
      <c r="F186" s="110">
        <f>表2_367162629303891213141518[[#This Row],[累计净值]]-0.12</f>
        <v>1.0049999999999999</v>
      </c>
      <c r="G186" s="109">
        <f>IF(表2_367162629303891213141518[[#This Row],[累计净值]]&gt;1.087,0.7*(表2_367162629303891213141518[[#This Row],[累计净值]]-1.087)/1.087,(表2_367162629303891213141518[[#This Row],[累计净值]]-1.087)/1.087)</f>
        <v>2.4471021159153655E-2</v>
      </c>
      <c r="H186" s="109">
        <f>IF(表2_367162629303891213141518[[#This Row],[累计净值]]&gt;1.129,0.7*(表2_367162629303891213141518[[#This Row],[累计净值]]-1.129)/1.129,(表2_367162629303891213141518[[#This Row],[累计净值]]-1.129)/1.129)</f>
        <v>-3.5429583702391528E-3</v>
      </c>
    </row>
    <row r="187" spans="1:8" x14ac:dyDescent="0.2">
      <c r="A187" s="15">
        <v>44211</v>
      </c>
      <c r="B187" s="112">
        <v>1.1259999999999999</v>
      </c>
      <c r="C187" s="108">
        <f t="shared" si="52"/>
        <v>9.9999999999988987E-4</v>
      </c>
      <c r="D187" s="109" t="str">
        <f t="shared" si="53"/>
        <v>/</v>
      </c>
      <c r="E187" s="109">
        <f ca="1">IF(表2_367162629303891213141518[[#This Row],[累计净值]]/MAX(INDIRECT("B21:B" &amp; ROW()))-1&lt;E186,表2_367162629303891213141518[[#This Row],[累计净值]]/MAX(INDIRECT("B21:B" &amp; ROW()))-1,E186)</f>
        <v>-2.2768670309654016E-2</v>
      </c>
      <c r="F187" s="110">
        <f>表2_367162629303891213141518[[#This Row],[累计净值]]-0.12</f>
        <v>1.0059999999999998</v>
      </c>
      <c r="G187" s="109">
        <f>IF(表2_367162629303891213141518[[#This Row],[累计净值]]&gt;1.087,0.7*(表2_367162629303891213141518[[#This Row],[累计净值]]-1.087)/1.087,(表2_367162629303891213141518[[#This Row],[累计净值]]-1.087)/1.087)</f>
        <v>2.5114995400183943E-2</v>
      </c>
      <c r="H187" s="109">
        <f>IF(表2_367162629303891213141518[[#This Row],[累计净值]]&gt;1.129,0.7*(表2_367162629303891213141518[[#This Row],[累计净值]]-1.129)/1.129,(表2_367162629303891213141518[[#This Row],[累计净值]]-1.129)/1.129)</f>
        <v>-2.6572187776794627E-3</v>
      </c>
    </row>
    <row r="188" spans="1:8" x14ac:dyDescent="0.2">
      <c r="A188" s="15">
        <v>44214</v>
      </c>
      <c r="B188" s="112">
        <v>1.1259999999999999</v>
      </c>
      <c r="C188" s="108">
        <f t="shared" si="52"/>
        <v>0</v>
      </c>
      <c r="D188" s="109" t="str">
        <f t="shared" si="53"/>
        <v>/</v>
      </c>
      <c r="E188" s="109">
        <f ca="1">IF(表2_367162629303891213141518[[#This Row],[累计净值]]/MAX(INDIRECT("B21:B" &amp; ROW()))-1&lt;E187,表2_367162629303891213141518[[#This Row],[累计净值]]/MAX(INDIRECT("B21:B" &amp; ROW()))-1,E187)</f>
        <v>-2.2768670309654016E-2</v>
      </c>
      <c r="F188" s="110">
        <f>表2_367162629303891213141518[[#This Row],[累计净值]]-0.12</f>
        <v>1.0059999999999998</v>
      </c>
      <c r="G188" s="109">
        <f>IF(表2_367162629303891213141518[[#This Row],[累计净值]]&gt;1.087,0.7*(表2_367162629303891213141518[[#This Row],[累计净值]]-1.087)/1.087,(表2_367162629303891213141518[[#This Row],[累计净值]]-1.087)/1.087)</f>
        <v>2.5114995400183943E-2</v>
      </c>
      <c r="H188" s="109">
        <f>IF(表2_367162629303891213141518[[#This Row],[累计净值]]&gt;1.129,0.7*(表2_367162629303891213141518[[#This Row],[累计净值]]-1.129)/1.129,(表2_367162629303891213141518[[#This Row],[累计净值]]-1.129)/1.129)</f>
        <v>-2.6572187776794627E-3</v>
      </c>
    </row>
    <row r="189" spans="1:8" x14ac:dyDescent="0.2">
      <c r="A189" s="15">
        <v>44215</v>
      </c>
      <c r="B189" s="112">
        <v>1.1319999999999999</v>
      </c>
      <c r="C189" s="108">
        <f t="shared" si="52"/>
        <v>6.0000000000000053E-3</v>
      </c>
      <c r="D189" s="109" t="str">
        <f t="shared" si="53"/>
        <v>/</v>
      </c>
      <c r="E189" s="109">
        <f ca="1">IF(表2_367162629303891213141518[[#This Row],[累计净值]]/MAX(INDIRECT("B21:B" &amp; ROW()))-1&lt;E188,表2_367162629303891213141518[[#This Row],[累计净值]]/MAX(INDIRECT("B21:B" &amp; ROW()))-1,E188)</f>
        <v>-2.2768670309654016E-2</v>
      </c>
      <c r="F189" s="110">
        <f>表2_367162629303891213141518[[#This Row],[累计净值]]-0.12</f>
        <v>1.012</v>
      </c>
      <c r="G189" s="109">
        <f>IF(表2_367162629303891213141518[[#This Row],[累计净值]]&gt;1.087,0.7*(表2_367162629303891213141518[[#This Row],[累计净值]]-1.087)/1.087,(表2_367162629303891213141518[[#This Row],[累计净值]]-1.087)/1.087)</f>
        <v>2.8978840846366101E-2</v>
      </c>
      <c r="H189" s="109">
        <f>IF(表2_367162629303891213141518[[#This Row],[累计净值]]&gt;1.129,0.7*(表2_367162629303891213141518[[#This Row],[累计净值]]-1.129)/1.129,(表2_367162629303891213141518[[#This Row],[累计净值]]-1.129)/1.129)</f>
        <v>1.8600531443754861E-3</v>
      </c>
    </row>
    <row r="190" spans="1:8" x14ac:dyDescent="0.2">
      <c r="A190" s="15">
        <v>44216</v>
      </c>
      <c r="B190" s="112">
        <v>1.137</v>
      </c>
      <c r="C190" s="108">
        <f t="shared" si="52"/>
        <v>5.0000000000001155E-3</v>
      </c>
      <c r="D190" s="109" t="str">
        <f t="shared" si="53"/>
        <v>/</v>
      </c>
      <c r="E190" s="109">
        <f ca="1">IF(表2_367162629303891213141518[[#This Row],[累计净值]]/MAX(INDIRECT("B21:B" &amp; ROW()))-1&lt;E189,表2_367162629303891213141518[[#This Row],[累计净值]]/MAX(INDIRECT("B21:B" &amp; ROW()))-1,E189)</f>
        <v>-2.2768670309654016E-2</v>
      </c>
      <c r="F190" s="110">
        <f>表2_367162629303891213141518[[#This Row],[累计净值]]-0.12</f>
        <v>1.0169999999999999</v>
      </c>
      <c r="G190" s="109">
        <f>IF(表2_367162629303891213141518[[#This Row],[累计净值]]&gt;1.087,0.7*(表2_367162629303891213141518[[#This Row],[累计净值]]-1.087)/1.087,(表2_367162629303891213141518[[#This Row],[累计净值]]-1.087)/1.087)</f>
        <v>3.2198712051517968E-2</v>
      </c>
      <c r="H190" s="109">
        <f>IF(表2_367162629303891213141518[[#This Row],[累计净值]]&gt;1.129,0.7*(表2_367162629303891213141518[[#This Row],[累计净值]]-1.129)/1.129,(表2_367162629303891213141518[[#This Row],[累计净值]]-1.129)/1.129)</f>
        <v>4.960141718334813E-3</v>
      </c>
    </row>
    <row r="191" spans="1:8" x14ac:dyDescent="0.2">
      <c r="A191" s="15">
        <v>44217</v>
      </c>
      <c r="B191" s="112">
        <v>1.1299999999999999</v>
      </c>
      <c r="C191" s="108">
        <f t="shared" si="52"/>
        <v>-7.0000000000001172E-3</v>
      </c>
      <c r="D191" s="109">
        <f t="shared" si="53"/>
        <v>-7.0000000000001172E-3</v>
      </c>
      <c r="E191" s="109">
        <f ca="1">IF(表2_367162629303891213141518[[#This Row],[累计净值]]/MAX(INDIRECT("B21:B" &amp; ROW()))-1&lt;E190,表2_367162629303891213141518[[#This Row],[累计净值]]/MAX(INDIRECT("B21:B" &amp; ROW()))-1,E190)</f>
        <v>-2.2768670309654016E-2</v>
      </c>
      <c r="F191" s="110">
        <f>表2_367162629303891213141518[[#This Row],[累计净值]]-0.12</f>
        <v>1.0099999999999998</v>
      </c>
      <c r="G191" s="109">
        <f>IF(表2_367162629303891213141518[[#This Row],[累计净值]]&gt;1.087,0.7*(表2_367162629303891213141518[[#This Row],[累计净值]]-1.087)/1.087,(表2_367162629303891213141518[[#This Row],[累计净值]]-1.087)/1.087)</f>
        <v>2.7690892364305379E-2</v>
      </c>
      <c r="H191" s="109">
        <f>IF(表2_367162629303891213141518[[#This Row],[累计净值]]&gt;1.129,0.7*(表2_367162629303891213141518[[#This Row],[累计净值]]-1.129)/1.129,(表2_367162629303891213141518[[#This Row],[累计净值]]-1.129)/1.129)</f>
        <v>6.2001771479178289E-4</v>
      </c>
    </row>
    <row r="192" spans="1:8" x14ac:dyDescent="0.2">
      <c r="A192" s="15">
        <v>44218</v>
      </c>
      <c r="B192" s="112">
        <v>1.1339999999999999</v>
      </c>
      <c r="C192" s="108">
        <f t="shared" ref="C192:C197" si="54">IFERROR(B192-B191,0)</f>
        <v>4.0000000000000036E-3</v>
      </c>
      <c r="D192" s="109" t="str">
        <f t="shared" ref="D192:D197" si="55">IF(C192&lt;0,C192,"/")</f>
        <v>/</v>
      </c>
      <c r="E192" s="109">
        <f ca="1">IF(表2_367162629303891213141518[[#This Row],[累计净值]]/MAX(INDIRECT("B21:B" &amp; ROW()))-1&lt;E191,表2_367162629303891213141518[[#This Row],[累计净值]]/MAX(INDIRECT("B21:B" &amp; ROW()))-1,E191)</f>
        <v>-2.2768670309654016E-2</v>
      </c>
      <c r="F192" s="110">
        <f>表2_367162629303891213141518[[#This Row],[累计净值]]-0.12</f>
        <v>1.0139999999999998</v>
      </c>
      <c r="G192" s="109">
        <f>IF(表2_367162629303891213141518[[#This Row],[累计净值]]&gt;1.087,0.7*(表2_367162629303891213141518[[#This Row],[累计净值]]-1.087)/1.087,(表2_367162629303891213141518[[#This Row],[累计净值]]-1.087)/1.087)</f>
        <v>3.0266789328426819E-2</v>
      </c>
      <c r="H192" s="109">
        <f>IF(表2_367162629303891213141518[[#This Row],[累计净值]]&gt;1.129,0.7*(表2_367162629303891213141518[[#This Row],[累计净值]]-1.129)/1.129,(表2_367162629303891213141518[[#This Row],[累计净值]]-1.129)/1.129)</f>
        <v>3.1000885739591896E-3</v>
      </c>
    </row>
    <row r="193" spans="1:8" x14ac:dyDescent="0.2">
      <c r="A193" s="15">
        <v>44221</v>
      </c>
      <c r="B193" s="112">
        <v>1.1479999999999999</v>
      </c>
      <c r="C193" s="108">
        <f t="shared" si="54"/>
        <v>1.4000000000000012E-2</v>
      </c>
      <c r="D193" s="109" t="str">
        <f t="shared" si="55"/>
        <v>/</v>
      </c>
      <c r="E193" s="109">
        <f ca="1">IF(表2_367162629303891213141518[[#This Row],[累计净值]]/MAX(INDIRECT("B21:B" &amp; ROW()))-1&lt;E192,表2_367162629303891213141518[[#This Row],[累计净值]]/MAX(INDIRECT("B21:B" &amp; ROW()))-1,E192)</f>
        <v>-2.2768670309654016E-2</v>
      </c>
      <c r="F193" s="110">
        <f>表2_367162629303891213141518[[#This Row],[累计净值]]-0.12</f>
        <v>1.028</v>
      </c>
      <c r="G193" s="109">
        <f>IF(表2_367162629303891213141518[[#This Row],[累计净值]]&gt;1.087,0.7*(表2_367162629303891213141518[[#This Row],[累计净值]]-1.087)/1.087,(表2_367162629303891213141518[[#This Row],[累计净值]]-1.087)/1.087)</f>
        <v>3.9282428702851847E-2</v>
      </c>
      <c r="H193" s="109">
        <f>IF(表2_367162629303891213141518[[#This Row],[累计净值]]&gt;1.129,0.7*(表2_367162629303891213141518[[#This Row],[累计净值]]-1.129)/1.129,(表2_367162629303891213141518[[#This Row],[累计净值]]-1.129)/1.129)</f>
        <v>1.1780336581045114E-2</v>
      </c>
    </row>
    <row r="194" spans="1:8" x14ac:dyDescent="0.2">
      <c r="A194" s="15">
        <v>44222</v>
      </c>
      <c r="B194" s="112">
        <v>1.1439999999999999</v>
      </c>
      <c r="C194" s="108">
        <f t="shared" si="54"/>
        <v>-4.0000000000000036E-3</v>
      </c>
      <c r="D194" s="109">
        <f t="shared" si="55"/>
        <v>-4.0000000000000036E-3</v>
      </c>
      <c r="E194" s="109">
        <f ca="1">IF(表2_367162629303891213141518[[#This Row],[累计净值]]/MAX(INDIRECT("B21:B" &amp; ROW()))-1&lt;E193,表2_367162629303891213141518[[#This Row],[累计净值]]/MAX(INDIRECT("B21:B" &amp; ROW()))-1,E193)</f>
        <v>-2.2768670309654016E-2</v>
      </c>
      <c r="F194" s="110">
        <f>表2_367162629303891213141518[[#This Row],[累计净值]]-0.12</f>
        <v>1.024</v>
      </c>
      <c r="G194" s="109">
        <f>IF(表2_367162629303891213141518[[#This Row],[累计净值]]&gt;1.087,0.7*(表2_367162629303891213141518[[#This Row],[累计净值]]-1.087)/1.087,(表2_367162629303891213141518[[#This Row],[累计净值]]-1.087)/1.087)</f>
        <v>3.6706531738730411E-2</v>
      </c>
      <c r="H194" s="109">
        <f>IF(表2_367162629303891213141518[[#This Row],[累计净值]]&gt;1.129,0.7*(表2_367162629303891213141518[[#This Row],[累计净值]]-1.129)/1.129,(表2_367162629303891213141518[[#This Row],[累计净值]]-1.129)/1.129)</f>
        <v>9.3002657218777072E-3</v>
      </c>
    </row>
    <row r="195" spans="1:8" x14ac:dyDescent="0.2">
      <c r="A195" s="15">
        <v>44223</v>
      </c>
      <c r="B195" s="112">
        <v>1.1379999999999999</v>
      </c>
      <c r="C195" s="108">
        <f t="shared" si="54"/>
        <v>-6.0000000000000053E-3</v>
      </c>
      <c r="D195" s="109">
        <f t="shared" si="55"/>
        <v>-6.0000000000000053E-3</v>
      </c>
      <c r="E195" s="109">
        <f ca="1">IF(表2_367162629303891213141518[[#This Row],[累计净值]]/MAX(INDIRECT("B21:B" &amp; ROW()))-1&lt;E194,表2_367162629303891213141518[[#This Row],[累计净值]]/MAX(INDIRECT("B21:B" &amp; ROW()))-1,E194)</f>
        <v>-2.2768670309654016E-2</v>
      </c>
      <c r="F195" s="110">
        <f>表2_367162629303891213141518[[#This Row],[累计净值]]-0.12</f>
        <v>1.0179999999999998</v>
      </c>
      <c r="G195" s="109">
        <f>IF(表2_367162629303891213141518[[#This Row],[累计净值]]&gt;1.087,0.7*(表2_367162629303891213141518[[#This Row],[累计净值]]-1.087)/1.087,(表2_367162629303891213141518[[#This Row],[累计净值]]-1.087)/1.087)</f>
        <v>3.2842686292548259E-2</v>
      </c>
      <c r="H195" s="109">
        <f>IF(表2_367162629303891213141518[[#This Row],[累计净值]]&gt;1.129,0.7*(表2_367162629303891213141518[[#This Row],[累计净值]]-1.129)/1.129,(表2_367162629303891213141518[[#This Row],[累计净值]]-1.129)/1.129)</f>
        <v>5.5801594331265966E-3</v>
      </c>
    </row>
    <row r="196" spans="1:8" x14ac:dyDescent="0.2">
      <c r="A196" s="15">
        <v>44224</v>
      </c>
      <c r="B196" s="112">
        <v>1.1419999999999999</v>
      </c>
      <c r="C196" s="108">
        <f t="shared" si="54"/>
        <v>4.0000000000000036E-3</v>
      </c>
      <c r="D196" s="109" t="str">
        <f t="shared" si="55"/>
        <v>/</v>
      </c>
      <c r="E196" s="109">
        <f ca="1">IF(表2_367162629303891213141518[[#This Row],[累计净值]]/MAX(INDIRECT("B21:B" &amp; ROW()))-1&lt;E195,表2_367162629303891213141518[[#This Row],[累计净值]]/MAX(INDIRECT("B21:B" &amp; ROW()))-1,E195)</f>
        <v>-2.2768670309654016E-2</v>
      </c>
      <c r="F196" s="110">
        <f>表2_367162629303891213141518[[#This Row],[累计净值]]-0.12</f>
        <v>1.0219999999999998</v>
      </c>
      <c r="G196" s="109">
        <f>IF(表2_367162629303891213141518[[#This Row],[累计净值]]&gt;1.087,0.7*(表2_367162629303891213141518[[#This Row],[累计净值]]-1.087)/1.087,(表2_367162629303891213141518[[#This Row],[累计净值]]-1.087)/1.087)</f>
        <v>3.5418583256669689E-2</v>
      </c>
      <c r="H196" s="109">
        <f>IF(表2_367162629303891213141518[[#This Row],[累计净值]]&gt;1.129,0.7*(表2_367162629303891213141518[[#This Row],[累计净值]]-1.129)/1.129,(表2_367162629303891213141518[[#This Row],[累计净值]]-1.129)/1.129)</f>
        <v>8.0602302922940031E-3</v>
      </c>
    </row>
    <row r="197" spans="1:8" x14ac:dyDescent="0.2">
      <c r="A197" s="15">
        <v>44225</v>
      </c>
      <c r="B197" s="112">
        <v>1.1419999999999999</v>
      </c>
      <c r="C197" s="108">
        <f t="shared" si="54"/>
        <v>0</v>
      </c>
      <c r="D197" s="109" t="str">
        <f t="shared" si="55"/>
        <v>/</v>
      </c>
      <c r="E197" s="109">
        <f ca="1">IF(表2_367162629303891213141518[[#This Row],[累计净值]]/MAX(INDIRECT("B21:B" &amp; ROW()))-1&lt;E196,表2_367162629303891213141518[[#This Row],[累计净值]]/MAX(INDIRECT("B21:B" &amp; ROW()))-1,E196)</f>
        <v>-2.2768670309654016E-2</v>
      </c>
      <c r="F197" s="110">
        <f>表2_367162629303891213141518[[#This Row],[累计净值]]-0.12</f>
        <v>1.0219999999999998</v>
      </c>
      <c r="G197" s="109">
        <f>IF(表2_367162629303891213141518[[#This Row],[累计净值]]&gt;1.087,0.7*(表2_367162629303891213141518[[#This Row],[累计净值]]-1.087)/1.087,(表2_367162629303891213141518[[#This Row],[累计净值]]-1.087)/1.087)</f>
        <v>3.5418583256669689E-2</v>
      </c>
      <c r="H197" s="109">
        <f>IF(表2_367162629303891213141518[[#This Row],[累计净值]]&gt;1.129,0.7*(表2_367162629303891213141518[[#This Row],[累计净值]]-1.129)/1.129,(表2_367162629303891213141518[[#This Row],[累计净值]]-1.129)/1.129)</f>
        <v>8.0602302922940031E-3</v>
      </c>
    </row>
    <row r="198" spans="1:8" x14ac:dyDescent="0.2">
      <c r="A198" s="15">
        <v>44228</v>
      </c>
      <c r="B198" s="112">
        <v>1.149</v>
      </c>
      <c r="C198" s="108">
        <f t="shared" ref="C198:C203" si="56">IFERROR(B198-B197,0)</f>
        <v>7.0000000000001172E-3</v>
      </c>
      <c r="D198" s="109" t="str">
        <f t="shared" ref="D198:D203" si="57">IF(C198&lt;0,C198,"/")</f>
        <v>/</v>
      </c>
      <c r="E198" s="109">
        <f ca="1">IF(表2_367162629303891213141518[[#This Row],[累计净值]]/MAX(INDIRECT("B21:B" &amp; ROW()))-1&lt;E197,表2_367162629303891213141518[[#This Row],[累计净值]]/MAX(INDIRECT("B21:B" &amp; ROW()))-1,E197)</f>
        <v>-2.2768670309654016E-2</v>
      </c>
      <c r="F198" s="110">
        <f>表2_367162629303891213141518[[#This Row],[累计净值]]-0.12</f>
        <v>1.0289999999999999</v>
      </c>
      <c r="G198" s="109">
        <f>IF(表2_367162629303891213141518[[#This Row],[累计净值]]&gt;1.087,0.7*(表2_367162629303891213141518[[#This Row],[累计净值]]-1.087)/1.087,(表2_367162629303891213141518[[#This Row],[累计净值]]-1.087)/1.087)</f>
        <v>3.9926402943882278E-2</v>
      </c>
      <c r="H198" s="109">
        <f>IF(表2_367162629303891213141518[[#This Row],[累计净值]]&gt;1.129,0.7*(表2_367162629303891213141518[[#This Row],[累计净值]]-1.129)/1.129,(表2_367162629303891213141518[[#This Row],[累计净值]]-1.129)/1.129)</f>
        <v>1.2400354295837033E-2</v>
      </c>
    </row>
    <row r="199" spans="1:8" x14ac:dyDescent="0.2">
      <c r="A199" s="15">
        <v>44229</v>
      </c>
      <c r="B199" s="112">
        <v>1.1499999999999999</v>
      </c>
      <c r="C199" s="108">
        <f t="shared" si="56"/>
        <v>9.9999999999988987E-4</v>
      </c>
      <c r="D199" s="109" t="str">
        <f t="shared" si="57"/>
        <v>/</v>
      </c>
      <c r="E199" s="109">
        <f ca="1">IF(表2_367162629303891213141518[[#This Row],[累计净值]]/MAX(INDIRECT("B21:B" &amp; ROW()))-1&lt;E198,表2_367162629303891213141518[[#This Row],[累计净值]]/MAX(INDIRECT("B21:B" &amp; ROW()))-1,E198)</f>
        <v>-2.2768670309654016E-2</v>
      </c>
      <c r="F199" s="110">
        <f>表2_367162629303891213141518[[#This Row],[累计净值]]-0.12</f>
        <v>1.0299999999999998</v>
      </c>
      <c r="G199" s="109">
        <f>IF(表2_367162629303891213141518[[#This Row],[累计净值]]&gt;1.087,0.7*(表2_367162629303891213141518[[#This Row],[累计净值]]-1.087)/1.087,(表2_367162629303891213141518[[#This Row],[累计净值]]-1.087)/1.087)</f>
        <v>4.0570377184912569E-2</v>
      </c>
      <c r="H199" s="109">
        <f>IF(表2_367162629303891213141518[[#This Row],[累计净值]]&gt;1.129,0.7*(表2_367162629303891213141518[[#This Row],[累计净值]]-1.129)/1.129,(表2_367162629303891213141518[[#This Row],[累计净值]]-1.129)/1.129)</f>
        <v>1.3020372010628816E-2</v>
      </c>
    </row>
    <row r="200" spans="1:8" x14ac:dyDescent="0.2">
      <c r="A200" s="15">
        <v>44230</v>
      </c>
      <c r="B200" s="112">
        <v>1.155</v>
      </c>
      <c r="C200" s="108">
        <f t="shared" si="56"/>
        <v>5.0000000000001155E-3</v>
      </c>
      <c r="D200" s="109" t="str">
        <f t="shared" si="57"/>
        <v>/</v>
      </c>
      <c r="E200" s="109">
        <f ca="1">IF(表2_367162629303891213141518[[#This Row],[累计净值]]/MAX(INDIRECT("B21:B" &amp; ROW()))-1&lt;E199,表2_367162629303891213141518[[#This Row],[累计净值]]/MAX(INDIRECT("B21:B" &amp; ROW()))-1,E199)</f>
        <v>-2.2768670309654016E-2</v>
      </c>
      <c r="F200" s="110">
        <f>表2_367162629303891213141518[[#This Row],[累计净值]]-0.12</f>
        <v>1.0350000000000001</v>
      </c>
      <c r="G200" s="109">
        <f>IF(表2_367162629303891213141518[[#This Row],[累计净值]]&gt;1.087,0.7*(表2_367162629303891213141518[[#This Row],[累计净值]]-1.087)/1.087,(表2_367162629303891213141518[[#This Row],[累计净值]]-1.087)/1.087)</f>
        <v>4.3790248390064436E-2</v>
      </c>
      <c r="H200" s="109">
        <f>IF(表2_367162629303891213141518[[#This Row],[累计净值]]&gt;1.129,0.7*(表2_367162629303891213141518[[#This Row],[累计净值]]-1.129)/1.129,(表2_367162629303891213141518[[#This Row],[累计净值]]-1.129)/1.129)</f>
        <v>1.6120460584588145E-2</v>
      </c>
    </row>
    <row r="201" spans="1:8" x14ac:dyDescent="0.2">
      <c r="A201" s="15">
        <v>44231</v>
      </c>
      <c r="B201" s="112">
        <v>1.1619999999999999</v>
      </c>
      <c r="C201" s="108">
        <f t="shared" si="56"/>
        <v>6.9999999999998952E-3</v>
      </c>
      <c r="D201" s="109" t="str">
        <f t="shared" si="57"/>
        <v>/</v>
      </c>
      <c r="E201" s="109">
        <f ca="1">IF(表2_367162629303891213141518[[#This Row],[累计净值]]/MAX(INDIRECT("B21:B" &amp; ROW()))-1&lt;E200,表2_367162629303891213141518[[#This Row],[累计净值]]/MAX(INDIRECT("B21:B" &amp; ROW()))-1,E200)</f>
        <v>-2.2768670309654016E-2</v>
      </c>
      <c r="F201" s="110">
        <f>表2_367162629303891213141518[[#This Row],[累计净值]]-0.12</f>
        <v>1.0419999999999998</v>
      </c>
      <c r="G201" s="109">
        <f>IF(表2_367162629303891213141518[[#This Row],[累计净值]]&gt;1.087,0.7*(表2_367162629303891213141518[[#This Row],[累计净值]]-1.087)/1.087,(表2_367162629303891213141518[[#This Row],[累计净值]]-1.087)/1.087)</f>
        <v>4.8298068077276879E-2</v>
      </c>
      <c r="H201" s="109">
        <f>IF(表2_367162629303891213141518[[#This Row],[累计净值]]&gt;1.129,0.7*(表2_367162629303891213141518[[#This Row],[累计净值]]-1.129)/1.129,(表2_367162629303891213141518[[#This Row],[累计净值]]-1.129)/1.129)</f>
        <v>2.0460584588131037E-2</v>
      </c>
    </row>
    <row r="202" spans="1:8" x14ac:dyDescent="0.2">
      <c r="A202" s="15">
        <v>44232</v>
      </c>
      <c r="B202" s="112">
        <v>1.161</v>
      </c>
      <c r="C202" s="108">
        <f t="shared" si="56"/>
        <v>-9.9999999999988987E-4</v>
      </c>
      <c r="D202" s="109">
        <f t="shared" si="57"/>
        <v>-9.9999999999988987E-4</v>
      </c>
      <c r="E202" s="109">
        <f ca="1">IF(表2_367162629303891213141518[[#This Row],[累计净值]]/MAX(INDIRECT("B21:B" &amp; ROW()))-1&lt;E201,表2_367162629303891213141518[[#This Row],[累计净值]]/MAX(INDIRECT("B21:B" &amp; ROW()))-1,E201)</f>
        <v>-2.2768670309654016E-2</v>
      </c>
      <c r="F202" s="110">
        <f>表2_367162629303891213141518[[#This Row],[累计净值]]-0.12</f>
        <v>1.0409999999999999</v>
      </c>
      <c r="G202" s="109">
        <f>IF(表2_367162629303891213141518[[#This Row],[累计净值]]&gt;1.087,0.7*(表2_367162629303891213141518[[#This Row],[累计净值]]-1.087)/1.087,(表2_367162629303891213141518[[#This Row],[累计净值]]-1.087)/1.087)</f>
        <v>4.7654093836246587E-2</v>
      </c>
      <c r="H202" s="109">
        <f>IF(表2_367162629303891213141518[[#This Row],[累计净值]]&gt;1.129,0.7*(表2_367162629303891213141518[[#This Row],[累计净值]]-1.129)/1.129,(表2_367162629303891213141518[[#This Row],[累计净值]]-1.129)/1.129)</f>
        <v>1.9840566873339252E-2</v>
      </c>
    </row>
    <row r="203" spans="1:8" x14ac:dyDescent="0.2">
      <c r="A203" s="15">
        <v>44235</v>
      </c>
      <c r="B203" s="112">
        <v>1.1619999999999999</v>
      </c>
      <c r="C203" s="108">
        <f t="shared" si="56"/>
        <v>9.9999999999988987E-4</v>
      </c>
      <c r="D203" s="109" t="str">
        <f t="shared" si="57"/>
        <v>/</v>
      </c>
      <c r="E203" s="109">
        <f ca="1">IF(表2_367162629303891213141518[[#This Row],[累计净值]]/MAX(INDIRECT("B21:B" &amp; ROW()))-1&lt;E202,表2_367162629303891213141518[[#This Row],[累计净值]]/MAX(INDIRECT("B21:B" &amp; ROW()))-1,E202)</f>
        <v>-2.2768670309654016E-2</v>
      </c>
      <c r="F203" s="110">
        <f>表2_367162629303891213141518[[#This Row],[累计净值]]-0.12</f>
        <v>1.0419999999999998</v>
      </c>
      <c r="G203" s="109">
        <f>IF(表2_367162629303891213141518[[#This Row],[累计净值]]&gt;1.087,0.7*(表2_367162629303891213141518[[#This Row],[累计净值]]-1.087)/1.087,(表2_367162629303891213141518[[#This Row],[累计净值]]-1.087)/1.087)</f>
        <v>4.8298068077276879E-2</v>
      </c>
      <c r="H203" s="109">
        <f>IF(表2_367162629303891213141518[[#This Row],[累计净值]]&gt;1.129,0.7*(表2_367162629303891213141518[[#This Row],[累计净值]]-1.129)/1.129,(表2_367162629303891213141518[[#This Row],[累计净值]]-1.129)/1.129)</f>
        <v>2.0460584588131037E-2</v>
      </c>
    </row>
    <row r="204" spans="1:8" x14ac:dyDescent="0.2">
      <c r="A204" s="15">
        <v>44236</v>
      </c>
      <c r="B204" s="112">
        <v>1.1539999999999999</v>
      </c>
      <c r="C204" s="108">
        <f>IFERROR(B204-B203,0)</f>
        <v>-8.0000000000000071E-3</v>
      </c>
      <c r="D204" s="109">
        <f>IF(C204&lt;0,C204,"/")</f>
        <v>-8.0000000000000071E-3</v>
      </c>
      <c r="E204" s="109">
        <f ca="1">IF(表2_367162629303891213141518[[#This Row],[累计净值]]/MAX(INDIRECT("B21:B" &amp; ROW()))-1&lt;E203,表2_367162629303891213141518[[#This Row],[累计净值]]/MAX(INDIRECT("B21:B" &amp; ROW()))-1,E203)</f>
        <v>-2.2768670309654016E-2</v>
      </c>
      <c r="F204" s="110">
        <f>表2_367162629303891213141518[[#This Row],[累计净值]]-0.12</f>
        <v>1.0339999999999998</v>
      </c>
      <c r="G204" s="109">
        <f>IF(表2_367162629303891213141518[[#This Row],[累计净值]]&gt;1.087,0.7*(表2_367162629303891213141518[[#This Row],[累计净值]]-1.087)/1.087,(表2_367162629303891213141518[[#This Row],[累计净值]]-1.087)/1.087)</f>
        <v>4.3146274149034006E-2</v>
      </c>
      <c r="H204" s="109">
        <f>IF(表2_367162629303891213141518[[#This Row],[累计净值]]&gt;1.129,0.7*(表2_367162629303891213141518[[#This Row],[累计净值]]-1.129)/1.129,(表2_367162629303891213141518[[#This Row],[累计净值]]-1.129)/1.129)</f>
        <v>1.5500442869796223E-2</v>
      </c>
    </row>
    <row r="205" spans="1:8" x14ac:dyDescent="0.2">
      <c r="A205" s="15">
        <v>44237</v>
      </c>
      <c r="B205" s="112">
        <v>1.157</v>
      </c>
      <c r="C205" s="108">
        <f t="shared" ref="C205:C206" si="58">IFERROR(B205-B204,0)</f>
        <v>3.0000000000001137E-3</v>
      </c>
      <c r="D205" s="109" t="str">
        <f t="shared" ref="D205:D206" si="59">IF(C205&lt;0,C205,"/")</f>
        <v>/</v>
      </c>
      <c r="E205" s="109">
        <f ca="1">IF(表2_367162629303891213141518[[#This Row],[累计净值]]/MAX(INDIRECT("B21:B" &amp; ROW()))-1&lt;E204,表2_367162629303891213141518[[#This Row],[累计净值]]/MAX(INDIRECT("B21:B" &amp; ROW()))-1,E204)</f>
        <v>-2.2768670309654016E-2</v>
      </c>
      <c r="F205" s="110">
        <f>表2_367162629303891213141518[[#This Row],[累计净值]]-0.12</f>
        <v>1.0369999999999999</v>
      </c>
      <c r="G205" s="109">
        <f>IF(表2_367162629303891213141518[[#This Row],[累计净值]]&gt;1.087,0.7*(表2_367162629303891213141518[[#This Row],[累计净值]]-1.087)/1.087,(表2_367162629303891213141518[[#This Row],[累计净值]]-1.087)/1.087)</f>
        <v>4.5078196872125158E-2</v>
      </c>
      <c r="H205" s="109">
        <f>IF(表2_367162629303891213141518[[#This Row],[累计净值]]&gt;1.129,0.7*(表2_367162629303891213141518[[#This Row],[累计净值]]-1.129)/1.129,(表2_367162629303891213141518[[#This Row],[累计净值]]-1.129)/1.129)</f>
        <v>1.7360496014171847E-2</v>
      </c>
    </row>
    <row r="206" spans="1:8" x14ac:dyDescent="0.2">
      <c r="A206" s="15">
        <v>44245</v>
      </c>
      <c r="B206" s="112">
        <v>1.157</v>
      </c>
      <c r="C206" s="108">
        <f t="shared" si="58"/>
        <v>0</v>
      </c>
      <c r="D206" s="109" t="str">
        <f t="shared" si="59"/>
        <v>/</v>
      </c>
      <c r="E206" s="109">
        <f ca="1">IF(表2_367162629303891213141518[[#This Row],[累计净值]]/MAX(INDIRECT("B21:B" &amp; ROW()))-1&lt;E205,表2_367162629303891213141518[[#This Row],[累计净值]]/MAX(INDIRECT("B21:B" &amp; ROW()))-1,E205)</f>
        <v>-2.2768670309654016E-2</v>
      </c>
      <c r="F206" s="110">
        <f>表2_367162629303891213141518[[#This Row],[累计净值]]-0.12</f>
        <v>1.0369999999999999</v>
      </c>
      <c r="G206" s="109">
        <f>IF(表2_367162629303891213141518[[#This Row],[累计净值]]&gt;1.087,0.7*(表2_367162629303891213141518[[#This Row],[累计净值]]-1.087)/1.087,(表2_367162629303891213141518[[#This Row],[累计净值]]-1.087)/1.087)</f>
        <v>4.5078196872125158E-2</v>
      </c>
      <c r="H206" s="109">
        <f>IF(表2_367162629303891213141518[[#This Row],[累计净值]]&gt;1.129,0.7*(表2_367162629303891213141518[[#This Row],[累计净值]]-1.129)/1.129,(表2_367162629303891213141518[[#This Row],[累计净值]]-1.129)/1.129)</f>
        <v>1.7360496014171847E-2</v>
      </c>
    </row>
    <row r="207" spans="1:8" x14ac:dyDescent="0.2">
      <c r="A207" s="15">
        <v>44246</v>
      </c>
      <c r="B207" s="112">
        <v>1.163</v>
      </c>
      <c r="C207" s="108">
        <f>IFERROR(B207-B206,0)</f>
        <v>6.0000000000000053E-3</v>
      </c>
      <c r="D207" s="109" t="str">
        <f>IF(C207&lt;0,C207,"/")</f>
        <v>/</v>
      </c>
      <c r="E207" s="109">
        <f ca="1">IF(表2_367162629303891213141518[[#This Row],[累计净值]]/MAX(INDIRECT("B21:B" &amp; ROW()))-1&lt;E206,表2_367162629303891213141518[[#This Row],[累计净值]]/MAX(INDIRECT("B21:B" &amp; ROW()))-1,E206)</f>
        <v>-2.2768670309654016E-2</v>
      </c>
      <c r="F207" s="110">
        <f>表2_367162629303891213141518[[#This Row],[累计净值]]-0.12</f>
        <v>1.0430000000000001</v>
      </c>
      <c r="G207" s="109">
        <f>IF(表2_367162629303891213141518[[#This Row],[累计净值]]&gt;1.087,0.7*(表2_367162629303891213141518[[#This Row],[累计净值]]-1.087)/1.087,(表2_367162629303891213141518[[#This Row],[累计净值]]-1.087)/1.087)</f>
        <v>4.8942042318307309E-2</v>
      </c>
      <c r="H207" s="109">
        <f>IF(表2_367162629303891213141518[[#This Row],[累计净值]]&gt;1.129,0.7*(表2_367162629303891213141518[[#This Row],[累计净值]]-1.129)/1.129,(表2_367162629303891213141518[[#This Row],[累计净值]]-1.129)/1.129)</f>
        <v>2.1080602302922958E-2</v>
      </c>
    </row>
    <row r="208" spans="1:8" x14ac:dyDescent="0.2">
      <c r="A208" s="15">
        <v>44249</v>
      </c>
      <c r="B208" s="112">
        <v>1.1539999999999999</v>
      </c>
      <c r="C208" s="108">
        <f>IFERROR(B208-B207,0)</f>
        <v>-9.000000000000119E-3</v>
      </c>
      <c r="D208" s="109">
        <f>IF(C208&lt;0,C208,"/")</f>
        <v>-9.000000000000119E-3</v>
      </c>
      <c r="E208" s="109">
        <f ca="1">IF(表2_367162629303891213141518[[#This Row],[累计净值]]/MAX(INDIRECT("B21:B" &amp; ROW()))-1&lt;E207,表2_367162629303891213141518[[#This Row],[累计净值]]/MAX(INDIRECT("B21:B" &amp; ROW()))-1,E207)</f>
        <v>-2.2768670309654016E-2</v>
      </c>
      <c r="F208" s="110">
        <f>表2_367162629303891213141518[[#This Row],[累计净值]]-0.12</f>
        <v>1.0339999999999998</v>
      </c>
      <c r="G208" s="109">
        <f>IF(表2_367162629303891213141518[[#This Row],[累计净值]]&gt;1.087,0.7*(表2_367162629303891213141518[[#This Row],[累计净值]]-1.087)/1.087,(表2_367162629303891213141518[[#This Row],[累计净值]]-1.087)/1.087)</f>
        <v>4.3146274149034006E-2</v>
      </c>
      <c r="H208" s="109">
        <f>IF(表2_367162629303891213141518[[#This Row],[累计净值]]&gt;1.129,0.7*(表2_367162629303891213141518[[#This Row],[累计净值]]-1.129)/1.129,(表2_367162629303891213141518[[#This Row],[累计净值]]-1.129)/1.129)</f>
        <v>1.5500442869796223E-2</v>
      </c>
    </row>
    <row r="209" spans="1:8" x14ac:dyDescent="0.2">
      <c r="A209" s="15">
        <v>44250</v>
      </c>
      <c r="B209" s="112">
        <v>1.1579999999999999</v>
      </c>
      <c r="C209" s="108">
        <f>IFERROR(B209-B208,0)</f>
        <v>4.0000000000000036E-3</v>
      </c>
      <c r="D209" s="109" t="str">
        <f>IF(C209&lt;0,C209,"/")</f>
        <v>/</v>
      </c>
      <c r="E209" s="109">
        <f ca="1">IF(表2_367162629303891213141518[[#This Row],[累计净值]]/MAX(INDIRECT("B21:B" &amp; ROW()))-1&lt;E208,表2_367162629303891213141518[[#This Row],[累计净值]]/MAX(INDIRECT("B21:B" &amp; ROW()))-1,E208)</f>
        <v>-2.2768670309654016E-2</v>
      </c>
      <c r="F209" s="110">
        <f>表2_367162629303891213141518[[#This Row],[累计净值]]-0.12</f>
        <v>1.0379999999999998</v>
      </c>
      <c r="G209" s="109">
        <f>IF(表2_367162629303891213141518[[#This Row],[累计净值]]&gt;1.087,0.7*(表2_367162629303891213141518[[#This Row],[累计净值]]-1.087)/1.087,(表2_367162629303891213141518[[#This Row],[累计净值]]-1.087)/1.087)</f>
        <v>4.5722171113155442E-2</v>
      </c>
      <c r="H209" s="109">
        <f>IF(表2_367162629303891213141518[[#This Row],[累计净值]]&gt;1.129,0.7*(表2_367162629303891213141518[[#This Row],[累计净值]]-1.129)/1.129,(表2_367162629303891213141518[[#This Row],[累计净值]]-1.129)/1.129)</f>
        <v>1.7980513728963633E-2</v>
      </c>
    </row>
    <row r="210" spans="1:8" x14ac:dyDescent="0.2">
      <c r="A210" s="15">
        <v>44251</v>
      </c>
      <c r="B210" s="112">
        <v>1.157</v>
      </c>
      <c r="C210" s="108">
        <f t="shared" ref="C210:C212" si="60">IFERROR(B210-B209,0)</f>
        <v>-9.9999999999988987E-4</v>
      </c>
      <c r="D210" s="109">
        <f t="shared" ref="D210:D212" si="61">IF(C210&lt;0,C210,"/")</f>
        <v>-9.9999999999988987E-4</v>
      </c>
      <c r="E210" s="109">
        <f ca="1">IF(表2_367162629303891213141518[[#This Row],[累计净值]]/MAX(INDIRECT("B21:B" &amp; ROW()))-1&lt;E209,表2_367162629303891213141518[[#This Row],[累计净值]]/MAX(INDIRECT("B21:B" &amp; ROW()))-1,E209)</f>
        <v>-2.2768670309654016E-2</v>
      </c>
      <c r="F210" s="110">
        <f>表2_367162629303891213141518[[#This Row],[累计净值]]-0.12</f>
        <v>1.0369999999999999</v>
      </c>
      <c r="G210" s="109">
        <f>IF(表2_367162629303891213141518[[#This Row],[累计净值]]&gt;1.087,0.7*(表2_367162629303891213141518[[#This Row],[累计净值]]-1.087)/1.087,(表2_367162629303891213141518[[#This Row],[累计净值]]-1.087)/1.087)</f>
        <v>4.5078196872125158E-2</v>
      </c>
      <c r="H210" s="109">
        <f>IF(表2_367162629303891213141518[[#This Row],[累计净值]]&gt;1.129,0.7*(表2_367162629303891213141518[[#This Row],[累计净值]]-1.129)/1.129,(表2_367162629303891213141518[[#This Row],[累计净值]]-1.129)/1.129)</f>
        <v>1.7360496014171847E-2</v>
      </c>
    </row>
    <row r="211" spans="1:8" x14ac:dyDescent="0.2">
      <c r="A211" s="15">
        <v>44252</v>
      </c>
      <c r="B211" s="112">
        <v>1.1579999999999999</v>
      </c>
      <c r="C211" s="108">
        <f t="shared" si="60"/>
        <v>9.9999999999988987E-4</v>
      </c>
      <c r="D211" s="109" t="str">
        <f t="shared" si="61"/>
        <v>/</v>
      </c>
      <c r="E211" s="109">
        <f ca="1">IF(表2_367162629303891213141518[[#This Row],[累计净值]]/MAX(INDIRECT("B21:B" &amp; ROW()))-1&lt;E210,表2_367162629303891213141518[[#This Row],[累计净值]]/MAX(INDIRECT("B21:B" &amp; ROW()))-1,E210)</f>
        <v>-2.2768670309654016E-2</v>
      </c>
      <c r="F211" s="110">
        <f>表2_367162629303891213141518[[#This Row],[累计净值]]-0.12</f>
        <v>1.0379999999999998</v>
      </c>
      <c r="G211" s="109">
        <f>IF(表2_367162629303891213141518[[#This Row],[累计净值]]&gt;1.087,0.7*(表2_367162629303891213141518[[#This Row],[累计净值]]-1.087)/1.087,(表2_367162629303891213141518[[#This Row],[累计净值]]-1.087)/1.087)</f>
        <v>4.5722171113155442E-2</v>
      </c>
      <c r="H211" s="109">
        <f>IF(表2_367162629303891213141518[[#This Row],[累计净值]]&gt;1.129,0.7*(表2_367162629303891213141518[[#This Row],[累计净值]]-1.129)/1.129,(表2_367162629303891213141518[[#This Row],[累计净值]]-1.129)/1.129)</f>
        <v>1.7980513728963633E-2</v>
      </c>
    </row>
    <row r="212" spans="1:8" x14ac:dyDescent="0.2">
      <c r="A212" s="15">
        <v>44253</v>
      </c>
      <c r="B212" s="112">
        <v>1.1559999999999999</v>
      </c>
      <c r="C212" s="108">
        <f t="shared" si="60"/>
        <v>-2.0000000000000018E-3</v>
      </c>
      <c r="D212" s="109">
        <f t="shared" si="61"/>
        <v>-2.0000000000000018E-3</v>
      </c>
      <c r="E212" s="109">
        <f ca="1">IF(表2_367162629303891213141518[[#This Row],[累计净值]]/MAX(INDIRECT("B21:B" &amp; ROW()))-1&lt;E211,表2_367162629303891213141518[[#This Row],[累计净值]]/MAX(INDIRECT("B21:B" &amp; ROW()))-1,E211)</f>
        <v>-2.2768670309654016E-2</v>
      </c>
      <c r="F212" s="110">
        <f>表2_367162629303891213141518[[#This Row],[累计净值]]-0.12</f>
        <v>1.036</v>
      </c>
      <c r="G212" s="109">
        <f>IF(表2_367162629303891213141518[[#This Row],[累计净值]]&gt;1.087,0.7*(表2_367162629303891213141518[[#This Row],[累计净值]]-1.087)/1.087,(表2_367162629303891213141518[[#This Row],[累计净值]]-1.087)/1.087)</f>
        <v>4.4434222631094721E-2</v>
      </c>
      <c r="H212" s="109">
        <f>IF(表2_367162629303891213141518[[#This Row],[累计净值]]&gt;1.129,0.7*(表2_367162629303891213141518[[#This Row],[累计净值]]-1.129)/1.129,(表2_367162629303891213141518[[#This Row],[累计净值]]-1.129)/1.129)</f>
        <v>1.6740478299379927E-2</v>
      </c>
    </row>
    <row r="213" spans="1:8" x14ac:dyDescent="0.2">
      <c r="A213" s="15">
        <v>44256</v>
      </c>
      <c r="B213" s="112">
        <v>1.161</v>
      </c>
      <c r="C213" s="108">
        <f t="shared" ref="C213:C215" si="62">IFERROR(B213-B212,0)</f>
        <v>5.0000000000001155E-3</v>
      </c>
      <c r="D213" s="109" t="str">
        <f t="shared" ref="D213:D215" si="63">IF(C213&lt;0,C213,"/")</f>
        <v>/</v>
      </c>
      <c r="E213" s="109">
        <f ca="1">IF(表2_367162629303891213141518[[#This Row],[累计净值]]/MAX(INDIRECT("B21:B" &amp; ROW()))-1&lt;E212,表2_367162629303891213141518[[#This Row],[累计净值]]/MAX(INDIRECT("B21:B" &amp; ROW()))-1,E212)</f>
        <v>-2.2768670309654016E-2</v>
      </c>
      <c r="F213" s="110">
        <f>表2_367162629303891213141518[[#This Row],[累计净值]]-0.12</f>
        <v>1.0409999999999999</v>
      </c>
      <c r="G213" s="109">
        <f>IF(表2_367162629303891213141518[[#This Row],[累计净值]]&gt;1.087,0.7*(表2_367162629303891213141518[[#This Row],[累计净值]]-1.087)/1.087,(表2_367162629303891213141518[[#This Row],[累计净值]]-1.087)/1.087)</f>
        <v>4.7654093836246587E-2</v>
      </c>
      <c r="H213" s="109">
        <f>IF(表2_367162629303891213141518[[#This Row],[累计净值]]&gt;1.129,0.7*(表2_367162629303891213141518[[#This Row],[累计净值]]-1.129)/1.129,(表2_367162629303891213141518[[#This Row],[累计净值]]-1.129)/1.129)</f>
        <v>1.9840566873339252E-2</v>
      </c>
    </row>
    <row r="214" spans="1:8" x14ac:dyDescent="0.2">
      <c r="A214" s="15">
        <v>44257</v>
      </c>
      <c r="B214" s="112">
        <v>1.1599999999999999</v>
      </c>
      <c r="C214" s="108">
        <f t="shared" si="62"/>
        <v>-1.0000000000001119E-3</v>
      </c>
      <c r="D214" s="109">
        <f t="shared" si="63"/>
        <v>-1.0000000000001119E-3</v>
      </c>
      <c r="E214" s="109">
        <f ca="1">IF(表2_367162629303891213141518[[#This Row],[累计净值]]/MAX(INDIRECT("B21:B" &amp; ROW()))-1&lt;E213,表2_367162629303891213141518[[#This Row],[累计净值]]/MAX(INDIRECT("B21:B" &amp; ROW()))-1,E213)</f>
        <v>-2.2768670309654016E-2</v>
      </c>
      <c r="F214" s="110">
        <f>表2_367162629303891213141518[[#This Row],[累计净值]]-0.12</f>
        <v>1.04</v>
      </c>
      <c r="G214" s="109">
        <f>IF(表2_367162629303891213141518[[#This Row],[累计净值]]&gt;1.087,0.7*(表2_367162629303891213141518[[#This Row],[累计净值]]-1.087)/1.087,(表2_367162629303891213141518[[#This Row],[累计净值]]-1.087)/1.087)</f>
        <v>4.7010119595216157E-2</v>
      </c>
      <c r="H214" s="109">
        <f>IF(表2_367162629303891213141518[[#This Row],[累计净值]]&gt;1.129,0.7*(表2_367162629303891213141518[[#This Row],[累计净值]]-1.129)/1.129,(表2_367162629303891213141518[[#This Row],[累计净值]]-1.129)/1.129)</f>
        <v>1.9220549158547335E-2</v>
      </c>
    </row>
    <row r="215" spans="1:8" x14ac:dyDescent="0.2">
      <c r="A215" s="15">
        <v>44258</v>
      </c>
      <c r="B215" s="112">
        <v>1.165</v>
      </c>
      <c r="C215" s="108">
        <f t="shared" si="62"/>
        <v>5.0000000000001155E-3</v>
      </c>
      <c r="D215" s="109" t="str">
        <f t="shared" si="63"/>
        <v>/</v>
      </c>
      <c r="E215" s="109">
        <f ca="1">IF(表2_367162629303891213141518[[#This Row],[累计净值]]/MAX(INDIRECT("B21:B" &amp; ROW()))-1&lt;E214,表2_367162629303891213141518[[#This Row],[累计净值]]/MAX(INDIRECT("B21:B" &amp; ROW()))-1,E214)</f>
        <v>-2.2768670309654016E-2</v>
      </c>
      <c r="F215" s="110">
        <f>表2_367162629303891213141518[[#This Row],[累计净值]]-0.12</f>
        <v>1.0449999999999999</v>
      </c>
      <c r="G215" s="109">
        <f>IF(表2_367162629303891213141518[[#This Row],[累计净值]]&gt;1.087,0.7*(表2_367162629303891213141518[[#This Row],[累计净值]]-1.087)/1.087,(表2_367162629303891213141518[[#This Row],[累计净值]]-1.087)/1.087)</f>
        <v>5.0229990800368031E-2</v>
      </c>
      <c r="H215" s="109">
        <f>IF(表2_367162629303891213141518[[#This Row],[累计净值]]&gt;1.129,0.7*(表2_367162629303891213141518[[#This Row],[累计净值]]-1.129)/1.129,(表2_367162629303891213141518[[#This Row],[累计净值]]-1.129)/1.129)</f>
        <v>2.232063773250666E-2</v>
      </c>
    </row>
    <row r="216" spans="1:8" x14ac:dyDescent="0.2">
      <c r="A216" s="15">
        <v>44259</v>
      </c>
      <c r="B216" s="112">
        <v>1.1619999999999999</v>
      </c>
      <c r="C216" s="108">
        <f t="shared" ref="C216:C217" si="64">IFERROR(B216-B215,0)</f>
        <v>-3.0000000000001137E-3</v>
      </c>
      <c r="D216" s="109">
        <f t="shared" ref="D216:D217" si="65">IF(C216&lt;0,C216,"/")</f>
        <v>-3.0000000000001137E-3</v>
      </c>
      <c r="E216" s="109">
        <f ca="1">IF(表2_367162629303891213141518[[#This Row],[累计净值]]/MAX(INDIRECT("B21:B" &amp; ROW()))-1&lt;E215,表2_367162629303891213141518[[#This Row],[累计净值]]/MAX(INDIRECT("B21:B" &amp; ROW()))-1,E215)</f>
        <v>-2.2768670309654016E-2</v>
      </c>
      <c r="F216" s="110">
        <f>表2_367162629303891213141518[[#This Row],[累计净值]]-0.12</f>
        <v>1.0419999999999998</v>
      </c>
      <c r="G216" s="109">
        <f>IF(表2_367162629303891213141518[[#This Row],[累计净值]]&gt;1.087,0.7*(表2_367162629303891213141518[[#This Row],[累计净值]]-1.087)/1.087,(表2_367162629303891213141518[[#This Row],[累计净值]]-1.087)/1.087)</f>
        <v>4.8298068077276879E-2</v>
      </c>
      <c r="H216" s="109">
        <f>IF(表2_367162629303891213141518[[#This Row],[累计净值]]&gt;1.129,0.7*(表2_367162629303891213141518[[#This Row],[累计净值]]-1.129)/1.129,(表2_367162629303891213141518[[#This Row],[累计净值]]-1.129)/1.129)</f>
        <v>2.0460584588131037E-2</v>
      </c>
    </row>
    <row r="217" spans="1:8" x14ac:dyDescent="0.2">
      <c r="A217" s="15">
        <v>44260</v>
      </c>
      <c r="B217" s="112">
        <v>1.159</v>
      </c>
      <c r="C217" s="108">
        <f t="shared" si="64"/>
        <v>-2.9999999999998916E-3</v>
      </c>
      <c r="D217" s="109">
        <f t="shared" si="65"/>
        <v>-2.9999999999998916E-3</v>
      </c>
      <c r="E217" s="109">
        <f ca="1">IF(表2_367162629303891213141518[[#This Row],[累计净值]]/MAX(INDIRECT("B21:B" &amp; ROW()))-1&lt;E216,表2_367162629303891213141518[[#This Row],[累计净值]]/MAX(INDIRECT("B21:B" &amp; ROW()))-1,E216)</f>
        <v>-2.2768670309654016E-2</v>
      </c>
      <c r="F217" s="110">
        <f>表2_367162629303891213141518[[#This Row],[累计净值]]-0.12</f>
        <v>1.0390000000000001</v>
      </c>
      <c r="G217" s="109">
        <f>IF(表2_367162629303891213141518[[#This Row],[累计净值]]&gt;1.087,0.7*(表2_367162629303891213141518[[#This Row],[累计净值]]-1.087)/1.087,(表2_367162629303891213141518[[#This Row],[累计净值]]-1.087)/1.087)</f>
        <v>4.6366145354185873E-2</v>
      </c>
      <c r="H217" s="109">
        <f>IF(表2_367162629303891213141518[[#This Row],[累计净值]]&gt;1.129,0.7*(表2_367162629303891213141518[[#This Row],[累计净值]]-1.129)/1.129,(表2_367162629303891213141518[[#This Row],[累计净值]]-1.129)/1.129)</f>
        <v>1.8600531443755553E-2</v>
      </c>
    </row>
    <row r="218" spans="1:8" x14ac:dyDescent="0.2">
      <c r="A218" s="15">
        <v>44263</v>
      </c>
      <c r="B218" s="112">
        <v>1.1619999999999999</v>
      </c>
      <c r="C218" s="108">
        <f t="shared" ref="C218:C221" si="66">IFERROR(B218-B217,0)</f>
        <v>2.9999999999998916E-3</v>
      </c>
      <c r="D218" s="109" t="str">
        <f t="shared" ref="D218:D221" si="67">IF(C218&lt;0,C218,"/")</f>
        <v>/</v>
      </c>
      <c r="E218" s="109">
        <f ca="1">IF(表2_367162629303891213141518[[#This Row],[累计净值]]/MAX(INDIRECT("B21:B" &amp; ROW()))-1&lt;E217,表2_367162629303891213141518[[#This Row],[累计净值]]/MAX(INDIRECT("B21:B" &amp; ROW()))-1,E217)</f>
        <v>-2.2768670309654016E-2</v>
      </c>
      <c r="F218" s="110">
        <f>表2_367162629303891213141518[[#This Row],[累计净值]]-0.12</f>
        <v>1.0419999999999998</v>
      </c>
      <c r="G218" s="109">
        <f>IF(表2_367162629303891213141518[[#This Row],[累计净值]]&gt;1.087,0.7*(表2_367162629303891213141518[[#This Row],[累计净值]]-1.087)/1.087,(表2_367162629303891213141518[[#This Row],[累计净值]]-1.087)/1.087)</f>
        <v>4.8298068077276879E-2</v>
      </c>
      <c r="H218" s="109">
        <f>IF(表2_367162629303891213141518[[#This Row],[累计净值]]&gt;1.129,0.7*(表2_367162629303891213141518[[#This Row],[累计净值]]-1.129)/1.129,(表2_367162629303891213141518[[#This Row],[累计净值]]-1.129)/1.129)</f>
        <v>2.0460584588131037E-2</v>
      </c>
    </row>
    <row r="219" spans="1:8" x14ac:dyDescent="0.2">
      <c r="A219" s="15">
        <v>44264</v>
      </c>
      <c r="B219" s="112">
        <v>1.1719999999999999</v>
      </c>
      <c r="C219" s="108">
        <f t="shared" si="66"/>
        <v>1.0000000000000009E-2</v>
      </c>
      <c r="D219" s="109" t="str">
        <f t="shared" si="67"/>
        <v>/</v>
      </c>
      <c r="E219" s="109">
        <f ca="1">IF(表2_367162629303891213141518[[#This Row],[累计净值]]/MAX(INDIRECT("B21:B" &amp; ROW()))-1&lt;E218,表2_367162629303891213141518[[#This Row],[累计净值]]/MAX(INDIRECT("B21:B" &amp; ROW()))-1,E218)</f>
        <v>-2.2768670309654016E-2</v>
      </c>
      <c r="F219" s="110">
        <f>表2_367162629303891213141518[[#This Row],[累计净值]]-0.12</f>
        <v>1.052</v>
      </c>
      <c r="G219" s="109">
        <f>IF(表2_367162629303891213141518[[#This Row],[累计净值]]&gt;1.087,0.7*(表2_367162629303891213141518[[#This Row],[累计净值]]-1.087)/1.087,(表2_367162629303891213141518[[#This Row],[累计净值]]-1.087)/1.087)</f>
        <v>5.4737810487580474E-2</v>
      </c>
      <c r="H219" s="109">
        <f>IF(表2_367162629303891213141518[[#This Row],[累计净值]]&gt;1.129,0.7*(表2_367162629303891213141518[[#This Row],[累计净值]]-1.129)/1.129,(表2_367162629303891213141518[[#This Row],[累计净值]]-1.129)/1.129)</f>
        <v>2.6660761736049553E-2</v>
      </c>
    </row>
    <row r="220" spans="1:8" x14ac:dyDescent="0.2">
      <c r="A220" s="15">
        <v>44265</v>
      </c>
      <c r="B220" s="112">
        <v>1.173</v>
      </c>
      <c r="C220" s="108">
        <f t="shared" si="66"/>
        <v>1.0000000000001119E-3</v>
      </c>
      <c r="D220" s="109" t="str">
        <f t="shared" si="67"/>
        <v>/</v>
      </c>
      <c r="E220" s="109">
        <f ca="1">IF(表2_367162629303891213141518[[#This Row],[累计净值]]/MAX(INDIRECT("B21:B" &amp; ROW()))-1&lt;E219,表2_367162629303891213141518[[#This Row],[累计净值]]/MAX(INDIRECT("B21:B" &amp; ROW()))-1,E219)</f>
        <v>-2.2768670309654016E-2</v>
      </c>
      <c r="F220" s="110">
        <f>表2_367162629303891213141518[[#This Row],[累计净值]]-0.12</f>
        <v>1.0529999999999999</v>
      </c>
      <c r="G220" s="109">
        <f>IF(表2_367162629303891213141518[[#This Row],[累计净值]]&gt;1.087,0.7*(表2_367162629303891213141518[[#This Row],[累计净值]]-1.087)/1.087,(表2_367162629303891213141518[[#This Row],[累计净值]]-1.087)/1.087)</f>
        <v>5.5381784728610904E-2</v>
      </c>
      <c r="H220" s="109">
        <f>IF(表2_367162629303891213141518[[#This Row],[累计净值]]&gt;1.129,0.7*(表2_367162629303891213141518[[#This Row],[累计净值]]-1.129)/1.129,(表2_367162629303891213141518[[#This Row],[累计净值]]-1.129)/1.129)</f>
        <v>2.7280779450841473E-2</v>
      </c>
    </row>
    <row r="221" spans="1:8" x14ac:dyDescent="0.2">
      <c r="A221" s="15">
        <v>44266</v>
      </c>
      <c r="B221" s="112">
        <v>1.1759999999999999</v>
      </c>
      <c r="C221" s="108">
        <f t="shared" si="66"/>
        <v>2.9999999999998916E-3</v>
      </c>
      <c r="D221" s="109" t="str">
        <f t="shared" si="67"/>
        <v>/</v>
      </c>
      <c r="E221" s="109">
        <f ca="1">IF(表2_367162629303891213141518[[#This Row],[累计净值]]/MAX(INDIRECT("B21:B" &amp; ROW()))-1&lt;E220,表2_367162629303891213141518[[#This Row],[累计净值]]/MAX(INDIRECT("B21:B" &amp; ROW()))-1,E220)</f>
        <v>-2.2768670309654016E-2</v>
      </c>
      <c r="F221" s="110">
        <f>表2_367162629303891213141518[[#This Row],[累计净值]]-0.12</f>
        <v>1.056</v>
      </c>
      <c r="G221" s="109">
        <f>IF(表2_367162629303891213141518[[#This Row],[累计净值]]&gt;1.087,0.7*(表2_367162629303891213141518[[#This Row],[累计净值]]-1.087)/1.087,(表2_367162629303891213141518[[#This Row],[累计净值]]-1.087)/1.087)</f>
        <v>5.731370745170191E-2</v>
      </c>
      <c r="H221" s="109">
        <f>IF(表2_367162629303891213141518[[#This Row],[累计净值]]&gt;1.129,0.7*(表2_367162629303891213141518[[#This Row],[累计净值]]-1.129)/1.129,(表2_367162629303891213141518[[#This Row],[累计净值]]-1.129)/1.129)</f>
        <v>2.9140832595216961E-2</v>
      </c>
    </row>
    <row r="222" spans="1:8" x14ac:dyDescent="0.2">
      <c r="A222" s="15">
        <v>44267</v>
      </c>
      <c r="B222" s="112">
        <v>1.169</v>
      </c>
      <c r="C222" s="108">
        <f t="shared" ref="C222:C227" si="68">IFERROR(B222-B221,0)</f>
        <v>-6.9999999999998952E-3</v>
      </c>
      <c r="D222" s="109">
        <f t="shared" ref="D222:D227" si="69">IF(C222&lt;0,C222,"/")</f>
        <v>-6.9999999999998952E-3</v>
      </c>
      <c r="E222" s="109">
        <f ca="1">IF(表2_367162629303891213141518[[#This Row],[累计净值]]/MAX(INDIRECT("B21:B" &amp; ROW()))-1&lt;E221,表2_367162629303891213141518[[#This Row],[累计净值]]/MAX(INDIRECT("B21:B" &amp; ROW()))-1,E221)</f>
        <v>-2.2768670309654016E-2</v>
      </c>
      <c r="F222" s="110">
        <f>表2_367162629303891213141518[[#This Row],[累计净值]]-0.12</f>
        <v>1.0489999999999999</v>
      </c>
      <c r="G222" s="109">
        <f>IF(表2_367162629303891213141518[[#This Row],[累计净值]]&gt;1.087,0.7*(表2_367162629303891213141518[[#This Row],[累计净值]]-1.087)/1.087,(表2_367162629303891213141518[[#This Row],[累计净值]]-1.087)/1.087)</f>
        <v>5.2805887764489468E-2</v>
      </c>
      <c r="H222" s="109">
        <f>IF(表2_367162629303891213141518[[#This Row],[累计净值]]&gt;1.129,0.7*(表2_367162629303891213141518[[#This Row],[累计净值]]-1.129)/1.129,(表2_367162629303891213141518[[#This Row],[累计净值]]-1.129)/1.129)</f>
        <v>2.4800708591674065E-2</v>
      </c>
    </row>
    <row r="223" spans="1:8" x14ac:dyDescent="0.2">
      <c r="A223" s="15">
        <v>44270</v>
      </c>
      <c r="B223" s="112">
        <v>1.17</v>
      </c>
      <c r="C223" s="108">
        <f t="shared" si="68"/>
        <v>9.9999999999988987E-4</v>
      </c>
      <c r="D223" s="109" t="str">
        <f t="shared" si="69"/>
        <v>/</v>
      </c>
      <c r="E223" s="109">
        <f ca="1">IF(表2_367162629303891213141518[[#This Row],[累计净值]]/MAX(INDIRECT("B21:B" &amp; ROW()))-1&lt;E222,表2_367162629303891213141518[[#This Row],[累计净值]]/MAX(INDIRECT("B21:B" &amp; ROW()))-1,E222)</f>
        <v>-2.2768670309654016E-2</v>
      </c>
      <c r="F223" s="110">
        <f>表2_367162629303891213141518[[#This Row],[累计净值]]-0.12</f>
        <v>1.0499999999999998</v>
      </c>
      <c r="G223" s="109">
        <f>IF(表2_367162629303891213141518[[#This Row],[累计净值]]&gt;1.087,0.7*(表2_367162629303891213141518[[#This Row],[累计净值]]-1.087)/1.087,(表2_367162629303891213141518[[#This Row],[累计净值]]-1.087)/1.087)</f>
        <v>5.3449862005519752E-2</v>
      </c>
      <c r="H223" s="109">
        <f>IF(表2_367162629303891213141518[[#This Row],[累计净值]]&gt;1.129,0.7*(表2_367162629303891213141518[[#This Row],[累计净值]]-1.129)/1.129,(表2_367162629303891213141518[[#This Row],[累计净值]]-1.129)/1.129)</f>
        <v>2.542072630646585E-2</v>
      </c>
    </row>
    <row r="224" spans="1:8" x14ac:dyDescent="0.2">
      <c r="A224" s="15">
        <v>44271</v>
      </c>
      <c r="B224" s="112">
        <v>1.175</v>
      </c>
      <c r="C224" s="108">
        <f t="shared" si="68"/>
        <v>5.0000000000001155E-3</v>
      </c>
      <c r="D224" s="109" t="str">
        <f t="shared" si="69"/>
        <v>/</v>
      </c>
      <c r="E224" s="109">
        <f ca="1">IF(表2_367162629303891213141518[[#This Row],[累计净值]]/MAX(INDIRECT("B21:B" &amp; ROW()))-1&lt;E223,表2_367162629303891213141518[[#This Row],[累计净值]]/MAX(INDIRECT("B21:B" &amp; ROW()))-1,E223)</f>
        <v>-2.2768670309654016E-2</v>
      </c>
      <c r="F224" s="110">
        <f>表2_367162629303891213141518[[#This Row],[累计净值]]-0.12</f>
        <v>1.0550000000000002</v>
      </c>
      <c r="G224" s="109">
        <f>IF(表2_367162629303891213141518[[#This Row],[累计净值]]&gt;1.087,0.7*(表2_367162629303891213141518[[#This Row],[累计净值]]-1.087)/1.087,(表2_367162629303891213141518[[#This Row],[累计净值]]-1.087)/1.087)</f>
        <v>5.6669733210671619E-2</v>
      </c>
      <c r="H224" s="109">
        <f>IF(表2_367162629303891213141518[[#This Row],[累计净值]]&gt;1.129,0.7*(表2_367162629303891213141518[[#This Row],[累计净值]]-1.129)/1.129,(表2_367162629303891213141518[[#This Row],[累计净值]]-1.129)/1.129)</f>
        <v>2.8520814880425179E-2</v>
      </c>
    </row>
    <row r="225" spans="1:8" x14ac:dyDescent="0.2">
      <c r="A225" s="15">
        <v>44272</v>
      </c>
      <c r="B225" s="112">
        <v>1.1739999999999999</v>
      </c>
      <c r="C225" s="108">
        <f t="shared" si="68"/>
        <v>-1.0000000000001119E-3</v>
      </c>
      <c r="D225" s="109">
        <f t="shared" si="69"/>
        <v>-1.0000000000001119E-3</v>
      </c>
      <c r="E225" s="109">
        <f ca="1">IF(表2_367162629303891213141518[[#This Row],[累计净值]]/MAX(INDIRECT("B21:B" &amp; ROW()))-1&lt;E224,表2_367162629303891213141518[[#This Row],[累计净值]]/MAX(INDIRECT("B21:B" &amp; ROW()))-1,E224)</f>
        <v>-2.2768670309654016E-2</v>
      </c>
      <c r="F225" s="110">
        <f>表2_367162629303891213141518[[#This Row],[累计净值]]-0.12</f>
        <v>1.0539999999999998</v>
      </c>
      <c r="G225" s="109">
        <f>IF(表2_367162629303891213141518[[#This Row],[累计净值]]&gt;1.087,0.7*(表2_367162629303891213141518[[#This Row],[累计净值]]-1.087)/1.087,(表2_367162629303891213141518[[#This Row],[累计净值]]-1.087)/1.087)</f>
        <v>5.6025758969641196E-2</v>
      </c>
      <c r="H225" s="109">
        <f>IF(表2_367162629303891213141518[[#This Row],[累计净值]]&gt;1.129,0.7*(表2_367162629303891213141518[[#This Row],[累计净值]]-1.129)/1.129,(表2_367162629303891213141518[[#This Row],[累计净值]]-1.129)/1.129)</f>
        <v>2.7900797165633262E-2</v>
      </c>
    </row>
    <row r="226" spans="1:8" x14ac:dyDescent="0.2">
      <c r="A226" s="15">
        <v>44273</v>
      </c>
      <c r="B226" s="112">
        <v>1.177</v>
      </c>
      <c r="C226" s="108">
        <f t="shared" si="68"/>
        <v>3.0000000000001137E-3</v>
      </c>
      <c r="D226" s="109" t="str">
        <f t="shared" si="69"/>
        <v>/</v>
      </c>
      <c r="E226" s="109">
        <f ca="1">IF(表2_367162629303891213141518[[#This Row],[累计净值]]/MAX(INDIRECT("B21:B" &amp; ROW()))-1&lt;E225,表2_367162629303891213141518[[#This Row],[累计净值]]/MAX(INDIRECT("B21:B" &amp; ROW()))-1,E225)</f>
        <v>-2.2768670309654016E-2</v>
      </c>
      <c r="F226" s="110">
        <f>表2_367162629303891213141518[[#This Row],[累计净值]]-0.12</f>
        <v>1.0569999999999999</v>
      </c>
      <c r="G226" s="109">
        <f>IF(表2_367162629303891213141518[[#This Row],[累计净值]]&gt;1.087,0.7*(表2_367162629303891213141518[[#This Row],[累计净值]]-1.087)/1.087,(表2_367162629303891213141518[[#This Row],[累计净值]]-1.087)/1.087)</f>
        <v>5.7957681692732341E-2</v>
      </c>
      <c r="H226" s="109">
        <f>IF(表2_367162629303891213141518[[#This Row],[累计净值]]&gt;1.129,0.7*(表2_367162629303891213141518[[#This Row],[累计净值]]-1.129)/1.129,(表2_367162629303891213141518[[#This Row],[累计净值]]-1.129)/1.129)</f>
        <v>2.9760850310008882E-2</v>
      </c>
    </row>
    <row r="227" spans="1:8" x14ac:dyDescent="0.2">
      <c r="A227" s="15">
        <v>44274</v>
      </c>
      <c r="B227" s="112">
        <v>1.18</v>
      </c>
      <c r="C227" s="108">
        <f t="shared" si="68"/>
        <v>2.9999999999998916E-3</v>
      </c>
      <c r="D227" s="109" t="str">
        <f t="shared" si="69"/>
        <v>/</v>
      </c>
      <c r="E227" s="109">
        <f ca="1">IF(表2_367162629303891213141518[[#This Row],[累计净值]]/MAX(INDIRECT("B21:B" &amp; ROW()))-1&lt;E226,表2_367162629303891213141518[[#This Row],[累计净值]]/MAX(INDIRECT("B21:B" &amp; ROW()))-1,E226)</f>
        <v>-2.2768670309654016E-2</v>
      </c>
      <c r="F227" s="110">
        <f>表2_367162629303891213141518[[#This Row],[累计净值]]-0.12</f>
        <v>1.06</v>
      </c>
      <c r="G227" s="109">
        <f>IF(表2_367162629303891213141518[[#This Row],[累计净值]]&gt;1.087,0.7*(表2_367162629303891213141518[[#This Row],[累计净值]]-1.087)/1.087,(表2_367162629303891213141518[[#This Row],[累计净值]]-1.087)/1.087)</f>
        <v>5.9889604415823347E-2</v>
      </c>
      <c r="H227" s="109">
        <f>IF(表2_367162629303891213141518[[#This Row],[累计净值]]&gt;1.129,0.7*(表2_367162629303891213141518[[#This Row],[累计净值]]-1.129)/1.129,(表2_367162629303891213141518[[#This Row],[累计净值]]-1.129)/1.129)</f>
        <v>3.1620903454384369E-2</v>
      </c>
    </row>
    <row r="228" spans="1:8" x14ac:dyDescent="0.2">
      <c r="A228" s="15">
        <v>44277</v>
      </c>
      <c r="B228" s="112">
        <v>1.18</v>
      </c>
      <c r="C228" s="108">
        <f>IFERROR(B228-B227,0)</f>
        <v>0</v>
      </c>
      <c r="D228" s="109" t="str">
        <f>IF(C228&lt;0,C228,"/")</f>
        <v>/</v>
      </c>
      <c r="E228" s="109">
        <f ca="1">IF(表2_367162629303891213141518[[#This Row],[累计净值]]/MAX(INDIRECT("B21:B" &amp; ROW()))-1&lt;E227,表2_367162629303891213141518[[#This Row],[累计净值]]/MAX(INDIRECT("B21:B" &amp; ROW()))-1,E227)</f>
        <v>-2.2768670309654016E-2</v>
      </c>
      <c r="F228" s="110">
        <f>表2_367162629303891213141518[[#This Row],[累计净值]]-0.12</f>
        <v>1.06</v>
      </c>
      <c r="G228" s="109">
        <f>IF(表2_367162629303891213141518[[#This Row],[累计净值]]&gt;1.087,0.7*(表2_367162629303891213141518[[#This Row],[累计净值]]-1.087)/1.087,(表2_367162629303891213141518[[#This Row],[累计净值]]-1.087)/1.087)</f>
        <v>5.9889604415823347E-2</v>
      </c>
      <c r="H228" s="109">
        <f>IF(表2_367162629303891213141518[[#This Row],[累计净值]]&gt;1.129,0.7*(表2_367162629303891213141518[[#This Row],[累计净值]]-1.129)/1.129,(表2_367162629303891213141518[[#This Row],[累计净值]]-1.129)/1.129)</f>
        <v>3.1620903454384369E-2</v>
      </c>
    </row>
    <row r="229" spans="1:8" x14ac:dyDescent="0.2">
      <c r="A229" s="15">
        <v>44278</v>
      </c>
      <c r="B229" s="112">
        <v>1.175</v>
      </c>
      <c r="C229" s="108">
        <f t="shared" ref="C229:C232" si="70">IFERROR(B229-B228,0)</f>
        <v>-4.9999999999998934E-3</v>
      </c>
      <c r="D229" s="109">
        <f t="shared" ref="D229:D232" si="71">IF(C229&lt;0,C229,"/")</f>
        <v>-4.9999999999998934E-3</v>
      </c>
      <c r="E229" s="109">
        <f ca="1">IF(表2_367162629303891213141518[[#This Row],[累计净值]]/MAX(INDIRECT("B21:B" &amp; ROW()))-1&lt;E228,表2_367162629303891213141518[[#This Row],[累计净值]]/MAX(INDIRECT("B21:B" &amp; ROW()))-1,E228)</f>
        <v>-2.2768670309654016E-2</v>
      </c>
      <c r="F229" s="110">
        <f>表2_367162629303891213141518[[#This Row],[累计净值]]-0.12</f>
        <v>1.0550000000000002</v>
      </c>
      <c r="G229" s="109">
        <f>IF(表2_367162629303891213141518[[#This Row],[累计净值]]&gt;1.087,0.7*(表2_367162629303891213141518[[#This Row],[累计净值]]-1.087)/1.087,(表2_367162629303891213141518[[#This Row],[累计净值]]-1.087)/1.087)</f>
        <v>5.6669733210671619E-2</v>
      </c>
      <c r="H229" s="109">
        <f>IF(表2_367162629303891213141518[[#This Row],[累计净值]]&gt;1.129,0.7*(表2_367162629303891213141518[[#This Row],[累计净值]]-1.129)/1.129,(表2_367162629303891213141518[[#This Row],[累计净值]]-1.129)/1.129)</f>
        <v>2.8520814880425179E-2</v>
      </c>
    </row>
    <row r="230" spans="1:8" x14ac:dyDescent="0.2">
      <c r="A230" s="15">
        <v>44279</v>
      </c>
      <c r="B230" s="112">
        <v>1.175</v>
      </c>
      <c r="C230" s="108">
        <f t="shared" si="70"/>
        <v>0</v>
      </c>
      <c r="D230" s="109" t="str">
        <f t="shared" si="71"/>
        <v>/</v>
      </c>
      <c r="E230" s="109">
        <f ca="1">IF(表2_367162629303891213141518[[#This Row],[累计净值]]/MAX(INDIRECT("B21:B" &amp; ROW()))-1&lt;E229,表2_367162629303891213141518[[#This Row],[累计净值]]/MAX(INDIRECT("B21:B" &amp; ROW()))-1,E229)</f>
        <v>-2.2768670309654016E-2</v>
      </c>
      <c r="F230" s="110">
        <f>表2_367162629303891213141518[[#This Row],[累计净值]]-0.12</f>
        <v>1.0550000000000002</v>
      </c>
      <c r="G230" s="109">
        <f>IF(表2_367162629303891213141518[[#This Row],[累计净值]]&gt;1.087,0.7*(表2_367162629303891213141518[[#This Row],[累计净值]]-1.087)/1.087,(表2_367162629303891213141518[[#This Row],[累计净值]]-1.087)/1.087)</f>
        <v>5.6669733210671619E-2</v>
      </c>
      <c r="H230" s="109">
        <f>IF(表2_367162629303891213141518[[#This Row],[累计净值]]&gt;1.129,0.7*(表2_367162629303891213141518[[#This Row],[累计净值]]-1.129)/1.129,(表2_367162629303891213141518[[#This Row],[累计净值]]-1.129)/1.129)</f>
        <v>2.8520814880425179E-2</v>
      </c>
    </row>
    <row r="231" spans="1:8" x14ac:dyDescent="0.2">
      <c r="A231" s="15">
        <v>44280</v>
      </c>
      <c r="B231" s="112">
        <v>1.17</v>
      </c>
      <c r="C231" s="108">
        <f t="shared" si="70"/>
        <v>-5.0000000000001155E-3</v>
      </c>
      <c r="D231" s="109">
        <f t="shared" si="71"/>
        <v>-5.0000000000001155E-3</v>
      </c>
      <c r="E231" s="109">
        <f ca="1">IF(表2_367162629303891213141518[[#This Row],[累计净值]]/MAX(INDIRECT("B21:B" &amp; ROW()))-1&lt;E230,表2_367162629303891213141518[[#This Row],[累计净值]]/MAX(INDIRECT("B21:B" &amp; ROW()))-1,E230)</f>
        <v>-2.2768670309654016E-2</v>
      </c>
      <c r="F231" s="110">
        <f>表2_367162629303891213141518[[#This Row],[累计净值]]-0.12</f>
        <v>1.0499999999999998</v>
      </c>
      <c r="G231" s="109">
        <f>IF(表2_367162629303891213141518[[#This Row],[累计净值]]&gt;1.087,0.7*(表2_367162629303891213141518[[#This Row],[累计净值]]-1.087)/1.087,(表2_367162629303891213141518[[#This Row],[累计净值]]-1.087)/1.087)</f>
        <v>5.3449862005519752E-2</v>
      </c>
      <c r="H231" s="109">
        <f>IF(表2_367162629303891213141518[[#This Row],[累计净值]]&gt;1.129,0.7*(表2_367162629303891213141518[[#This Row],[累计净值]]-1.129)/1.129,(表2_367162629303891213141518[[#This Row],[累计净值]]-1.129)/1.129)</f>
        <v>2.542072630646585E-2</v>
      </c>
    </row>
    <row r="232" spans="1:8" x14ac:dyDescent="0.2">
      <c r="A232" s="15">
        <v>44281</v>
      </c>
      <c r="B232" s="112">
        <v>1.17</v>
      </c>
      <c r="C232" s="108">
        <f t="shared" si="70"/>
        <v>0</v>
      </c>
      <c r="D232" s="109" t="str">
        <f t="shared" si="71"/>
        <v>/</v>
      </c>
      <c r="E232" s="109">
        <f ca="1">IF(表2_367162629303891213141518[[#This Row],[累计净值]]/MAX(INDIRECT("B21:B" &amp; ROW()))-1&lt;E231,表2_367162629303891213141518[[#This Row],[累计净值]]/MAX(INDIRECT("B21:B" &amp; ROW()))-1,E231)</f>
        <v>-2.2768670309654016E-2</v>
      </c>
      <c r="F232" s="110">
        <f>表2_367162629303891213141518[[#This Row],[累计净值]]-0.12</f>
        <v>1.0499999999999998</v>
      </c>
      <c r="G232" s="109">
        <f>IF(表2_367162629303891213141518[[#This Row],[累计净值]]&gt;1.087,0.7*(表2_367162629303891213141518[[#This Row],[累计净值]]-1.087)/1.087,(表2_367162629303891213141518[[#This Row],[累计净值]]-1.087)/1.087)</f>
        <v>5.3449862005519752E-2</v>
      </c>
      <c r="H232" s="109">
        <f>IF(表2_367162629303891213141518[[#This Row],[累计净值]]&gt;1.129,0.7*(表2_367162629303891213141518[[#This Row],[累计净值]]-1.129)/1.129,(表2_367162629303891213141518[[#This Row],[累计净值]]-1.129)/1.129)</f>
        <v>2.542072630646585E-2</v>
      </c>
    </row>
    <row r="233" spans="1:8" x14ac:dyDescent="0.2">
      <c r="A233" s="15">
        <v>44284</v>
      </c>
      <c r="B233" s="112">
        <v>1.167</v>
      </c>
      <c r="C233" s="108">
        <f t="shared" ref="C233:C239" si="72">IFERROR(B233-B232,0)</f>
        <v>-2.9999999999998916E-3</v>
      </c>
      <c r="D233" s="109">
        <f t="shared" ref="D233:D239" si="73">IF(C233&lt;0,C233,"/")</f>
        <v>-2.9999999999998916E-3</v>
      </c>
      <c r="E233" s="109">
        <f ca="1">IF(表2_367162629303891213141518[[#This Row],[累计净值]]/MAX(INDIRECT("B21:B" &amp; ROW()))-1&lt;E232,表2_367162629303891213141518[[#This Row],[累计净值]]/MAX(INDIRECT("B21:B" &amp; ROW()))-1,E232)</f>
        <v>-2.2768670309654016E-2</v>
      </c>
      <c r="F233" s="110">
        <f>表2_367162629303891213141518[[#This Row],[累计净值]]-0.12</f>
        <v>1.0470000000000002</v>
      </c>
      <c r="G233" s="109">
        <f>IF(表2_367162629303891213141518[[#This Row],[累计净值]]&gt;1.087,0.7*(表2_367162629303891213141518[[#This Row],[累计净值]]-1.087)/1.087,(表2_367162629303891213141518[[#This Row],[累计净值]]-1.087)/1.087)</f>
        <v>5.1517939282428746E-2</v>
      </c>
      <c r="H233" s="109">
        <f>IF(表2_367162629303891213141518[[#This Row],[累计净值]]&gt;1.129,0.7*(表2_367162629303891213141518[[#This Row],[累计净值]]-1.129)/1.129,(表2_367162629303891213141518[[#This Row],[累计净值]]-1.129)/1.129)</f>
        <v>2.3560673162090366E-2</v>
      </c>
    </row>
    <row r="234" spans="1:8" x14ac:dyDescent="0.2">
      <c r="A234" s="15">
        <v>44285</v>
      </c>
      <c r="B234" s="112">
        <v>1.17</v>
      </c>
      <c r="C234" s="108">
        <f t="shared" si="72"/>
        <v>2.9999999999998916E-3</v>
      </c>
      <c r="D234" s="109" t="str">
        <f t="shared" si="73"/>
        <v>/</v>
      </c>
      <c r="E234" s="109">
        <f ca="1">IF(表2_367162629303891213141518[[#This Row],[累计净值]]/MAX(INDIRECT("B21:B" &amp; ROW()))-1&lt;E233,表2_367162629303891213141518[[#This Row],[累计净值]]/MAX(INDIRECT("B21:B" &amp; ROW()))-1,E233)</f>
        <v>-2.2768670309654016E-2</v>
      </c>
      <c r="F234" s="110">
        <f>表2_367162629303891213141518[[#This Row],[累计净值]]-0.12</f>
        <v>1.0499999999999998</v>
      </c>
      <c r="G234" s="109">
        <f>IF(表2_367162629303891213141518[[#This Row],[累计净值]]&gt;1.087,0.7*(表2_367162629303891213141518[[#This Row],[累计净值]]-1.087)/1.087,(表2_367162629303891213141518[[#This Row],[累计净值]]-1.087)/1.087)</f>
        <v>5.3449862005519752E-2</v>
      </c>
      <c r="H234" s="109">
        <f>IF(表2_367162629303891213141518[[#This Row],[累计净值]]&gt;1.129,0.7*(表2_367162629303891213141518[[#This Row],[累计净值]]-1.129)/1.129,(表2_367162629303891213141518[[#This Row],[累计净值]]-1.129)/1.129)</f>
        <v>2.542072630646585E-2</v>
      </c>
    </row>
    <row r="235" spans="1:8" x14ac:dyDescent="0.2">
      <c r="A235" s="15">
        <v>44286</v>
      </c>
      <c r="B235" s="112">
        <v>1.169</v>
      </c>
      <c r="C235" s="108">
        <f t="shared" si="72"/>
        <v>-9.9999999999988987E-4</v>
      </c>
      <c r="D235" s="109">
        <f t="shared" si="73"/>
        <v>-9.9999999999988987E-4</v>
      </c>
      <c r="E235" s="109">
        <f ca="1">IF(表2_367162629303891213141518[[#This Row],[累计净值]]/MAX(INDIRECT("B21:B" &amp; ROW()))-1&lt;E234,表2_367162629303891213141518[[#This Row],[累计净值]]/MAX(INDIRECT("B21:B" &amp; ROW()))-1,E234)</f>
        <v>-2.2768670309654016E-2</v>
      </c>
      <c r="F235" s="110">
        <f>表2_367162629303891213141518[[#This Row],[累计净值]]-0.12</f>
        <v>1.0489999999999999</v>
      </c>
      <c r="G235" s="109">
        <f>IF(表2_367162629303891213141518[[#This Row],[累计净值]]&gt;1.087,0.7*(表2_367162629303891213141518[[#This Row],[累计净值]]-1.087)/1.087,(表2_367162629303891213141518[[#This Row],[累计净值]]-1.087)/1.087)</f>
        <v>5.2805887764489468E-2</v>
      </c>
      <c r="H235" s="109">
        <f>IF(表2_367162629303891213141518[[#This Row],[累计净值]]&gt;1.129,0.7*(表2_367162629303891213141518[[#This Row],[累计净值]]-1.129)/1.129,(表2_367162629303891213141518[[#This Row],[累计净值]]-1.129)/1.129)</f>
        <v>2.4800708591674065E-2</v>
      </c>
    </row>
    <row r="236" spans="1:8" x14ac:dyDescent="0.2">
      <c r="A236" s="15">
        <v>44287</v>
      </c>
      <c r="B236" s="112">
        <v>1.1759999999999999</v>
      </c>
      <c r="C236" s="108">
        <f t="shared" si="72"/>
        <v>6.9999999999998952E-3</v>
      </c>
      <c r="D236" s="109" t="str">
        <f t="shared" si="73"/>
        <v>/</v>
      </c>
      <c r="E236" s="109">
        <f ca="1">IF(表2_367162629303891213141518[[#This Row],[累计净值]]/MAX(INDIRECT("B21:B" &amp; ROW()))-1&lt;E235,表2_367162629303891213141518[[#This Row],[累计净值]]/MAX(INDIRECT("B21:B" &amp; ROW()))-1,E235)</f>
        <v>-2.2768670309654016E-2</v>
      </c>
      <c r="F236" s="110">
        <f>表2_367162629303891213141518[[#This Row],[累计净值]]-0.12</f>
        <v>1.056</v>
      </c>
      <c r="G236" s="109">
        <f>IF(表2_367162629303891213141518[[#This Row],[累计净值]]&gt;1.087,0.7*(表2_367162629303891213141518[[#This Row],[累计净值]]-1.087)/1.087,(表2_367162629303891213141518[[#This Row],[累计净值]]-1.087)/1.087)</f>
        <v>5.731370745170191E-2</v>
      </c>
      <c r="H236" s="109">
        <f>IF(表2_367162629303891213141518[[#This Row],[累计净值]]&gt;1.129,0.7*(表2_367162629303891213141518[[#This Row],[累计净值]]-1.129)/1.129,(表2_367162629303891213141518[[#This Row],[累计净值]]-1.129)/1.129)</f>
        <v>2.9140832595216961E-2</v>
      </c>
    </row>
    <row r="237" spans="1:8" x14ac:dyDescent="0.2">
      <c r="A237" s="15">
        <v>44288</v>
      </c>
      <c r="B237" s="112">
        <v>1.1779999999999999</v>
      </c>
      <c r="C237" s="108">
        <f t="shared" si="72"/>
        <v>2.0000000000000018E-3</v>
      </c>
      <c r="D237" s="109" t="str">
        <f t="shared" si="73"/>
        <v>/</v>
      </c>
      <c r="E237" s="109">
        <f ca="1">IF(表2_367162629303891213141518[[#This Row],[累计净值]]/MAX(INDIRECT("B21:B" &amp; ROW()))-1&lt;E236,表2_367162629303891213141518[[#This Row],[累计净值]]/MAX(INDIRECT("B21:B" &amp; ROW()))-1,E236)</f>
        <v>-2.2768670309654016E-2</v>
      </c>
      <c r="F237" s="110">
        <f>表2_367162629303891213141518[[#This Row],[累计净值]]-0.12</f>
        <v>1.0579999999999998</v>
      </c>
      <c r="G237" s="109">
        <f>IF(表2_367162629303891213141518[[#This Row],[累计净值]]&gt;1.087,0.7*(表2_367162629303891213141518[[#This Row],[累计净值]]-1.087)/1.087,(表2_367162629303891213141518[[#This Row],[累计净值]]-1.087)/1.087)</f>
        <v>5.8601655933762632E-2</v>
      </c>
      <c r="H237" s="109">
        <f>IF(表2_367162629303891213141518[[#This Row],[累计净值]]&gt;1.129,0.7*(表2_367162629303891213141518[[#This Row],[累计净值]]-1.129)/1.129,(表2_367162629303891213141518[[#This Row],[累计净值]]-1.129)/1.129)</f>
        <v>3.0380868024800663E-2</v>
      </c>
    </row>
    <row r="238" spans="1:8" x14ac:dyDescent="0.2">
      <c r="A238" s="15">
        <v>44292</v>
      </c>
      <c r="B238" s="112">
        <v>1.1779999999999999</v>
      </c>
      <c r="C238" s="108">
        <f t="shared" si="72"/>
        <v>0</v>
      </c>
      <c r="D238" s="109" t="str">
        <f t="shared" si="73"/>
        <v>/</v>
      </c>
      <c r="E238" s="109">
        <f ca="1">IF(表2_367162629303891213141518[[#This Row],[累计净值]]/MAX(INDIRECT("B21:B" &amp; ROW()))-1&lt;E237,表2_367162629303891213141518[[#This Row],[累计净值]]/MAX(INDIRECT("B21:B" &amp; ROW()))-1,E237)</f>
        <v>-2.2768670309654016E-2</v>
      </c>
      <c r="F238" s="110">
        <f>表2_367162629303891213141518[[#This Row],[累计净值]]-0.12</f>
        <v>1.0579999999999998</v>
      </c>
      <c r="G238" s="109">
        <f>IF(表2_367162629303891213141518[[#This Row],[累计净值]]&gt;1.087,0.7*(表2_367162629303891213141518[[#This Row],[累计净值]]-1.087)/1.087,(表2_367162629303891213141518[[#This Row],[累计净值]]-1.087)/1.087)</f>
        <v>5.8601655933762632E-2</v>
      </c>
      <c r="H238" s="109">
        <f>IF(表2_367162629303891213141518[[#This Row],[累计净值]]&gt;1.129,0.7*(表2_367162629303891213141518[[#This Row],[累计净值]]-1.129)/1.129,(表2_367162629303891213141518[[#This Row],[累计净值]]-1.129)/1.129)</f>
        <v>3.0380868024800663E-2</v>
      </c>
    </row>
    <row r="239" spans="1:8" x14ac:dyDescent="0.2">
      <c r="A239" s="15">
        <v>44293</v>
      </c>
      <c r="B239" s="112">
        <v>1.17</v>
      </c>
      <c r="C239" s="108">
        <f t="shared" si="72"/>
        <v>-8.0000000000000071E-3</v>
      </c>
      <c r="D239" s="109">
        <f t="shared" si="73"/>
        <v>-8.0000000000000071E-3</v>
      </c>
      <c r="E239" s="109">
        <f ca="1">IF(表2_367162629303891213141518[[#This Row],[累计净值]]/MAX(INDIRECT("B21:B" &amp; ROW()))-1&lt;E238,表2_367162629303891213141518[[#This Row],[累计净值]]/MAX(INDIRECT("B21:B" &amp; ROW()))-1,E238)</f>
        <v>-2.2768670309654016E-2</v>
      </c>
      <c r="F239" s="110">
        <f>表2_367162629303891213141518[[#This Row],[累计净值]]-0.12</f>
        <v>1.0499999999999998</v>
      </c>
      <c r="G239" s="109">
        <f>IF(表2_367162629303891213141518[[#This Row],[累计净值]]&gt;1.087,0.7*(表2_367162629303891213141518[[#This Row],[累计净值]]-1.087)/1.087,(表2_367162629303891213141518[[#This Row],[累计净值]]-1.087)/1.087)</f>
        <v>5.3449862005519752E-2</v>
      </c>
      <c r="H239" s="109">
        <f>IF(表2_367162629303891213141518[[#This Row],[累计净值]]&gt;1.129,0.7*(表2_367162629303891213141518[[#This Row],[累计净值]]-1.129)/1.129,(表2_367162629303891213141518[[#This Row],[累计净值]]-1.129)/1.129)</f>
        <v>2.542072630646585E-2</v>
      </c>
    </row>
    <row r="240" spans="1:8" x14ac:dyDescent="0.2">
      <c r="A240" s="15">
        <v>44294</v>
      </c>
      <c r="B240" s="112">
        <v>1.169</v>
      </c>
      <c r="C240" s="108">
        <f t="shared" ref="C240:C245" si="74">IFERROR(B240-B239,0)</f>
        <v>-9.9999999999988987E-4</v>
      </c>
      <c r="D240" s="109">
        <f t="shared" ref="D240:D245" si="75">IF(C240&lt;0,C240,"/")</f>
        <v>-9.9999999999988987E-4</v>
      </c>
      <c r="E240" s="109">
        <f ca="1">IF(表2_367162629303891213141518[[#This Row],[累计净值]]/MAX(INDIRECT("B21:B" &amp; ROW()))-1&lt;E239,表2_367162629303891213141518[[#This Row],[累计净值]]/MAX(INDIRECT("B21:B" &amp; ROW()))-1,E239)</f>
        <v>-2.2768670309654016E-2</v>
      </c>
      <c r="F240" s="110">
        <f>表2_367162629303891213141518[[#This Row],[累计净值]]-0.12</f>
        <v>1.0489999999999999</v>
      </c>
      <c r="G240" s="109">
        <f>IF(表2_367162629303891213141518[[#This Row],[累计净值]]&gt;1.087,0.7*(表2_367162629303891213141518[[#This Row],[累计净值]]-1.087)/1.087,(表2_367162629303891213141518[[#This Row],[累计净值]]-1.087)/1.087)</f>
        <v>5.2805887764489468E-2</v>
      </c>
      <c r="H240" s="109">
        <f>IF(表2_367162629303891213141518[[#This Row],[累计净值]]&gt;1.129,0.7*(表2_367162629303891213141518[[#This Row],[累计净值]]-1.129)/1.129,(表2_367162629303891213141518[[#This Row],[累计净值]]-1.129)/1.129)</f>
        <v>2.4800708591674065E-2</v>
      </c>
    </row>
    <row r="241" spans="1:8" x14ac:dyDescent="0.2">
      <c r="A241" s="15">
        <v>44295</v>
      </c>
      <c r="B241" s="112">
        <v>1.1679999999999999</v>
      </c>
      <c r="C241" s="108">
        <f t="shared" si="74"/>
        <v>-1.0000000000001119E-3</v>
      </c>
      <c r="D241" s="109">
        <f t="shared" si="75"/>
        <v>-1.0000000000001119E-3</v>
      </c>
      <c r="E241" s="109">
        <f ca="1">IF(表2_367162629303891213141518[[#This Row],[累计净值]]/MAX(INDIRECT("B21:B" &amp; ROW()))-1&lt;E240,表2_367162629303891213141518[[#This Row],[累计净值]]/MAX(INDIRECT("B21:B" &amp; ROW()))-1,E240)</f>
        <v>-2.2768670309654016E-2</v>
      </c>
      <c r="F241" s="110">
        <f>表2_367162629303891213141518[[#This Row],[累计净值]]-0.12</f>
        <v>1.048</v>
      </c>
      <c r="G241" s="109">
        <f>IF(表2_367162629303891213141518[[#This Row],[累计净值]]&gt;1.087,0.7*(表2_367162629303891213141518[[#This Row],[累计净值]]-1.087)/1.087,(表2_367162629303891213141518[[#This Row],[累计净值]]-1.087)/1.087)</f>
        <v>5.216191352345903E-2</v>
      </c>
      <c r="H241" s="109">
        <f>IF(表2_367162629303891213141518[[#This Row],[累计净值]]&gt;1.129,0.7*(表2_367162629303891213141518[[#This Row],[累计净值]]-1.129)/1.129,(表2_367162629303891213141518[[#This Row],[累计净值]]-1.129)/1.129)</f>
        <v>2.4180690876882148E-2</v>
      </c>
    </row>
    <row r="242" spans="1:8" x14ac:dyDescent="0.2">
      <c r="A242" s="15">
        <v>44298</v>
      </c>
      <c r="B242" s="112">
        <v>1.1719999999999999</v>
      </c>
      <c r="C242" s="108">
        <f t="shared" si="74"/>
        <v>4.0000000000000036E-3</v>
      </c>
      <c r="D242" s="109" t="str">
        <f t="shared" si="75"/>
        <v>/</v>
      </c>
      <c r="E242" s="109">
        <f ca="1">IF(表2_367162629303891213141518[[#This Row],[累计净值]]/MAX(INDIRECT("B21:B" &amp; ROW()))-1&lt;E241,表2_367162629303891213141518[[#This Row],[累计净值]]/MAX(INDIRECT("B21:B" &amp; ROW()))-1,E241)</f>
        <v>-2.2768670309654016E-2</v>
      </c>
      <c r="F242" s="110">
        <f>表2_367162629303891213141518[[#This Row],[累计净值]]-0.12</f>
        <v>1.052</v>
      </c>
      <c r="G242" s="109">
        <f>IF(表2_367162629303891213141518[[#This Row],[累计净值]]&gt;1.087,0.7*(表2_367162629303891213141518[[#This Row],[累计净值]]-1.087)/1.087,(表2_367162629303891213141518[[#This Row],[累计净值]]-1.087)/1.087)</f>
        <v>5.4737810487580474E-2</v>
      </c>
      <c r="H242" s="109">
        <f>IF(表2_367162629303891213141518[[#This Row],[累计净值]]&gt;1.129,0.7*(表2_367162629303891213141518[[#This Row],[累计净值]]-1.129)/1.129,(表2_367162629303891213141518[[#This Row],[累计净值]]-1.129)/1.129)</f>
        <v>2.6660761736049553E-2</v>
      </c>
    </row>
    <row r="243" spans="1:8" x14ac:dyDescent="0.2">
      <c r="A243" s="15">
        <v>44299</v>
      </c>
      <c r="B243" s="112">
        <v>1.1659999999999999</v>
      </c>
      <c r="C243" s="108">
        <f t="shared" si="74"/>
        <v>-6.0000000000000053E-3</v>
      </c>
      <c r="D243" s="109">
        <f t="shared" si="75"/>
        <v>-6.0000000000000053E-3</v>
      </c>
      <c r="E243" s="109">
        <f ca="1">IF(表2_367162629303891213141518[[#This Row],[累计净值]]/MAX(INDIRECT("B21:B" &amp; ROW()))-1&lt;E242,表2_367162629303891213141518[[#This Row],[累计净值]]/MAX(INDIRECT("B21:B" &amp; ROW()))-1,E242)</f>
        <v>-2.2768670309654016E-2</v>
      </c>
      <c r="F243" s="110">
        <f>表2_367162629303891213141518[[#This Row],[累计净值]]-0.12</f>
        <v>1.0459999999999998</v>
      </c>
      <c r="G243" s="109">
        <f>IF(表2_367162629303891213141518[[#This Row],[累计净值]]&gt;1.087,0.7*(表2_367162629303891213141518[[#This Row],[累计净值]]-1.087)/1.087,(表2_367162629303891213141518[[#This Row],[累计净值]]-1.087)/1.087)</f>
        <v>5.0873965041398315E-2</v>
      </c>
      <c r="H243" s="109">
        <f>IF(表2_367162629303891213141518[[#This Row],[累计净值]]&gt;1.129,0.7*(表2_367162629303891213141518[[#This Row],[累计净值]]-1.129)/1.129,(表2_367162629303891213141518[[#This Row],[累计净值]]-1.129)/1.129)</f>
        <v>2.2940655447298446E-2</v>
      </c>
    </row>
    <row r="244" spans="1:8" x14ac:dyDescent="0.2">
      <c r="A244" s="15">
        <v>44300</v>
      </c>
      <c r="B244" s="112">
        <v>1.17</v>
      </c>
      <c r="C244" s="108">
        <f t="shared" si="74"/>
        <v>4.0000000000000036E-3</v>
      </c>
      <c r="D244" s="109" t="str">
        <f t="shared" si="75"/>
        <v>/</v>
      </c>
      <c r="E244" s="109">
        <f ca="1">IF(表2_367162629303891213141518[[#This Row],[累计净值]]/MAX(INDIRECT("B21:B" &amp; ROW()))-1&lt;E243,表2_367162629303891213141518[[#This Row],[累计净值]]/MAX(INDIRECT("B21:B" &amp; ROW()))-1,E243)</f>
        <v>-2.2768670309654016E-2</v>
      </c>
      <c r="F244" s="110">
        <f>表2_367162629303891213141518[[#This Row],[累计净值]]-0.12</f>
        <v>1.0499999999999998</v>
      </c>
      <c r="G244" s="109">
        <f>IF(表2_367162629303891213141518[[#This Row],[累计净值]]&gt;1.087,0.7*(表2_367162629303891213141518[[#This Row],[累计净值]]-1.087)/1.087,(表2_367162629303891213141518[[#This Row],[累计净值]]-1.087)/1.087)</f>
        <v>5.3449862005519752E-2</v>
      </c>
      <c r="H244" s="109">
        <f>IF(表2_367162629303891213141518[[#This Row],[累计净值]]&gt;1.129,0.7*(表2_367162629303891213141518[[#This Row],[累计净值]]-1.129)/1.129,(表2_367162629303891213141518[[#This Row],[累计净值]]-1.129)/1.129)</f>
        <v>2.542072630646585E-2</v>
      </c>
    </row>
    <row r="245" spans="1:8" x14ac:dyDescent="0.2">
      <c r="A245" s="15">
        <v>44301</v>
      </c>
      <c r="B245" s="112">
        <v>1.17</v>
      </c>
      <c r="C245" s="108">
        <f t="shared" si="74"/>
        <v>0</v>
      </c>
      <c r="D245" s="109" t="str">
        <f t="shared" si="75"/>
        <v>/</v>
      </c>
      <c r="E245" s="109">
        <f ca="1">IF(表2_367162629303891213141518[[#This Row],[累计净值]]/MAX(INDIRECT("B21:B" &amp; ROW()))-1&lt;E244,表2_367162629303891213141518[[#This Row],[累计净值]]/MAX(INDIRECT("B21:B" &amp; ROW()))-1,E244)</f>
        <v>-2.2768670309654016E-2</v>
      </c>
      <c r="F245" s="110">
        <f>表2_367162629303891213141518[[#This Row],[累计净值]]-0.12</f>
        <v>1.0499999999999998</v>
      </c>
      <c r="G245" s="109">
        <f>IF(表2_367162629303891213141518[[#This Row],[累计净值]]&gt;1.087,0.7*(表2_367162629303891213141518[[#This Row],[累计净值]]-1.087)/1.087,(表2_367162629303891213141518[[#This Row],[累计净值]]-1.087)/1.087)</f>
        <v>5.3449862005519752E-2</v>
      </c>
      <c r="H245" s="109">
        <f>IF(表2_367162629303891213141518[[#This Row],[累计净值]]&gt;1.129,0.7*(表2_367162629303891213141518[[#This Row],[累计净值]]-1.129)/1.129,(表2_367162629303891213141518[[#This Row],[累计净值]]-1.129)/1.129)</f>
        <v>2.542072630646585E-2</v>
      </c>
    </row>
    <row r="246" spans="1:8" x14ac:dyDescent="0.2">
      <c r="A246" s="15">
        <v>44302</v>
      </c>
      <c r="B246" s="112">
        <v>1.173</v>
      </c>
      <c r="C246" s="108">
        <f t="shared" ref="C246:C252" si="76">IFERROR(B246-B245,0)</f>
        <v>3.0000000000001137E-3</v>
      </c>
      <c r="D246" s="109" t="str">
        <f t="shared" ref="D246:D252" si="77">IF(C246&lt;0,C246,"/")</f>
        <v>/</v>
      </c>
      <c r="E246" s="109">
        <f ca="1">IF(表2_367162629303891213141518[[#This Row],[累计净值]]/MAX(INDIRECT("B21:B" &amp; ROW()))-1&lt;E245,表2_367162629303891213141518[[#This Row],[累计净值]]/MAX(INDIRECT("B21:B" &amp; ROW()))-1,E245)</f>
        <v>-2.2768670309654016E-2</v>
      </c>
      <c r="F246" s="110">
        <f>表2_367162629303891213141518[[#This Row],[累计净值]]-0.12</f>
        <v>1.0529999999999999</v>
      </c>
      <c r="G246" s="109">
        <f>IF(表2_367162629303891213141518[[#This Row],[累计净值]]&gt;1.087,0.7*(表2_367162629303891213141518[[#This Row],[累计净值]]-1.087)/1.087,(表2_367162629303891213141518[[#This Row],[累计净值]]-1.087)/1.087)</f>
        <v>5.5381784728610904E-2</v>
      </c>
      <c r="H246" s="109">
        <f>IF(表2_367162629303891213141518[[#This Row],[累计净值]]&gt;1.129,0.7*(表2_367162629303891213141518[[#This Row],[累计净值]]-1.129)/1.129,(表2_367162629303891213141518[[#This Row],[累计净值]]-1.129)/1.129)</f>
        <v>2.7280779450841473E-2</v>
      </c>
    </row>
    <row r="247" spans="1:8" x14ac:dyDescent="0.2">
      <c r="A247" s="15">
        <v>44305</v>
      </c>
      <c r="B247" s="112">
        <v>1.167</v>
      </c>
      <c r="C247" s="108">
        <f t="shared" si="76"/>
        <v>-6.0000000000000053E-3</v>
      </c>
      <c r="D247" s="109">
        <f t="shared" si="77"/>
        <v>-6.0000000000000053E-3</v>
      </c>
      <c r="E247" s="109">
        <f ca="1">IF(表2_367162629303891213141518[[#This Row],[累计净值]]/MAX(INDIRECT("B21:B" &amp; ROW()))-1&lt;E246,表2_367162629303891213141518[[#This Row],[累计净值]]/MAX(INDIRECT("B21:B" &amp; ROW()))-1,E246)</f>
        <v>-2.2768670309654016E-2</v>
      </c>
      <c r="F247" s="110">
        <f>表2_367162629303891213141518[[#This Row],[累计净值]]-0.12</f>
        <v>1.0470000000000002</v>
      </c>
      <c r="G247" s="109">
        <f>IF(表2_367162629303891213141518[[#This Row],[累计净值]]&gt;1.087,0.7*(表2_367162629303891213141518[[#This Row],[累计净值]]-1.087)/1.087,(表2_367162629303891213141518[[#This Row],[累计净值]]-1.087)/1.087)</f>
        <v>5.1517939282428746E-2</v>
      </c>
      <c r="H247" s="109">
        <f>IF(表2_367162629303891213141518[[#This Row],[累计净值]]&gt;1.129,0.7*(表2_367162629303891213141518[[#This Row],[累计净值]]-1.129)/1.129,(表2_367162629303891213141518[[#This Row],[累计净值]]-1.129)/1.129)</f>
        <v>2.3560673162090366E-2</v>
      </c>
    </row>
    <row r="248" spans="1:8" x14ac:dyDescent="0.2">
      <c r="A248" s="15">
        <v>44306</v>
      </c>
      <c r="B248" s="112">
        <v>1.167</v>
      </c>
      <c r="C248" s="108">
        <f t="shared" si="76"/>
        <v>0</v>
      </c>
      <c r="D248" s="109" t="str">
        <f t="shared" si="77"/>
        <v>/</v>
      </c>
      <c r="E248" s="109">
        <f ca="1">IF(表2_367162629303891213141518[[#This Row],[累计净值]]/MAX(INDIRECT("B21:B" &amp; ROW()))-1&lt;E247,表2_367162629303891213141518[[#This Row],[累计净值]]/MAX(INDIRECT("B21:B" &amp; ROW()))-1,E247)</f>
        <v>-2.2768670309654016E-2</v>
      </c>
      <c r="F248" s="110">
        <f>表2_367162629303891213141518[[#This Row],[累计净值]]-0.12</f>
        <v>1.0470000000000002</v>
      </c>
      <c r="G248" s="109">
        <f>IF(表2_367162629303891213141518[[#This Row],[累计净值]]&gt;1.087,0.7*(表2_367162629303891213141518[[#This Row],[累计净值]]-1.087)/1.087,(表2_367162629303891213141518[[#This Row],[累计净值]]-1.087)/1.087)</f>
        <v>5.1517939282428746E-2</v>
      </c>
      <c r="H248" s="109">
        <f>IF(表2_367162629303891213141518[[#This Row],[累计净值]]&gt;1.129,0.7*(表2_367162629303891213141518[[#This Row],[累计净值]]-1.129)/1.129,(表2_367162629303891213141518[[#This Row],[累计净值]]-1.129)/1.129)</f>
        <v>2.3560673162090366E-2</v>
      </c>
    </row>
    <row r="249" spans="1:8" x14ac:dyDescent="0.2">
      <c r="A249" s="15">
        <v>44307</v>
      </c>
      <c r="B249" s="112">
        <v>1.159</v>
      </c>
      <c r="C249" s="108">
        <f t="shared" si="76"/>
        <v>-8.0000000000000071E-3</v>
      </c>
      <c r="D249" s="109">
        <f t="shared" si="77"/>
        <v>-8.0000000000000071E-3</v>
      </c>
      <c r="E249" s="109">
        <f ca="1">IF(表2_367162629303891213141518[[#This Row],[累计净值]]/MAX(INDIRECT("B21:B" &amp; ROW()))-1&lt;E248,表2_367162629303891213141518[[#This Row],[累计净值]]/MAX(INDIRECT("B21:B" &amp; ROW()))-1,E248)</f>
        <v>-2.2768670309654016E-2</v>
      </c>
      <c r="F249" s="110">
        <f>表2_367162629303891213141518[[#This Row],[累计净值]]-0.12</f>
        <v>1.0390000000000001</v>
      </c>
      <c r="G249" s="109">
        <f>IF(表2_367162629303891213141518[[#This Row],[累计净值]]&gt;1.087,0.7*(表2_367162629303891213141518[[#This Row],[累计净值]]-1.087)/1.087,(表2_367162629303891213141518[[#This Row],[累计净值]]-1.087)/1.087)</f>
        <v>4.6366145354185873E-2</v>
      </c>
      <c r="H249" s="109">
        <f>IF(表2_367162629303891213141518[[#This Row],[累计净值]]&gt;1.129,0.7*(表2_367162629303891213141518[[#This Row],[累计净值]]-1.129)/1.129,(表2_367162629303891213141518[[#This Row],[累计净值]]-1.129)/1.129)</f>
        <v>1.8600531443755553E-2</v>
      </c>
    </row>
    <row r="250" spans="1:8" x14ac:dyDescent="0.2">
      <c r="A250" s="15">
        <v>44308</v>
      </c>
      <c r="B250" s="112">
        <v>1.1619999999999999</v>
      </c>
      <c r="C250" s="108">
        <f t="shared" si="76"/>
        <v>2.9999999999998916E-3</v>
      </c>
      <c r="D250" s="109" t="str">
        <f t="shared" si="77"/>
        <v>/</v>
      </c>
      <c r="E250" s="109">
        <f ca="1">IF(表2_367162629303891213141518[[#This Row],[累计净值]]/MAX(INDIRECT("B21:B" &amp; ROW()))-1&lt;E249,表2_367162629303891213141518[[#This Row],[累计净值]]/MAX(INDIRECT("B21:B" &amp; ROW()))-1,E249)</f>
        <v>-2.2768670309654016E-2</v>
      </c>
      <c r="F250" s="110">
        <f>表2_367162629303891213141518[[#This Row],[累计净值]]-0.12</f>
        <v>1.0419999999999998</v>
      </c>
      <c r="G250" s="109">
        <f>IF(表2_367162629303891213141518[[#This Row],[累计净值]]&gt;1.087,0.7*(表2_367162629303891213141518[[#This Row],[累计净值]]-1.087)/1.087,(表2_367162629303891213141518[[#This Row],[累计净值]]-1.087)/1.087)</f>
        <v>4.8298068077276879E-2</v>
      </c>
      <c r="H250" s="109">
        <f>IF(表2_367162629303891213141518[[#This Row],[累计净值]]&gt;1.129,0.7*(表2_367162629303891213141518[[#This Row],[累计净值]]-1.129)/1.129,(表2_367162629303891213141518[[#This Row],[累计净值]]-1.129)/1.129)</f>
        <v>2.0460584588131037E-2</v>
      </c>
    </row>
    <row r="251" spans="1:8" x14ac:dyDescent="0.2">
      <c r="A251" s="15">
        <v>44309</v>
      </c>
      <c r="B251" s="112">
        <v>1.1619999999999999</v>
      </c>
      <c r="C251" s="108">
        <f t="shared" si="76"/>
        <v>0</v>
      </c>
      <c r="D251" s="109" t="str">
        <f t="shared" si="77"/>
        <v>/</v>
      </c>
      <c r="E251" s="109">
        <f ca="1">IF(表2_367162629303891213141518[[#This Row],[累计净值]]/MAX(INDIRECT("B21:B" &amp; ROW()))-1&lt;E250,表2_367162629303891213141518[[#This Row],[累计净值]]/MAX(INDIRECT("B21:B" &amp; ROW()))-1,E250)</f>
        <v>-2.2768670309654016E-2</v>
      </c>
      <c r="F251" s="110">
        <f>表2_367162629303891213141518[[#This Row],[累计净值]]-0.12</f>
        <v>1.0419999999999998</v>
      </c>
      <c r="G251" s="109">
        <f>IF(表2_367162629303891213141518[[#This Row],[累计净值]]&gt;1.087,0.7*(表2_367162629303891213141518[[#This Row],[累计净值]]-1.087)/1.087,(表2_367162629303891213141518[[#This Row],[累计净值]]-1.087)/1.087)</f>
        <v>4.8298068077276879E-2</v>
      </c>
      <c r="H251" s="109">
        <f>IF(表2_367162629303891213141518[[#This Row],[累计净值]]&gt;1.129,0.7*(表2_367162629303891213141518[[#This Row],[累计净值]]-1.129)/1.129,(表2_367162629303891213141518[[#This Row],[累计净值]]-1.129)/1.129)</f>
        <v>2.0460584588131037E-2</v>
      </c>
    </row>
    <row r="252" spans="1:8" x14ac:dyDescent="0.2">
      <c r="A252" s="15">
        <v>44312</v>
      </c>
      <c r="B252" s="112">
        <v>1.161</v>
      </c>
      <c r="C252" s="108">
        <f t="shared" si="76"/>
        <v>-9.9999999999988987E-4</v>
      </c>
      <c r="D252" s="109">
        <f t="shared" si="77"/>
        <v>-9.9999999999988987E-4</v>
      </c>
      <c r="E252" s="109">
        <f ca="1">IF(表2_367162629303891213141518[[#This Row],[累计净值]]/MAX(INDIRECT("B21:B" &amp; ROW()))-1&lt;E251,表2_367162629303891213141518[[#This Row],[累计净值]]/MAX(INDIRECT("B21:B" &amp; ROW()))-1,E251)</f>
        <v>-2.2768670309654016E-2</v>
      </c>
      <c r="F252" s="110">
        <f>表2_367162629303891213141518[[#This Row],[累计净值]]-0.12</f>
        <v>1.0409999999999999</v>
      </c>
      <c r="G252" s="109">
        <f>IF(表2_367162629303891213141518[[#This Row],[累计净值]]&gt;1.087,0.7*(表2_367162629303891213141518[[#This Row],[累计净值]]-1.087)/1.087,(表2_367162629303891213141518[[#This Row],[累计净值]]-1.087)/1.087)</f>
        <v>4.7654093836246587E-2</v>
      </c>
      <c r="H252" s="109">
        <f>IF(表2_367162629303891213141518[[#This Row],[累计净值]]&gt;1.129,0.7*(表2_367162629303891213141518[[#This Row],[累计净值]]-1.129)/1.129,(表2_367162629303891213141518[[#This Row],[累计净值]]-1.129)/1.129)</f>
        <v>1.9840566873339252E-2</v>
      </c>
    </row>
    <row r="253" spans="1:8" x14ac:dyDescent="0.2">
      <c r="A253" s="15">
        <v>44313</v>
      </c>
      <c r="B253" s="112">
        <v>1.1599999999999999</v>
      </c>
      <c r="C253" s="108">
        <f t="shared" ref="C253:C254" si="78">IFERROR(B253-B252,0)</f>
        <v>-1.0000000000001119E-3</v>
      </c>
      <c r="D253" s="109">
        <f t="shared" ref="D253:D254" si="79">IF(C253&lt;0,C253,"/")</f>
        <v>-1.0000000000001119E-3</v>
      </c>
      <c r="E253" s="109">
        <f ca="1">IF(表2_367162629303891213141518[[#This Row],[累计净值]]/MAX(INDIRECT("B21:B" &amp; ROW()))-1&lt;E252,表2_367162629303891213141518[[#This Row],[累计净值]]/MAX(INDIRECT("B21:B" &amp; ROW()))-1,E252)</f>
        <v>-2.2768670309654016E-2</v>
      </c>
      <c r="F253" s="110">
        <f>表2_367162629303891213141518[[#This Row],[累计净值]]-0.12</f>
        <v>1.04</v>
      </c>
      <c r="G253" s="109">
        <f>IF(表2_367162629303891213141518[[#This Row],[累计净值]]&gt;1.087,0.7*(表2_367162629303891213141518[[#This Row],[累计净值]]-1.087)/1.087,(表2_367162629303891213141518[[#This Row],[累计净值]]-1.087)/1.087)</f>
        <v>4.7010119595216157E-2</v>
      </c>
      <c r="H253" s="109">
        <f>IF(表2_367162629303891213141518[[#This Row],[累计净值]]&gt;1.129,0.7*(表2_367162629303891213141518[[#This Row],[累计净值]]-1.129)/1.129,(表2_367162629303891213141518[[#This Row],[累计净值]]-1.129)/1.129)</f>
        <v>1.9220549158547335E-2</v>
      </c>
    </row>
    <row r="254" spans="1:8" x14ac:dyDescent="0.2">
      <c r="A254" s="15">
        <v>44314</v>
      </c>
      <c r="B254" s="112">
        <v>1.157</v>
      </c>
      <c r="C254" s="108">
        <f t="shared" si="78"/>
        <v>-2.9999999999998916E-3</v>
      </c>
      <c r="D254" s="109">
        <f t="shared" si="79"/>
        <v>-2.9999999999998916E-3</v>
      </c>
      <c r="E254" s="109">
        <f ca="1">IF(表2_367162629303891213141518[[#This Row],[累计净值]]/MAX(INDIRECT("B21:B" &amp; ROW()))-1&lt;E253,表2_367162629303891213141518[[#This Row],[累计净值]]/MAX(INDIRECT("B21:B" &amp; ROW()))-1,E253)</f>
        <v>-2.2768670309654016E-2</v>
      </c>
      <c r="F254" s="110">
        <f>表2_367162629303891213141518[[#This Row],[累计净值]]-0.12</f>
        <v>1.0369999999999999</v>
      </c>
      <c r="G254" s="109">
        <f>IF(表2_367162629303891213141518[[#This Row],[累计净值]]&gt;1.087,0.7*(表2_367162629303891213141518[[#This Row],[累计净值]]-1.087)/1.087,(表2_367162629303891213141518[[#This Row],[累计净值]]-1.087)/1.087)</f>
        <v>4.5078196872125158E-2</v>
      </c>
      <c r="H254" s="109">
        <f>IF(表2_367162629303891213141518[[#This Row],[累计净值]]&gt;1.129,0.7*(表2_367162629303891213141518[[#This Row],[累计净值]]-1.129)/1.129,(表2_367162629303891213141518[[#This Row],[累计净值]]-1.129)/1.129)</f>
        <v>1.7360496014171847E-2</v>
      </c>
    </row>
    <row r="255" spans="1:8" x14ac:dyDescent="0.2">
      <c r="A255" s="15">
        <v>44315</v>
      </c>
      <c r="B255" s="112">
        <v>1.155</v>
      </c>
      <c r="C255" s="108">
        <f t="shared" ref="C255:C256" si="80">IFERROR(B255-B254,0)</f>
        <v>-2.0000000000000018E-3</v>
      </c>
      <c r="D255" s="109">
        <f t="shared" ref="D255:D256" si="81">IF(C255&lt;0,C255,"/")</f>
        <v>-2.0000000000000018E-3</v>
      </c>
      <c r="E255" s="109">
        <f ca="1">IF(表2_367162629303891213141518[[#This Row],[累计净值]]/MAX(INDIRECT("B21:B" &amp; ROW()))-1&lt;E254,表2_367162629303891213141518[[#This Row],[累计净值]]/MAX(INDIRECT("B21:B" &amp; ROW()))-1,E254)</f>
        <v>-2.2768670309654016E-2</v>
      </c>
      <c r="F255" s="110">
        <f>表2_367162629303891213141518[[#This Row],[累计净值]]-0.12</f>
        <v>1.0350000000000001</v>
      </c>
      <c r="G255" s="109">
        <f>IF(表2_367162629303891213141518[[#This Row],[累计净值]]&gt;1.087,0.7*(表2_367162629303891213141518[[#This Row],[累计净值]]-1.087)/1.087,(表2_367162629303891213141518[[#This Row],[累计净值]]-1.087)/1.087)</f>
        <v>4.3790248390064436E-2</v>
      </c>
      <c r="H255" s="109">
        <f>IF(表2_367162629303891213141518[[#This Row],[累计净值]]&gt;1.129,0.7*(表2_367162629303891213141518[[#This Row],[累计净值]]-1.129)/1.129,(表2_367162629303891213141518[[#This Row],[累计净值]]-1.129)/1.129)</f>
        <v>1.6120460584588145E-2</v>
      </c>
    </row>
    <row r="256" spans="1:8" x14ac:dyDescent="0.2">
      <c r="A256" s="15">
        <v>44316</v>
      </c>
      <c r="B256" s="112">
        <v>1.1519999999999999</v>
      </c>
      <c r="C256" s="108">
        <f t="shared" si="80"/>
        <v>-3.0000000000001137E-3</v>
      </c>
      <c r="D256" s="109">
        <f t="shared" si="81"/>
        <v>-3.0000000000001137E-3</v>
      </c>
      <c r="E256" s="109">
        <f ca="1">IF(表2_367162629303891213141518[[#This Row],[累计净值]]/MAX(INDIRECT("B21:B" &amp; ROW()))-1&lt;E255,表2_367162629303891213141518[[#This Row],[累计净值]]/MAX(INDIRECT("B21:B" &amp; ROW()))-1,E255)</f>
        <v>-2.3728813559322104E-2</v>
      </c>
      <c r="F256" s="110">
        <f>表2_367162629303891213141518[[#This Row],[累计净值]]-0.12</f>
        <v>1.032</v>
      </c>
      <c r="G256" s="109">
        <f>IF(表2_367162629303891213141518[[#This Row],[累计净值]]&gt;1.087,0.7*(表2_367162629303891213141518[[#This Row],[累计净值]]-1.087)/1.087,(表2_367162629303891213141518[[#This Row],[累计净值]]-1.087)/1.087)</f>
        <v>4.1858325666973284E-2</v>
      </c>
      <c r="H256" s="109">
        <f>IF(表2_367162629303891213141518[[#This Row],[累计净值]]&gt;1.129,0.7*(表2_367162629303891213141518[[#This Row],[累计净值]]-1.129)/1.129,(表2_367162629303891213141518[[#This Row],[累计净值]]-1.129)/1.129)</f>
        <v>1.4260407440212522E-2</v>
      </c>
    </row>
    <row r="257" spans="1:8" x14ac:dyDescent="0.2">
      <c r="A257" s="15">
        <v>44322</v>
      </c>
      <c r="B257" s="112">
        <v>1.1499999999999999</v>
      </c>
      <c r="C257" s="108">
        <f t="shared" ref="C257:C262" si="82">IFERROR(B257-B256,0)</f>
        <v>-2.0000000000000018E-3</v>
      </c>
      <c r="D257" s="109">
        <f t="shared" ref="D257:D262" si="83">IF(C257&lt;0,C257,"/")</f>
        <v>-2.0000000000000018E-3</v>
      </c>
      <c r="E257" s="109">
        <f ca="1">IF(表2_367162629303891213141518[[#This Row],[累计净值]]/MAX(INDIRECT("B21:B" &amp; ROW()))-1&lt;E256,表2_367162629303891213141518[[#This Row],[累计净值]]/MAX(INDIRECT("B21:B" &amp; ROW()))-1,E256)</f>
        <v>-2.5423728813559365E-2</v>
      </c>
      <c r="F257" s="110">
        <f>表2_367162629303891213141518[[#This Row],[累计净值]]-0.12</f>
        <v>1.0299999999999998</v>
      </c>
      <c r="G257" s="109">
        <f>IF(表2_367162629303891213141518[[#This Row],[累计净值]]&gt;1.087,0.7*(表2_367162629303891213141518[[#This Row],[累计净值]]-1.087)/1.087,(表2_367162629303891213141518[[#This Row],[累计净值]]-1.087)/1.087)</f>
        <v>4.0570377184912569E-2</v>
      </c>
      <c r="H257" s="109">
        <f>IF(表2_367162629303891213141518[[#This Row],[累计净值]]&gt;1.129,0.7*(表2_367162629303891213141518[[#This Row],[累计净值]]-1.129)/1.129,(表2_367162629303891213141518[[#This Row],[累计净值]]-1.129)/1.129)</f>
        <v>1.3020372010628816E-2</v>
      </c>
    </row>
    <row r="258" spans="1:8" x14ac:dyDescent="0.2">
      <c r="A258" s="15">
        <v>44323</v>
      </c>
      <c r="B258" s="112">
        <v>1.1499999999999999</v>
      </c>
      <c r="C258" s="108">
        <f t="shared" si="82"/>
        <v>0</v>
      </c>
      <c r="D258" s="109" t="str">
        <f t="shared" si="83"/>
        <v>/</v>
      </c>
      <c r="E258" s="109">
        <f ca="1">IF(表2_367162629303891213141518[[#This Row],[累计净值]]/MAX(INDIRECT("B21:B" &amp; ROW()))-1&lt;E257,表2_367162629303891213141518[[#This Row],[累计净值]]/MAX(INDIRECT("B21:B" &amp; ROW()))-1,E257)</f>
        <v>-2.5423728813559365E-2</v>
      </c>
      <c r="F258" s="110">
        <f>表2_367162629303891213141518[[#This Row],[累计净值]]-0.12</f>
        <v>1.0299999999999998</v>
      </c>
      <c r="G258" s="109">
        <f>IF(表2_367162629303891213141518[[#This Row],[累计净值]]&gt;1.087,0.7*(表2_367162629303891213141518[[#This Row],[累计净值]]-1.087)/1.087,(表2_367162629303891213141518[[#This Row],[累计净值]]-1.087)/1.087)</f>
        <v>4.0570377184912569E-2</v>
      </c>
      <c r="H258" s="109">
        <f>IF(表2_367162629303891213141518[[#This Row],[累计净值]]&gt;1.129,0.7*(表2_367162629303891213141518[[#This Row],[累计净值]]-1.129)/1.129,(表2_367162629303891213141518[[#This Row],[累计净值]]-1.129)/1.129)</f>
        <v>1.3020372010628816E-2</v>
      </c>
    </row>
    <row r="259" spans="1:8" x14ac:dyDescent="0.2">
      <c r="A259" s="15">
        <v>44326</v>
      </c>
      <c r="B259" s="112">
        <v>1.147</v>
      </c>
      <c r="C259" s="108">
        <f t="shared" si="82"/>
        <v>-2.9999999999998916E-3</v>
      </c>
      <c r="D259" s="109">
        <f t="shared" si="83"/>
        <v>-2.9999999999998916E-3</v>
      </c>
      <c r="E259" s="109">
        <f ca="1">IF(表2_367162629303891213141518[[#This Row],[累计净值]]/MAX(INDIRECT("B21:B" &amp; ROW()))-1&lt;E258,表2_367162629303891213141518[[#This Row],[累计净值]]/MAX(INDIRECT("B21:B" &amp; ROW()))-1,E258)</f>
        <v>-2.7966101694915202E-2</v>
      </c>
      <c r="F259" s="110">
        <f>表2_367162629303891213141518[[#This Row],[累计净值]]-0.12</f>
        <v>1.0270000000000001</v>
      </c>
      <c r="G259" s="109">
        <f>IF(表2_367162629303891213141518[[#This Row],[累计净值]]&gt;1.087,0.7*(表2_367162629303891213141518[[#This Row],[累计净值]]-1.087)/1.087,(表2_367162629303891213141518[[#This Row],[累计净值]]-1.087)/1.087)</f>
        <v>3.8638454461821563E-2</v>
      </c>
      <c r="H259" s="109">
        <f>IF(表2_367162629303891213141518[[#This Row],[累计净值]]&gt;1.129,0.7*(表2_367162629303891213141518[[#This Row],[累计净值]]-1.129)/1.129,(表2_367162629303891213141518[[#This Row],[累计净值]]-1.129)/1.129)</f>
        <v>1.116031886625333E-2</v>
      </c>
    </row>
    <row r="260" spans="1:8" x14ac:dyDescent="0.2">
      <c r="A260" s="15">
        <v>44327</v>
      </c>
      <c r="B260" s="112">
        <v>1.147</v>
      </c>
      <c r="C260" s="108">
        <f t="shared" si="82"/>
        <v>0</v>
      </c>
      <c r="D260" s="109" t="str">
        <f t="shared" si="83"/>
        <v>/</v>
      </c>
      <c r="E260" s="109">
        <f ca="1">IF(表2_367162629303891213141518[[#This Row],[累计净值]]/MAX(INDIRECT("B21:B" &amp; ROW()))-1&lt;E259,表2_367162629303891213141518[[#This Row],[累计净值]]/MAX(INDIRECT("B21:B" &amp; ROW()))-1,E259)</f>
        <v>-2.7966101694915202E-2</v>
      </c>
      <c r="F260" s="110">
        <f>表2_367162629303891213141518[[#This Row],[累计净值]]-0.12</f>
        <v>1.0270000000000001</v>
      </c>
      <c r="G260" s="109">
        <f>IF(表2_367162629303891213141518[[#This Row],[累计净值]]&gt;1.087,0.7*(表2_367162629303891213141518[[#This Row],[累计净值]]-1.087)/1.087,(表2_367162629303891213141518[[#This Row],[累计净值]]-1.087)/1.087)</f>
        <v>3.8638454461821563E-2</v>
      </c>
      <c r="H260" s="109">
        <f>IF(表2_367162629303891213141518[[#This Row],[累计净值]]&gt;1.129,0.7*(表2_367162629303891213141518[[#This Row],[累计净值]]-1.129)/1.129,(表2_367162629303891213141518[[#This Row],[累计净值]]-1.129)/1.129)</f>
        <v>1.116031886625333E-2</v>
      </c>
    </row>
    <row r="261" spans="1:8" x14ac:dyDescent="0.2">
      <c r="A261" s="15">
        <v>44328</v>
      </c>
      <c r="B261" s="112">
        <v>1.1479999999999999</v>
      </c>
      <c r="C261" s="108">
        <f t="shared" si="82"/>
        <v>9.9999999999988987E-4</v>
      </c>
      <c r="D261" s="109" t="str">
        <f t="shared" si="83"/>
        <v>/</v>
      </c>
      <c r="E261" s="109">
        <f ca="1">IF(表2_367162629303891213141518[[#This Row],[累计净值]]/MAX(INDIRECT("B21:B" &amp; ROW()))-1&lt;E260,表2_367162629303891213141518[[#This Row],[累计净值]]/MAX(INDIRECT("B21:B" &amp; ROW()))-1,E260)</f>
        <v>-2.7966101694915202E-2</v>
      </c>
      <c r="F261" s="110">
        <f>表2_367162629303891213141518[[#This Row],[累计净值]]-0.12</f>
        <v>1.028</v>
      </c>
      <c r="G261" s="109">
        <f>IF(表2_367162629303891213141518[[#This Row],[累计净值]]&gt;1.087,0.7*(表2_367162629303891213141518[[#This Row],[累计净值]]-1.087)/1.087,(表2_367162629303891213141518[[#This Row],[累计净值]]-1.087)/1.087)</f>
        <v>3.9282428702851847E-2</v>
      </c>
      <c r="H261" s="109">
        <f>IF(表2_367162629303891213141518[[#This Row],[累计净值]]&gt;1.129,0.7*(表2_367162629303891213141518[[#This Row],[累计净值]]-1.129)/1.129,(表2_367162629303891213141518[[#This Row],[累计净值]]-1.129)/1.129)</f>
        <v>1.1780336581045114E-2</v>
      </c>
    </row>
    <row r="262" spans="1:8" x14ac:dyDescent="0.2">
      <c r="A262" s="15">
        <v>44329</v>
      </c>
      <c r="B262" s="112">
        <v>1.147</v>
      </c>
      <c r="C262" s="108">
        <f t="shared" si="82"/>
        <v>-9.9999999999988987E-4</v>
      </c>
      <c r="D262" s="109">
        <f t="shared" si="83"/>
        <v>-9.9999999999988987E-4</v>
      </c>
      <c r="E262" s="109">
        <f ca="1">IF(表2_367162629303891213141518[[#This Row],[累计净值]]/MAX(INDIRECT("B21:B" &amp; ROW()))-1&lt;E261,表2_367162629303891213141518[[#This Row],[累计净值]]/MAX(INDIRECT("B21:B" &amp; ROW()))-1,E261)</f>
        <v>-2.7966101694915202E-2</v>
      </c>
      <c r="F262" s="110">
        <f>表2_367162629303891213141518[[#This Row],[累计净值]]-0.12</f>
        <v>1.0270000000000001</v>
      </c>
      <c r="G262" s="109">
        <f>IF(表2_367162629303891213141518[[#This Row],[累计净值]]&gt;1.087,0.7*(表2_367162629303891213141518[[#This Row],[累计净值]]-1.087)/1.087,(表2_367162629303891213141518[[#This Row],[累计净值]]-1.087)/1.087)</f>
        <v>3.8638454461821563E-2</v>
      </c>
      <c r="H262" s="109">
        <f>IF(表2_367162629303891213141518[[#This Row],[累计净值]]&gt;1.129,0.7*(表2_367162629303891213141518[[#This Row],[累计净值]]-1.129)/1.129,(表2_367162629303891213141518[[#This Row],[累计净值]]-1.129)/1.129)</f>
        <v>1.116031886625333E-2</v>
      </c>
    </row>
    <row r="263" spans="1:8" x14ac:dyDescent="0.2">
      <c r="A263" s="15">
        <v>44330</v>
      </c>
      <c r="B263" s="112">
        <v>1.1419999999999999</v>
      </c>
      <c r="C263" s="108">
        <f>IFERROR(B263-B262,0)</f>
        <v>-5.0000000000001155E-3</v>
      </c>
      <c r="D263" s="109">
        <f>IF(C263&lt;0,C263,"/")</f>
        <v>-5.0000000000001155E-3</v>
      </c>
      <c r="E263" s="109">
        <f ca="1">IF(表2_367162629303891213141518[[#This Row],[累计净值]]/MAX(INDIRECT("B21:B" &amp; ROW()))-1&lt;E262,表2_367162629303891213141518[[#This Row],[累计净值]]/MAX(INDIRECT("B21:B" &amp; ROW()))-1,E262)</f>
        <v>-3.2203389830508522E-2</v>
      </c>
      <c r="F263" s="110">
        <f>表2_367162629303891213141518[[#This Row],[累计净值]]-0.12</f>
        <v>1.0219999999999998</v>
      </c>
      <c r="G263" s="109">
        <f>IF(表2_367162629303891213141518[[#This Row],[累计净值]]&gt;1.087,0.7*(表2_367162629303891213141518[[#This Row],[累计净值]]-1.087)/1.087,(表2_367162629303891213141518[[#This Row],[累计净值]]-1.087)/1.087)</f>
        <v>3.5418583256669689E-2</v>
      </c>
      <c r="H263" s="109">
        <f>IF(表2_367162629303891213141518[[#This Row],[累计净值]]&gt;1.129,0.7*(表2_367162629303891213141518[[#This Row],[累计净值]]-1.129)/1.129,(表2_367162629303891213141518[[#This Row],[累计净值]]-1.129)/1.129)</f>
        <v>8.0602302922940031E-3</v>
      </c>
    </row>
  </sheetData>
  <mergeCells count="1">
    <mergeCell ref="G2:G3"/>
  </mergeCells>
  <phoneticPr fontId="24" type="noConversion"/>
  <pageMargins left="0.7" right="0.7" top="0.75" bottom="0.75" header="0.3" footer="0.3"/>
  <pageSetup paperSize="9" orientation="portrait" horizontalDpi="200" verticalDpi="200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H324"/>
  <sheetViews>
    <sheetView workbookViewId="0">
      <pane xSplit="1" ySplit="20" topLeftCell="B307" activePane="bottomRight" state="frozen"/>
      <selection pane="topRight" activeCell="B1" sqref="B1"/>
      <selection pane="bottomLeft" activeCell="A21" sqref="A21"/>
      <selection pane="bottomRight" activeCell="G323" sqref="G323:H324"/>
    </sheetView>
  </sheetViews>
  <sheetFormatPr defaultColWidth="9" defaultRowHeight="14.25" x14ac:dyDescent="0.2"/>
  <cols>
    <col min="1" max="1" width="11.625" style="120" bestFit="1" customWidth="1"/>
    <col min="2" max="2" width="13" style="120" customWidth="1"/>
    <col min="3" max="4" width="13.5" style="120" bestFit="1" customWidth="1"/>
    <col min="5" max="5" width="10.75" style="120" customWidth="1"/>
    <col min="6" max="6" width="11.125" style="120" customWidth="1"/>
    <col min="7" max="7" width="18.875" style="121" customWidth="1"/>
    <col min="8" max="8" width="9" style="120"/>
    <col min="9" max="9" width="14.25" style="120" customWidth="1"/>
    <col min="10" max="10" width="12" style="120" bestFit="1" customWidth="1"/>
    <col min="11" max="16384" width="9" style="120"/>
  </cols>
  <sheetData>
    <row r="1" spans="1:7" ht="15" thickBot="1" x14ac:dyDescent="0.25"/>
    <row r="2" spans="1:7" ht="15" thickBot="1" x14ac:dyDescent="0.25">
      <c r="A2" s="122" t="s">
        <v>0</v>
      </c>
      <c r="B2" s="123">
        <f>COUNT(表2_36716262930389121314153[每日盈亏])</f>
        <v>304</v>
      </c>
      <c r="C2" s="124"/>
      <c r="D2" s="125" t="s">
        <v>1</v>
      </c>
      <c r="E2" s="126"/>
      <c r="F2" s="120" t="s">
        <v>2</v>
      </c>
      <c r="G2" s="395" t="s">
        <v>3</v>
      </c>
    </row>
    <row r="3" spans="1:7" x14ac:dyDescent="0.2">
      <c r="A3" s="127" t="s">
        <v>4</v>
      </c>
      <c r="B3" s="128">
        <f>COUNTIF(表2_36716262930389121314153[每日盈亏],"&gt;0")</f>
        <v>140</v>
      </c>
      <c r="C3" s="129"/>
      <c r="D3" s="130" t="s">
        <v>5</v>
      </c>
      <c r="E3" s="131">
        <f>245^0.5*(B10-0.025/365)/E10</f>
        <v>3.5779886314145517</v>
      </c>
      <c r="G3" s="395"/>
    </row>
    <row r="4" spans="1:7" x14ac:dyDescent="0.2">
      <c r="A4" s="127" t="s">
        <v>6</v>
      </c>
      <c r="B4" s="128">
        <f>COUNTIF(表2_36716262930389121314153[每日盈亏],"&lt;0")</f>
        <v>79</v>
      </c>
      <c r="C4" s="129"/>
      <c r="D4" s="132" t="s">
        <v>7</v>
      </c>
      <c r="E4" s="131">
        <f ca="1">-B9/E8</f>
        <v>10.361095988350693</v>
      </c>
      <c r="G4" s="121">
        <f>LOOKUP(999^10,表2_36716262930389121314153[累计净值])</f>
        <v>1.17</v>
      </c>
    </row>
    <row r="5" spans="1:7" x14ac:dyDescent="0.2">
      <c r="A5" s="127" t="s">
        <v>8</v>
      </c>
      <c r="B5" s="128">
        <f>B2-B3-B4</f>
        <v>85</v>
      </c>
      <c r="C5" s="129"/>
      <c r="D5" s="133" t="s">
        <v>9</v>
      </c>
      <c r="E5" s="134">
        <f>245^0.5*(B10-0.025/365)/E9</f>
        <v>6.6022037300936098</v>
      </c>
    </row>
    <row r="6" spans="1:7" ht="15" thickBot="1" x14ac:dyDescent="0.25">
      <c r="A6" s="135"/>
      <c r="B6" s="136"/>
      <c r="C6" s="136"/>
      <c r="D6" s="136"/>
      <c r="E6" s="137"/>
    </row>
    <row r="7" spans="1:7" ht="15" thickBot="1" x14ac:dyDescent="0.25">
      <c r="A7" s="138" t="s">
        <v>10</v>
      </c>
      <c r="B7" s="136"/>
      <c r="C7" s="136"/>
      <c r="D7" s="125" t="s">
        <v>11</v>
      </c>
      <c r="E7" s="139"/>
    </row>
    <row r="8" spans="1:7" x14ac:dyDescent="0.2">
      <c r="A8" s="140" t="s">
        <v>12</v>
      </c>
      <c r="B8" s="141">
        <f>LOOKUP(999^10,表2_36716262930389121314153[累计净值])/$B$21-1</f>
        <v>0.16650049850448667</v>
      </c>
      <c r="C8" s="142"/>
      <c r="D8" s="130" t="s">
        <v>13</v>
      </c>
      <c r="E8" s="143">
        <f ca="1">MIN(表2_36716262930389121314153[最大回撤])</f>
        <v>-1.2950971322849281E-2</v>
      </c>
    </row>
    <row r="9" spans="1:7" x14ac:dyDescent="0.2">
      <c r="A9" s="127" t="s">
        <v>14</v>
      </c>
      <c r="B9" s="132">
        <f>B8*245/B2</f>
        <v>0.13418625701841855</v>
      </c>
      <c r="C9" s="142"/>
      <c r="D9" s="133" t="s">
        <v>15</v>
      </c>
      <c r="E9" s="144">
        <f>STDEV(表2_36716262930389121314153[下跌幅度])</f>
        <v>1.1477932766996803E-3</v>
      </c>
    </row>
    <row r="10" spans="1:7" x14ac:dyDescent="0.2">
      <c r="A10" s="145" t="s">
        <v>16</v>
      </c>
      <c r="B10" s="146">
        <f>AVERAGE(表2_36716262930389121314153[每日盈亏])</f>
        <v>5.5263157894736817E-4</v>
      </c>
      <c r="C10" s="147"/>
      <c r="D10" s="133" t="s">
        <v>17</v>
      </c>
      <c r="E10" s="144">
        <f>STDEV(表2_36716262930389121314153[每日盈亏])</f>
        <v>2.1179399471168976E-3</v>
      </c>
    </row>
    <row r="11" spans="1:7" x14ac:dyDescent="0.2">
      <c r="A11" s="148" t="s">
        <v>18</v>
      </c>
      <c r="B11" s="132">
        <f>B3/B2</f>
        <v>0.46052631578947367</v>
      </c>
      <c r="C11" s="142"/>
      <c r="D11" s="132" t="s">
        <v>19</v>
      </c>
      <c r="E11" s="143">
        <f>245^0.5*E10</f>
        <v>3.3151003858109852E-2</v>
      </c>
    </row>
    <row r="12" spans="1:7" ht="15" thickBot="1" x14ac:dyDescent="0.25">
      <c r="A12" s="149" t="s">
        <v>20</v>
      </c>
      <c r="B12" s="150">
        <f>-(SUMIF(表2_36716262930389121314153[每日盈亏],"&gt;=0")/B3)/(SUMIF(表2_36716262930389121314153[每日盈亏],"&lt;0")/B4)</f>
        <v>1.2318913480885325</v>
      </c>
      <c r="C12" s="151"/>
      <c r="D12" s="152"/>
      <c r="E12" s="153"/>
    </row>
    <row r="14" spans="1:7" ht="28.5" x14ac:dyDescent="0.2">
      <c r="A14" s="154" t="s">
        <v>21</v>
      </c>
      <c r="B14" s="154" t="s">
        <v>14</v>
      </c>
      <c r="C14" s="155" t="s">
        <v>19</v>
      </c>
      <c r="D14" s="155" t="s">
        <v>13</v>
      </c>
      <c r="E14" s="155" t="s">
        <v>5</v>
      </c>
      <c r="F14" s="155" t="s">
        <v>7</v>
      </c>
    </row>
    <row r="15" spans="1:7" x14ac:dyDescent="0.2">
      <c r="A15" s="156">
        <f>B2</f>
        <v>304</v>
      </c>
      <c r="B15" s="157">
        <f>B9</f>
        <v>0.13418625701841855</v>
      </c>
      <c r="C15" s="157">
        <f>E11</f>
        <v>3.3151003858109852E-2</v>
      </c>
      <c r="D15" s="157">
        <f ca="1">E8</f>
        <v>-1.2950971322849281E-2</v>
      </c>
      <c r="E15" s="158">
        <f>E3</f>
        <v>3.5779886314145517</v>
      </c>
      <c r="F15" s="158">
        <f ca="1">E4</f>
        <v>10.361095988350693</v>
      </c>
    </row>
    <row r="19" spans="1:8" x14ac:dyDescent="0.2">
      <c r="A19" s="159"/>
      <c r="B19" s="120" t="s">
        <v>22</v>
      </c>
    </row>
    <row r="20" spans="1:8" ht="15.75" x14ac:dyDescent="0.2">
      <c r="A20" s="160" t="s">
        <v>23</v>
      </c>
      <c r="B20" s="160" t="s">
        <v>24</v>
      </c>
      <c r="C20" s="160" t="s">
        <v>25</v>
      </c>
      <c r="D20" s="160" t="s">
        <v>26</v>
      </c>
      <c r="E20" s="160" t="s">
        <v>27</v>
      </c>
      <c r="F20" s="160" t="s">
        <v>28</v>
      </c>
      <c r="G20" s="160" t="s">
        <v>29</v>
      </c>
      <c r="H20" s="160" t="s">
        <v>35</v>
      </c>
    </row>
    <row r="21" spans="1:8" x14ac:dyDescent="0.2">
      <c r="A21" s="161">
        <v>43878</v>
      </c>
      <c r="B21" s="162">
        <v>1.0029999999999999</v>
      </c>
      <c r="C21" s="163">
        <f>IFERROR(B21-B20,0)</f>
        <v>0</v>
      </c>
      <c r="D21" s="164" t="str">
        <f t="shared" ref="D21:D61" si="0">IF(C21&lt;0,C21,"/")</f>
        <v>/</v>
      </c>
      <c r="E21" s="164">
        <f ca="1">IF(表2_36716262930389121314153[[#This Row],[累计净值]]/MAX(INDIRECT("B21:B" &amp; ROW()))-1&lt;E20,表2_36716262930389121314153[[#This Row],[累计净值]]/MAX(INDIRECT("B21:B" &amp; ROW()))-1,E20)</f>
        <v>0</v>
      </c>
      <c r="F21" s="165">
        <f>表2_36716262930389121314153[[#This Row],[累计净值]]</f>
        <v>1.0029999999999999</v>
      </c>
      <c r="G21" s="166" t="s">
        <v>30</v>
      </c>
    </row>
    <row r="22" spans="1:8" x14ac:dyDescent="0.2">
      <c r="A22" s="161">
        <v>43879</v>
      </c>
      <c r="B22" s="162">
        <v>1.004</v>
      </c>
      <c r="C22" s="167">
        <f>IFERROR(B22-B21,0)</f>
        <v>1.0000000000001119E-3</v>
      </c>
      <c r="D22" s="168" t="str">
        <f t="shared" si="0"/>
        <v>/</v>
      </c>
      <c r="E22" s="168">
        <f ca="1">IF(表2_36716262930389121314153[[#This Row],[累计净值]]/MAX(INDIRECT("B21:B" &amp; ROW()))-1&lt;E21,表2_36716262930389121314153[[#This Row],[累计净值]]/MAX(INDIRECT("B21:B" &amp; ROW()))-1,E21)</f>
        <v>0</v>
      </c>
      <c r="F22" s="169">
        <f>表2_36716262930389121314153[[#This Row],[累计净值]]</f>
        <v>1.004</v>
      </c>
      <c r="G22" s="170">
        <f>表2_36716262930389121314153[[#This Row],[累计净值]]/$B$21-1</f>
        <v>9.9700897308085956E-4</v>
      </c>
    </row>
    <row r="23" spans="1:8" x14ac:dyDescent="0.2">
      <c r="A23" s="161">
        <v>43880</v>
      </c>
      <c r="B23" s="162">
        <v>1.004</v>
      </c>
      <c r="C23" s="171">
        <f>IFERROR(B23-B22,0)</f>
        <v>0</v>
      </c>
      <c r="D23" s="168" t="str">
        <f t="shared" si="0"/>
        <v>/</v>
      </c>
      <c r="E23" s="168">
        <f ca="1">IF(表2_36716262930389121314153[[#This Row],[累计净值]]/MAX(INDIRECT("B21:B" &amp; ROW()))-1&lt;E22,表2_36716262930389121314153[[#This Row],[累计净值]]/MAX(INDIRECT("B21:B" &amp; ROW()))-1,E22)</f>
        <v>0</v>
      </c>
      <c r="F23" s="172">
        <f>表2_36716262930389121314153[[#This Row],[累计净值]]</f>
        <v>1.004</v>
      </c>
      <c r="G23" s="170">
        <f>表2_36716262930389121314153[[#This Row],[累计净值]]/$B$21-1</f>
        <v>9.9700897308085956E-4</v>
      </c>
    </row>
    <row r="24" spans="1:8" x14ac:dyDescent="0.2">
      <c r="A24" s="161">
        <v>43881</v>
      </c>
      <c r="B24" s="162">
        <v>1.0049999999999999</v>
      </c>
      <c r="C24" s="171">
        <f>IFERROR(B24-B23,0)</f>
        <v>9.9999999999988987E-4</v>
      </c>
      <c r="D24" s="168" t="str">
        <f t="shared" si="0"/>
        <v>/</v>
      </c>
      <c r="E24" s="168">
        <f ca="1">IF(表2_36716262930389121314153[[#This Row],[累计净值]]/MAX(INDIRECT("B21:B" &amp; ROW()))-1&lt;E23,表2_36716262930389121314153[[#This Row],[累计净值]]/MAX(INDIRECT("B21:B" &amp; ROW()))-1,E23)</f>
        <v>0</v>
      </c>
      <c r="F24" s="172">
        <f>表2_36716262930389121314153[[#This Row],[累计净值]]</f>
        <v>1.0049999999999999</v>
      </c>
      <c r="G24" s="170">
        <f>表2_36716262930389121314153[[#This Row],[累计净值]]/$B$21-1</f>
        <v>1.9940179461614971E-3</v>
      </c>
    </row>
    <row r="25" spans="1:8" x14ac:dyDescent="0.2">
      <c r="A25" s="161">
        <v>43882</v>
      </c>
      <c r="B25" s="162">
        <v>1.0069999999999999</v>
      </c>
      <c r="C25" s="171">
        <f>IFERROR(B25-B24,0)</f>
        <v>2.0000000000000018E-3</v>
      </c>
      <c r="D25" s="168" t="str">
        <f t="shared" si="0"/>
        <v>/</v>
      </c>
      <c r="E25" s="168">
        <f ca="1">IF(表2_36716262930389121314153[[#This Row],[累计净值]]/MAX(INDIRECT("B21:B" &amp; ROW()))-1&lt;E24,表2_36716262930389121314153[[#This Row],[累计净值]]/MAX(INDIRECT("B21:B" &amp; ROW()))-1,E24)</f>
        <v>0</v>
      </c>
      <c r="F25" s="172">
        <f>表2_36716262930389121314153[[#This Row],[累计净值]]</f>
        <v>1.0069999999999999</v>
      </c>
      <c r="G25" s="170">
        <f>表2_36716262930389121314153[[#This Row],[累计净值]]/$B$21-1</f>
        <v>3.9880358923229942E-3</v>
      </c>
    </row>
    <row r="26" spans="1:8" x14ac:dyDescent="0.2">
      <c r="A26" s="161">
        <v>43885</v>
      </c>
      <c r="B26" s="162">
        <v>1.006</v>
      </c>
      <c r="C26" s="171">
        <f>IFERROR(B26-#REF!,0)</f>
        <v>0</v>
      </c>
      <c r="D26" s="168" t="str">
        <f t="shared" si="0"/>
        <v>/</v>
      </c>
      <c r="E26" s="168">
        <f ca="1">IF(表2_36716262930389121314153[[#This Row],[累计净值]]/MAX(INDIRECT("B21:B" &amp; ROW()))-1&lt;E25,表2_36716262930389121314153[[#This Row],[累计净值]]/MAX(INDIRECT("B21:B" &amp; ROW()))-1,E25)</f>
        <v>-9.9304865938421027E-4</v>
      </c>
      <c r="F26" s="172">
        <f>表2_36716262930389121314153[[#This Row],[累计净值]]</f>
        <v>1.006</v>
      </c>
      <c r="G26" s="170">
        <f>表2_36716262930389121314153[[#This Row],[累计净值]]/$B$21-1</f>
        <v>2.9910269192423566E-3</v>
      </c>
    </row>
    <row r="27" spans="1:8" x14ac:dyDescent="0.2">
      <c r="A27" s="161">
        <v>43886</v>
      </c>
      <c r="B27" s="162">
        <v>1.008</v>
      </c>
      <c r="C27" s="171">
        <f t="shared" ref="C27:C61" si="1">IFERROR(B27-B26,0)</f>
        <v>2.0000000000000018E-3</v>
      </c>
      <c r="D27" s="168" t="str">
        <f t="shared" si="0"/>
        <v>/</v>
      </c>
      <c r="E27" s="168">
        <f ca="1">IF(表2_36716262930389121314153[[#This Row],[累计净值]]/MAX(INDIRECT("B21:B" &amp; ROW()))-1&lt;E26,表2_36716262930389121314153[[#This Row],[累计净值]]/MAX(INDIRECT("B21:B" &amp; ROW()))-1,E26)</f>
        <v>-9.9304865938421027E-4</v>
      </c>
      <c r="F27" s="172">
        <f>表2_36716262930389121314153[[#This Row],[累计净值]]</f>
        <v>1.008</v>
      </c>
      <c r="G27" s="170">
        <f>表2_36716262930389121314153[[#This Row],[累计净值]]/$B$21-1</f>
        <v>4.9850448654038537E-3</v>
      </c>
    </row>
    <row r="28" spans="1:8" x14ac:dyDescent="0.2">
      <c r="A28" s="161">
        <v>43887</v>
      </c>
      <c r="B28" s="162">
        <v>1.008</v>
      </c>
      <c r="C28" s="171">
        <f t="shared" si="1"/>
        <v>0</v>
      </c>
      <c r="D28" s="168" t="str">
        <f t="shared" si="0"/>
        <v>/</v>
      </c>
      <c r="E28" s="168">
        <f ca="1">IF(表2_36716262930389121314153[[#This Row],[累计净值]]/MAX(INDIRECT("B21:B" &amp; ROW()))-1&lt;E27,表2_36716262930389121314153[[#This Row],[累计净值]]/MAX(INDIRECT("B21:B" &amp; ROW()))-1,E27)</f>
        <v>-9.9304865938421027E-4</v>
      </c>
      <c r="F28" s="172">
        <f>表2_36716262930389121314153[[#This Row],[累计净值]]</f>
        <v>1.008</v>
      </c>
      <c r="G28" s="170">
        <f>表2_36716262930389121314153[[#This Row],[累计净值]]/$B$21-1</f>
        <v>4.9850448654038537E-3</v>
      </c>
    </row>
    <row r="29" spans="1:8" x14ac:dyDescent="0.2">
      <c r="A29" s="161">
        <v>43888</v>
      </c>
      <c r="B29" s="162">
        <v>1.008</v>
      </c>
      <c r="C29" s="171">
        <f t="shared" si="1"/>
        <v>0</v>
      </c>
      <c r="D29" s="168" t="str">
        <f t="shared" si="0"/>
        <v>/</v>
      </c>
      <c r="E29" s="168">
        <f ca="1">IF(表2_36716262930389121314153[[#This Row],[累计净值]]/MAX(INDIRECT("B21:B" &amp; ROW()))-1&lt;E28,表2_36716262930389121314153[[#This Row],[累计净值]]/MAX(INDIRECT("B21:B" &amp; ROW()))-1,E28)</f>
        <v>-9.9304865938421027E-4</v>
      </c>
      <c r="F29" s="172">
        <f>表2_36716262930389121314153[[#This Row],[累计净值]]</f>
        <v>1.008</v>
      </c>
      <c r="G29" s="170">
        <f>表2_36716262930389121314153[[#This Row],[累计净值]]/$B$21-1</f>
        <v>4.9850448654038537E-3</v>
      </c>
    </row>
    <row r="30" spans="1:8" x14ac:dyDescent="0.2">
      <c r="A30" s="161">
        <v>43889</v>
      </c>
      <c r="B30" s="162">
        <v>1.01</v>
      </c>
      <c r="C30" s="171">
        <f t="shared" si="1"/>
        <v>2.0000000000000018E-3</v>
      </c>
      <c r="D30" s="168" t="str">
        <f t="shared" si="0"/>
        <v>/</v>
      </c>
      <c r="E30" s="168">
        <f ca="1">IF(表2_36716262930389121314153[[#This Row],[累计净值]]/MAX(INDIRECT("B21:B" &amp; ROW()))-1&lt;E29,表2_36716262930389121314153[[#This Row],[累计净值]]/MAX(INDIRECT("B21:B" &amp; ROW()))-1,E29)</f>
        <v>-9.9304865938421027E-4</v>
      </c>
      <c r="F30" s="172">
        <f>表2_36716262930389121314153[[#This Row],[累计净值]]</f>
        <v>1.01</v>
      </c>
      <c r="G30" s="170">
        <f>表2_36716262930389121314153[[#This Row],[累计净值]]/$B$21-1</f>
        <v>6.9790628115653508E-3</v>
      </c>
    </row>
    <row r="31" spans="1:8" x14ac:dyDescent="0.2">
      <c r="A31" s="161">
        <v>43892</v>
      </c>
      <c r="B31" s="162">
        <v>1.0089999999999999</v>
      </c>
      <c r="C31" s="171">
        <f t="shared" si="1"/>
        <v>-1.0000000000001119E-3</v>
      </c>
      <c r="D31" s="168">
        <f t="shared" si="0"/>
        <v>-1.0000000000001119E-3</v>
      </c>
      <c r="E31" s="168">
        <f ca="1">IF(表2_36716262930389121314153[[#This Row],[累计净值]]/MAX(INDIRECT("B21:B" &amp; ROW()))-1&lt;E30,表2_36716262930389121314153[[#This Row],[累计净值]]/MAX(INDIRECT("B21:B" &amp; ROW()))-1,E30)</f>
        <v>-9.9304865938421027E-4</v>
      </c>
      <c r="F31" s="172">
        <f>表2_36716262930389121314153[[#This Row],[累计净值]]</f>
        <v>1.0089999999999999</v>
      </c>
      <c r="G31" s="170">
        <f>表2_36716262930389121314153[[#This Row],[累计净值]]/$B$21-1</f>
        <v>5.9820538384844912E-3</v>
      </c>
    </row>
    <row r="32" spans="1:8" x14ac:dyDescent="0.2">
      <c r="A32" s="161">
        <v>43893</v>
      </c>
      <c r="B32" s="162">
        <v>1.01</v>
      </c>
      <c r="C32" s="171">
        <f t="shared" si="1"/>
        <v>1.0000000000001119E-3</v>
      </c>
      <c r="D32" s="168" t="str">
        <f t="shared" si="0"/>
        <v>/</v>
      </c>
      <c r="E32" s="168">
        <f ca="1">IF(表2_36716262930389121314153[[#This Row],[累计净值]]/MAX(INDIRECT("B21:B" &amp; ROW()))-1&lt;E31,表2_36716262930389121314153[[#This Row],[累计净值]]/MAX(INDIRECT("B21:B" &amp; ROW()))-1,E31)</f>
        <v>-9.9304865938421027E-4</v>
      </c>
      <c r="F32" s="172">
        <f>表2_36716262930389121314153[[#This Row],[累计净值]]</f>
        <v>1.01</v>
      </c>
      <c r="G32" s="170">
        <f>表2_36716262930389121314153[[#This Row],[累计净值]]/$B$21-1</f>
        <v>6.9790628115653508E-3</v>
      </c>
    </row>
    <row r="33" spans="1:8" x14ac:dyDescent="0.2">
      <c r="A33" s="161">
        <v>43894</v>
      </c>
      <c r="B33" s="162">
        <v>1.01</v>
      </c>
      <c r="C33" s="171">
        <f t="shared" si="1"/>
        <v>0</v>
      </c>
      <c r="D33" s="168" t="str">
        <f t="shared" si="0"/>
        <v>/</v>
      </c>
      <c r="E33" s="168">
        <f ca="1">IF(表2_36716262930389121314153[[#This Row],[累计净值]]/MAX(INDIRECT("B21:B" &amp; ROW()))-1&lt;E32,表2_36716262930389121314153[[#This Row],[累计净值]]/MAX(INDIRECT("B21:B" &amp; ROW()))-1,E32)</f>
        <v>-9.9304865938421027E-4</v>
      </c>
      <c r="F33" s="172">
        <f>表2_36716262930389121314153[[#This Row],[累计净值]]</f>
        <v>1.01</v>
      </c>
      <c r="G33" s="170">
        <f>表2_36716262930389121314153[[#This Row],[累计净值]]/$B$21-1</f>
        <v>6.9790628115653508E-3</v>
      </c>
    </row>
    <row r="34" spans="1:8" x14ac:dyDescent="0.2">
      <c r="A34" s="161">
        <v>43895</v>
      </c>
      <c r="B34" s="162">
        <v>1.01</v>
      </c>
      <c r="C34" s="171">
        <f t="shared" si="1"/>
        <v>0</v>
      </c>
      <c r="D34" s="168" t="str">
        <f t="shared" si="0"/>
        <v>/</v>
      </c>
      <c r="E34" s="168">
        <f ca="1">IF(表2_36716262930389121314153[[#This Row],[累计净值]]/MAX(INDIRECT("B21:B" &amp; ROW()))-1&lt;E33,表2_36716262930389121314153[[#This Row],[累计净值]]/MAX(INDIRECT("B21:B" &amp; ROW()))-1,E33)</f>
        <v>-9.9304865938421027E-4</v>
      </c>
      <c r="F34" s="172">
        <f>表2_36716262930389121314153[[#This Row],[累计净值]]</f>
        <v>1.01</v>
      </c>
      <c r="G34" s="170">
        <f>表2_36716262930389121314153[[#This Row],[累计净值]]/$B$21-1</f>
        <v>6.9790628115653508E-3</v>
      </c>
    </row>
    <row r="35" spans="1:8" x14ac:dyDescent="0.2">
      <c r="A35" s="173">
        <v>43896</v>
      </c>
      <c r="B35" s="174">
        <v>1.0109999999999999</v>
      </c>
      <c r="C35" s="175">
        <f t="shared" si="1"/>
        <v>9.9999999999988987E-4</v>
      </c>
      <c r="D35" s="164" t="str">
        <f t="shared" si="0"/>
        <v>/</v>
      </c>
      <c r="E35" s="164">
        <f ca="1">IF(表2_36716262930389121314153[[#This Row],[累计净值]]/MAX(INDIRECT("B21:B" &amp; ROW()))-1&lt;E34,表2_36716262930389121314153[[#This Row],[累计净值]]/MAX(INDIRECT("B21:B" &amp; ROW()))-1,E34)</f>
        <v>-9.9304865938421027E-4</v>
      </c>
      <c r="F35" s="176">
        <f>表2_36716262930389121314153[[#This Row],[累计净值]]</f>
        <v>1.0109999999999999</v>
      </c>
      <c r="G35" s="170">
        <f>表2_36716262930389121314153[[#This Row],[累计净值]]/$B$21-1</f>
        <v>7.9760717846459883E-3</v>
      </c>
      <c r="H35" s="177" t="s">
        <v>30</v>
      </c>
    </row>
    <row r="36" spans="1:8" x14ac:dyDescent="0.2">
      <c r="A36" s="161">
        <v>43899</v>
      </c>
      <c r="B36" s="162">
        <v>1.012</v>
      </c>
      <c r="C36" s="171">
        <f t="shared" si="1"/>
        <v>1.0000000000001119E-3</v>
      </c>
      <c r="D36" s="168" t="str">
        <f t="shared" si="0"/>
        <v>/</v>
      </c>
      <c r="E36" s="168">
        <f ca="1">IF(表2_36716262930389121314153[[#This Row],[累计净值]]/MAX(INDIRECT("B21:B" &amp; ROW()))-1&lt;E35,表2_36716262930389121314153[[#This Row],[累计净值]]/MAX(INDIRECT("B21:B" &amp; ROW()))-1,E35)</f>
        <v>-9.9304865938421027E-4</v>
      </c>
      <c r="F36" s="172">
        <f>表2_36716262930389121314153[[#This Row],[累计净值]]</f>
        <v>1.012</v>
      </c>
      <c r="G36" s="170">
        <f>表2_36716262930389121314153[[#This Row],[累计净值]]/$B$21-1</f>
        <v>8.9730807577268479E-3</v>
      </c>
      <c r="H36" s="170">
        <f>表2_36716262930389121314153[[#This Row],[累计净值]]/$B$35-1</f>
        <v>9.8911968348192048E-4</v>
      </c>
    </row>
    <row r="37" spans="1:8" x14ac:dyDescent="0.2">
      <c r="A37" s="161">
        <v>43900</v>
      </c>
      <c r="B37" s="162">
        <v>1.01</v>
      </c>
      <c r="C37" s="171">
        <f t="shared" si="1"/>
        <v>-2.0000000000000018E-3</v>
      </c>
      <c r="D37" s="168">
        <f t="shared" si="0"/>
        <v>-2.0000000000000018E-3</v>
      </c>
      <c r="E37" s="168">
        <f ca="1">IF(表2_36716262930389121314153[[#This Row],[累计净值]]/MAX(INDIRECT("B21:B" &amp; ROW()))-1&lt;E36,表2_36716262930389121314153[[#This Row],[累计净值]]/MAX(INDIRECT("B21:B" &amp; ROW()))-1,E36)</f>
        <v>-1.9762845849802257E-3</v>
      </c>
      <c r="F37" s="172">
        <f>表2_36716262930389121314153[[#This Row],[累计净值]]</f>
        <v>1.01</v>
      </c>
      <c r="G37" s="170">
        <f>表2_36716262930389121314153[[#This Row],[累计净值]]/$B$21-1</f>
        <v>6.9790628115653508E-3</v>
      </c>
      <c r="H37" s="170">
        <f>表2_36716262930389121314153[[#This Row],[累计净值]]/$B$35-1</f>
        <v>-9.8911968348158741E-4</v>
      </c>
    </row>
    <row r="38" spans="1:8" x14ac:dyDescent="0.2">
      <c r="A38" s="161">
        <v>43901</v>
      </c>
      <c r="B38" s="162">
        <v>1.014</v>
      </c>
      <c r="C38" s="171">
        <f t="shared" si="1"/>
        <v>4.0000000000000036E-3</v>
      </c>
      <c r="D38" s="168" t="str">
        <f t="shared" si="0"/>
        <v>/</v>
      </c>
      <c r="E38" s="168">
        <f ca="1">IF(表2_36716262930389121314153[[#This Row],[累计净值]]/MAX(INDIRECT("B21:B" &amp; ROW()))-1&lt;E37,表2_36716262930389121314153[[#This Row],[累计净值]]/MAX(INDIRECT("B21:B" &amp; ROW()))-1,E37)</f>
        <v>-1.9762845849802257E-3</v>
      </c>
      <c r="F38" s="172">
        <f>表2_36716262930389121314153[[#This Row],[累计净值]]</f>
        <v>1.014</v>
      </c>
      <c r="G38" s="170">
        <f>表2_36716262930389121314153[[#This Row],[累计净值]]/$B$21-1</f>
        <v>1.0967098703888567E-2</v>
      </c>
      <c r="H38" s="170">
        <f>表2_36716262930389121314153[[#This Row],[累计净值]]/$B$35-1</f>
        <v>2.9673590504453173E-3</v>
      </c>
    </row>
    <row r="39" spans="1:8" x14ac:dyDescent="0.2">
      <c r="A39" s="161">
        <v>43902</v>
      </c>
      <c r="B39" s="162">
        <v>1.014</v>
      </c>
      <c r="C39" s="171">
        <f t="shared" si="1"/>
        <v>0</v>
      </c>
      <c r="D39" s="168" t="str">
        <f t="shared" si="0"/>
        <v>/</v>
      </c>
      <c r="E39" s="168">
        <f ca="1">IF(表2_36716262930389121314153[[#This Row],[累计净值]]/MAX(INDIRECT("B21:B" &amp; ROW()))-1&lt;E38,表2_36716262930389121314153[[#This Row],[累计净值]]/MAX(INDIRECT("B21:B" &amp; ROW()))-1,E38)</f>
        <v>-1.9762845849802257E-3</v>
      </c>
      <c r="F39" s="172">
        <f>表2_36716262930389121314153[[#This Row],[累计净值]]</f>
        <v>1.014</v>
      </c>
      <c r="G39" s="170">
        <f>表2_36716262930389121314153[[#This Row],[累计净值]]/$B$21-1</f>
        <v>1.0967098703888567E-2</v>
      </c>
      <c r="H39" s="170">
        <f>表2_36716262930389121314153[[#This Row],[累计净值]]/$B$35-1</f>
        <v>2.9673590504453173E-3</v>
      </c>
    </row>
    <row r="40" spans="1:8" x14ac:dyDescent="0.2">
      <c r="A40" s="161">
        <v>43903</v>
      </c>
      <c r="B40" s="162">
        <v>1.016</v>
      </c>
      <c r="C40" s="171">
        <f t="shared" si="1"/>
        <v>2.0000000000000018E-3</v>
      </c>
      <c r="D40" s="168" t="str">
        <f t="shared" si="0"/>
        <v>/</v>
      </c>
      <c r="E40" s="168">
        <f ca="1">IF(表2_36716262930389121314153[[#This Row],[累计净值]]/MAX(INDIRECT("B21:B" &amp; ROW()))-1&lt;E39,表2_36716262930389121314153[[#This Row],[累计净值]]/MAX(INDIRECT("B21:B" &amp; ROW()))-1,E39)</f>
        <v>-1.9762845849802257E-3</v>
      </c>
      <c r="F40" s="172">
        <f>表2_36716262930389121314153[[#This Row],[累计净值]]</f>
        <v>1.016</v>
      </c>
      <c r="G40" s="170">
        <f>表2_36716262930389121314153[[#This Row],[累计净值]]/$B$21-1</f>
        <v>1.2961116650050064E-2</v>
      </c>
      <c r="H40" s="170">
        <f>表2_36716262930389121314153[[#This Row],[累计净值]]/$B$35-1</f>
        <v>4.9455984174087142E-3</v>
      </c>
    </row>
    <row r="41" spans="1:8" x14ac:dyDescent="0.2">
      <c r="A41" s="161">
        <v>43906</v>
      </c>
      <c r="B41" s="162">
        <v>1.0169999999999999</v>
      </c>
      <c r="C41" s="171">
        <f t="shared" si="1"/>
        <v>9.9999999999988987E-4</v>
      </c>
      <c r="D41" s="168" t="str">
        <f t="shared" si="0"/>
        <v>/</v>
      </c>
      <c r="E41" s="168">
        <f ca="1">IF(表2_36716262930389121314153[[#This Row],[累计净值]]/MAX(INDIRECT("B21:B" &amp; ROW()))-1&lt;E40,表2_36716262930389121314153[[#This Row],[累计净值]]/MAX(INDIRECT("B21:B" &amp; ROW()))-1,E40)</f>
        <v>-1.9762845849802257E-3</v>
      </c>
      <c r="F41" s="172">
        <f>表2_36716262930389121314153[[#This Row],[累计净值]]</f>
        <v>1.0169999999999999</v>
      </c>
      <c r="G41" s="170">
        <f>表2_36716262930389121314153[[#This Row],[累计净值]]/$B$21-1</f>
        <v>1.3958125623130702E-2</v>
      </c>
      <c r="H41" s="170">
        <f>表2_36716262930389121314153[[#This Row],[累计净值]]/$B$35-1</f>
        <v>5.9347181008901906E-3</v>
      </c>
    </row>
    <row r="42" spans="1:8" x14ac:dyDescent="0.2">
      <c r="A42" s="161">
        <v>43907</v>
      </c>
      <c r="B42" s="162">
        <v>1.018</v>
      </c>
      <c r="C42" s="171">
        <f t="shared" si="1"/>
        <v>1.0000000000001119E-3</v>
      </c>
      <c r="D42" s="168" t="str">
        <f t="shared" si="0"/>
        <v>/</v>
      </c>
      <c r="E42" s="168">
        <f ca="1">IF(表2_36716262930389121314153[[#This Row],[累计净值]]/MAX(INDIRECT("B21:B" &amp; ROW()))-1&lt;E41,表2_36716262930389121314153[[#This Row],[累计净值]]/MAX(INDIRECT("B21:B" &amp; ROW()))-1,E41)</f>
        <v>-1.9762845849802257E-3</v>
      </c>
      <c r="F42" s="172">
        <f>表2_36716262930389121314153[[#This Row],[累计净值]]</f>
        <v>1.018</v>
      </c>
      <c r="G42" s="170">
        <f>表2_36716262930389121314153[[#This Row],[累计净值]]/$B$21-1</f>
        <v>1.4955134596211561E-2</v>
      </c>
      <c r="H42" s="170">
        <f>表2_36716262930389121314153[[#This Row],[累计净值]]/$B$35-1</f>
        <v>6.9238377843721111E-3</v>
      </c>
    </row>
    <row r="43" spans="1:8" x14ac:dyDescent="0.2">
      <c r="A43" s="161">
        <v>43908</v>
      </c>
      <c r="B43" s="162">
        <v>1.0189999999999999</v>
      </c>
      <c r="C43" s="171">
        <f t="shared" si="1"/>
        <v>9.9999999999988987E-4</v>
      </c>
      <c r="D43" s="168" t="str">
        <f t="shared" si="0"/>
        <v>/</v>
      </c>
      <c r="E43" s="168">
        <f ca="1">IF(表2_36716262930389121314153[[#This Row],[累计净值]]/MAX(INDIRECT("B21:B" &amp; ROW()))-1&lt;E42,表2_36716262930389121314153[[#This Row],[累计净值]]/MAX(INDIRECT("B21:B" &amp; ROW()))-1,E42)</f>
        <v>-1.9762845849802257E-3</v>
      </c>
      <c r="F43" s="172">
        <f>表2_36716262930389121314153[[#This Row],[累计净值]]</f>
        <v>1.0189999999999999</v>
      </c>
      <c r="G43" s="170">
        <f>表2_36716262930389121314153[[#This Row],[累计净值]]/$B$21-1</f>
        <v>1.5952143569292199E-2</v>
      </c>
      <c r="H43" s="170">
        <f>表2_36716262930389121314153[[#This Row],[累计净值]]/$B$35-1</f>
        <v>7.9129574678535874E-3</v>
      </c>
    </row>
    <row r="44" spans="1:8" x14ac:dyDescent="0.2">
      <c r="A44" s="161">
        <v>43909</v>
      </c>
      <c r="B44" s="162">
        <v>1.0209999999999999</v>
      </c>
      <c r="C44" s="171">
        <f t="shared" si="1"/>
        <v>2.0000000000000018E-3</v>
      </c>
      <c r="D44" s="168" t="str">
        <f t="shared" si="0"/>
        <v>/</v>
      </c>
      <c r="E44" s="168">
        <f ca="1">IF(表2_36716262930389121314153[[#This Row],[累计净值]]/MAX(INDIRECT("B21:B" &amp; ROW()))-1&lt;E43,表2_36716262930389121314153[[#This Row],[累计净值]]/MAX(INDIRECT("B21:B" &amp; ROW()))-1,E43)</f>
        <v>-1.9762845849802257E-3</v>
      </c>
      <c r="F44" s="172">
        <f>表2_36716262930389121314153[[#This Row],[累计净值]]</f>
        <v>1.0209999999999999</v>
      </c>
      <c r="G44" s="170">
        <f>表2_36716262930389121314153[[#This Row],[累计净值]]/$B$21-1</f>
        <v>1.7946161515453696E-2</v>
      </c>
      <c r="H44" s="170">
        <f>表2_36716262930389121314153[[#This Row],[累计净值]]/$B$35-1</f>
        <v>9.8911968348169843E-3</v>
      </c>
    </row>
    <row r="45" spans="1:8" x14ac:dyDescent="0.2">
      <c r="A45" s="161">
        <v>43910</v>
      </c>
      <c r="B45" s="162">
        <v>1.0209999999999999</v>
      </c>
      <c r="C45" s="171">
        <f t="shared" si="1"/>
        <v>0</v>
      </c>
      <c r="D45" s="168" t="str">
        <f t="shared" si="0"/>
        <v>/</v>
      </c>
      <c r="E45" s="168">
        <f ca="1">IF(表2_36716262930389121314153[[#This Row],[累计净值]]/MAX(INDIRECT("B21:B" &amp; ROW()))-1&lt;E44,表2_36716262930389121314153[[#This Row],[累计净值]]/MAX(INDIRECT("B21:B" &amp; ROW()))-1,E44)</f>
        <v>-1.9762845849802257E-3</v>
      </c>
      <c r="F45" s="172">
        <f>表2_36716262930389121314153[[#This Row],[累计净值]]</f>
        <v>1.0209999999999999</v>
      </c>
      <c r="G45" s="170">
        <f>表2_36716262930389121314153[[#This Row],[累计净值]]/$B$21-1</f>
        <v>1.7946161515453696E-2</v>
      </c>
      <c r="H45" s="170">
        <f>表2_36716262930389121314153[[#This Row],[累计净值]]/$B$35-1</f>
        <v>9.8911968348169843E-3</v>
      </c>
    </row>
    <row r="46" spans="1:8" x14ac:dyDescent="0.2">
      <c r="A46" s="161">
        <v>43913</v>
      </c>
      <c r="B46" s="162">
        <v>1.0229999999999999</v>
      </c>
      <c r="C46" s="171">
        <f t="shared" si="1"/>
        <v>2.0000000000000018E-3</v>
      </c>
      <c r="D46" s="168" t="str">
        <f t="shared" si="0"/>
        <v>/</v>
      </c>
      <c r="E46" s="168">
        <f ca="1">IF(表2_36716262930389121314153[[#This Row],[累计净值]]/MAX(INDIRECT("B21:B" &amp; ROW()))-1&lt;E45,表2_36716262930389121314153[[#This Row],[累计净值]]/MAX(INDIRECT("B21:B" &amp; ROW()))-1,E45)</f>
        <v>-1.9762845849802257E-3</v>
      </c>
      <c r="F46" s="172">
        <f>表2_36716262930389121314153[[#This Row],[累计净值]]</f>
        <v>1.0229999999999999</v>
      </c>
      <c r="G46" s="170">
        <f>表2_36716262930389121314153[[#This Row],[累计净值]]/$B$21-1</f>
        <v>1.9940179461615193E-2</v>
      </c>
      <c r="H46" s="170">
        <f>表2_36716262930389121314153[[#This Row],[累计净值]]/$B$35-1</f>
        <v>1.1869436201780381E-2</v>
      </c>
    </row>
    <row r="47" spans="1:8" x14ac:dyDescent="0.2">
      <c r="A47" s="161">
        <v>43914</v>
      </c>
      <c r="B47" s="162">
        <v>1.022</v>
      </c>
      <c r="C47" s="171">
        <f t="shared" si="1"/>
        <v>-9.9999999999988987E-4</v>
      </c>
      <c r="D47" s="168">
        <f t="shared" si="0"/>
        <v>-9.9999999999988987E-4</v>
      </c>
      <c r="E47" s="168">
        <f ca="1">IF(表2_36716262930389121314153[[#This Row],[累计净值]]/MAX(INDIRECT("B21:B" &amp; ROW()))-1&lt;E46,表2_36716262930389121314153[[#This Row],[累计净值]]/MAX(INDIRECT("B21:B" &amp; ROW()))-1,E46)</f>
        <v>-1.9762845849802257E-3</v>
      </c>
      <c r="F47" s="172">
        <f>表2_36716262930389121314153[[#This Row],[累计净值]]</f>
        <v>1.022</v>
      </c>
      <c r="G47" s="170">
        <f>表2_36716262930389121314153[[#This Row],[累计净值]]/$B$21-1</f>
        <v>1.8943170488534555E-2</v>
      </c>
      <c r="H47" s="170">
        <f>表2_36716262930389121314153[[#This Row],[累计净值]]/$B$35-1</f>
        <v>1.0880316518298905E-2</v>
      </c>
    </row>
    <row r="48" spans="1:8" x14ac:dyDescent="0.2">
      <c r="A48" s="161">
        <v>43915</v>
      </c>
      <c r="B48" s="162">
        <v>1.0229999999999999</v>
      </c>
      <c r="C48" s="171">
        <f t="shared" si="1"/>
        <v>9.9999999999988987E-4</v>
      </c>
      <c r="D48" s="168" t="str">
        <f t="shared" si="0"/>
        <v>/</v>
      </c>
      <c r="E48" s="168">
        <f ca="1">IF(表2_36716262930389121314153[[#This Row],[累计净值]]/MAX(INDIRECT("B21:B" &amp; ROW()))-1&lt;E47,表2_36716262930389121314153[[#This Row],[累计净值]]/MAX(INDIRECT("B21:B" &amp; ROW()))-1,E47)</f>
        <v>-1.9762845849802257E-3</v>
      </c>
      <c r="F48" s="172">
        <f>表2_36716262930389121314153[[#This Row],[累计净值]]</f>
        <v>1.0229999999999999</v>
      </c>
      <c r="G48" s="170">
        <f>表2_36716262930389121314153[[#This Row],[累计净值]]/$B$21-1</f>
        <v>1.9940179461615193E-2</v>
      </c>
      <c r="H48" s="170">
        <f>表2_36716262930389121314153[[#This Row],[累计净值]]/$B$35-1</f>
        <v>1.1869436201780381E-2</v>
      </c>
    </row>
    <row r="49" spans="1:8" x14ac:dyDescent="0.2">
      <c r="A49" s="161">
        <v>43916</v>
      </c>
      <c r="B49" s="162">
        <v>1.0229999999999999</v>
      </c>
      <c r="C49" s="171">
        <f t="shared" si="1"/>
        <v>0</v>
      </c>
      <c r="D49" s="168" t="str">
        <f t="shared" si="0"/>
        <v>/</v>
      </c>
      <c r="E49" s="168">
        <f ca="1">IF(表2_36716262930389121314153[[#This Row],[累计净值]]/MAX(INDIRECT("B21:B" &amp; ROW()))-1&lt;E48,表2_36716262930389121314153[[#This Row],[累计净值]]/MAX(INDIRECT("B21:B" &amp; ROW()))-1,E48)</f>
        <v>-1.9762845849802257E-3</v>
      </c>
      <c r="F49" s="172">
        <f>表2_36716262930389121314153[[#This Row],[累计净值]]</f>
        <v>1.0229999999999999</v>
      </c>
      <c r="G49" s="170">
        <f>表2_36716262930389121314153[[#This Row],[累计净值]]/$B$21-1</f>
        <v>1.9940179461615193E-2</v>
      </c>
      <c r="H49" s="170">
        <f>表2_36716262930389121314153[[#This Row],[累计净值]]/$B$35-1</f>
        <v>1.1869436201780381E-2</v>
      </c>
    </row>
    <row r="50" spans="1:8" x14ac:dyDescent="0.2">
      <c r="A50" s="161">
        <v>43917</v>
      </c>
      <c r="B50" s="162">
        <v>1.022</v>
      </c>
      <c r="C50" s="171">
        <f t="shared" si="1"/>
        <v>-9.9999999999988987E-4</v>
      </c>
      <c r="D50" s="168">
        <f t="shared" si="0"/>
        <v>-9.9999999999988987E-4</v>
      </c>
      <c r="E50" s="168">
        <f ca="1">IF(表2_36716262930389121314153[[#This Row],[累计净值]]/MAX(INDIRECT("B21:B" &amp; ROW()))-1&lt;E49,表2_36716262930389121314153[[#This Row],[累计净值]]/MAX(INDIRECT("B21:B" &amp; ROW()))-1,E49)</f>
        <v>-1.9762845849802257E-3</v>
      </c>
      <c r="F50" s="172">
        <f>表2_36716262930389121314153[[#This Row],[累计净值]]</f>
        <v>1.022</v>
      </c>
      <c r="G50" s="170">
        <f>表2_36716262930389121314153[[#This Row],[累计净值]]/$B$21-1</f>
        <v>1.8943170488534555E-2</v>
      </c>
      <c r="H50" s="170">
        <f>表2_36716262930389121314153[[#This Row],[累计净值]]/$B$35-1</f>
        <v>1.0880316518298905E-2</v>
      </c>
    </row>
    <row r="51" spans="1:8" x14ac:dyDescent="0.2">
      <c r="A51" s="161">
        <v>43920</v>
      </c>
      <c r="B51" s="162">
        <v>1.022</v>
      </c>
      <c r="C51" s="171">
        <f t="shared" si="1"/>
        <v>0</v>
      </c>
      <c r="D51" s="168" t="str">
        <f t="shared" si="0"/>
        <v>/</v>
      </c>
      <c r="E51" s="168">
        <f ca="1">IF(表2_36716262930389121314153[[#This Row],[累计净值]]/MAX(INDIRECT("B21:B" &amp; ROW()))-1&lt;E50,表2_36716262930389121314153[[#This Row],[累计净值]]/MAX(INDIRECT("B21:B" &amp; ROW()))-1,E50)</f>
        <v>-1.9762845849802257E-3</v>
      </c>
      <c r="F51" s="172">
        <f>表2_36716262930389121314153[[#This Row],[累计净值]]</f>
        <v>1.022</v>
      </c>
      <c r="G51" s="170">
        <f>表2_36716262930389121314153[[#This Row],[累计净值]]/$B$21-1</f>
        <v>1.8943170488534555E-2</v>
      </c>
      <c r="H51" s="170">
        <f>表2_36716262930389121314153[[#This Row],[累计净值]]/$B$35-1</f>
        <v>1.0880316518298905E-2</v>
      </c>
    </row>
    <row r="52" spans="1:8" x14ac:dyDescent="0.2">
      <c r="A52" s="161">
        <v>43921</v>
      </c>
      <c r="B52" s="162">
        <v>1.022</v>
      </c>
      <c r="C52" s="171">
        <f t="shared" si="1"/>
        <v>0</v>
      </c>
      <c r="D52" s="168" t="str">
        <f t="shared" si="0"/>
        <v>/</v>
      </c>
      <c r="E52" s="168">
        <f ca="1">IF(表2_36716262930389121314153[[#This Row],[累计净值]]/MAX(INDIRECT("B21:B" &amp; ROW()))-1&lt;E51,表2_36716262930389121314153[[#This Row],[累计净值]]/MAX(INDIRECT("B21:B" &amp; ROW()))-1,E51)</f>
        <v>-1.9762845849802257E-3</v>
      </c>
      <c r="F52" s="172">
        <f>表2_36716262930389121314153[[#This Row],[累计净值]]</f>
        <v>1.022</v>
      </c>
      <c r="G52" s="170">
        <f>表2_36716262930389121314153[[#This Row],[累计净值]]/$B$21-1</f>
        <v>1.8943170488534555E-2</v>
      </c>
      <c r="H52" s="170">
        <f>表2_36716262930389121314153[[#This Row],[累计净值]]/$B$35-1</f>
        <v>1.0880316518298905E-2</v>
      </c>
    </row>
    <row r="53" spans="1:8" x14ac:dyDescent="0.2">
      <c r="A53" s="161">
        <v>43922</v>
      </c>
      <c r="B53" s="162">
        <v>1.022</v>
      </c>
      <c r="C53" s="171">
        <f t="shared" si="1"/>
        <v>0</v>
      </c>
      <c r="D53" s="168" t="str">
        <f t="shared" si="0"/>
        <v>/</v>
      </c>
      <c r="E53" s="168">
        <f ca="1">IF(表2_36716262930389121314153[[#This Row],[累计净值]]/MAX(INDIRECT("B21:B" &amp; ROW()))-1&lt;E52,表2_36716262930389121314153[[#This Row],[累计净值]]/MAX(INDIRECT("B21:B" &amp; ROW()))-1,E52)</f>
        <v>-1.9762845849802257E-3</v>
      </c>
      <c r="F53" s="172">
        <f>表2_36716262930389121314153[[#This Row],[累计净值]]</f>
        <v>1.022</v>
      </c>
      <c r="G53" s="170">
        <f>表2_36716262930389121314153[[#This Row],[累计净值]]/$B$21-1</f>
        <v>1.8943170488534555E-2</v>
      </c>
      <c r="H53" s="170">
        <f>表2_36716262930389121314153[[#This Row],[累计净值]]/$B$35-1</f>
        <v>1.0880316518298905E-2</v>
      </c>
    </row>
    <row r="54" spans="1:8" x14ac:dyDescent="0.2">
      <c r="A54" s="161">
        <v>43923</v>
      </c>
      <c r="B54" s="162">
        <v>1.024</v>
      </c>
      <c r="C54" s="171">
        <f t="shared" si="1"/>
        <v>2.0000000000000018E-3</v>
      </c>
      <c r="D54" s="168" t="str">
        <f t="shared" si="0"/>
        <v>/</v>
      </c>
      <c r="E54" s="168">
        <f ca="1">IF(表2_36716262930389121314153[[#This Row],[累计净值]]/MAX(INDIRECT("B21:B" &amp; ROW()))-1&lt;E53,表2_36716262930389121314153[[#This Row],[累计净值]]/MAX(INDIRECT("B21:B" &amp; ROW()))-1,E53)</f>
        <v>-1.9762845849802257E-3</v>
      </c>
      <c r="F54" s="172">
        <f>表2_36716262930389121314153[[#This Row],[累计净值]]</f>
        <v>1.024</v>
      </c>
      <c r="G54" s="170">
        <f>表2_36716262930389121314153[[#This Row],[累计净值]]/$B$21-1</f>
        <v>2.0937188434696052E-2</v>
      </c>
      <c r="H54" s="170">
        <f>表2_36716262930389121314153[[#This Row],[累计净值]]/$B$35-1</f>
        <v>1.2858555885262302E-2</v>
      </c>
    </row>
    <row r="55" spans="1:8" x14ac:dyDescent="0.2">
      <c r="A55" s="161">
        <v>43924</v>
      </c>
      <c r="B55" s="162">
        <v>1.0229999999999999</v>
      </c>
      <c r="C55" s="171">
        <f t="shared" si="1"/>
        <v>-1.0000000000001119E-3</v>
      </c>
      <c r="D55" s="168">
        <f t="shared" si="0"/>
        <v>-1.0000000000001119E-3</v>
      </c>
      <c r="E55" s="168">
        <f ca="1">IF(表2_36716262930389121314153[[#This Row],[累计净值]]/MAX(INDIRECT("B21:B" &amp; ROW()))-1&lt;E54,表2_36716262930389121314153[[#This Row],[累计净值]]/MAX(INDIRECT("B21:B" &amp; ROW()))-1,E54)</f>
        <v>-1.9762845849802257E-3</v>
      </c>
      <c r="F55" s="172">
        <f>表2_36716262930389121314153[[#This Row],[累计净值]]</f>
        <v>1.0229999999999999</v>
      </c>
      <c r="G55" s="170">
        <f>表2_36716262930389121314153[[#This Row],[累计净值]]/$B$21-1</f>
        <v>1.9940179461615193E-2</v>
      </c>
      <c r="H55" s="170">
        <f>表2_36716262930389121314153[[#This Row],[累计净值]]/$B$35-1</f>
        <v>1.1869436201780381E-2</v>
      </c>
    </row>
    <row r="56" spans="1:8" x14ac:dyDescent="0.2">
      <c r="A56" s="161">
        <v>43928</v>
      </c>
      <c r="B56" s="162">
        <v>1.0249999999999999</v>
      </c>
      <c r="C56" s="171">
        <f t="shared" si="1"/>
        <v>2.0000000000000018E-3</v>
      </c>
      <c r="D56" s="168" t="str">
        <f t="shared" si="0"/>
        <v>/</v>
      </c>
      <c r="E56" s="168">
        <f ca="1">IF(表2_36716262930389121314153[[#This Row],[累计净值]]/MAX(INDIRECT("B21:B" &amp; ROW()))-1&lt;E55,表2_36716262930389121314153[[#This Row],[累计净值]]/MAX(INDIRECT("B21:B" &amp; ROW()))-1,E55)</f>
        <v>-1.9762845849802257E-3</v>
      </c>
      <c r="F56" s="172">
        <f>表2_36716262930389121314153[[#This Row],[累计净值]]</f>
        <v>1.0249999999999999</v>
      </c>
      <c r="G56" s="170">
        <f>表2_36716262930389121314153[[#This Row],[累计净值]]/$B$21-1</f>
        <v>2.193419740777669E-2</v>
      </c>
      <c r="H56" s="170">
        <f>表2_36716262930389121314153[[#This Row],[累计净值]]/$B$35-1</f>
        <v>1.3847675568743778E-2</v>
      </c>
    </row>
    <row r="57" spans="1:8" x14ac:dyDescent="0.2">
      <c r="A57" s="161">
        <v>43929</v>
      </c>
      <c r="B57" s="162">
        <v>1.026</v>
      </c>
      <c r="C57" s="171">
        <f t="shared" si="1"/>
        <v>1.0000000000001119E-3</v>
      </c>
      <c r="D57" s="168" t="str">
        <f t="shared" si="0"/>
        <v>/</v>
      </c>
      <c r="E57" s="168">
        <f ca="1">IF(表2_36716262930389121314153[[#This Row],[累计净值]]/MAX(INDIRECT("B21:B" &amp; ROW()))-1&lt;E56,表2_36716262930389121314153[[#This Row],[累计净值]]/MAX(INDIRECT("B21:B" &amp; ROW()))-1,E56)</f>
        <v>-1.9762845849802257E-3</v>
      </c>
      <c r="F57" s="172">
        <f>表2_36716262930389121314153[[#This Row],[累计净值]]</f>
        <v>1.026</v>
      </c>
      <c r="G57" s="170">
        <f>表2_36716262930389121314153[[#This Row],[累计净值]]/$B$21-1</f>
        <v>2.2931206380857549E-2</v>
      </c>
      <c r="H57" s="170">
        <f>表2_36716262930389121314153[[#This Row],[累计净值]]/$B$35-1</f>
        <v>1.4836795252225699E-2</v>
      </c>
    </row>
    <row r="58" spans="1:8" x14ac:dyDescent="0.2">
      <c r="A58" s="161">
        <v>43930</v>
      </c>
      <c r="B58" s="162">
        <v>1.026</v>
      </c>
      <c r="C58" s="171">
        <f t="shared" si="1"/>
        <v>0</v>
      </c>
      <c r="D58" s="168" t="str">
        <f t="shared" si="0"/>
        <v>/</v>
      </c>
      <c r="E58" s="168">
        <f ca="1">IF(表2_36716262930389121314153[[#This Row],[累计净值]]/MAX(INDIRECT("B21:B" &amp; ROW()))-1&lt;E57,表2_36716262930389121314153[[#This Row],[累计净值]]/MAX(INDIRECT("B21:B" &amp; ROW()))-1,E57)</f>
        <v>-1.9762845849802257E-3</v>
      </c>
      <c r="F58" s="172">
        <f>表2_36716262930389121314153[[#This Row],[累计净值]]</f>
        <v>1.026</v>
      </c>
      <c r="G58" s="170">
        <f>表2_36716262930389121314153[[#This Row],[累计净值]]/$B$21-1</f>
        <v>2.2931206380857549E-2</v>
      </c>
      <c r="H58" s="170">
        <f>表2_36716262930389121314153[[#This Row],[累计净值]]/$B$35-1</f>
        <v>1.4836795252225699E-2</v>
      </c>
    </row>
    <row r="59" spans="1:8" x14ac:dyDescent="0.2">
      <c r="A59" s="161">
        <v>43931</v>
      </c>
      <c r="B59" s="162">
        <v>1.0269999999999999</v>
      </c>
      <c r="C59" s="171">
        <f t="shared" si="1"/>
        <v>9.9999999999988987E-4</v>
      </c>
      <c r="D59" s="168" t="str">
        <f t="shared" si="0"/>
        <v>/</v>
      </c>
      <c r="E59" s="168">
        <f ca="1">IF(表2_36716262930389121314153[[#This Row],[累计净值]]/MAX(INDIRECT("B21:B" &amp; ROW()))-1&lt;E58,表2_36716262930389121314153[[#This Row],[累计净值]]/MAX(INDIRECT("B21:B" &amp; ROW()))-1,E58)</f>
        <v>-1.9762845849802257E-3</v>
      </c>
      <c r="F59" s="172">
        <f>表2_36716262930389121314153[[#This Row],[累计净值]]</f>
        <v>1.0269999999999999</v>
      </c>
      <c r="G59" s="170">
        <f>表2_36716262930389121314153[[#This Row],[累计净值]]/$B$21-1</f>
        <v>2.3928215353938187E-2</v>
      </c>
      <c r="H59" s="170">
        <f>表2_36716262930389121314153[[#This Row],[累计净值]]/$B$35-1</f>
        <v>1.5825914935707175E-2</v>
      </c>
    </row>
    <row r="60" spans="1:8" x14ac:dyDescent="0.2">
      <c r="A60" s="161">
        <v>43934</v>
      </c>
      <c r="B60" s="162">
        <v>1.0269999999999999</v>
      </c>
      <c r="C60" s="171">
        <f t="shared" si="1"/>
        <v>0</v>
      </c>
      <c r="D60" s="168" t="str">
        <f t="shared" si="0"/>
        <v>/</v>
      </c>
      <c r="E60" s="168">
        <f ca="1">IF(表2_36716262930389121314153[[#This Row],[累计净值]]/MAX(INDIRECT("B21:B" &amp; ROW()))-1&lt;E59,表2_36716262930389121314153[[#This Row],[累计净值]]/MAX(INDIRECT("B21:B" &amp; ROW()))-1,E59)</f>
        <v>-1.9762845849802257E-3</v>
      </c>
      <c r="F60" s="172">
        <f>表2_36716262930389121314153[[#This Row],[累计净值]]</f>
        <v>1.0269999999999999</v>
      </c>
      <c r="G60" s="170">
        <f>表2_36716262930389121314153[[#This Row],[累计净值]]/$B$21-1</f>
        <v>2.3928215353938187E-2</v>
      </c>
      <c r="H60" s="170">
        <f>表2_36716262930389121314153[[#This Row],[累计净值]]/$B$35-1</f>
        <v>1.5825914935707175E-2</v>
      </c>
    </row>
    <row r="61" spans="1:8" x14ac:dyDescent="0.2">
      <c r="A61" s="161">
        <v>43935</v>
      </c>
      <c r="B61" s="162">
        <v>1.028</v>
      </c>
      <c r="C61" s="171">
        <f t="shared" si="1"/>
        <v>1.0000000000001119E-3</v>
      </c>
      <c r="D61" s="168" t="str">
        <f t="shared" si="0"/>
        <v>/</v>
      </c>
      <c r="E61" s="168">
        <f ca="1">IF(表2_36716262930389121314153[[#This Row],[累计净值]]/MAX(INDIRECT("B21:B" &amp; ROW()))-1&lt;E60,表2_36716262930389121314153[[#This Row],[累计净值]]/MAX(INDIRECT("B21:B" &amp; ROW()))-1,E60)</f>
        <v>-1.9762845849802257E-3</v>
      </c>
      <c r="F61" s="172">
        <f>表2_36716262930389121314153[[#This Row],[累计净值]]</f>
        <v>1.028</v>
      </c>
      <c r="G61" s="170">
        <f>表2_36716262930389121314153[[#This Row],[累计净值]]/$B$21-1</f>
        <v>2.4925224327019047E-2</v>
      </c>
      <c r="H61" s="170">
        <f>表2_36716262930389121314153[[#This Row],[累计净值]]/$B$35-1</f>
        <v>1.6815034619189095E-2</v>
      </c>
    </row>
    <row r="62" spans="1:8" x14ac:dyDescent="0.2">
      <c r="A62" s="161">
        <v>43936</v>
      </c>
      <c r="B62" s="162">
        <v>1.0289999999999999</v>
      </c>
      <c r="C62" s="171">
        <f>IFERROR(B62-B61,0)</f>
        <v>9.9999999999988987E-4</v>
      </c>
      <c r="D62" s="168" t="str">
        <f>IF(C62&lt;0,C62,"/")</f>
        <v>/</v>
      </c>
      <c r="E62" s="168">
        <f ca="1">IF(表2_36716262930389121314153[[#This Row],[累计净值]]/MAX(INDIRECT("B21:B" &amp; ROW()))-1&lt;E61,表2_36716262930389121314153[[#This Row],[累计净值]]/MAX(INDIRECT("B21:B" &amp; ROW()))-1,E61)</f>
        <v>-1.9762845849802257E-3</v>
      </c>
      <c r="F62" s="172">
        <f>表2_36716262930389121314153[[#This Row],[累计净值]]</f>
        <v>1.0289999999999999</v>
      </c>
      <c r="G62" s="170">
        <f>表2_36716262930389121314153[[#This Row],[累计净值]]/$B$21-1</f>
        <v>2.5922233300099684E-2</v>
      </c>
      <c r="H62" s="170">
        <f>表2_36716262930389121314153[[#This Row],[累计净值]]/$B$35-1</f>
        <v>1.7804154302670572E-2</v>
      </c>
    </row>
    <row r="63" spans="1:8" x14ac:dyDescent="0.2">
      <c r="A63" s="161">
        <v>43937</v>
      </c>
      <c r="B63" s="162">
        <v>1.03</v>
      </c>
      <c r="C63" s="171">
        <f>IFERROR(B63-B62,0)</f>
        <v>1.0000000000001119E-3</v>
      </c>
      <c r="D63" s="168" t="str">
        <f>IF(C63&lt;0,C63,"/")</f>
        <v>/</v>
      </c>
      <c r="E63" s="168">
        <f ca="1">IF(表2_36716262930389121314153[[#This Row],[累计净值]]/MAX(INDIRECT("B21:B" &amp; ROW()))-1&lt;E62,表2_36716262930389121314153[[#This Row],[累计净值]]/MAX(INDIRECT("B21:B" &amp; ROW()))-1,E62)</f>
        <v>-1.9762845849802257E-3</v>
      </c>
      <c r="F63" s="172">
        <f>表2_36716262930389121314153[[#This Row],[累计净值]]</f>
        <v>1.03</v>
      </c>
      <c r="G63" s="170">
        <f>表2_36716262930389121314153[[#This Row],[累计净值]]/$B$21-1</f>
        <v>2.6919242273180544E-2</v>
      </c>
      <c r="H63" s="170">
        <f>表2_36716262930389121314153[[#This Row],[累计净值]]/$B$35-1</f>
        <v>1.8793273986152492E-2</v>
      </c>
    </row>
    <row r="64" spans="1:8" x14ac:dyDescent="0.2">
      <c r="A64" s="161">
        <v>43938</v>
      </c>
      <c r="B64" s="162">
        <v>1.03</v>
      </c>
      <c r="C64" s="171">
        <f t="shared" ref="C64:C75" si="2">IFERROR(B64-B63,0)</f>
        <v>0</v>
      </c>
      <c r="D64" s="168" t="str">
        <f t="shared" ref="D64:D75" si="3">IF(C64&lt;0,C64,"/")</f>
        <v>/</v>
      </c>
      <c r="E64" s="168">
        <f ca="1">IF(表2_36716262930389121314153[[#This Row],[累计净值]]/MAX(INDIRECT("B21:B" &amp; ROW()))-1&lt;E63,表2_36716262930389121314153[[#This Row],[累计净值]]/MAX(INDIRECT("B21:B" &amp; ROW()))-1,E63)</f>
        <v>-1.9762845849802257E-3</v>
      </c>
      <c r="F64" s="172">
        <f>表2_36716262930389121314153[[#This Row],[累计净值]]</f>
        <v>1.03</v>
      </c>
      <c r="G64" s="170">
        <f>表2_36716262930389121314153[[#This Row],[累计净值]]/$B$21-1</f>
        <v>2.6919242273180544E-2</v>
      </c>
      <c r="H64" s="170">
        <f>表2_36716262930389121314153[[#This Row],[累计净值]]/$B$35-1</f>
        <v>1.8793273986152492E-2</v>
      </c>
    </row>
    <row r="65" spans="1:8" x14ac:dyDescent="0.2">
      <c r="A65" s="161">
        <v>43941</v>
      </c>
      <c r="B65" s="162">
        <v>1.0309999999999999</v>
      </c>
      <c r="C65" s="171">
        <f t="shared" si="2"/>
        <v>9.9999999999988987E-4</v>
      </c>
      <c r="D65" s="168" t="str">
        <f t="shared" si="3"/>
        <v>/</v>
      </c>
      <c r="E65" s="168">
        <f ca="1">IF(表2_36716262930389121314153[[#This Row],[累计净值]]/MAX(INDIRECT("B21:B" &amp; ROW()))-1&lt;E64,表2_36716262930389121314153[[#This Row],[累计净值]]/MAX(INDIRECT("B21:B" &amp; ROW()))-1,E64)</f>
        <v>-1.9762845849802257E-3</v>
      </c>
      <c r="F65" s="172">
        <f>表2_36716262930389121314153[[#This Row],[累计净值]]</f>
        <v>1.0309999999999999</v>
      </c>
      <c r="G65" s="170">
        <f>表2_36716262930389121314153[[#This Row],[累计净值]]/$B$21-1</f>
        <v>2.7916251246261181E-2</v>
      </c>
      <c r="H65" s="170">
        <f>表2_36716262930389121314153[[#This Row],[累计净值]]/$B$35-1</f>
        <v>1.9782393669633969E-2</v>
      </c>
    </row>
    <row r="66" spans="1:8" x14ac:dyDescent="0.2">
      <c r="A66" s="161">
        <v>43942</v>
      </c>
      <c r="B66" s="162">
        <v>1.032</v>
      </c>
      <c r="C66" s="171">
        <f t="shared" si="2"/>
        <v>1.0000000000001119E-3</v>
      </c>
      <c r="D66" s="168" t="str">
        <f t="shared" si="3"/>
        <v>/</v>
      </c>
      <c r="E66" s="168">
        <f ca="1">IF(表2_36716262930389121314153[[#This Row],[累计净值]]/MAX(INDIRECT("B21:B" &amp; ROW()))-1&lt;E65,表2_36716262930389121314153[[#This Row],[累计净值]]/MAX(INDIRECT("B21:B" &amp; ROW()))-1,E65)</f>
        <v>-1.9762845849802257E-3</v>
      </c>
      <c r="F66" s="172">
        <f>表2_36716262930389121314153[[#This Row],[累计净值]]</f>
        <v>1.032</v>
      </c>
      <c r="G66" s="170">
        <f>表2_36716262930389121314153[[#This Row],[累计净值]]/$B$21-1</f>
        <v>2.8913260219342041E-2</v>
      </c>
      <c r="H66" s="170">
        <f>表2_36716262930389121314153[[#This Row],[累计净值]]/$B$35-1</f>
        <v>2.0771513353115889E-2</v>
      </c>
    </row>
    <row r="67" spans="1:8" x14ac:dyDescent="0.2">
      <c r="A67" s="161">
        <v>43943</v>
      </c>
      <c r="B67" s="162">
        <v>1.03</v>
      </c>
      <c r="C67" s="171">
        <f t="shared" si="2"/>
        <v>-2.0000000000000018E-3</v>
      </c>
      <c r="D67" s="168">
        <f t="shared" si="3"/>
        <v>-2.0000000000000018E-3</v>
      </c>
      <c r="E67" s="168">
        <f ca="1">IF(表2_36716262930389121314153[[#This Row],[累计净值]]/MAX(INDIRECT("B21:B" &amp; ROW()))-1&lt;E66,表2_36716262930389121314153[[#This Row],[累计净值]]/MAX(INDIRECT("B21:B" &amp; ROW()))-1,E66)</f>
        <v>-1.9762845849802257E-3</v>
      </c>
      <c r="F67" s="172">
        <f>表2_36716262930389121314153[[#This Row],[累计净值]]</f>
        <v>1.03</v>
      </c>
      <c r="G67" s="170">
        <f>表2_36716262930389121314153[[#This Row],[累计净值]]/$B$21-1</f>
        <v>2.6919242273180544E-2</v>
      </c>
      <c r="H67" s="170">
        <f>表2_36716262930389121314153[[#This Row],[累计净值]]/$B$35-1</f>
        <v>1.8793273986152492E-2</v>
      </c>
    </row>
    <row r="68" spans="1:8" x14ac:dyDescent="0.2">
      <c r="A68" s="161">
        <v>43944</v>
      </c>
      <c r="B68" s="162">
        <v>1.032</v>
      </c>
      <c r="C68" s="171">
        <f t="shared" si="2"/>
        <v>2.0000000000000018E-3</v>
      </c>
      <c r="D68" s="168" t="str">
        <f t="shared" si="3"/>
        <v>/</v>
      </c>
      <c r="E68" s="168">
        <f ca="1">IF(表2_36716262930389121314153[[#This Row],[累计净值]]/MAX(INDIRECT("B21:B" &amp; ROW()))-1&lt;E67,表2_36716262930389121314153[[#This Row],[累计净值]]/MAX(INDIRECT("B21:B" &amp; ROW()))-1,E67)</f>
        <v>-1.9762845849802257E-3</v>
      </c>
      <c r="F68" s="172">
        <f>表2_36716262930389121314153[[#This Row],[累计净值]]</f>
        <v>1.032</v>
      </c>
      <c r="G68" s="170">
        <f>表2_36716262930389121314153[[#This Row],[累计净值]]/$B$21-1</f>
        <v>2.8913260219342041E-2</v>
      </c>
      <c r="H68" s="170">
        <f>表2_36716262930389121314153[[#This Row],[累计净值]]/$B$35-1</f>
        <v>2.0771513353115889E-2</v>
      </c>
    </row>
    <row r="69" spans="1:8" x14ac:dyDescent="0.2">
      <c r="A69" s="161">
        <v>43945</v>
      </c>
      <c r="B69" s="162">
        <v>1.032</v>
      </c>
      <c r="C69" s="171">
        <f t="shared" si="2"/>
        <v>0</v>
      </c>
      <c r="D69" s="168" t="str">
        <f t="shared" si="3"/>
        <v>/</v>
      </c>
      <c r="E69" s="168">
        <f ca="1">IF(表2_36716262930389121314153[[#This Row],[累计净值]]/MAX(INDIRECT("B21:B" &amp; ROW()))-1&lt;E68,表2_36716262930389121314153[[#This Row],[累计净值]]/MAX(INDIRECT("B21:B" &amp; ROW()))-1,E68)</f>
        <v>-1.9762845849802257E-3</v>
      </c>
      <c r="F69" s="172">
        <f>表2_36716262930389121314153[[#This Row],[累计净值]]</f>
        <v>1.032</v>
      </c>
      <c r="G69" s="170">
        <f>表2_36716262930389121314153[[#This Row],[累计净值]]/$B$21-1</f>
        <v>2.8913260219342041E-2</v>
      </c>
      <c r="H69" s="170">
        <f>表2_36716262930389121314153[[#This Row],[累计净值]]/$B$35-1</f>
        <v>2.0771513353115889E-2</v>
      </c>
    </row>
    <row r="70" spans="1:8" x14ac:dyDescent="0.2">
      <c r="A70" s="161">
        <v>43948</v>
      </c>
      <c r="B70" s="162">
        <v>1.032</v>
      </c>
      <c r="C70" s="171">
        <f t="shared" si="2"/>
        <v>0</v>
      </c>
      <c r="D70" s="168" t="str">
        <f t="shared" si="3"/>
        <v>/</v>
      </c>
      <c r="E70" s="168">
        <f ca="1">IF(表2_36716262930389121314153[[#This Row],[累计净值]]/MAX(INDIRECT("B21:B" &amp; ROW()))-1&lt;E69,表2_36716262930389121314153[[#This Row],[累计净值]]/MAX(INDIRECT("B21:B" &amp; ROW()))-1,E69)</f>
        <v>-1.9762845849802257E-3</v>
      </c>
      <c r="F70" s="172">
        <f>表2_36716262930389121314153[[#This Row],[累计净值]]</f>
        <v>1.032</v>
      </c>
      <c r="G70" s="170">
        <f>表2_36716262930389121314153[[#This Row],[累计净值]]/$B$21-1</f>
        <v>2.8913260219342041E-2</v>
      </c>
      <c r="H70" s="170">
        <f>表2_36716262930389121314153[[#This Row],[累计净值]]/$B$35-1</f>
        <v>2.0771513353115889E-2</v>
      </c>
    </row>
    <row r="71" spans="1:8" x14ac:dyDescent="0.2">
      <c r="A71" s="161">
        <v>43949</v>
      </c>
      <c r="B71" s="162">
        <v>1.0329999999999999</v>
      </c>
      <c r="C71" s="171">
        <f t="shared" si="2"/>
        <v>9.9999999999988987E-4</v>
      </c>
      <c r="D71" s="168" t="str">
        <f t="shared" si="3"/>
        <v>/</v>
      </c>
      <c r="E71" s="168">
        <f ca="1">IF(表2_36716262930389121314153[[#This Row],[累计净值]]/MAX(INDIRECT("B21:B" &amp; ROW()))-1&lt;E70,表2_36716262930389121314153[[#This Row],[累计净值]]/MAX(INDIRECT("B21:B" &amp; ROW()))-1,E70)</f>
        <v>-1.9762845849802257E-3</v>
      </c>
      <c r="F71" s="172">
        <f>表2_36716262930389121314153[[#This Row],[累计净值]]</f>
        <v>1.0329999999999999</v>
      </c>
      <c r="G71" s="170">
        <f>表2_36716262930389121314153[[#This Row],[累计净值]]/$B$21-1</f>
        <v>2.9910269192422678E-2</v>
      </c>
      <c r="H71" s="170">
        <f>表2_36716262930389121314153[[#This Row],[累计净值]]/$B$35-1</f>
        <v>2.1760633036597365E-2</v>
      </c>
    </row>
    <row r="72" spans="1:8" x14ac:dyDescent="0.2">
      <c r="A72" s="161">
        <v>43950</v>
      </c>
      <c r="B72" s="162">
        <v>1.0329999999999999</v>
      </c>
      <c r="C72" s="171">
        <f t="shared" si="2"/>
        <v>0</v>
      </c>
      <c r="D72" s="168" t="str">
        <f t="shared" si="3"/>
        <v>/</v>
      </c>
      <c r="E72" s="168">
        <f ca="1">IF(表2_36716262930389121314153[[#This Row],[累计净值]]/MAX(INDIRECT("B21:B" &amp; ROW()))-1&lt;E71,表2_36716262930389121314153[[#This Row],[累计净值]]/MAX(INDIRECT("B21:B" &amp; ROW()))-1,E71)</f>
        <v>-1.9762845849802257E-3</v>
      </c>
      <c r="F72" s="172">
        <f>表2_36716262930389121314153[[#This Row],[累计净值]]</f>
        <v>1.0329999999999999</v>
      </c>
      <c r="G72" s="170">
        <f>表2_36716262930389121314153[[#This Row],[累计净值]]/$B$21-1</f>
        <v>2.9910269192422678E-2</v>
      </c>
      <c r="H72" s="170">
        <f>表2_36716262930389121314153[[#This Row],[累计净值]]/$B$35-1</f>
        <v>2.1760633036597365E-2</v>
      </c>
    </row>
    <row r="73" spans="1:8" x14ac:dyDescent="0.2">
      <c r="A73" s="161">
        <v>43951</v>
      </c>
      <c r="B73" s="162">
        <v>1.03</v>
      </c>
      <c r="C73" s="171">
        <f t="shared" si="2"/>
        <v>-2.9999999999998916E-3</v>
      </c>
      <c r="D73" s="168">
        <f t="shared" si="3"/>
        <v>-2.9999999999998916E-3</v>
      </c>
      <c r="E73" s="168">
        <f ca="1">IF(表2_36716262930389121314153[[#This Row],[累计净值]]/MAX(INDIRECT("B21:B" &amp; ROW()))-1&lt;E72,表2_36716262930389121314153[[#This Row],[累计净值]]/MAX(INDIRECT("B21:B" &amp; ROW()))-1,E72)</f>
        <v>-2.9041626331073322E-3</v>
      </c>
      <c r="F73" s="172">
        <f>表2_36716262930389121314153[[#This Row],[累计净值]]</f>
        <v>1.03</v>
      </c>
      <c r="G73" s="170">
        <f>表2_36716262930389121314153[[#This Row],[累计净值]]/$B$21-1</f>
        <v>2.6919242273180544E-2</v>
      </c>
      <c r="H73" s="170">
        <f>表2_36716262930389121314153[[#This Row],[累计净值]]/$B$35-1</f>
        <v>1.8793273986152492E-2</v>
      </c>
    </row>
    <row r="74" spans="1:8" x14ac:dyDescent="0.2">
      <c r="A74" s="161">
        <v>43957</v>
      </c>
      <c r="B74" s="162">
        <v>1.03</v>
      </c>
      <c r="C74" s="171">
        <f t="shared" si="2"/>
        <v>0</v>
      </c>
      <c r="D74" s="168" t="str">
        <f t="shared" si="3"/>
        <v>/</v>
      </c>
      <c r="E74" s="168">
        <f ca="1">IF(表2_36716262930389121314153[[#This Row],[累计净值]]/MAX(INDIRECT("B21:B" &amp; ROW()))-1&lt;E73,表2_36716262930389121314153[[#This Row],[累计净值]]/MAX(INDIRECT("B21:B" &amp; ROW()))-1,E73)</f>
        <v>-2.9041626331073322E-3</v>
      </c>
      <c r="F74" s="172">
        <f>表2_36716262930389121314153[[#This Row],[累计净值]]</f>
        <v>1.03</v>
      </c>
      <c r="G74" s="170">
        <f>表2_36716262930389121314153[[#This Row],[累计净值]]/$B$21-1</f>
        <v>2.6919242273180544E-2</v>
      </c>
      <c r="H74" s="170">
        <f>表2_36716262930389121314153[[#This Row],[累计净值]]/$B$35-1</f>
        <v>1.8793273986152492E-2</v>
      </c>
    </row>
    <row r="75" spans="1:8" x14ac:dyDescent="0.2">
      <c r="A75" s="161">
        <v>43958</v>
      </c>
      <c r="B75" s="162">
        <v>1.032</v>
      </c>
      <c r="C75" s="171">
        <f t="shared" si="2"/>
        <v>2.0000000000000018E-3</v>
      </c>
      <c r="D75" s="168" t="str">
        <f t="shared" si="3"/>
        <v>/</v>
      </c>
      <c r="E75" s="168">
        <f ca="1">IF(表2_36716262930389121314153[[#This Row],[累计净值]]/MAX(INDIRECT("B21:B" &amp; ROW()))-1&lt;E74,表2_36716262930389121314153[[#This Row],[累计净值]]/MAX(INDIRECT("B21:B" &amp; ROW()))-1,E74)</f>
        <v>-2.9041626331073322E-3</v>
      </c>
      <c r="F75" s="172">
        <f>表2_36716262930389121314153[[#This Row],[累计净值]]</f>
        <v>1.032</v>
      </c>
      <c r="G75" s="170">
        <f>表2_36716262930389121314153[[#This Row],[累计净值]]/$B$21-1</f>
        <v>2.8913260219342041E-2</v>
      </c>
      <c r="H75" s="170">
        <f>表2_36716262930389121314153[[#This Row],[累计净值]]/$B$35-1</f>
        <v>2.0771513353115889E-2</v>
      </c>
    </row>
    <row r="76" spans="1:8" x14ac:dyDescent="0.2">
      <c r="A76" s="161">
        <v>43959</v>
      </c>
      <c r="B76" s="162">
        <v>1.0329999999999999</v>
      </c>
      <c r="C76" s="171">
        <f>IFERROR(B76-B75,0)</f>
        <v>9.9999999999988987E-4</v>
      </c>
      <c r="D76" s="168" t="str">
        <f>IF(C76&lt;0,C76,"/")</f>
        <v>/</v>
      </c>
      <c r="E76" s="168">
        <f ca="1">IF(表2_36716262930389121314153[[#This Row],[累计净值]]/MAX(INDIRECT("B21:B" &amp; ROW()))-1&lt;E75,表2_36716262930389121314153[[#This Row],[累计净值]]/MAX(INDIRECT("B21:B" &amp; ROW()))-1,E75)</f>
        <v>-2.9041626331073322E-3</v>
      </c>
      <c r="F76" s="172">
        <f>表2_36716262930389121314153[[#This Row],[累计净值]]</f>
        <v>1.0329999999999999</v>
      </c>
      <c r="G76" s="170">
        <f>表2_36716262930389121314153[[#This Row],[累计净值]]/$B$21-1</f>
        <v>2.9910269192422678E-2</v>
      </c>
      <c r="H76" s="170">
        <f>表2_36716262930389121314153[[#This Row],[累计净值]]/$B$35-1</f>
        <v>2.1760633036597365E-2</v>
      </c>
    </row>
    <row r="77" spans="1:8" x14ac:dyDescent="0.2">
      <c r="A77" s="161">
        <v>43962</v>
      </c>
      <c r="B77" s="162">
        <v>1.0329999999999999</v>
      </c>
      <c r="C77" s="171">
        <f>IFERROR(B77-B76,0)</f>
        <v>0</v>
      </c>
      <c r="D77" s="168" t="str">
        <f>IF(C77&lt;0,C77,"/")</f>
        <v>/</v>
      </c>
      <c r="E77" s="168">
        <f ca="1">IF(表2_36716262930389121314153[[#This Row],[累计净值]]/MAX(INDIRECT("B21:B" &amp; ROW()))-1&lt;E76,表2_36716262930389121314153[[#This Row],[累计净值]]/MAX(INDIRECT("B21:B" &amp; ROW()))-1,E76)</f>
        <v>-2.9041626331073322E-3</v>
      </c>
      <c r="F77" s="172">
        <f>表2_36716262930389121314153[[#This Row],[累计净值]]</f>
        <v>1.0329999999999999</v>
      </c>
      <c r="G77" s="170">
        <f>表2_36716262930389121314153[[#This Row],[累计净值]]/$B$21-1</f>
        <v>2.9910269192422678E-2</v>
      </c>
      <c r="H77" s="170">
        <f>表2_36716262930389121314153[[#This Row],[累计净值]]/$B$35-1</f>
        <v>2.1760633036597365E-2</v>
      </c>
    </row>
    <row r="78" spans="1:8" x14ac:dyDescent="0.2">
      <c r="A78" s="161">
        <v>43963</v>
      </c>
      <c r="B78" s="162">
        <v>1.0349999999999999</v>
      </c>
      <c r="C78" s="171">
        <f>IFERROR(B78-B77,0)</f>
        <v>2.0000000000000018E-3</v>
      </c>
      <c r="D78" s="168" t="str">
        <f>IF(C78&lt;0,C78,"/")</f>
        <v>/</v>
      </c>
      <c r="E78" s="168">
        <f ca="1">IF(表2_36716262930389121314153[[#This Row],[累计净值]]/MAX(INDIRECT("B21:B" &amp; ROW()))-1&lt;E77,表2_36716262930389121314153[[#This Row],[累计净值]]/MAX(INDIRECT("B21:B" &amp; ROW()))-1,E77)</f>
        <v>-2.9041626331073322E-3</v>
      </c>
      <c r="F78" s="172">
        <f>表2_36716262930389121314153[[#This Row],[累计净值]]</f>
        <v>1.0349999999999999</v>
      </c>
      <c r="G78" s="170">
        <f>表2_36716262930389121314153[[#This Row],[累计净值]]/$B$21-1</f>
        <v>3.1904287138584175E-2</v>
      </c>
      <c r="H78" s="170">
        <f>表2_36716262930389121314153[[#This Row],[累计净值]]/$B$35-1</f>
        <v>2.3738872403560762E-2</v>
      </c>
    </row>
    <row r="79" spans="1:8" x14ac:dyDescent="0.2">
      <c r="A79" s="161">
        <v>43964</v>
      </c>
      <c r="B79" s="162">
        <v>1.0349999999999999</v>
      </c>
      <c r="C79" s="171">
        <f>IFERROR(B79-B78,0)</f>
        <v>0</v>
      </c>
      <c r="D79" s="168" t="str">
        <f>IF(C79&lt;0,C79,"/")</f>
        <v>/</v>
      </c>
      <c r="E79" s="168">
        <f ca="1">IF(表2_36716262930389121314153[[#This Row],[累计净值]]/MAX(INDIRECT("B21:B" &amp; ROW()))-1&lt;E78,表2_36716262930389121314153[[#This Row],[累计净值]]/MAX(INDIRECT("B21:B" &amp; ROW()))-1,E78)</f>
        <v>-2.9041626331073322E-3</v>
      </c>
      <c r="F79" s="172">
        <f>表2_36716262930389121314153[[#This Row],[累计净值]]</f>
        <v>1.0349999999999999</v>
      </c>
      <c r="G79" s="170">
        <f>表2_36716262930389121314153[[#This Row],[累计净值]]/$B$21-1</f>
        <v>3.1904287138584175E-2</v>
      </c>
      <c r="H79" s="170">
        <f>表2_36716262930389121314153[[#This Row],[累计净值]]/$B$35-1</f>
        <v>2.3738872403560762E-2</v>
      </c>
    </row>
    <row r="80" spans="1:8" x14ac:dyDescent="0.2">
      <c r="A80" s="161">
        <v>43965</v>
      </c>
      <c r="B80" s="162">
        <v>1.0349999999999999</v>
      </c>
      <c r="C80" s="171">
        <f>IFERROR(B80-B79,0)</f>
        <v>0</v>
      </c>
      <c r="D80" s="168" t="str">
        <f>IF(C80&lt;0,C80,"/")</f>
        <v>/</v>
      </c>
      <c r="E80" s="168">
        <f ca="1">IF(表2_36716262930389121314153[[#This Row],[累计净值]]/MAX(INDIRECT("B21:B" &amp; ROW()))-1&lt;E79,表2_36716262930389121314153[[#This Row],[累计净值]]/MAX(INDIRECT("B21:B" &amp; ROW()))-1,E79)</f>
        <v>-2.9041626331073322E-3</v>
      </c>
      <c r="F80" s="172">
        <f>表2_36716262930389121314153[[#This Row],[累计净值]]</f>
        <v>1.0349999999999999</v>
      </c>
      <c r="G80" s="170">
        <f>表2_36716262930389121314153[[#This Row],[累计净值]]/$B$21-1</f>
        <v>3.1904287138584175E-2</v>
      </c>
      <c r="H80" s="170">
        <f>表2_36716262930389121314153[[#This Row],[累计净值]]/$B$35-1</f>
        <v>2.3738872403560762E-2</v>
      </c>
    </row>
    <row r="81" spans="1:8" x14ac:dyDescent="0.2">
      <c r="A81" s="161">
        <v>43966</v>
      </c>
      <c r="B81" s="162">
        <v>1.032</v>
      </c>
      <c r="C81" s="171">
        <f t="shared" ref="C81:C98" si="4">IFERROR(B81-B80,0)</f>
        <v>-2.9999999999998916E-3</v>
      </c>
      <c r="D81" s="168">
        <f t="shared" ref="D81:D98" si="5">IF(C81&lt;0,C81,"/")</f>
        <v>-2.9999999999998916E-3</v>
      </c>
      <c r="E81" s="168">
        <f ca="1">IF(表2_36716262930389121314153[[#This Row],[累计净值]]/MAX(INDIRECT("B21:B" &amp; ROW()))-1&lt;E80,表2_36716262930389121314153[[#This Row],[累计净值]]/MAX(INDIRECT("B21:B" &amp; ROW()))-1,E80)</f>
        <v>-2.9041626331073322E-3</v>
      </c>
      <c r="F81" s="172">
        <f>表2_36716262930389121314153[[#This Row],[累计净值]]</f>
        <v>1.032</v>
      </c>
      <c r="G81" s="170">
        <f>表2_36716262930389121314153[[#This Row],[累计净值]]/$B$21-1</f>
        <v>2.8913260219342041E-2</v>
      </c>
      <c r="H81" s="170">
        <f>表2_36716262930389121314153[[#This Row],[累计净值]]/$B$35-1</f>
        <v>2.0771513353115889E-2</v>
      </c>
    </row>
    <row r="82" spans="1:8" x14ac:dyDescent="0.2">
      <c r="A82" s="161">
        <v>43969</v>
      </c>
      <c r="B82" s="162">
        <v>1.0309999999999999</v>
      </c>
      <c r="C82" s="171">
        <f t="shared" si="4"/>
        <v>-1.0000000000001119E-3</v>
      </c>
      <c r="D82" s="168">
        <f t="shared" si="5"/>
        <v>-1.0000000000001119E-3</v>
      </c>
      <c r="E82" s="168">
        <f ca="1">IF(表2_36716262930389121314153[[#This Row],[累计净值]]/MAX(INDIRECT("B21:B" &amp; ROW()))-1&lt;E81,表2_36716262930389121314153[[#This Row],[累计净值]]/MAX(INDIRECT("B21:B" &amp; ROW()))-1,E81)</f>
        <v>-3.8647342995169476E-3</v>
      </c>
      <c r="F82" s="172">
        <f>表2_36716262930389121314153[[#This Row],[累计净值]]</f>
        <v>1.0309999999999999</v>
      </c>
      <c r="G82" s="170">
        <f>表2_36716262930389121314153[[#This Row],[累计净值]]/$B$21-1</f>
        <v>2.7916251246261181E-2</v>
      </c>
      <c r="H82" s="170">
        <f>表2_36716262930389121314153[[#This Row],[累计净值]]/$B$35-1</f>
        <v>1.9782393669633969E-2</v>
      </c>
    </row>
    <row r="83" spans="1:8" x14ac:dyDescent="0.2">
      <c r="A83" s="161">
        <v>43970</v>
      </c>
      <c r="B83" s="162">
        <v>1.0329999999999999</v>
      </c>
      <c r="C83" s="171">
        <f t="shared" si="4"/>
        <v>2.0000000000000018E-3</v>
      </c>
      <c r="D83" s="168" t="str">
        <f t="shared" si="5"/>
        <v>/</v>
      </c>
      <c r="E83" s="168">
        <f ca="1">IF(表2_36716262930389121314153[[#This Row],[累计净值]]/MAX(INDIRECT("B21:B" &amp; ROW()))-1&lt;E82,表2_36716262930389121314153[[#This Row],[累计净值]]/MAX(INDIRECT("B21:B" &amp; ROW()))-1,E82)</f>
        <v>-3.8647342995169476E-3</v>
      </c>
      <c r="F83" s="172">
        <f>表2_36716262930389121314153[[#This Row],[累计净值]]</f>
        <v>1.0329999999999999</v>
      </c>
      <c r="G83" s="170">
        <f>表2_36716262930389121314153[[#This Row],[累计净值]]/$B$21-1</f>
        <v>2.9910269192422678E-2</v>
      </c>
      <c r="H83" s="170">
        <f>表2_36716262930389121314153[[#This Row],[累计净值]]/$B$35-1</f>
        <v>2.1760633036597365E-2</v>
      </c>
    </row>
    <row r="84" spans="1:8" x14ac:dyDescent="0.2">
      <c r="A84" s="161">
        <v>43971</v>
      </c>
      <c r="B84" s="162">
        <v>1.0349999999999999</v>
      </c>
      <c r="C84" s="171">
        <f t="shared" si="4"/>
        <v>2.0000000000000018E-3</v>
      </c>
      <c r="D84" s="168" t="str">
        <f t="shared" si="5"/>
        <v>/</v>
      </c>
      <c r="E84" s="168">
        <f ca="1">IF(表2_36716262930389121314153[[#This Row],[累计净值]]/MAX(INDIRECT("B21:B" &amp; ROW()))-1&lt;E83,表2_36716262930389121314153[[#This Row],[累计净值]]/MAX(INDIRECT("B21:B" &amp; ROW()))-1,E83)</f>
        <v>-3.8647342995169476E-3</v>
      </c>
      <c r="F84" s="172">
        <f>表2_36716262930389121314153[[#This Row],[累计净值]]</f>
        <v>1.0349999999999999</v>
      </c>
      <c r="G84" s="170">
        <f>表2_36716262930389121314153[[#This Row],[累计净值]]/$B$21-1</f>
        <v>3.1904287138584175E-2</v>
      </c>
      <c r="H84" s="170">
        <f>表2_36716262930389121314153[[#This Row],[累计净值]]/$B$35-1</f>
        <v>2.3738872403560762E-2</v>
      </c>
    </row>
    <row r="85" spans="1:8" x14ac:dyDescent="0.2">
      <c r="A85" s="161">
        <v>43972</v>
      </c>
      <c r="B85" s="162">
        <v>1.0329999999999999</v>
      </c>
      <c r="C85" s="171">
        <f t="shared" si="4"/>
        <v>-2.0000000000000018E-3</v>
      </c>
      <c r="D85" s="168">
        <f t="shared" si="5"/>
        <v>-2.0000000000000018E-3</v>
      </c>
      <c r="E85" s="168">
        <f ca="1">IF(表2_36716262930389121314153[[#This Row],[累计净值]]/MAX(INDIRECT("B21:B" &amp; ROW()))-1&lt;E84,表2_36716262930389121314153[[#This Row],[累计净值]]/MAX(INDIRECT("B21:B" &amp; ROW()))-1,E84)</f>
        <v>-3.8647342995169476E-3</v>
      </c>
      <c r="F85" s="172">
        <f>表2_36716262930389121314153[[#This Row],[累计净值]]</f>
        <v>1.0329999999999999</v>
      </c>
      <c r="G85" s="170">
        <f>表2_36716262930389121314153[[#This Row],[累计净值]]/$B$21-1</f>
        <v>2.9910269192422678E-2</v>
      </c>
      <c r="H85" s="170">
        <f>表2_36716262930389121314153[[#This Row],[累计净值]]/$B$35-1</f>
        <v>2.1760633036597365E-2</v>
      </c>
    </row>
    <row r="86" spans="1:8" x14ac:dyDescent="0.2">
      <c r="A86" s="161">
        <v>43973</v>
      </c>
      <c r="B86" s="162">
        <v>1.03</v>
      </c>
      <c r="C86" s="171">
        <f t="shared" si="4"/>
        <v>-2.9999999999998916E-3</v>
      </c>
      <c r="D86" s="168">
        <f t="shared" si="5"/>
        <v>-2.9999999999998916E-3</v>
      </c>
      <c r="E86" s="168">
        <f ca="1">IF(表2_36716262930389121314153[[#This Row],[累计净值]]/MAX(INDIRECT("B21:B" &amp; ROW()))-1&lt;E85,表2_36716262930389121314153[[#This Row],[累计净值]]/MAX(INDIRECT("B21:B" &amp; ROW()))-1,E85)</f>
        <v>-4.8309178743960457E-3</v>
      </c>
      <c r="F86" s="172">
        <f>表2_36716262930389121314153[[#This Row],[累计净值]]</f>
        <v>1.03</v>
      </c>
      <c r="G86" s="170">
        <f>表2_36716262930389121314153[[#This Row],[累计净值]]/$B$21-1</f>
        <v>2.6919242273180544E-2</v>
      </c>
      <c r="H86" s="170">
        <f>表2_36716262930389121314153[[#This Row],[累计净值]]/$B$35-1</f>
        <v>1.8793273986152492E-2</v>
      </c>
    </row>
    <row r="87" spans="1:8" x14ac:dyDescent="0.2">
      <c r="A87" s="161">
        <v>43976</v>
      </c>
      <c r="B87" s="178">
        <v>1.0369999999999999</v>
      </c>
      <c r="C87" s="171">
        <f t="shared" si="4"/>
        <v>6.9999999999998952E-3</v>
      </c>
      <c r="D87" s="168" t="str">
        <f t="shared" si="5"/>
        <v>/</v>
      </c>
      <c r="E87" s="168">
        <f ca="1">IF(表2_36716262930389121314153[[#This Row],[累计净值]]/MAX(INDIRECT("B21:B" &amp; ROW()))-1&lt;E86,表2_36716262930389121314153[[#This Row],[累计净值]]/MAX(INDIRECT("B21:B" &amp; ROW()))-1,E86)</f>
        <v>-4.8309178743960457E-3</v>
      </c>
      <c r="F87" s="172">
        <f>表2_36716262930389121314153[[#This Row],[累计净值]]</f>
        <v>1.0369999999999999</v>
      </c>
      <c r="G87" s="170">
        <f>表2_36716262930389121314153[[#This Row],[累计净值]]/$B$21-1</f>
        <v>3.3898305084745894E-2</v>
      </c>
      <c r="H87" s="170">
        <f>表2_36716262930389121314153[[#This Row],[累计净值]]/$B$35-1</f>
        <v>2.5717111770524159E-2</v>
      </c>
    </row>
    <row r="88" spans="1:8" x14ac:dyDescent="0.2">
      <c r="A88" s="161">
        <v>43977</v>
      </c>
      <c r="B88" s="162">
        <v>1.0369999999999999</v>
      </c>
      <c r="C88" s="171">
        <f t="shared" si="4"/>
        <v>0</v>
      </c>
      <c r="D88" s="168" t="str">
        <f t="shared" si="5"/>
        <v>/</v>
      </c>
      <c r="E88" s="168">
        <f ca="1">IF(表2_36716262930389121314153[[#This Row],[累计净值]]/MAX(INDIRECT("B21:B" &amp; ROW()))-1&lt;E87,表2_36716262930389121314153[[#This Row],[累计净值]]/MAX(INDIRECT("B21:B" &amp; ROW()))-1,E87)</f>
        <v>-4.8309178743960457E-3</v>
      </c>
      <c r="F88" s="172">
        <f>表2_36716262930389121314153[[#This Row],[累计净值]]</f>
        <v>1.0369999999999999</v>
      </c>
      <c r="G88" s="170">
        <f>表2_36716262930389121314153[[#This Row],[累计净值]]/$B$21-1</f>
        <v>3.3898305084745894E-2</v>
      </c>
      <c r="H88" s="170">
        <f>表2_36716262930389121314153[[#This Row],[累计净值]]/$B$35-1</f>
        <v>2.5717111770524159E-2</v>
      </c>
    </row>
    <row r="89" spans="1:8" x14ac:dyDescent="0.2">
      <c r="A89" s="161">
        <v>43978</v>
      </c>
      <c r="B89" s="162">
        <v>1.0349999999999999</v>
      </c>
      <c r="C89" s="171">
        <f t="shared" si="4"/>
        <v>-2.0000000000000018E-3</v>
      </c>
      <c r="D89" s="168">
        <f t="shared" si="5"/>
        <v>-2.0000000000000018E-3</v>
      </c>
      <c r="E89" s="168">
        <f ca="1">IF(表2_36716262930389121314153[[#This Row],[累计净值]]/MAX(INDIRECT("B21:B" &amp; ROW()))-1&lt;E88,表2_36716262930389121314153[[#This Row],[累计净值]]/MAX(INDIRECT("B21:B" &amp; ROW()))-1,E88)</f>
        <v>-4.8309178743960457E-3</v>
      </c>
      <c r="F89" s="172">
        <f>表2_36716262930389121314153[[#This Row],[累计净值]]</f>
        <v>1.0349999999999999</v>
      </c>
      <c r="G89" s="170">
        <f>表2_36716262930389121314153[[#This Row],[累计净值]]/$B$21-1</f>
        <v>3.1904287138584175E-2</v>
      </c>
      <c r="H89" s="170">
        <f>表2_36716262930389121314153[[#This Row],[累计净值]]/$B$35-1</f>
        <v>2.3738872403560762E-2</v>
      </c>
    </row>
    <row r="90" spans="1:8" x14ac:dyDescent="0.2">
      <c r="A90" s="161">
        <v>43979</v>
      </c>
      <c r="B90" s="162">
        <v>1.0329999999999999</v>
      </c>
      <c r="C90" s="171">
        <f t="shared" si="4"/>
        <v>-2.0000000000000018E-3</v>
      </c>
      <c r="D90" s="168">
        <f t="shared" si="5"/>
        <v>-2.0000000000000018E-3</v>
      </c>
      <c r="E90" s="168">
        <f ca="1">IF(表2_36716262930389121314153[[#This Row],[累计净值]]/MAX(INDIRECT("B21:B" &amp; ROW()))-1&lt;E89,表2_36716262930389121314153[[#This Row],[累计净值]]/MAX(INDIRECT("B21:B" &amp; ROW()))-1,E89)</f>
        <v>-4.8309178743960457E-3</v>
      </c>
      <c r="F90" s="172">
        <f>表2_36716262930389121314153[[#This Row],[累计净值]]</f>
        <v>1.0329999999999999</v>
      </c>
      <c r="G90" s="170">
        <f>表2_36716262930389121314153[[#This Row],[累计净值]]/$B$21-1</f>
        <v>2.9910269192422678E-2</v>
      </c>
      <c r="H90" s="170">
        <f>表2_36716262930389121314153[[#This Row],[累计净值]]/$B$35-1</f>
        <v>2.1760633036597365E-2</v>
      </c>
    </row>
    <row r="91" spans="1:8" x14ac:dyDescent="0.2">
      <c r="A91" s="161">
        <v>43980</v>
      </c>
      <c r="B91" s="162">
        <v>1.0309999999999999</v>
      </c>
      <c r="C91" s="171">
        <f t="shared" si="4"/>
        <v>-2.0000000000000018E-3</v>
      </c>
      <c r="D91" s="168">
        <f t="shared" si="5"/>
        <v>-2.0000000000000018E-3</v>
      </c>
      <c r="E91" s="168">
        <f ca="1">IF(表2_36716262930389121314153[[#This Row],[累计净值]]/MAX(INDIRECT("B21:B" &amp; ROW()))-1&lt;E90,表2_36716262930389121314153[[#This Row],[累计净值]]/MAX(INDIRECT("B21:B" &amp; ROW()))-1,E90)</f>
        <v>-5.7859209257473676E-3</v>
      </c>
      <c r="F91" s="172">
        <f>表2_36716262930389121314153[[#This Row],[累计净值]]</f>
        <v>1.0309999999999999</v>
      </c>
      <c r="G91" s="170">
        <f>表2_36716262930389121314153[[#This Row],[累计净值]]/$B$21-1</f>
        <v>2.7916251246261181E-2</v>
      </c>
      <c r="H91" s="170">
        <f>表2_36716262930389121314153[[#This Row],[累计净值]]/$B$35-1</f>
        <v>1.9782393669633969E-2</v>
      </c>
    </row>
    <row r="92" spans="1:8" x14ac:dyDescent="0.2">
      <c r="A92" s="161">
        <v>43983</v>
      </c>
      <c r="B92" s="162">
        <v>1.0349999999999999</v>
      </c>
      <c r="C92" s="171">
        <f t="shared" si="4"/>
        <v>4.0000000000000036E-3</v>
      </c>
      <c r="D92" s="168" t="str">
        <f t="shared" si="5"/>
        <v>/</v>
      </c>
      <c r="E92" s="168">
        <f ca="1">IF(表2_36716262930389121314153[[#This Row],[累计净值]]/MAX(INDIRECT("B21:B" &amp; ROW()))-1&lt;E91,表2_36716262930389121314153[[#This Row],[累计净值]]/MAX(INDIRECT("B21:B" &amp; ROW()))-1,E91)</f>
        <v>-5.7859209257473676E-3</v>
      </c>
      <c r="F92" s="172">
        <f>表2_36716262930389121314153[[#This Row],[累计净值]]</f>
        <v>1.0349999999999999</v>
      </c>
      <c r="G92" s="170">
        <f>表2_36716262930389121314153[[#This Row],[累计净值]]/$B$21-1</f>
        <v>3.1904287138584175E-2</v>
      </c>
      <c r="H92" s="170">
        <f>表2_36716262930389121314153[[#This Row],[累计净值]]/$B$35-1</f>
        <v>2.3738872403560762E-2</v>
      </c>
    </row>
    <row r="93" spans="1:8" x14ac:dyDescent="0.2">
      <c r="A93" s="161">
        <v>43984</v>
      </c>
      <c r="B93" s="162">
        <v>1.0329999999999999</v>
      </c>
      <c r="C93" s="171">
        <f t="shared" si="4"/>
        <v>-2.0000000000000018E-3</v>
      </c>
      <c r="D93" s="168">
        <f t="shared" si="5"/>
        <v>-2.0000000000000018E-3</v>
      </c>
      <c r="E93" s="168">
        <f ca="1">IF(表2_36716262930389121314153[[#This Row],[累计净值]]/MAX(INDIRECT("B21:B" &amp; ROW()))-1&lt;E92,表2_36716262930389121314153[[#This Row],[累计净值]]/MAX(INDIRECT("B21:B" &amp; ROW()))-1,E92)</f>
        <v>-5.7859209257473676E-3</v>
      </c>
      <c r="F93" s="172">
        <f>表2_36716262930389121314153[[#This Row],[累计净值]]</f>
        <v>1.0329999999999999</v>
      </c>
      <c r="G93" s="170">
        <f>表2_36716262930389121314153[[#This Row],[累计净值]]/$B$21-1</f>
        <v>2.9910269192422678E-2</v>
      </c>
      <c r="H93" s="170">
        <f>表2_36716262930389121314153[[#This Row],[累计净值]]/$B$35-1</f>
        <v>2.1760633036597365E-2</v>
      </c>
    </row>
    <row r="94" spans="1:8" x14ac:dyDescent="0.2">
      <c r="A94" s="161">
        <v>43985</v>
      </c>
      <c r="B94" s="162">
        <v>1.0349999999999999</v>
      </c>
      <c r="C94" s="171">
        <f t="shared" si="4"/>
        <v>2.0000000000000018E-3</v>
      </c>
      <c r="D94" s="168" t="str">
        <f t="shared" si="5"/>
        <v>/</v>
      </c>
      <c r="E94" s="168">
        <f ca="1">IF(表2_36716262930389121314153[[#This Row],[累计净值]]/MAX(INDIRECT("B21:B" &amp; ROW()))-1&lt;E93,表2_36716262930389121314153[[#This Row],[累计净值]]/MAX(INDIRECT("B21:B" &amp; ROW()))-1,E93)</f>
        <v>-5.7859209257473676E-3</v>
      </c>
      <c r="F94" s="172">
        <f>表2_36716262930389121314153[[#This Row],[累计净值]]</f>
        <v>1.0349999999999999</v>
      </c>
      <c r="G94" s="170">
        <f>表2_36716262930389121314153[[#This Row],[累计净值]]/$B$21-1</f>
        <v>3.1904287138584175E-2</v>
      </c>
      <c r="H94" s="170">
        <f>表2_36716262930389121314153[[#This Row],[累计净值]]/$B$35-1</f>
        <v>2.3738872403560762E-2</v>
      </c>
    </row>
    <row r="95" spans="1:8" x14ac:dyDescent="0.2">
      <c r="A95" s="161">
        <v>43986</v>
      </c>
      <c r="B95" s="162">
        <v>1.0349999999999999</v>
      </c>
      <c r="C95" s="171">
        <f t="shared" si="4"/>
        <v>0</v>
      </c>
      <c r="D95" s="168" t="str">
        <f t="shared" si="5"/>
        <v>/</v>
      </c>
      <c r="E95" s="168">
        <f ca="1">IF(表2_36716262930389121314153[[#This Row],[累计净值]]/MAX(INDIRECT("B21:B" &amp; ROW()))-1&lt;E94,表2_36716262930389121314153[[#This Row],[累计净值]]/MAX(INDIRECT("B21:B" &amp; ROW()))-1,E94)</f>
        <v>-5.7859209257473676E-3</v>
      </c>
      <c r="F95" s="172">
        <f>表2_36716262930389121314153[[#This Row],[累计净值]]</f>
        <v>1.0349999999999999</v>
      </c>
      <c r="G95" s="170">
        <f>表2_36716262930389121314153[[#This Row],[累计净值]]/$B$21-1</f>
        <v>3.1904287138584175E-2</v>
      </c>
      <c r="H95" s="170">
        <f>表2_36716262930389121314153[[#This Row],[累计净值]]/$B$35-1</f>
        <v>2.3738872403560762E-2</v>
      </c>
    </row>
    <row r="96" spans="1:8" x14ac:dyDescent="0.2">
      <c r="A96" s="161">
        <v>43987</v>
      </c>
      <c r="B96" s="162">
        <v>1.0349999999999999</v>
      </c>
      <c r="C96" s="171">
        <f t="shared" si="4"/>
        <v>0</v>
      </c>
      <c r="D96" s="168" t="str">
        <f t="shared" si="5"/>
        <v>/</v>
      </c>
      <c r="E96" s="168">
        <f ca="1">IF(表2_36716262930389121314153[[#This Row],[累计净值]]/MAX(INDIRECT("B21:B" &amp; ROW()))-1&lt;E95,表2_36716262930389121314153[[#This Row],[累计净值]]/MAX(INDIRECT("B21:B" &amp; ROW()))-1,E95)</f>
        <v>-5.7859209257473676E-3</v>
      </c>
      <c r="F96" s="172">
        <f>表2_36716262930389121314153[[#This Row],[累计净值]]</f>
        <v>1.0349999999999999</v>
      </c>
      <c r="G96" s="170">
        <f>表2_36716262930389121314153[[#This Row],[累计净值]]/$B$21-1</f>
        <v>3.1904287138584175E-2</v>
      </c>
      <c r="H96" s="170">
        <f>表2_36716262930389121314153[[#This Row],[累计净值]]/$B$35-1</f>
        <v>2.3738872403560762E-2</v>
      </c>
    </row>
    <row r="97" spans="1:8" x14ac:dyDescent="0.2">
      <c r="A97" s="161">
        <v>43990</v>
      </c>
      <c r="B97" s="162">
        <v>1.0349999999999999</v>
      </c>
      <c r="C97" s="171">
        <f t="shared" si="4"/>
        <v>0</v>
      </c>
      <c r="D97" s="168" t="str">
        <f t="shared" si="5"/>
        <v>/</v>
      </c>
      <c r="E97" s="168">
        <f ca="1">IF(表2_36716262930389121314153[[#This Row],[累计净值]]/MAX(INDIRECT("B21:B" &amp; ROW()))-1&lt;E96,表2_36716262930389121314153[[#This Row],[累计净值]]/MAX(INDIRECT("B21:B" &amp; ROW()))-1,E96)</f>
        <v>-5.7859209257473676E-3</v>
      </c>
      <c r="F97" s="172">
        <f>表2_36716262930389121314153[[#This Row],[累计净值]]</f>
        <v>1.0349999999999999</v>
      </c>
      <c r="G97" s="170">
        <f>表2_36716262930389121314153[[#This Row],[累计净值]]/$B$21-1</f>
        <v>3.1904287138584175E-2</v>
      </c>
      <c r="H97" s="170">
        <f>表2_36716262930389121314153[[#This Row],[累计净值]]/$B$35-1</f>
        <v>2.3738872403560762E-2</v>
      </c>
    </row>
    <row r="98" spans="1:8" x14ac:dyDescent="0.2">
      <c r="A98" s="161">
        <v>43991</v>
      </c>
      <c r="B98" s="162">
        <v>1.038</v>
      </c>
      <c r="C98" s="171">
        <f t="shared" si="4"/>
        <v>3.0000000000001137E-3</v>
      </c>
      <c r="D98" s="168" t="str">
        <f t="shared" si="5"/>
        <v>/</v>
      </c>
      <c r="E98" s="168">
        <f ca="1">IF(表2_36716262930389121314153[[#This Row],[累计净值]]/MAX(INDIRECT("B21:B" &amp; ROW()))-1&lt;E97,表2_36716262930389121314153[[#This Row],[累计净值]]/MAX(INDIRECT("B21:B" &amp; ROW()))-1,E97)</f>
        <v>-5.7859209257473676E-3</v>
      </c>
      <c r="F98" s="172">
        <f>表2_36716262930389121314153[[#This Row],[累计净值]]</f>
        <v>1.038</v>
      </c>
      <c r="G98" s="170">
        <f>表2_36716262930389121314153[[#This Row],[累计净值]]/$B$21-1</f>
        <v>3.4895314057826754E-2</v>
      </c>
      <c r="H98" s="170">
        <f>表2_36716262930389121314153[[#This Row],[累计净值]]/$B$35-1</f>
        <v>2.670623145400608E-2</v>
      </c>
    </row>
    <row r="99" spans="1:8" x14ac:dyDescent="0.2">
      <c r="A99" s="161">
        <v>43992</v>
      </c>
      <c r="B99" s="162">
        <v>1.036</v>
      </c>
      <c r="C99" s="171">
        <f t="shared" ref="C99:C105" si="6">IFERROR(B99-B98,0)</f>
        <v>-2.0000000000000018E-3</v>
      </c>
      <c r="D99" s="168">
        <f t="shared" ref="D99:D105" si="7">IF(C99&lt;0,C99,"/")</f>
        <v>-2.0000000000000018E-3</v>
      </c>
      <c r="E99" s="168">
        <f ca="1">IF(表2_36716262930389121314153[[#This Row],[累计净值]]/MAX(INDIRECT("B21:B" &amp; ROW()))-1&lt;E98,表2_36716262930389121314153[[#This Row],[累计净值]]/MAX(INDIRECT("B21:B" &amp; ROW()))-1,E98)</f>
        <v>-5.7859209257473676E-3</v>
      </c>
      <c r="F99" s="172">
        <f>表2_36716262930389121314153[[#This Row],[累计净值]]</f>
        <v>1.036</v>
      </c>
      <c r="G99" s="170">
        <f>表2_36716262930389121314153[[#This Row],[累计净值]]/$B$21-1</f>
        <v>3.2901296111665257E-2</v>
      </c>
      <c r="H99" s="170">
        <f>表2_36716262930389121314153[[#This Row],[累计净值]]/$B$35-1</f>
        <v>2.4727992087042683E-2</v>
      </c>
    </row>
    <row r="100" spans="1:8" x14ac:dyDescent="0.2">
      <c r="A100" s="161">
        <v>43993</v>
      </c>
      <c r="B100" s="162">
        <v>1.0369999999999999</v>
      </c>
      <c r="C100" s="171">
        <f t="shared" si="6"/>
        <v>9.9999999999988987E-4</v>
      </c>
      <c r="D100" s="168" t="str">
        <f t="shared" si="7"/>
        <v>/</v>
      </c>
      <c r="E100" s="168">
        <f ca="1">IF(表2_36716262930389121314153[[#This Row],[累计净值]]/MAX(INDIRECT("B21:B" &amp; ROW()))-1&lt;E99,表2_36716262930389121314153[[#This Row],[累计净值]]/MAX(INDIRECT("B21:B" &amp; ROW()))-1,E99)</f>
        <v>-5.7859209257473676E-3</v>
      </c>
      <c r="F100" s="172">
        <f>表2_36716262930389121314153[[#This Row],[累计净值]]</f>
        <v>1.0369999999999999</v>
      </c>
      <c r="G100" s="170">
        <f>表2_36716262930389121314153[[#This Row],[累计净值]]/$B$21-1</f>
        <v>3.3898305084745894E-2</v>
      </c>
      <c r="H100" s="170">
        <f>表2_36716262930389121314153[[#This Row],[累计净值]]/$B$35-1</f>
        <v>2.5717111770524159E-2</v>
      </c>
    </row>
    <row r="101" spans="1:8" x14ac:dyDescent="0.2">
      <c r="A101" s="161">
        <v>43994</v>
      </c>
      <c r="B101" s="162">
        <v>1.0329999999999999</v>
      </c>
      <c r="C101" s="171">
        <f t="shared" si="6"/>
        <v>-4.0000000000000036E-3</v>
      </c>
      <c r="D101" s="168">
        <f t="shared" si="7"/>
        <v>-4.0000000000000036E-3</v>
      </c>
      <c r="E101" s="168">
        <f ca="1">IF(表2_36716262930389121314153[[#This Row],[累计净值]]/MAX(INDIRECT("B21:B" &amp; ROW()))-1&lt;E100,表2_36716262930389121314153[[#This Row],[累计净值]]/MAX(INDIRECT("B21:B" &amp; ROW()))-1,E100)</f>
        <v>-5.7859209257473676E-3</v>
      </c>
      <c r="F101" s="172">
        <f>表2_36716262930389121314153[[#This Row],[累计净值]]</f>
        <v>1.0329999999999999</v>
      </c>
      <c r="G101" s="170">
        <f>表2_36716262930389121314153[[#This Row],[累计净值]]/$B$21-1</f>
        <v>2.9910269192422678E-2</v>
      </c>
      <c r="H101" s="170">
        <f>表2_36716262930389121314153[[#This Row],[累计净值]]/$B$35-1</f>
        <v>2.1760633036597365E-2</v>
      </c>
    </row>
    <row r="102" spans="1:8" x14ac:dyDescent="0.2">
      <c r="A102" s="161">
        <v>43997</v>
      </c>
      <c r="B102" s="162">
        <v>1.036</v>
      </c>
      <c r="C102" s="171">
        <f t="shared" si="6"/>
        <v>3.0000000000001137E-3</v>
      </c>
      <c r="D102" s="168" t="str">
        <f t="shared" si="7"/>
        <v>/</v>
      </c>
      <c r="E102" s="168">
        <f ca="1">IF(表2_36716262930389121314153[[#This Row],[累计净值]]/MAX(INDIRECT("B21:B" &amp; ROW()))-1&lt;E101,表2_36716262930389121314153[[#This Row],[累计净值]]/MAX(INDIRECT("B21:B" &amp; ROW()))-1,E101)</f>
        <v>-5.7859209257473676E-3</v>
      </c>
      <c r="F102" s="172">
        <f>表2_36716262930389121314153[[#This Row],[累计净值]]</f>
        <v>1.036</v>
      </c>
      <c r="G102" s="170">
        <f>表2_36716262930389121314153[[#This Row],[累计净值]]/$B$21-1</f>
        <v>3.2901296111665257E-2</v>
      </c>
      <c r="H102" s="170">
        <f>表2_36716262930389121314153[[#This Row],[累计净值]]/$B$35-1</f>
        <v>2.4727992087042683E-2</v>
      </c>
    </row>
    <row r="103" spans="1:8" x14ac:dyDescent="0.2">
      <c r="A103" s="161">
        <v>43998</v>
      </c>
      <c r="B103" s="162">
        <v>1.0409999999999999</v>
      </c>
      <c r="C103" s="171">
        <f t="shared" si="6"/>
        <v>4.9999999999998934E-3</v>
      </c>
      <c r="D103" s="168" t="str">
        <f t="shared" si="7"/>
        <v>/</v>
      </c>
      <c r="E103" s="168">
        <f ca="1">IF(表2_36716262930389121314153[[#This Row],[累计净值]]/MAX(INDIRECT("B21:B" &amp; ROW()))-1&lt;E102,表2_36716262930389121314153[[#This Row],[累计净值]]/MAX(INDIRECT("B21:B" &amp; ROW()))-1,E102)</f>
        <v>-5.7859209257473676E-3</v>
      </c>
      <c r="F103" s="110">
        <f>表2_36716262930389121314153[[#This Row],[累计净值]]</f>
        <v>1.0409999999999999</v>
      </c>
      <c r="G103" s="170">
        <f>表2_36716262930389121314153[[#This Row],[累计净值]]/$B$21-1</f>
        <v>3.7886340977068889E-2</v>
      </c>
      <c r="H103" s="170">
        <f>表2_36716262930389121314153[[#This Row],[累计净值]]/$B$35-1</f>
        <v>2.9673590504451175E-2</v>
      </c>
    </row>
    <row r="104" spans="1:8" x14ac:dyDescent="0.2">
      <c r="A104" s="161">
        <v>43999</v>
      </c>
      <c r="B104" s="162">
        <v>1.0409999999999999</v>
      </c>
      <c r="C104" s="171">
        <f t="shared" si="6"/>
        <v>0</v>
      </c>
      <c r="D104" s="168" t="str">
        <f t="shared" si="7"/>
        <v>/</v>
      </c>
      <c r="E104" s="168">
        <f ca="1">IF(表2_36716262930389121314153[[#This Row],[累计净值]]/MAX(INDIRECT("B21:B" &amp; ROW()))-1&lt;E103,表2_36716262930389121314153[[#This Row],[累计净值]]/MAX(INDIRECT("B21:B" &amp; ROW()))-1,E103)</f>
        <v>-5.7859209257473676E-3</v>
      </c>
      <c r="F104" s="110">
        <f>表2_36716262930389121314153[[#This Row],[累计净值]]</f>
        <v>1.0409999999999999</v>
      </c>
      <c r="G104" s="170">
        <f>表2_36716262930389121314153[[#This Row],[累计净值]]/$B$21-1</f>
        <v>3.7886340977068889E-2</v>
      </c>
      <c r="H104" s="170">
        <f>表2_36716262930389121314153[[#This Row],[累计净值]]/$B$35-1</f>
        <v>2.9673590504451175E-2</v>
      </c>
    </row>
    <row r="105" spans="1:8" x14ac:dyDescent="0.2">
      <c r="A105" s="161">
        <v>44000</v>
      </c>
      <c r="B105" s="162">
        <v>1.04</v>
      </c>
      <c r="C105" s="171">
        <f t="shared" si="6"/>
        <v>-9.9999999999988987E-4</v>
      </c>
      <c r="D105" s="168">
        <f t="shared" si="7"/>
        <v>-9.9999999999988987E-4</v>
      </c>
      <c r="E105" s="168">
        <f ca="1">IF(表2_36716262930389121314153[[#This Row],[累计净值]]/MAX(INDIRECT("B21:B" &amp; ROW()))-1&lt;E104,表2_36716262930389121314153[[#This Row],[累计净值]]/MAX(INDIRECT("B21:B" &amp; ROW()))-1,E104)</f>
        <v>-5.7859209257473676E-3</v>
      </c>
      <c r="F105" s="110">
        <f>表2_36716262930389121314153[[#This Row],[累计净值]]</f>
        <v>1.04</v>
      </c>
      <c r="G105" s="170">
        <f>表2_36716262930389121314153[[#This Row],[累计净值]]/$B$21-1</f>
        <v>3.6889332003988251E-2</v>
      </c>
      <c r="H105" s="170">
        <f>表2_36716262930389121314153[[#This Row],[累计净值]]/$B$35-1</f>
        <v>2.8684470820969477E-2</v>
      </c>
    </row>
    <row r="106" spans="1:8" x14ac:dyDescent="0.2">
      <c r="A106" s="161">
        <v>44001</v>
      </c>
      <c r="B106" s="162">
        <v>1.0369999999999999</v>
      </c>
      <c r="C106" s="171">
        <f t="shared" ref="C106:C111" si="8">IFERROR(B106-B105,0)</f>
        <v>-3.0000000000001137E-3</v>
      </c>
      <c r="D106" s="168">
        <f t="shared" ref="D106:D111" si="9">IF(C106&lt;0,C106,"/")</f>
        <v>-3.0000000000001137E-3</v>
      </c>
      <c r="E106" s="168">
        <f ca="1">IF(表2_36716262930389121314153[[#This Row],[累计净值]]/MAX(INDIRECT("B21:B" &amp; ROW()))-1&lt;E105,表2_36716262930389121314153[[#This Row],[累计净值]]/MAX(INDIRECT("B21:B" &amp; ROW()))-1,E105)</f>
        <v>-5.7859209257473676E-3</v>
      </c>
      <c r="F106" s="110">
        <f>表2_36716262930389121314153[[#This Row],[累计净值]]</f>
        <v>1.0369999999999999</v>
      </c>
      <c r="G106" s="170">
        <f>表2_36716262930389121314153[[#This Row],[累计净值]]/$B$21-1</f>
        <v>3.3898305084745894E-2</v>
      </c>
      <c r="H106" s="170">
        <f>表2_36716262930389121314153[[#This Row],[累计净值]]/$B$35-1</f>
        <v>2.5717111770524159E-2</v>
      </c>
    </row>
    <row r="107" spans="1:8" x14ac:dyDescent="0.2">
      <c r="A107" s="161">
        <v>44004</v>
      </c>
      <c r="B107" s="162">
        <v>1.0389999999999999</v>
      </c>
      <c r="C107" s="171">
        <f t="shared" si="8"/>
        <v>2.0000000000000018E-3</v>
      </c>
      <c r="D107" s="168" t="str">
        <f t="shared" si="9"/>
        <v>/</v>
      </c>
      <c r="E107" s="168">
        <f ca="1">IF(表2_36716262930389121314153[[#This Row],[累计净值]]/MAX(INDIRECT("B21:B" &amp; ROW()))-1&lt;E106,表2_36716262930389121314153[[#This Row],[累计净值]]/MAX(INDIRECT("B21:B" &amp; ROW()))-1,E106)</f>
        <v>-5.7859209257473676E-3</v>
      </c>
      <c r="F107" s="110">
        <f>表2_36716262930389121314153[[#This Row],[累计净值]]</f>
        <v>1.0389999999999999</v>
      </c>
      <c r="G107" s="170">
        <f>表2_36716262930389121314153[[#This Row],[累计净值]]/$B$21-1</f>
        <v>3.5892323030907392E-2</v>
      </c>
      <c r="H107" s="170">
        <f>表2_36716262930389121314153[[#This Row],[累计净值]]/$B$35-1</f>
        <v>2.7695351137487556E-2</v>
      </c>
    </row>
    <row r="108" spans="1:8" x14ac:dyDescent="0.2">
      <c r="A108" s="161">
        <v>44005</v>
      </c>
      <c r="B108" s="162">
        <v>1.038</v>
      </c>
      <c r="C108" s="171">
        <f t="shared" si="8"/>
        <v>-9.9999999999988987E-4</v>
      </c>
      <c r="D108" s="168">
        <f t="shared" si="9"/>
        <v>-9.9999999999988987E-4</v>
      </c>
      <c r="E108" s="168">
        <f ca="1">IF(表2_36716262930389121314153[[#This Row],[累计净值]]/MAX(INDIRECT("B21:B" &amp; ROW()))-1&lt;E107,表2_36716262930389121314153[[#This Row],[累计净值]]/MAX(INDIRECT("B21:B" &amp; ROW()))-1,E107)</f>
        <v>-5.7859209257473676E-3</v>
      </c>
      <c r="F108" s="110">
        <f>表2_36716262930389121314153[[#This Row],[累计净值]]</f>
        <v>1.038</v>
      </c>
      <c r="G108" s="170">
        <f>表2_36716262930389121314153[[#This Row],[累计净值]]/$B$21-1</f>
        <v>3.4895314057826754E-2</v>
      </c>
      <c r="H108" s="170">
        <f>表2_36716262930389121314153[[#This Row],[累计净值]]/$B$35-1</f>
        <v>2.670623145400608E-2</v>
      </c>
    </row>
    <row r="109" spans="1:8" x14ac:dyDescent="0.2">
      <c r="A109" s="161">
        <v>44006</v>
      </c>
      <c r="B109" s="162">
        <v>1.0389999999999999</v>
      </c>
      <c r="C109" s="171">
        <f t="shared" si="8"/>
        <v>9.9999999999988987E-4</v>
      </c>
      <c r="D109" s="168" t="str">
        <f t="shared" si="9"/>
        <v>/</v>
      </c>
      <c r="E109" s="168">
        <f ca="1">IF(表2_36716262930389121314153[[#This Row],[累计净值]]/MAX(INDIRECT("B21:B" &amp; ROW()))-1&lt;E108,表2_36716262930389121314153[[#This Row],[累计净值]]/MAX(INDIRECT("B21:B" &amp; ROW()))-1,E108)</f>
        <v>-5.7859209257473676E-3</v>
      </c>
      <c r="F109" s="110">
        <f>表2_36716262930389121314153[[#This Row],[累计净值]]</f>
        <v>1.0389999999999999</v>
      </c>
      <c r="G109" s="170">
        <f>表2_36716262930389121314153[[#This Row],[累计净值]]/$B$21-1</f>
        <v>3.5892323030907392E-2</v>
      </c>
      <c r="H109" s="170">
        <f>表2_36716262930389121314153[[#This Row],[累计净值]]/$B$35-1</f>
        <v>2.7695351137487556E-2</v>
      </c>
    </row>
    <row r="110" spans="1:8" x14ac:dyDescent="0.2">
      <c r="A110" s="161">
        <v>44011</v>
      </c>
      <c r="B110" s="162">
        <v>1.038</v>
      </c>
      <c r="C110" s="171">
        <f t="shared" si="8"/>
        <v>-9.9999999999988987E-4</v>
      </c>
      <c r="D110" s="168">
        <f t="shared" si="9"/>
        <v>-9.9999999999988987E-4</v>
      </c>
      <c r="E110" s="168">
        <f ca="1">IF(表2_36716262930389121314153[[#This Row],[累计净值]]/MAX(INDIRECT("B21:B" &amp; ROW()))-1&lt;E109,表2_36716262930389121314153[[#This Row],[累计净值]]/MAX(INDIRECT("B21:B" &amp; ROW()))-1,E109)</f>
        <v>-5.7859209257473676E-3</v>
      </c>
      <c r="F110" s="110">
        <f>表2_36716262930389121314153[[#This Row],[累计净值]]</f>
        <v>1.038</v>
      </c>
      <c r="G110" s="170">
        <f>表2_36716262930389121314153[[#This Row],[累计净值]]/$B$21-1</f>
        <v>3.4895314057826754E-2</v>
      </c>
      <c r="H110" s="170">
        <f>表2_36716262930389121314153[[#This Row],[累计净值]]/$B$35-1</f>
        <v>2.670623145400608E-2</v>
      </c>
    </row>
    <row r="111" spans="1:8" x14ac:dyDescent="0.2">
      <c r="A111" s="161">
        <v>44012</v>
      </c>
      <c r="B111" s="162">
        <v>1.0389999999999999</v>
      </c>
      <c r="C111" s="171">
        <f t="shared" si="8"/>
        <v>9.9999999999988987E-4</v>
      </c>
      <c r="D111" s="168" t="str">
        <f t="shared" si="9"/>
        <v>/</v>
      </c>
      <c r="E111" s="168">
        <f ca="1">IF(表2_36716262930389121314153[[#This Row],[累计净值]]/MAX(INDIRECT("B21:B" &amp; ROW()))-1&lt;E110,表2_36716262930389121314153[[#This Row],[累计净值]]/MAX(INDIRECT("B21:B" &amp; ROW()))-1,E110)</f>
        <v>-5.7859209257473676E-3</v>
      </c>
      <c r="F111" s="110">
        <f>表2_36716262930389121314153[[#This Row],[累计净值]]</f>
        <v>1.0389999999999999</v>
      </c>
      <c r="G111" s="170">
        <f>表2_36716262930389121314153[[#This Row],[累计净值]]/$B$21-1</f>
        <v>3.5892323030907392E-2</v>
      </c>
      <c r="H111" s="170">
        <f>表2_36716262930389121314153[[#This Row],[累计净值]]/$B$35-1</f>
        <v>2.7695351137487556E-2</v>
      </c>
    </row>
    <row r="112" spans="1:8" x14ac:dyDescent="0.2">
      <c r="A112" s="161">
        <v>44013</v>
      </c>
      <c r="B112" s="162">
        <v>1.038</v>
      </c>
      <c r="C112" s="171">
        <f>IFERROR(B112-B111,0)</f>
        <v>-9.9999999999988987E-4</v>
      </c>
      <c r="D112" s="168">
        <f>IF(C112&lt;0,C112,"/")</f>
        <v>-9.9999999999988987E-4</v>
      </c>
      <c r="E112" s="168">
        <f ca="1">IF(表2_36716262930389121314153[[#This Row],[累计净值]]/MAX(INDIRECT("B21:B" &amp; ROW()))-1&lt;E111,表2_36716262930389121314153[[#This Row],[累计净值]]/MAX(INDIRECT("B21:B" &amp; ROW()))-1,E111)</f>
        <v>-5.7859209257473676E-3</v>
      </c>
      <c r="F112" s="110">
        <f>表2_36716262930389121314153[[#This Row],[累计净值]]</f>
        <v>1.038</v>
      </c>
      <c r="G112" s="170">
        <f>表2_36716262930389121314153[[#This Row],[累计净值]]/$B$21-1</f>
        <v>3.4895314057826754E-2</v>
      </c>
      <c r="H112" s="170">
        <f>表2_36716262930389121314153[[#This Row],[累计净值]]/$B$35-1</f>
        <v>2.670623145400608E-2</v>
      </c>
    </row>
    <row r="113" spans="1:8" x14ac:dyDescent="0.2">
      <c r="A113" s="161">
        <v>44014</v>
      </c>
      <c r="B113" s="162">
        <v>1.036</v>
      </c>
      <c r="C113" s="171">
        <f>IFERROR(B113-B112,0)</f>
        <v>-2.0000000000000018E-3</v>
      </c>
      <c r="D113" s="168">
        <f>IF(C113&lt;0,C113,"/")</f>
        <v>-2.0000000000000018E-3</v>
      </c>
      <c r="E113" s="168">
        <f ca="1">IF(表2_36716262930389121314153[[#This Row],[累计净值]]/MAX(INDIRECT("B21:B" &amp; ROW()))-1&lt;E112,表2_36716262930389121314153[[#This Row],[累计净值]]/MAX(INDIRECT("B21:B" &amp; ROW()))-1,E112)</f>
        <v>-5.7859209257473676E-3</v>
      </c>
      <c r="F113" s="110">
        <f>表2_36716262930389121314153[[#This Row],[累计净值]]</f>
        <v>1.036</v>
      </c>
      <c r="G113" s="170">
        <f>表2_36716262930389121314153[[#This Row],[累计净值]]/$B$21-1</f>
        <v>3.2901296111665257E-2</v>
      </c>
      <c r="H113" s="170">
        <f>表2_36716262930389121314153[[#This Row],[累计净值]]/$B$35-1</f>
        <v>2.4727992087042683E-2</v>
      </c>
    </row>
    <row r="114" spans="1:8" x14ac:dyDescent="0.2">
      <c r="A114" s="161">
        <v>44015</v>
      </c>
      <c r="B114" s="162">
        <v>1.036</v>
      </c>
      <c r="C114" s="171">
        <f>IFERROR(B114-B113,0)</f>
        <v>0</v>
      </c>
      <c r="D114" s="168" t="str">
        <f>IF(C114&lt;0,C114,"/")</f>
        <v>/</v>
      </c>
      <c r="E114" s="168">
        <f ca="1">IF(表2_36716262930389121314153[[#This Row],[累计净值]]/MAX(INDIRECT("B21:B" &amp; ROW()))-1&lt;E113,表2_36716262930389121314153[[#This Row],[累计净值]]/MAX(INDIRECT("B21:B" &amp; ROW()))-1,E113)</f>
        <v>-5.7859209257473676E-3</v>
      </c>
      <c r="F114" s="110">
        <f>表2_36716262930389121314153[[#This Row],[累计净值]]</f>
        <v>1.036</v>
      </c>
      <c r="G114" s="170">
        <f>表2_36716262930389121314153[[#This Row],[累计净值]]/$B$21-1</f>
        <v>3.2901296111665257E-2</v>
      </c>
      <c r="H114" s="170">
        <f>表2_36716262930389121314153[[#This Row],[累计净值]]/$B$35-1</f>
        <v>2.4727992087042683E-2</v>
      </c>
    </row>
    <row r="115" spans="1:8" x14ac:dyDescent="0.2">
      <c r="A115" s="161">
        <v>44018</v>
      </c>
      <c r="B115" s="162">
        <v>1.0409999999999999</v>
      </c>
      <c r="C115" s="171">
        <f>IFERROR(B115-B114,0)</f>
        <v>4.9999999999998934E-3</v>
      </c>
      <c r="D115" s="168" t="str">
        <f>IF(C115&lt;0,C115,"/")</f>
        <v>/</v>
      </c>
      <c r="E115" s="168">
        <f ca="1">IF(表2_36716262930389121314153[[#This Row],[累计净值]]/MAX(INDIRECT("B21:B" &amp; ROW()))-1&lt;E114,表2_36716262930389121314153[[#This Row],[累计净值]]/MAX(INDIRECT("B21:B" &amp; ROW()))-1,E114)</f>
        <v>-5.7859209257473676E-3</v>
      </c>
      <c r="F115" s="110">
        <f>表2_36716262930389121314153[[#This Row],[累计净值]]</f>
        <v>1.0409999999999999</v>
      </c>
      <c r="G115" s="170">
        <f>表2_36716262930389121314153[[#This Row],[累计净值]]/$B$21-1</f>
        <v>3.7886340977068889E-2</v>
      </c>
      <c r="H115" s="170">
        <f>表2_36716262930389121314153[[#This Row],[累计净值]]/$B$35-1</f>
        <v>2.9673590504451175E-2</v>
      </c>
    </row>
    <row r="116" spans="1:8" x14ac:dyDescent="0.2">
      <c r="A116" s="161">
        <v>44019</v>
      </c>
      <c r="B116" s="162">
        <v>1.048</v>
      </c>
      <c r="C116" s="171">
        <f t="shared" ref="C116:C121" si="10">IFERROR(B116-B115,0)</f>
        <v>7.0000000000001172E-3</v>
      </c>
      <c r="D116" s="168" t="str">
        <f t="shared" ref="D116:D121" si="11">IF(C116&lt;0,C116,"/")</f>
        <v>/</v>
      </c>
      <c r="E116" s="168">
        <f ca="1">IF(表2_36716262930389121314153[[#This Row],[累计净值]]/MAX(INDIRECT("B21:B" &amp; ROW()))-1&lt;E115,表2_36716262930389121314153[[#This Row],[累计净值]]/MAX(INDIRECT("B21:B" &amp; ROW()))-1,E115)</f>
        <v>-5.7859209257473676E-3</v>
      </c>
      <c r="F116" s="110">
        <f>表2_36716262930389121314153[[#This Row],[累计净值]]</f>
        <v>1.048</v>
      </c>
      <c r="G116" s="170">
        <f>表2_36716262930389121314153[[#This Row],[累计净值]]/$B$21-1</f>
        <v>4.4865403788634239E-2</v>
      </c>
      <c r="H116" s="170">
        <f>表2_36716262930389121314153[[#This Row],[累计净值]]/$B$35-1</f>
        <v>3.6597428288823064E-2</v>
      </c>
    </row>
    <row r="117" spans="1:8" x14ac:dyDescent="0.2">
      <c r="A117" s="161">
        <v>44020</v>
      </c>
      <c r="B117" s="162">
        <v>1.0509999999999999</v>
      </c>
      <c r="C117" s="171">
        <f t="shared" si="10"/>
        <v>2.9999999999998916E-3</v>
      </c>
      <c r="D117" s="168" t="str">
        <f t="shared" si="11"/>
        <v>/</v>
      </c>
      <c r="E117" s="168">
        <f ca="1">IF(表2_36716262930389121314153[[#This Row],[累计净值]]/MAX(INDIRECT("B21:B" &amp; ROW()))-1&lt;E116,表2_36716262930389121314153[[#This Row],[累计净值]]/MAX(INDIRECT("B21:B" &amp; ROW()))-1,E116)</f>
        <v>-5.7859209257473676E-3</v>
      </c>
      <c r="F117" s="110">
        <f>表2_36716262930389121314153[[#This Row],[累计净值]]</f>
        <v>1.0509999999999999</v>
      </c>
      <c r="G117" s="170">
        <f>表2_36716262930389121314153[[#This Row],[累计净值]]/$B$21-1</f>
        <v>4.7856430707876374E-2</v>
      </c>
      <c r="H117" s="170">
        <f>表2_36716262930389121314153[[#This Row],[累计净值]]/$B$35-1</f>
        <v>3.9564787339268159E-2</v>
      </c>
    </row>
    <row r="118" spans="1:8" x14ac:dyDescent="0.2">
      <c r="A118" s="161">
        <v>44021</v>
      </c>
      <c r="B118" s="162">
        <v>1.052</v>
      </c>
      <c r="C118" s="171">
        <f t="shared" si="10"/>
        <v>1.0000000000001119E-3</v>
      </c>
      <c r="D118" s="168" t="str">
        <f t="shared" si="11"/>
        <v>/</v>
      </c>
      <c r="E118" s="168">
        <f ca="1">IF(表2_36716262930389121314153[[#This Row],[累计净值]]/MAX(INDIRECT("B21:B" &amp; ROW()))-1&lt;E117,表2_36716262930389121314153[[#This Row],[累计净值]]/MAX(INDIRECT("B21:B" &amp; ROW()))-1,E117)</f>
        <v>-5.7859209257473676E-3</v>
      </c>
      <c r="F118" s="110">
        <f>表2_36716262930389121314153[[#This Row],[累计净值]]</f>
        <v>1.052</v>
      </c>
      <c r="G118" s="170">
        <f>表2_36716262930389121314153[[#This Row],[累计净值]]/$B$21-1</f>
        <v>4.8853439680957234E-2</v>
      </c>
      <c r="H118" s="170">
        <f>表2_36716262930389121314153[[#This Row],[累计净值]]/$B$35-1</f>
        <v>4.0553907022749858E-2</v>
      </c>
    </row>
    <row r="119" spans="1:8" x14ac:dyDescent="0.2">
      <c r="A119" s="161">
        <v>44022</v>
      </c>
      <c r="B119" s="162">
        <v>1.0549999999999999</v>
      </c>
      <c r="C119" s="171">
        <f t="shared" si="10"/>
        <v>2.9999999999998916E-3</v>
      </c>
      <c r="D119" s="168" t="str">
        <f t="shared" si="11"/>
        <v>/</v>
      </c>
      <c r="E119" s="168">
        <f ca="1">IF(表2_36716262930389121314153[[#This Row],[累计净值]]/MAX(INDIRECT("B21:B" &amp; ROW()))-1&lt;E118,表2_36716262930389121314153[[#This Row],[累计净值]]/MAX(INDIRECT("B21:B" &amp; ROW()))-1,E118)</f>
        <v>-5.7859209257473676E-3</v>
      </c>
      <c r="F119" s="110">
        <f>表2_36716262930389121314153[[#This Row],[累计净值]]</f>
        <v>1.0549999999999999</v>
      </c>
      <c r="G119" s="170">
        <f>表2_36716262930389121314153[[#This Row],[累计净值]]/$B$21-1</f>
        <v>5.1844466600199368E-2</v>
      </c>
      <c r="H119" s="170">
        <f>表2_36716262930389121314153[[#This Row],[累计净值]]/$B$35-1</f>
        <v>4.3521266073194953E-2</v>
      </c>
    </row>
    <row r="120" spans="1:8" x14ac:dyDescent="0.2">
      <c r="A120" s="161">
        <v>44025</v>
      </c>
      <c r="B120" s="162">
        <v>1.056</v>
      </c>
      <c r="C120" s="171">
        <f t="shared" si="10"/>
        <v>1.0000000000001119E-3</v>
      </c>
      <c r="D120" s="168" t="str">
        <f t="shared" si="11"/>
        <v>/</v>
      </c>
      <c r="E120" s="168">
        <f ca="1">IF(表2_36716262930389121314153[[#This Row],[累计净值]]/MAX(INDIRECT("B21:B" &amp; ROW()))-1&lt;E119,表2_36716262930389121314153[[#This Row],[累计净值]]/MAX(INDIRECT("B21:B" &amp; ROW()))-1,E119)</f>
        <v>-5.7859209257473676E-3</v>
      </c>
      <c r="F120" s="110">
        <f>表2_36716262930389121314153[[#This Row],[累计净值]]</f>
        <v>1.056</v>
      </c>
      <c r="G120" s="170">
        <f>表2_36716262930389121314153[[#This Row],[累计净值]]/$B$21-1</f>
        <v>5.2841475573280228E-2</v>
      </c>
      <c r="H120" s="170">
        <f>表2_36716262930389121314153[[#This Row],[累计净值]]/$B$35-1</f>
        <v>4.4510385756676651E-2</v>
      </c>
    </row>
    <row r="121" spans="1:8" x14ac:dyDescent="0.2">
      <c r="A121" s="161">
        <v>44026</v>
      </c>
      <c r="B121" s="162">
        <v>1.0549999999999999</v>
      </c>
      <c r="C121" s="171">
        <f t="shared" si="10"/>
        <v>-1.0000000000001119E-3</v>
      </c>
      <c r="D121" s="168">
        <f t="shared" si="11"/>
        <v>-1.0000000000001119E-3</v>
      </c>
      <c r="E121" s="168">
        <f ca="1">IF(表2_36716262930389121314153[[#This Row],[累计净值]]/MAX(INDIRECT("B21:B" &amp; ROW()))-1&lt;E120,表2_36716262930389121314153[[#This Row],[累计净值]]/MAX(INDIRECT("B21:B" &amp; ROW()))-1,E120)</f>
        <v>-5.7859209257473676E-3</v>
      </c>
      <c r="F121" s="110">
        <f>表2_36716262930389121314153[[#This Row],[累计净值]]</f>
        <v>1.0549999999999999</v>
      </c>
      <c r="G121" s="170">
        <f>表2_36716262930389121314153[[#This Row],[累计净值]]/$B$21-1</f>
        <v>5.1844466600199368E-2</v>
      </c>
      <c r="H121" s="170">
        <f>表2_36716262930389121314153[[#This Row],[累计净值]]/$B$35-1</f>
        <v>4.3521266073194953E-2</v>
      </c>
    </row>
    <row r="122" spans="1:8" x14ac:dyDescent="0.2">
      <c r="A122" s="161">
        <v>44027</v>
      </c>
      <c r="B122" s="162">
        <v>1.0549999999999999</v>
      </c>
      <c r="C122" s="171">
        <f t="shared" ref="C122:C127" si="12">IFERROR(B122-B121,0)</f>
        <v>0</v>
      </c>
      <c r="D122" s="168" t="str">
        <f t="shared" ref="D122:D127" si="13">IF(C122&lt;0,C122,"/")</f>
        <v>/</v>
      </c>
      <c r="E122" s="168">
        <f ca="1">IF(表2_36716262930389121314153[[#This Row],[累计净值]]/MAX(INDIRECT("B21:B" &amp; ROW()))-1&lt;E121,表2_36716262930389121314153[[#This Row],[累计净值]]/MAX(INDIRECT("B21:B" &amp; ROW()))-1,E121)</f>
        <v>-5.7859209257473676E-3</v>
      </c>
      <c r="F122" s="110">
        <f>表2_36716262930389121314153[[#This Row],[累计净值]]</f>
        <v>1.0549999999999999</v>
      </c>
      <c r="G122" s="170">
        <f>表2_36716262930389121314153[[#This Row],[累计净值]]/$B$21-1</f>
        <v>5.1844466600199368E-2</v>
      </c>
      <c r="H122" s="170">
        <f>表2_36716262930389121314153[[#This Row],[累计净值]]/$B$35-1</f>
        <v>4.3521266073194953E-2</v>
      </c>
    </row>
    <row r="123" spans="1:8" x14ac:dyDescent="0.2">
      <c r="A123" s="161">
        <v>44028</v>
      </c>
      <c r="B123" s="162">
        <v>1.0660000000000001</v>
      </c>
      <c r="C123" s="171">
        <f t="shared" si="12"/>
        <v>1.1000000000000121E-2</v>
      </c>
      <c r="D123" s="168" t="str">
        <f t="shared" si="13"/>
        <v>/</v>
      </c>
      <c r="E123" s="168">
        <f ca="1">IF(表2_36716262930389121314153[[#This Row],[累计净值]]/MAX(INDIRECT("B21:B" &amp; ROW()))-1&lt;E122,表2_36716262930389121314153[[#This Row],[累计净值]]/MAX(INDIRECT("B21:B" &amp; ROW()))-1,E122)</f>
        <v>-5.7859209257473676E-3</v>
      </c>
      <c r="F123" s="110">
        <f>表2_36716262930389121314153[[#This Row],[累计净值]]</f>
        <v>1.0660000000000001</v>
      </c>
      <c r="G123" s="170">
        <f>表2_36716262930389121314153[[#This Row],[累计净值]]/$B$21-1</f>
        <v>6.2811565304087935E-2</v>
      </c>
      <c r="H123" s="170">
        <f>表2_36716262930389121314153[[#This Row],[累计净值]]/$B$35-1</f>
        <v>5.4401582591493636E-2</v>
      </c>
    </row>
    <row r="124" spans="1:8" x14ac:dyDescent="0.2">
      <c r="A124" s="161">
        <v>44029</v>
      </c>
      <c r="B124" s="162">
        <v>1.0680000000000001</v>
      </c>
      <c r="C124" s="171">
        <f t="shared" si="12"/>
        <v>2.0000000000000018E-3</v>
      </c>
      <c r="D124" s="168" t="str">
        <f t="shared" si="13"/>
        <v>/</v>
      </c>
      <c r="E124" s="168">
        <f ca="1">IF(表2_36716262930389121314153[[#This Row],[累计净值]]/MAX(INDIRECT("B21:B" &amp; ROW()))-1&lt;E123,表2_36716262930389121314153[[#This Row],[累计净值]]/MAX(INDIRECT("B21:B" &amp; ROW()))-1,E123)</f>
        <v>-5.7859209257473676E-3</v>
      </c>
      <c r="F124" s="110">
        <f>表2_36716262930389121314153[[#This Row],[累计净值]]</f>
        <v>1.0680000000000001</v>
      </c>
      <c r="G124" s="170">
        <f>表2_36716262930389121314153[[#This Row],[累计净值]]/$B$21-1</f>
        <v>6.4805583250249432E-2</v>
      </c>
      <c r="H124" s="170">
        <f>表2_36716262930389121314153[[#This Row],[累计净值]]/$B$35-1</f>
        <v>5.6379821958457033E-2</v>
      </c>
    </row>
    <row r="125" spans="1:8" x14ac:dyDescent="0.2">
      <c r="A125" s="161">
        <v>44032</v>
      </c>
      <c r="B125" s="162">
        <v>1.07</v>
      </c>
      <c r="C125" s="171">
        <f t="shared" si="12"/>
        <v>2.0000000000000018E-3</v>
      </c>
      <c r="D125" s="168" t="str">
        <f t="shared" si="13"/>
        <v>/</v>
      </c>
      <c r="E125" s="168">
        <f ca="1">IF(表2_36716262930389121314153[[#This Row],[累计净值]]/MAX(INDIRECT("B21:B" &amp; ROW()))-1&lt;E124,表2_36716262930389121314153[[#This Row],[累计净值]]/MAX(INDIRECT("B21:B" &amp; ROW()))-1,E124)</f>
        <v>-5.7859209257473676E-3</v>
      </c>
      <c r="F125" s="110">
        <f>表2_36716262930389121314153[[#This Row],[累计净值]]</f>
        <v>1.07</v>
      </c>
      <c r="G125" s="170">
        <f>表2_36716262930389121314153[[#This Row],[累计净值]]/$B$21-1</f>
        <v>6.6799601196410929E-2</v>
      </c>
      <c r="H125" s="170">
        <f>表2_36716262930389121314153[[#This Row],[累计净值]]/$B$35-1</f>
        <v>5.8358061325420651E-2</v>
      </c>
    </row>
    <row r="126" spans="1:8" x14ac:dyDescent="0.2">
      <c r="A126" s="161">
        <v>44033</v>
      </c>
      <c r="B126" s="162">
        <v>1.071</v>
      </c>
      <c r="C126" s="171">
        <f t="shared" si="12"/>
        <v>9.9999999999988987E-4</v>
      </c>
      <c r="D126" s="168" t="str">
        <f t="shared" si="13"/>
        <v>/</v>
      </c>
      <c r="E126" s="168">
        <f ca="1">IF(表2_36716262930389121314153[[#This Row],[累计净值]]/MAX(INDIRECT("B21:B" &amp; ROW()))-1&lt;E125,表2_36716262930389121314153[[#This Row],[累计净值]]/MAX(INDIRECT("B21:B" &amp; ROW()))-1,E125)</f>
        <v>-5.7859209257473676E-3</v>
      </c>
      <c r="F126" s="110">
        <f>表2_36716262930389121314153[[#This Row],[累计净值]]</f>
        <v>1.071</v>
      </c>
      <c r="G126" s="170">
        <f>表2_36716262930389121314153[[#This Row],[累计净值]]/$B$21-1</f>
        <v>6.7796610169491567E-2</v>
      </c>
      <c r="H126" s="170">
        <f>表2_36716262930389121314153[[#This Row],[累计净值]]/$B$35-1</f>
        <v>5.9347181008902128E-2</v>
      </c>
    </row>
    <row r="127" spans="1:8" x14ac:dyDescent="0.2">
      <c r="A127" s="161">
        <v>44034</v>
      </c>
      <c r="B127" s="162">
        <v>1.071</v>
      </c>
      <c r="C127" s="171">
        <f t="shared" si="12"/>
        <v>0</v>
      </c>
      <c r="D127" s="168" t="str">
        <f t="shared" si="13"/>
        <v>/</v>
      </c>
      <c r="E127" s="168">
        <f ca="1">IF(表2_36716262930389121314153[[#This Row],[累计净值]]/MAX(INDIRECT("B21:B" &amp; ROW()))-1&lt;E126,表2_36716262930389121314153[[#This Row],[累计净值]]/MAX(INDIRECT("B21:B" &amp; ROW()))-1,E126)</f>
        <v>-5.7859209257473676E-3</v>
      </c>
      <c r="F127" s="110">
        <f>表2_36716262930389121314153[[#This Row],[累计净值]]</f>
        <v>1.071</v>
      </c>
      <c r="G127" s="170">
        <f>表2_36716262930389121314153[[#This Row],[累计净值]]/$B$21-1</f>
        <v>6.7796610169491567E-2</v>
      </c>
      <c r="H127" s="170">
        <f>表2_36716262930389121314153[[#This Row],[累计净值]]/$B$35-1</f>
        <v>5.9347181008902128E-2</v>
      </c>
    </row>
    <row r="128" spans="1:8" x14ac:dyDescent="0.2">
      <c r="A128" s="161">
        <v>44035</v>
      </c>
      <c r="B128" s="162">
        <v>1.0720000000000001</v>
      </c>
      <c r="C128" s="171">
        <f>IFERROR(B128-B127,0)</f>
        <v>1.0000000000001119E-3</v>
      </c>
      <c r="D128" s="168" t="str">
        <f>IF(C128&lt;0,C128,"/")</f>
        <v>/</v>
      </c>
      <c r="E128" s="168">
        <f ca="1">IF(表2_36716262930389121314153[[#This Row],[累计净值]]/MAX(INDIRECT("B21:B" &amp; ROW()))-1&lt;E127,表2_36716262930389121314153[[#This Row],[累计净值]]/MAX(INDIRECT("B21:B" &amp; ROW()))-1,E127)</f>
        <v>-5.7859209257473676E-3</v>
      </c>
      <c r="F128" s="110">
        <f>表2_36716262930389121314153[[#This Row],[累计净值]]</f>
        <v>1.0720000000000001</v>
      </c>
      <c r="G128" s="170">
        <f>表2_36716262930389121314153[[#This Row],[累计净值]]/$B$21-1</f>
        <v>6.8793619142572426E-2</v>
      </c>
      <c r="H128" s="170">
        <f>表2_36716262930389121314153[[#This Row],[累计净值]]/$B$35-1</f>
        <v>6.0336300692384048E-2</v>
      </c>
    </row>
    <row r="129" spans="1:8" x14ac:dyDescent="0.2">
      <c r="A129" s="161">
        <v>44036</v>
      </c>
      <c r="B129" s="162">
        <v>1.0720000000000001</v>
      </c>
      <c r="C129" s="171">
        <f>IFERROR(B129-B128,0)</f>
        <v>0</v>
      </c>
      <c r="D129" s="168" t="str">
        <f>IF(C129&lt;0,C129,"/")</f>
        <v>/</v>
      </c>
      <c r="E129" s="168">
        <f ca="1">IF(表2_36716262930389121314153[[#This Row],[累计净值]]/MAX(INDIRECT("B21:B" &amp; ROW()))-1&lt;E128,表2_36716262930389121314153[[#This Row],[累计净值]]/MAX(INDIRECT("B21:B" &amp; ROW()))-1,E128)</f>
        <v>-5.7859209257473676E-3</v>
      </c>
      <c r="F129" s="110">
        <f>表2_36716262930389121314153[[#This Row],[累计净值]]</f>
        <v>1.0720000000000001</v>
      </c>
      <c r="G129" s="170">
        <f>表2_36716262930389121314153[[#This Row],[累计净值]]/$B$21-1</f>
        <v>6.8793619142572426E-2</v>
      </c>
      <c r="H129" s="170">
        <f>表2_36716262930389121314153[[#This Row],[累计净值]]/$B$35-1</f>
        <v>6.0336300692384048E-2</v>
      </c>
    </row>
    <row r="130" spans="1:8" x14ac:dyDescent="0.2">
      <c r="A130" s="161">
        <v>44039</v>
      </c>
      <c r="B130" s="162">
        <v>1.075</v>
      </c>
      <c r="C130" s="171">
        <f t="shared" ref="C130:C135" si="14">IFERROR(B130-B129,0)</f>
        <v>2.9999999999998916E-3</v>
      </c>
      <c r="D130" s="168" t="str">
        <f t="shared" ref="D130:D135" si="15">IF(C130&lt;0,C130,"/")</f>
        <v>/</v>
      </c>
      <c r="E130" s="168">
        <f ca="1">IF(表2_36716262930389121314153[[#This Row],[累计净值]]/MAX(INDIRECT("B21:B" &amp; ROW()))-1&lt;E129,表2_36716262930389121314153[[#This Row],[累计净值]]/MAX(INDIRECT("B21:B" &amp; ROW()))-1,E129)</f>
        <v>-5.7859209257473676E-3</v>
      </c>
      <c r="F130" s="110">
        <f>表2_36716262930389121314153[[#This Row],[累计净值]]</f>
        <v>1.075</v>
      </c>
      <c r="G130" s="170">
        <f>表2_36716262930389121314153[[#This Row],[累计净值]]/$B$21-1</f>
        <v>7.1784646061814561E-2</v>
      </c>
      <c r="H130" s="170">
        <f>表2_36716262930389121314153[[#This Row],[累计净值]]/$B$35-1</f>
        <v>6.3303659742828922E-2</v>
      </c>
    </row>
    <row r="131" spans="1:8" x14ac:dyDescent="0.2">
      <c r="A131" s="161">
        <v>44040</v>
      </c>
      <c r="B131" s="162">
        <v>1.073</v>
      </c>
      <c r="C131" s="171">
        <f t="shared" si="14"/>
        <v>-2.0000000000000018E-3</v>
      </c>
      <c r="D131" s="168">
        <f t="shared" si="15"/>
        <v>-2.0000000000000018E-3</v>
      </c>
      <c r="E131" s="168">
        <f ca="1">IF(表2_36716262930389121314153[[#This Row],[累计净值]]/MAX(INDIRECT("B21:B" &amp; ROW()))-1&lt;E130,表2_36716262930389121314153[[#This Row],[累计净值]]/MAX(INDIRECT("B21:B" &amp; ROW()))-1,E130)</f>
        <v>-5.7859209257473676E-3</v>
      </c>
      <c r="F131" s="110">
        <f>表2_36716262930389121314153[[#This Row],[累计净值]]</f>
        <v>1.073</v>
      </c>
      <c r="G131" s="170">
        <f>表2_36716262930389121314153[[#This Row],[累计净值]]/$B$21-1</f>
        <v>6.9790628115653064E-2</v>
      </c>
      <c r="H131" s="170">
        <f>表2_36716262930389121314153[[#This Row],[累计净值]]/$B$35-1</f>
        <v>6.1325420375865525E-2</v>
      </c>
    </row>
    <row r="132" spans="1:8" x14ac:dyDescent="0.2">
      <c r="A132" s="161">
        <v>44041</v>
      </c>
      <c r="B132" s="162">
        <v>1.073</v>
      </c>
      <c r="C132" s="171">
        <f t="shared" si="14"/>
        <v>0</v>
      </c>
      <c r="D132" s="168" t="str">
        <f t="shared" si="15"/>
        <v>/</v>
      </c>
      <c r="E132" s="168">
        <f ca="1">IF(表2_36716262930389121314153[[#This Row],[累计净值]]/MAX(INDIRECT("B21:B" &amp; ROW()))-1&lt;E131,表2_36716262930389121314153[[#This Row],[累计净值]]/MAX(INDIRECT("B21:B" &amp; ROW()))-1,E131)</f>
        <v>-5.7859209257473676E-3</v>
      </c>
      <c r="F132" s="110">
        <f>表2_36716262930389121314153[[#This Row],[累计净值]]</f>
        <v>1.073</v>
      </c>
      <c r="G132" s="170">
        <f>表2_36716262930389121314153[[#This Row],[累计净值]]/$B$21-1</f>
        <v>6.9790628115653064E-2</v>
      </c>
      <c r="H132" s="170">
        <f>表2_36716262930389121314153[[#This Row],[累计净值]]/$B$35-1</f>
        <v>6.1325420375865525E-2</v>
      </c>
    </row>
    <row r="133" spans="1:8" x14ac:dyDescent="0.2">
      <c r="A133" s="161">
        <v>44042</v>
      </c>
      <c r="B133" s="162">
        <v>1.073</v>
      </c>
      <c r="C133" s="171">
        <f t="shared" si="14"/>
        <v>0</v>
      </c>
      <c r="D133" s="168" t="str">
        <f t="shared" si="15"/>
        <v>/</v>
      </c>
      <c r="E133" s="168">
        <f ca="1">IF(表2_36716262930389121314153[[#This Row],[累计净值]]/MAX(INDIRECT("B21:B" &amp; ROW()))-1&lt;E132,表2_36716262930389121314153[[#This Row],[累计净值]]/MAX(INDIRECT("B21:B" &amp; ROW()))-1,E132)</f>
        <v>-5.7859209257473676E-3</v>
      </c>
      <c r="F133" s="110">
        <f>表2_36716262930389121314153[[#This Row],[累计净值]]</f>
        <v>1.073</v>
      </c>
      <c r="G133" s="170">
        <f>表2_36716262930389121314153[[#This Row],[累计净值]]/$B$21-1</f>
        <v>6.9790628115653064E-2</v>
      </c>
      <c r="H133" s="170">
        <f>表2_36716262930389121314153[[#This Row],[累计净值]]/$B$35-1</f>
        <v>6.1325420375865525E-2</v>
      </c>
    </row>
    <row r="134" spans="1:8" x14ac:dyDescent="0.2">
      <c r="A134" s="161">
        <v>44043</v>
      </c>
      <c r="B134" s="162">
        <v>1.075</v>
      </c>
      <c r="C134" s="171">
        <f t="shared" si="14"/>
        <v>2.0000000000000018E-3</v>
      </c>
      <c r="D134" s="168" t="str">
        <f t="shared" si="15"/>
        <v>/</v>
      </c>
      <c r="E134" s="168">
        <f ca="1">IF(表2_36716262930389121314153[[#This Row],[累计净值]]/MAX(INDIRECT("B21:B" &amp; ROW()))-1&lt;E133,表2_36716262930389121314153[[#This Row],[累计净值]]/MAX(INDIRECT("B21:B" &amp; ROW()))-1,E133)</f>
        <v>-5.7859209257473676E-3</v>
      </c>
      <c r="F134" s="110">
        <f>表2_36716262930389121314153[[#This Row],[累计净值]]</f>
        <v>1.075</v>
      </c>
      <c r="G134" s="170">
        <f>表2_36716262930389121314153[[#This Row],[累计净值]]/$B$21-1</f>
        <v>7.1784646061814561E-2</v>
      </c>
      <c r="H134" s="170">
        <f>表2_36716262930389121314153[[#This Row],[累计净值]]/$B$35-1</f>
        <v>6.3303659742828922E-2</v>
      </c>
    </row>
    <row r="135" spans="1:8" x14ac:dyDescent="0.2">
      <c r="A135" s="161">
        <v>44046</v>
      </c>
      <c r="B135" s="162">
        <v>1.0760000000000001</v>
      </c>
      <c r="C135" s="171">
        <f t="shared" si="14"/>
        <v>1.0000000000001119E-3</v>
      </c>
      <c r="D135" s="168" t="str">
        <f t="shared" si="15"/>
        <v>/</v>
      </c>
      <c r="E135" s="168">
        <f ca="1">IF(表2_36716262930389121314153[[#This Row],[累计净值]]/MAX(INDIRECT("B21:B" &amp; ROW()))-1&lt;E134,表2_36716262930389121314153[[#This Row],[累计净值]]/MAX(INDIRECT("B21:B" &amp; ROW()))-1,E134)</f>
        <v>-5.7859209257473676E-3</v>
      </c>
      <c r="F135" s="110">
        <f>表2_36716262930389121314153[[#This Row],[累计净值]]</f>
        <v>1.0760000000000001</v>
      </c>
      <c r="G135" s="170">
        <f>表2_36716262930389121314153[[#This Row],[累计净值]]/$B$21-1</f>
        <v>7.2781655034895421E-2</v>
      </c>
      <c r="H135" s="170">
        <f>表2_36716262930389121314153[[#This Row],[累计净值]]/$B$35-1</f>
        <v>6.4292779426310842E-2</v>
      </c>
    </row>
    <row r="136" spans="1:8" x14ac:dyDescent="0.2">
      <c r="A136" s="161">
        <v>44047</v>
      </c>
      <c r="B136" s="162">
        <v>1.073</v>
      </c>
      <c r="C136" s="171">
        <f t="shared" ref="C136:C141" si="16">IFERROR(B136-B135,0)</f>
        <v>-3.0000000000001137E-3</v>
      </c>
      <c r="D136" s="168">
        <f t="shared" ref="D136:D141" si="17">IF(C136&lt;0,C136,"/")</f>
        <v>-3.0000000000001137E-3</v>
      </c>
      <c r="E136" s="168">
        <f ca="1">IF(表2_36716262930389121314153[[#This Row],[累计净值]]/MAX(INDIRECT("B21:B" &amp; ROW()))-1&lt;E135,表2_36716262930389121314153[[#This Row],[累计净值]]/MAX(INDIRECT("B21:B" &amp; ROW()))-1,E135)</f>
        <v>-5.7859209257473676E-3</v>
      </c>
      <c r="F136" s="110">
        <f>表2_36716262930389121314153[[#This Row],[累计净值]]</f>
        <v>1.073</v>
      </c>
      <c r="G136" s="170">
        <f>表2_36716262930389121314153[[#This Row],[累计净值]]/$B$21-1</f>
        <v>6.9790628115653064E-2</v>
      </c>
      <c r="H136" s="170">
        <f>表2_36716262930389121314153[[#This Row],[累计净值]]/$B$35-1</f>
        <v>6.1325420375865525E-2</v>
      </c>
    </row>
    <row r="137" spans="1:8" x14ac:dyDescent="0.2">
      <c r="A137" s="161">
        <v>44048</v>
      </c>
      <c r="B137" s="162">
        <v>1.075</v>
      </c>
      <c r="C137" s="171">
        <f t="shared" si="16"/>
        <v>2.0000000000000018E-3</v>
      </c>
      <c r="D137" s="168" t="str">
        <f t="shared" si="17"/>
        <v>/</v>
      </c>
      <c r="E137" s="168">
        <f ca="1">IF(表2_36716262930389121314153[[#This Row],[累计净值]]/MAX(INDIRECT("B21:B" &amp; ROW()))-1&lt;E136,表2_36716262930389121314153[[#This Row],[累计净值]]/MAX(INDIRECT("B21:B" &amp; ROW()))-1,E136)</f>
        <v>-5.7859209257473676E-3</v>
      </c>
      <c r="F137" s="110">
        <f>表2_36716262930389121314153[[#This Row],[累计净值]]</f>
        <v>1.075</v>
      </c>
      <c r="G137" s="170">
        <f>表2_36716262930389121314153[[#This Row],[累计净值]]/$B$21-1</f>
        <v>7.1784646061814561E-2</v>
      </c>
      <c r="H137" s="170">
        <f>表2_36716262930389121314153[[#This Row],[累计净值]]/$B$35-1</f>
        <v>6.3303659742828922E-2</v>
      </c>
    </row>
    <row r="138" spans="1:8" x14ac:dyDescent="0.2">
      <c r="A138" s="161">
        <v>44049</v>
      </c>
      <c r="B138" s="162">
        <v>1.075</v>
      </c>
      <c r="C138" s="171">
        <f t="shared" si="16"/>
        <v>0</v>
      </c>
      <c r="D138" s="168" t="str">
        <f t="shared" si="17"/>
        <v>/</v>
      </c>
      <c r="E138" s="168">
        <f ca="1">IF(表2_36716262930389121314153[[#This Row],[累计净值]]/MAX(INDIRECT("B21:B" &amp; ROW()))-1&lt;E137,表2_36716262930389121314153[[#This Row],[累计净值]]/MAX(INDIRECT("B21:B" &amp; ROW()))-1,E137)</f>
        <v>-5.7859209257473676E-3</v>
      </c>
      <c r="F138" s="110">
        <f>表2_36716262930389121314153[[#This Row],[累计净值]]</f>
        <v>1.075</v>
      </c>
      <c r="G138" s="170">
        <f>表2_36716262930389121314153[[#This Row],[累计净值]]/$B$21-1</f>
        <v>7.1784646061814561E-2</v>
      </c>
      <c r="H138" s="170">
        <f>表2_36716262930389121314153[[#This Row],[累计净值]]/$B$35-1</f>
        <v>6.3303659742828922E-2</v>
      </c>
    </row>
    <row r="139" spans="1:8" x14ac:dyDescent="0.2">
      <c r="A139" s="161">
        <v>44050</v>
      </c>
      <c r="B139" s="162">
        <v>1.0740000000000001</v>
      </c>
      <c r="C139" s="171">
        <f t="shared" si="16"/>
        <v>-9.9999999999988987E-4</v>
      </c>
      <c r="D139" s="168">
        <f t="shared" si="17"/>
        <v>-9.9999999999988987E-4</v>
      </c>
      <c r="E139" s="168">
        <f ca="1">IF(表2_36716262930389121314153[[#This Row],[累计净值]]/MAX(INDIRECT("B21:B" &amp; ROW()))-1&lt;E138,表2_36716262930389121314153[[#This Row],[累计净值]]/MAX(INDIRECT("B21:B" &amp; ROW()))-1,E138)</f>
        <v>-5.7859209257473676E-3</v>
      </c>
      <c r="F139" s="110">
        <f>表2_36716262930389121314153[[#This Row],[累计净值]]</f>
        <v>1.0740000000000001</v>
      </c>
      <c r="G139" s="170">
        <f>表2_36716262930389121314153[[#This Row],[累计净值]]/$B$21-1</f>
        <v>7.0787637088733923E-2</v>
      </c>
      <c r="H139" s="170">
        <f>表2_36716262930389121314153[[#This Row],[累计净值]]/$B$35-1</f>
        <v>6.2314540059347445E-2</v>
      </c>
    </row>
    <row r="140" spans="1:8" x14ac:dyDescent="0.2">
      <c r="A140" s="161">
        <v>44053</v>
      </c>
      <c r="B140" s="162">
        <v>1.0740000000000001</v>
      </c>
      <c r="C140" s="171">
        <f t="shared" si="16"/>
        <v>0</v>
      </c>
      <c r="D140" s="168" t="str">
        <f t="shared" si="17"/>
        <v>/</v>
      </c>
      <c r="E140" s="168">
        <f ca="1">IF(表2_36716262930389121314153[[#This Row],[累计净值]]/MAX(INDIRECT("B21:B" &amp; ROW()))-1&lt;E139,表2_36716262930389121314153[[#This Row],[累计净值]]/MAX(INDIRECT("B21:B" &amp; ROW()))-1,E139)</f>
        <v>-5.7859209257473676E-3</v>
      </c>
      <c r="F140" s="110">
        <f>表2_36716262930389121314153[[#This Row],[累计净值]]</f>
        <v>1.0740000000000001</v>
      </c>
      <c r="G140" s="170">
        <f>表2_36716262930389121314153[[#This Row],[累计净值]]/$B$21-1</f>
        <v>7.0787637088733923E-2</v>
      </c>
      <c r="H140" s="170">
        <f>表2_36716262930389121314153[[#This Row],[累计净值]]/$B$35-1</f>
        <v>6.2314540059347445E-2</v>
      </c>
    </row>
    <row r="141" spans="1:8" x14ac:dyDescent="0.2">
      <c r="A141" s="161">
        <v>44054</v>
      </c>
      <c r="B141" s="162">
        <v>1.073</v>
      </c>
      <c r="C141" s="171">
        <f t="shared" si="16"/>
        <v>-1.0000000000001119E-3</v>
      </c>
      <c r="D141" s="168">
        <f t="shared" si="17"/>
        <v>-1.0000000000001119E-3</v>
      </c>
      <c r="E141" s="168">
        <f ca="1">IF(表2_36716262930389121314153[[#This Row],[累计净值]]/MAX(INDIRECT("B21:B" &amp; ROW()))-1&lt;E140,表2_36716262930389121314153[[#This Row],[累计净值]]/MAX(INDIRECT("B21:B" &amp; ROW()))-1,E140)</f>
        <v>-5.7859209257473676E-3</v>
      </c>
      <c r="F141" s="110">
        <f>表2_36716262930389121314153[[#This Row],[累计净值]]</f>
        <v>1.073</v>
      </c>
      <c r="G141" s="170">
        <f>表2_36716262930389121314153[[#This Row],[累计净值]]/$B$21-1</f>
        <v>6.9790628115653064E-2</v>
      </c>
      <c r="H141" s="170">
        <f>表2_36716262930389121314153[[#This Row],[累计净值]]/$B$35-1</f>
        <v>6.1325420375865525E-2</v>
      </c>
    </row>
    <row r="142" spans="1:8" x14ac:dyDescent="0.2">
      <c r="A142" s="161">
        <v>44055</v>
      </c>
      <c r="B142" s="162">
        <v>1.079</v>
      </c>
      <c r="C142" s="171">
        <f t="shared" ref="C142:C147" si="18">IFERROR(B142-B141,0)</f>
        <v>6.0000000000000053E-3</v>
      </c>
      <c r="D142" s="168" t="str">
        <f t="shared" ref="D142:D147" si="19">IF(C142&lt;0,C142,"/")</f>
        <v>/</v>
      </c>
      <c r="E142" s="168">
        <f ca="1">IF(表2_36716262930389121314153[[#This Row],[累计净值]]/MAX(INDIRECT("B21:B" &amp; ROW()))-1&lt;E141,表2_36716262930389121314153[[#This Row],[累计净值]]/MAX(INDIRECT("B21:B" &amp; ROW()))-1,E141)</f>
        <v>-5.7859209257473676E-3</v>
      </c>
      <c r="F142" s="110">
        <f>表2_36716262930389121314153[[#This Row],[累计净值]]</f>
        <v>1.079</v>
      </c>
      <c r="G142" s="170">
        <f>表2_36716262930389121314153[[#This Row],[累计净值]]/$B$21-1</f>
        <v>7.5772681954137555E-2</v>
      </c>
      <c r="H142" s="170">
        <f>表2_36716262930389121314153[[#This Row],[累计净值]]/$B$35-1</f>
        <v>6.7260138476755715E-2</v>
      </c>
    </row>
    <row r="143" spans="1:8" x14ac:dyDescent="0.2">
      <c r="A143" s="161">
        <v>44056</v>
      </c>
      <c r="B143" s="162">
        <v>1.08</v>
      </c>
      <c r="C143" s="171">
        <f t="shared" si="18"/>
        <v>1.0000000000001119E-3</v>
      </c>
      <c r="D143" s="168" t="str">
        <f t="shared" si="19"/>
        <v>/</v>
      </c>
      <c r="E143" s="168">
        <f ca="1">IF(表2_36716262930389121314153[[#This Row],[累计净值]]/MAX(INDIRECT("B21:B" &amp; ROW()))-1&lt;E142,表2_36716262930389121314153[[#This Row],[累计净值]]/MAX(INDIRECT("B21:B" &amp; ROW()))-1,E142)</f>
        <v>-5.7859209257473676E-3</v>
      </c>
      <c r="F143" s="110">
        <f>表2_36716262930389121314153[[#This Row],[累计净值]]</f>
        <v>1.08</v>
      </c>
      <c r="G143" s="170">
        <f>表2_36716262930389121314153[[#This Row],[累计净值]]/$B$21-1</f>
        <v>7.6769690927218637E-2</v>
      </c>
      <c r="H143" s="170">
        <f>表2_36716262930389121314153[[#This Row],[累计净值]]/$B$35-1</f>
        <v>6.8249258160237636E-2</v>
      </c>
    </row>
    <row r="144" spans="1:8" x14ac:dyDescent="0.2">
      <c r="A144" s="161">
        <v>44057</v>
      </c>
      <c r="B144" s="162">
        <v>1.081</v>
      </c>
      <c r="C144" s="171">
        <f t="shared" si="18"/>
        <v>9.9999999999988987E-4</v>
      </c>
      <c r="D144" s="168" t="str">
        <f t="shared" si="19"/>
        <v>/</v>
      </c>
      <c r="E144" s="168">
        <f ca="1">IF(表2_36716262930389121314153[[#This Row],[累计净值]]/MAX(INDIRECT("B21:B" &amp; ROW()))-1&lt;E143,表2_36716262930389121314153[[#This Row],[累计净值]]/MAX(INDIRECT("B21:B" &amp; ROW()))-1,E143)</f>
        <v>-5.7859209257473676E-3</v>
      </c>
      <c r="F144" s="110">
        <f>表2_36716262930389121314153[[#This Row],[累计净值]]</f>
        <v>1.081</v>
      </c>
      <c r="G144" s="170">
        <f>表2_36716262930389121314153[[#This Row],[累计净值]]/$B$21-1</f>
        <v>7.7766699900299274E-2</v>
      </c>
      <c r="H144" s="170">
        <f>表2_36716262930389121314153[[#This Row],[累计净值]]/$B$35-1</f>
        <v>6.9238377843719112E-2</v>
      </c>
    </row>
    <row r="145" spans="1:8" x14ac:dyDescent="0.2">
      <c r="A145" s="161">
        <v>44060</v>
      </c>
      <c r="B145" s="162">
        <v>1.0740000000000001</v>
      </c>
      <c r="C145" s="171">
        <f t="shared" si="18"/>
        <v>-6.9999999999998952E-3</v>
      </c>
      <c r="D145" s="168">
        <f t="shared" si="19"/>
        <v>-6.9999999999998952E-3</v>
      </c>
      <c r="E145" s="168">
        <f ca="1">IF(表2_36716262930389121314153[[#This Row],[累计净值]]/MAX(INDIRECT("B21:B" &amp; ROW()))-1&lt;E144,表2_36716262930389121314153[[#This Row],[累计净值]]/MAX(INDIRECT("B21:B" &amp; ROW()))-1,E144)</f>
        <v>-6.4754856614245293E-3</v>
      </c>
      <c r="F145" s="110">
        <f>表2_36716262930389121314153[[#This Row],[累计净值]]</f>
        <v>1.0740000000000001</v>
      </c>
      <c r="G145" s="170">
        <f>表2_36716262930389121314153[[#This Row],[累计净值]]/$B$21-1</f>
        <v>7.0787637088733923E-2</v>
      </c>
      <c r="H145" s="170">
        <f>表2_36716262930389121314153[[#This Row],[累计净值]]/$B$35-1</f>
        <v>6.2314540059347445E-2</v>
      </c>
    </row>
    <row r="146" spans="1:8" x14ac:dyDescent="0.2">
      <c r="A146" s="161">
        <v>44061</v>
      </c>
      <c r="B146" s="162">
        <v>1.069</v>
      </c>
      <c r="C146" s="171">
        <f t="shared" si="18"/>
        <v>-5.0000000000001155E-3</v>
      </c>
      <c r="D146" s="168">
        <f t="shared" si="19"/>
        <v>-5.0000000000001155E-3</v>
      </c>
      <c r="E146" s="168">
        <f ca="1">IF(表2_36716262930389121314153[[#This Row],[累计净值]]/MAX(INDIRECT("B21:B" &amp; ROW()))-1&lt;E145,表2_36716262930389121314153[[#This Row],[累计净值]]/MAX(INDIRECT("B21:B" &amp; ROW()))-1,E145)</f>
        <v>-1.1100832562442209E-2</v>
      </c>
      <c r="F146" s="110">
        <f>表2_36716262930389121314153[[#This Row],[累计净值]]</f>
        <v>1.069</v>
      </c>
      <c r="G146" s="170">
        <f>表2_36716262930389121314153[[#This Row],[累计净值]]/$B$21-1</f>
        <v>6.580259222333007E-2</v>
      </c>
      <c r="H146" s="170">
        <f>表2_36716262930389121314153[[#This Row],[累计净值]]/$B$35-1</f>
        <v>5.7368941641938731E-2</v>
      </c>
    </row>
    <row r="147" spans="1:8" x14ac:dyDescent="0.2">
      <c r="A147" s="161">
        <v>44062</v>
      </c>
      <c r="B147" s="162">
        <v>1.0669999999999999</v>
      </c>
      <c r="C147" s="171">
        <f t="shared" si="18"/>
        <v>-2.0000000000000018E-3</v>
      </c>
      <c r="D147" s="168">
        <f t="shared" si="19"/>
        <v>-2.0000000000000018E-3</v>
      </c>
      <c r="E147" s="168">
        <f ca="1">IF(表2_36716262930389121314153[[#This Row],[累计净值]]/MAX(INDIRECT("B21:B" &amp; ROW()))-1&lt;E146,表2_36716262930389121314153[[#This Row],[累计净值]]/MAX(INDIRECT("B21:B" &amp; ROW()))-1,E146)</f>
        <v>-1.2950971322849281E-2</v>
      </c>
      <c r="F147" s="110">
        <f>表2_36716262930389121314153[[#This Row],[累计净值]]</f>
        <v>1.0669999999999999</v>
      </c>
      <c r="G147" s="170">
        <f>表2_36716262930389121314153[[#This Row],[累计净值]]/$B$21-1</f>
        <v>6.3808574277168573E-2</v>
      </c>
      <c r="H147" s="170">
        <f>表2_36716262930389121314153[[#This Row],[累计净值]]/$B$35-1</f>
        <v>5.5390702274975334E-2</v>
      </c>
    </row>
    <row r="148" spans="1:8" x14ac:dyDescent="0.2">
      <c r="A148" s="161">
        <v>44063</v>
      </c>
      <c r="B148" s="162">
        <v>1.0669999999999999</v>
      </c>
      <c r="C148" s="171">
        <f t="shared" ref="C148:C153" si="20">IFERROR(B148-B147,0)</f>
        <v>0</v>
      </c>
      <c r="D148" s="168" t="str">
        <f t="shared" ref="D148:D153" si="21">IF(C148&lt;0,C148,"/")</f>
        <v>/</v>
      </c>
      <c r="E148" s="168">
        <f ca="1">IF(表2_36716262930389121314153[[#This Row],[累计净值]]/MAX(INDIRECT("B21:B" &amp; ROW()))-1&lt;E147,表2_36716262930389121314153[[#This Row],[累计净值]]/MAX(INDIRECT("B21:B" &amp; ROW()))-1,E147)</f>
        <v>-1.2950971322849281E-2</v>
      </c>
      <c r="F148" s="110">
        <f>表2_36716262930389121314153[[#This Row],[累计净值]]</f>
        <v>1.0669999999999999</v>
      </c>
      <c r="G148" s="170">
        <f>表2_36716262930389121314153[[#This Row],[累计净值]]/$B$21-1</f>
        <v>6.3808574277168573E-2</v>
      </c>
      <c r="H148" s="170">
        <f>表2_36716262930389121314153[[#This Row],[累计净值]]/$B$35-1</f>
        <v>5.5390702274975334E-2</v>
      </c>
    </row>
    <row r="149" spans="1:8" x14ac:dyDescent="0.2">
      <c r="A149" s="161">
        <v>44064</v>
      </c>
      <c r="B149" s="162">
        <v>1.0669999999999999</v>
      </c>
      <c r="C149" s="171">
        <f t="shared" si="20"/>
        <v>0</v>
      </c>
      <c r="D149" s="168" t="str">
        <f t="shared" si="21"/>
        <v>/</v>
      </c>
      <c r="E149" s="168">
        <f ca="1">IF(表2_36716262930389121314153[[#This Row],[累计净值]]/MAX(INDIRECT("B21:B" &amp; ROW()))-1&lt;E148,表2_36716262930389121314153[[#This Row],[累计净值]]/MAX(INDIRECT("B21:B" &amp; ROW()))-1,E148)</f>
        <v>-1.2950971322849281E-2</v>
      </c>
      <c r="F149" s="110">
        <f>表2_36716262930389121314153[[#This Row],[累计净值]]</f>
        <v>1.0669999999999999</v>
      </c>
      <c r="G149" s="170">
        <f>表2_36716262930389121314153[[#This Row],[累计净值]]/$B$21-1</f>
        <v>6.3808574277168573E-2</v>
      </c>
      <c r="H149" s="170">
        <f>表2_36716262930389121314153[[#This Row],[累计净值]]/$B$35-1</f>
        <v>5.5390702274975334E-2</v>
      </c>
    </row>
    <row r="150" spans="1:8" x14ac:dyDescent="0.2">
      <c r="A150" s="161">
        <v>44067</v>
      </c>
      <c r="B150" s="162">
        <v>1.071</v>
      </c>
      <c r="C150" s="171">
        <f t="shared" si="20"/>
        <v>4.0000000000000036E-3</v>
      </c>
      <c r="D150" s="168" t="str">
        <f t="shared" si="21"/>
        <v>/</v>
      </c>
      <c r="E150" s="168">
        <f ca="1">IF(表2_36716262930389121314153[[#This Row],[累计净值]]/MAX(INDIRECT("B21:B" &amp; ROW()))-1&lt;E149,表2_36716262930389121314153[[#This Row],[累计净值]]/MAX(INDIRECT("B21:B" &amp; ROW()))-1,E149)</f>
        <v>-1.2950971322849281E-2</v>
      </c>
      <c r="F150" s="110">
        <f>表2_36716262930389121314153[[#This Row],[累计净值]]</f>
        <v>1.071</v>
      </c>
      <c r="G150" s="170">
        <f>表2_36716262930389121314153[[#This Row],[累计净值]]/$B$21-1</f>
        <v>6.7796610169491567E-2</v>
      </c>
      <c r="H150" s="170">
        <f>表2_36716262930389121314153[[#This Row],[累计净值]]/$B$35-1</f>
        <v>5.9347181008902128E-2</v>
      </c>
    </row>
    <row r="151" spans="1:8" x14ac:dyDescent="0.2">
      <c r="A151" s="161">
        <v>44068</v>
      </c>
      <c r="B151" s="162">
        <v>1.071</v>
      </c>
      <c r="C151" s="171">
        <f t="shared" si="20"/>
        <v>0</v>
      </c>
      <c r="D151" s="168" t="str">
        <f t="shared" si="21"/>
        <v>/</v>
      </c>
      <c r="E151" s="168">
        <f ca="1">IF(表2_36716262930389121314153[[#This Row],[累计净值]]/MAX(INDIRECT("B21:B" &amp; ROW()))-1&lt;E150,表2_36716262930389121314153[[#This Row],[累计净值]]/MAX(INDIRECT("B21:B" &amp; ROW()))-1,E150)</f>
        <v>-1.2950971322849281E-2</v>
      </c>
      <c r="F151" s="110">
        <f>表2_36716262930389121314153[[#This Row],[累计净值]]</f>
        <v>1.071</v>
      </c>
      <c r="G151" s="170">
        <f>表2_36716262930389121314153[[#This Row],[累计净值]]/$B$21-1</f>
        <v>6.7796610169491567E-2</v>
      </c>
      <c r="H151" s="170">
        <f>表2_36716262930389121314153[[#This Row],[累计净值]]/$B$35-1</f>
        <v>5.9347181008902128E-2</v>
      </c>
    </row>
    <row r="152" spans="1:8" x14ac:dyDescent="0.2">
      <c r="A152" s="161">
        <v>44069</v>
      </c>
      <c r="B152" s="162">
        <v>1.069</v>
      </c>
      <c r="C152" s="171">
        <f t="shared" si="20"/>
        <v>-2.0000000000000018E-3</v>
      </c>
      <c r="D152" s="168">
        <f t="shared" si="21"/>
        <v>-2.0000000000000018E-3</v>
      </c>
      <c r="E152" s="168">
        <f ca="1">IF(表2_36716262930389121314153[[#This Row],[累计净值]]/MAX(INDIRECT("B21:B" &amp; ROW()))-1&lt;E151,表2_36716262930389121314153[[#This Row],[累计净值]]/MAX(INDIRECT("B21:B" &amp; ROW()))-1,E151)</f>
        <v>-1.2950971322849281E-2</v>
      </c>
      <c r="F152" s="110">
        <f>表2_36716262930389121314153[[#This Row],[累计净值]]</f>
        <v>1.069</v>
      </c>
      <c r="G152" s="170">
        <f>表2_36716262930389121314153[[#This Row],[累计净值]]/$B$21-1</f>
        <v>6.580259222333007E-2</v>
      </c>
      <c r="H152" s="170">
        <f>表2_36716262930389121314153[[#This Row],[累计净值]]/$B$35-1</f>
        <v>5.7368941641938731E-2</v>
      </c>
    </row>
    <row r="153" spans="1:8" x14ac:dyDescent="0.2">
      <c r="A153" s="161">
        <v>44070</v>
      </c>
      <c r="B153" s="162">
        <v>1.07</v>
      </c>
      <c r="C153" s="171">
        <f t="shared" si="20"/>
        <v>1.0000000000001119E-3</v>
      </c>
      <c r="D153" s="168" t="str">
        <f t="shared" si="21"/>
        <v>/</v>
      </c>
      <c r="E153" s="168">
        <f ca="1">IF(表2_36716262930389121314153[[#This Row],[累计净值]]/MAX(INDIRECT("B21:B" &amp; ROW()))-1&lt;E152,表2_36716262930389121314153[[#This Row],[累计净值]]/MAX(INDIRECT("B21:B" &amp; ROW()))-1,E152)</f>
        <v>-1.2950971322849281E-2</v>
      </c>
      <c r="F153" s="110">
        <f>表2_36716262930389121314153[[#This Row],[累计净值]]</f>
        <v>1.07</v>
      </c>
      <c r="G153" s="170">
        <f>表2_36716262930389121314153[[#This Row],[累计净值]]/$B$21-1</f>
        <v>6.6799601196410929E-2</v>
      </c>
      <c r="H153" s="170">
        <f>表2_36716262930389121314153[[#This Row],[累计净值]]/$B$35-1</f>
        <v>5.8358061325420651E-2</v>
      </c>
    </row>
    <row r="154" spans="1:8" x14ac:dyDescent="0.2">
      <c r="A154" s="161">
        <v>44071</v>
      </c>
      <c r="B154" s="162">
        <v>1.071</v>
      </c>
      <c r="C154" s="171">
        <f t="shared" ref="C154:C161" si="22">IFERROR(B154-B153,0)</f>
        <v>9.9999999999988987E-4</v>
      </c>
      <c r="D154" s="168" t="str">
        <f t="shared" ref="D154:D161" si="23">IF(C154&lt;0,C154,"/")</f>
        <v>/</v>
      </c>
      <c r="E154" s="168">
        <f ca="1">IF(表2_36716262930389121314153[[#This Row],[累计净值]]/MAX(INDIRECT("B21:B" &amp; ROW()))-1&lt;E153,表2_36716262930389121314153[[#This Row],[累计净值]]/MAX(INDIRECT("B21:B" &amp; ROW()))-1,E153)</f>
        <v>-1.2950971322849281E-2</v>
      </c>
      <c r="F154" s="110">
        <f>表2_36716262930389121314153[[#This Row],[累计净值]]</f>
        <v>1.071</v>
      </c>
      <c r="G154" s="170">
        <f>表2_36716262930389121314153[[#This Row],[累计净值]]/$B$21-1</f>
        <v>6.7796610169491567E-2</v>
      </c>
      <c r="H154" s="170">
        <f>表2_36716262930389121314153[[#This Row],[累计净值]]/$B$35-1</f>
        <v>5.9347181008902128E-2</v>
      </c>
    </row>
    <row r="155" spans="1:8" x14ac:dyDescent="0.2">
      <c r="A155" s="161">
        <v>44074</v>
      </c>
      <c r="B155" s="162">
        <v>1.071</v>
      </c>
      <c r="C155" s="171">
        <f t="shared" si="22"/>
        <v>0</v>
      </c>
      <c r="D155" s="168" t="str">
        <f t="shared" si="23"/>
        <v>/</v>
      </c>
      <c r="E155" s="168">
        <f ca="1">IF(表2_36716262930389121314153[[#This Row],[累计净值]]/MAX(INDIRECT("B21:B" &amp; ROW()))-1&lt;E154,表2_36716262930389121314153[[#This Row],[累计净值]]/MAX(INDIRECT("B21:B" &amp; ROW()))-1,E154)</f>
        <v>-1.2950971322849281E-2</v>
      </c>
      <c r="F155" s="110">
        <f>表2_36716262930389121314153[[#This Row],[累计净值]]</f>
        <v>1.071</v>
      </c>
      <c r="G155" s="170">
        <f>表2_36716262930389121314153[[#This Row],[累计净值]]/$B$21-1</f>
        <v>6.7796610169491567E-2</v>
      </c>
      <c r="H155" s="170">
        <f>表2_36716262930389121314153[[#This Row],[累计净值]]/$B$35-1</f>
        <v>5.9347181008902128E-2</v>
      </c>
    </row>
    <row r="156" spans="1:8" x14ac:dyDescent="0.2">
      <c r="A156" s="161">
        <v>44075</v>
      </c>
      <c r="B156" s="162">
        <v>1.0720000000000001</v>
      </c>
      <c r="C156" s="171">
        <f t="shared" si="22"/>
        <v>1.0000000000001119E-3</v>
      </c>
      <c r="D156" s="168" t="str">
        <f t="shared" si="23"/>
        <v>/</v>
      </c>
      <c r="E156" s="168">
        <f ca="1">IF(表2_36716262930389121314153[[#This Row],[累计净值]]/MAX(INDIRECT("B21:B" &amp; ROW()))-1&lt;E155,表2_36716262930389121314153[[#This Row],[累计净值]]/MAX(INDIRECT("B21:B" &amp; ROW()))-1,E155)</f>
        <v>-1.2950971322849281E-2</v>
      </c>
      <c r="F156" s="110">
        <f>表2_36716262930389121314153[[#This Row],[累计净值]]</f>
        <v>1.0720000000000001</v>
      </c>
      <c r="G156" s="170">
        <f>表2_36716262930389121314153[[#This Row],[累计净值]]/$B$21-1</f>
        <v>6.8793619142572426E-2</v>
      </c>
      <c r="H156" s="170">
        <f>表2_36716262930389121314153[[#This Row],[累计净值]]/$B$35-1</f>
        <v>6.0336300692384048E-2</v>
      </c>
    </row>
    <row r="157" spans="1:8" x14ac:dyDescent="0.2">
      <c r="A157" s="161">
        <v>44076</v>
      </c>
      <c r="B157" s="162">
        <v>1.071</v>
      </c>
      <c r="C157" s="171">
        <f t="shared" si="22"/>
        <v>-1.0000000000001119E-3</v>
      </c>
      <c r="D157" s="168">
        <f t="shared" si="23"/>
        <v>-1.0000000000001119E-3</v>
      </c>
      <c r="E157" s="168">
        <f ca="1">IF(表2_36716262930389121314153[[#This Row],[累计净值]]/MAX(INDIRECT("B21:B" &amp; ROW()))-1&lt;E156,表2_36716262930389121314153[[#This Row],[累计净值]]/MAX(INDIRECT("B21:B" &amp; ROW()))-1,E156)</f>
        <v>-1.2950971322849281E-2</v>
      </c>
      <c r="F157" s="110">
        <f>表2_36716262930389121314153[[#This Row],[累计净值]]</f>
        <v>1.071</v>
      </c>
      <c r="G157" s="170">
        <f>表2_36716262930389121314153[[#This Row],[累计净值]]/$B$21-1</f>
        <v>6.7796610169491567E-2</v>
      </c>
      <c r="H157" s="170">
        <f>表2_36716262930389121314153[[#This Row],[累计净值]]/$B$35-1</f>
        <v>5.9347181008902128E-2</v>
      </c>
    </row>
    <row r="158" spans="1:8" x14ac:dyDescent="0.2">
      <c r="A158" s="161">
        <v>44077</v>
      </c>
      <c r="B158" s="162">
        <v>1.0720000000000001</v>
      </c>
      <c r="C158" s="171">
        <f t="shared" si="22"/>
        <v>1.0000000000001119E-3</v>
      </c>
      <c r="D158" s="168" t="str">
        <f t="shared" si="23"/>
        <v>/</v>
      </c>
      <c r="E158" s="168">
        <f ca="1">IF(表2_36716262930389121314153[[#This Row],[累计净值]]/MAX(INDIRECT("B21:B" &amp; ROW()))-1&lt;E157,表2_36716262930389121314153[[#This Row],[累计净值]]/MAX(INDIRECT("B21:B" &amp; ROW()))-1,E157)</f>
        <v>-1.2950971322849281E-2</v>
      </c>
      <c r="F158" s="110">
        <f>表2_36716262930389121314153[[#This Row],[累计净值]]</f>
        <v>1.0720000000000001</v>
      </c>
      <c r="G158" s="170">
        <f>表2_36716262930389121314153[[#This Row],[累计净值]]/$B$21-1</f>
        <v>6.8793619142572426E-2</v>
      </c>
      <c r="H158" s="170">
        <f>表2_36716262930389121314153[[#This Row],[累计净值]]/$B$35-1</f>
        <v>6.0336300692384048E-2</v>
      </c>
    </row>
    <row r="159" spans="1:8" x14ac:dyDescent="0.2">
      <c r="A159" s="161">
        <v>44078</v>
      </c>
      <c r="B159" s="162">
        <v>1.075</v>
      </c>
      <c r="C159" s="171">
        <f t="shared" si="22"/>
        <v>2.9999999999998916E-3</v>
      </c>
      <c r="D159" s="168" t="str">
        <f t="shared" si="23"/>
        <v>/</v>
      </c>
      <c r="E159" s="168">
        <f ca="1">IF(表2_36716262930389121314153[[#This Row],[累计净值]]/MAX(INDIRECT("B21:B" &amp; ROW()))-1&lt;E158,表2_36716262930389121314153[[#This Row],[累计净值]]/MAX(INDIRECT("B21:B" &amp; ROW()))-1,E158)</f>
        <v>-1.2950971322849281E-2</v>
      </c>
      <c r="F159" s="110">
        <f>表2_36716262930389121314153[[#This Row],[累计净值]]</f>
        <v>1.075</v>
      </c>
      <c r="G159" s="170">
        <f>表2_36716262930389121314153[[#This Row],[累计净值]]/$B$21-1</f>
        <v>7.1784646061814561E-2</v>
      </c>
      <c r="H159" s="170">
        <f>表2_36716262930389121314153[[#This Row],[累计净值]]/$B$35-1</f>
        <v>6.3303659742828922E-2</v>
      </c>
    </row>
    <row r="160" spans="1:8" x14ac:dyDescent="0.2">
      <c r="A160" s="161">
        <v>44081</v>
      </c>
      <c r="B160" s="162">
        <v>1.075</v>
      </c>
      <c r="C160" s="171">
        <f t="shared" si="22"/>
        <v>0</v>
      </c>
      <c r="D160" s="168" t="str">
        <f t="shared" si="23"/>
        <v>/</v>
      </c>
      <c r="E160" s="168">
        <f ca="1">IF(表2_36716262930389121314153[[#This Row],[累计净值]]/MAX(INDIRECT("B21:B" &amp; ROW()))-1&lt;E159,表2_36716262930389121314153[[#This Row],[累计净值]]/MAX(INDIRECT("B21:B" &amp; ROW()))-1,E159)</f>
        <v>-1.2950971322849281E-2</v>
      </c>
      <c r="F160" s="110">
        <f>表2_36716262930389121314153[[#This Row],[累计净值]]</f>
        <v>1.075</v>
      </c>
      <c r="G160" s="170">
        <f>表2_36716262930389121314153[[#This Row],[累计净值]]/$B$21-1</f>
        <v>7.1784646061814561E-2</v>
      </c>
      <c r="H160" s="170">
        <f>表2_36716262930389121314153[[#This Row],[累计净值]]/$B$35-1</f>
        <v>6.3303659742828922E-2</v>
      </c>
    </row>
    <row r="161" spans="1:8" x14ac:dyDescent="0.2">
      <c r="A161" s="161">
        <v>44082</v>
      </c>
      <c r="B161" s="162">
        <v>1.0740000000000001</v>
      </c>
      <c r="C161" s="171">
        <f t="shared" si="22"/>
        <v>-9.9999999999988987E-4</v>
      </c>
      <c r="D161" s="168">
        <f t="shared" si="23"/>
        <v>-9.9999999999988987E-4</v>
      </c>
      <c r="E161" s="168">
        <f ca="1">IF(表2_36716262930389121314153[[#This Row],[累计净值]]/MAX(INDIRECT("B21:B" &amp; ROW()))-1&lt;E160,表2_36716262930389121314153[[#This Row],[累计净值]]/MAX(INDIRECT("B21:B" &amp; ROW()))-1,E160)</f>
        <v>-1.2950971322849281E-2</v>
      </c>
      <c r="F161" s="110">
        <f>表2_36716262930389121314153[[#This Row],[累计净值]]</f>
        <v>1.0740000000000001</v>
      </c>
      <c r="G161" s="170">
        <f>表2_36716262930389121314153[[#This Row],[累计净值]]/$B$21-1</f>
        <v>7.0787637088733923E-2</v>
      </c>
      <c r="H161" s="170">
        <f>表2_36716262930389121314153[[#This Row],[累计净值]]/$B$35-1</f>
        <v>6.2314540059347445E-2</v>
      </c>
    </row>
    <row r="162" spans="1:8" x14ac:dyDescent="0.2">
      <c r="A162" s="161">
        <v>44083</v>
      </c>
      <c r="B162" s="162">
        <v>1.0760000000000001</v>
      </c>
      <c r="C162" s="171">
        <f t="shared" ref="C162:C167" si="24">IFERROR(B162-B161,0)</f>
        <v>2.0000000000000018E-3</v>
      </c>
      <c r="D162" s="168" t="str">
        <f t="shared" ref="D162:D167" si="25">IF(C162&lt;0,C162,"/")</f>
        <v>/</v>
      </c>
      <c r="E162" s="168">
        <f ca="1">IF(表2_36716262930389121314153[[#This Row],[累计净值]]/MAX(INDIRECT("B21:B" &amp; ROW()))-1&lt;E161,表2_36716262930389121314153[[#This Row],[累计净值]]/MAX(INDIRECT("B21:B" &amp; ROW()))-1,E161)</f>
        <v>-1.2950971322849281E-2</v>
      </c>
      <c r="F162" s="110">
        <f>表2_36716262930389121314153[[#This Row],[累计净值]]</f>
        <v>1.0760000000000001</v>
      </c>
      <c r="G162" s="170">
        <f>表2_36716262930389121314153[[#This Row],[累计净值]]/$B$21-1</f>
        <v>7.2781655034895421E-2</v>
      </c>
      <c r="H162" s="170">
        <f>表2_36716262930389121314153[[#This Row],[累计净值]]/$B$35-1</f>
        <v>6.4292779426310842E-2</v>
      </c>
    </row>
    <row r="163" spans="1:8" x14ac:dyDescent="0.2">
      <c r="A163" s="161">
        <v>44084</v>
      </c>
      <c r="B163" s="162">
        <v>1.0740000000000001</v>
      </c>
      <c r="C163" s="171">
        <f t="shared" si="24"/>
        <v>-2.0000000000000018E-3</v>
      </c>
      <c r="D163" s="168">
        <f t="shared" si="25"/>
        <v>-2.0000000000000018E-3</v>
      </c>
      <c r="E163" s="168">
        <f ca="1">IF(表2_36716262930389121314153[[#This Row],[累计净值]]/MAX(INDIRECT("B21:B" &amp; ROW()))-1&lt;E162,表2_36716262930389121314153[[#This Row],[累计净值]]/MAX(INDIRECT("B21:B" &amp; ROW()))-1,E162)</f>
        <v>-1.2950971322849281E-2</v>
      </c>
      <c r="F163" s="110">
        <f>表2_36716262930389121314153[[#This Row],[累计净值]]</f>
        <v>1.0740000000000001</v>
      </c>
      <c r="G163" s="170">
        <f>表2_36716262930389121314153[[#This Row],[累计净值]]/$B$21-1</f>
        <v>7.0787637088733923E-2</v>
      </c>
      <c r="H163" s="170">
        <f>表2_36716262930389121314153[[#This Row],[累计净值]]/$B$35-1</f>
        <v>6.2314540059347445E-2</v>
      </c>
    </row>
    <row r="164" spans="1:8" x14ac:dyDescent="0.2">
      <c r="A164" s="161">
        <v>44085</v>
      </c>
      <c r="B164" s="162">
        <v>1.077</v>
      </c>
      <c r="C164" s="171">
        <f t="shared" si="24"/>
        <v>2.9999999999998916E-3</v>
      </c>
      <c r="D164" s="168" t="str">
        <f t="shared" si="25"/>
        <v>/</v>
      </c>
      <c r="E164" s="168">
        <f ca="1">IF(表2_36716262930389121314153[[#This Row],[累计净值]]/MAX(INDIRECT("B21:B" &amp; ROW()))-1&lt;E163,表2_36716262930389121314153[[#This Row],[累计净值]]/MAX(INDIRECT("B21:B" &amp; ROW()))-1,E163)</f>
        <v>-1.2950971322849281E-2</v>
      </c>
      <c r="F164" s="110">
        <f>表2_36716262930389121314153[[#This Row],[累计净值]]</f>
        <v>1.077</v>
      </c>
      <c r="G164" s="170">
        <f>表2_36716262930389121314153[[#This Row],[累计净值]]/$B$21-1</f>
        <v>7.3778664007976058E-2</v>
      </c>
      <c r="H164" s="170">
        <f>表2_36716262930389121314153[[#This Row],[累计净值]]/$B$35-1</f>
        <v>6.5281899109792318E-2</v>
      </c>
    </row>
    <row r="165" spans="1:8" x14ac:dyDescent="0.2">
      <c r="A165" s="161">
        <v>44088</v>
      </c>
      <c r="B165" s="162">
        <v>1.0760000000000001</v>
      </c>
      <c r="C165" s="171">
        <f t="shared" si="24"/>
        <v>-9.9999999999988987E-4</v>
      </c>
      <c r="D165" s="168">
        <f t="shared" si="25"/>
        <v>-9.9999999999988987E-4</v>
      </c>
      <c r="E165" s="168">
        <f ca="1">IF(表2_36716262930389121314153[[#This Row],[累计净值]]/MAX(INDIRECT("B21:B" &amp; ROW()))-1&lt;E164,表2_36716262930389121314153[[#This Row],[累计净值]]/MAX(INDIRECT("B21:B" &amp; ROW()))-1,E164)</f>
        <v>-1.2950971322849281E-2</v>
      </c>
      <c r="F165" s="110">
        <f>表2_36716262930389121314153[[#This Row],[累计净值]]</f>
        <v>1.0760000000000001</v>
      </c>
      <c r="G165" s="170">
        <f>表2_36716262930389121314153[[#This Row],[累计净值]]/$B$21-1</f>
        <v>7.2781655034895421E-2</v>
      </c>
      <c r="H165" s="170">
        <f>表2_36716262930389121314153[[#This Row],[累计净值]]/$B$35-1</f>
        <v>6.4292779426310842E-2</v>
      </c>
    </row>
    <row r="166" spans="1:8" x14ac:dyDescent="0.2">
      <c r="A166" s="161">
        <v>44089</v>
      </c>
      <c r="B166" s="162">
        <v>1.077</v>
      </c>
      <c r="C166" s="171">
        <f t="shared" si="24"/>
        <v>9.9999999999988987E-4</v>
      </c>
      <c r="D166" s="168" t="str">
        <f t="shared" si="25"/>
        <v>/</v>
      </c>
      <c r="E166" s="168">
        <f ca="1">IF(表2_36716262930389121314153[[#This Row],[累计净值]]/MAX(INDIRECT("B21:B" &amp; ROW()))-1&lt;E165,表2_36716262930389121314153[[#This Row],[累计净值]]/MAX(INDIRECT("B21:B" &amp; ROW()))-1,E165)</f>
        <v>-1.2950971322849281E-2</v>
      </c>
      <c r="F166" s="110">
        <f>表2_36716262930389121314153[[#This Row],[累计净值]]</f>
        <v>1.077</v>
      </c>
      <c r="G166" s="170">
        <f>表2_36716262930389121314153[[#This Row],[累计净值]]/$B$21-1</f>
        <v>7.3778664007976058E-2</v>
      </c>
      <c r="H166" s="170">
        <f>表2_36716262930389121314153[[#This Row],[累计净值]]/$B$35-1</f>
        <v>6.5281899109792318E-2</v>
      </c>
    </row>
    <row r="167" spans="1:8" x14ac:dyDescent="0.2">
      <c r="A167" s="161">
        <v>44090</v>
      </c>
      <c r="B167" s="162">
        <v>1.077</v>
      </c>
      <c r="C167" s="171">
        <f t="shared" si="24"/>
        <v>0</v>
      </c>
      <c r="D167" s="168" t="str">
        <f t="shared" si="25"/>
        <v>/</v>
      </c>
      <c r="E167" s="168">
        <f ca="1">IF(表2_36716262930389121314153[[#This Row],[累计净值]]/MAX(INDIRECT("B21:B" &amp; ROW()))-1&lt;E166,表2_36716262930389121314153[[#This Row],[累计净值]]/MAX(INDIRECT("B21:B" &amp; ROW()))-1,E166)</f>
        <v>-1.2950971322849281E-2</v>
      </c>
      <c r="F167" s="110">
        <f>表2_36716262930389121314153[[#This Row],[累计净值]]</f>
        <v>1.077</v>
      </c>
      <c r="G167" s="170">
        <f>表2_36716262930389121314153[[#This Row],[累计净值]]/$B$21-1</f>
        <v>7.3778664007976058E-2</v>
      </c>
      <c r="H167" s="170">
        <f>表2_36716262930389121314153[[#This Row],[累计净值]]/$B$35-1</f>
        <v>6.5281899109792318E-2</v>
      </c>
    </row>
    <row r="168" spans="1:8" x14ac:dyDescent="0.2">
      <c r="A168" s="161">
        <v>44091</v>
      </c>
      <c r="B168" s="162">
        <v>1.0780000000000001</v>
      </c>
      <c r="C168" s="171">
        <f t="shared" ref="C168:C173" si="26">IFERROR(B168-B167,0)</f>
        <v>1.0000000000001119E-3</v>
      </c>
      <c r="D168" s="168" t="str">
        <f t="shared" ref="D168:D173" si="27">IF(C168&lt;0,C168,"/")</f>
        <v>/</v>
      </c>
      <c r="E168" s="168">
        <f ca="1">IF(表2_36716262930389121314153[[#This Row],[累计净值]]/MAX(INDIRECT("B21:B" &amp; ROW()))-1&lt;E167,表2_36716262930389121314153[[#This Row],[累计净值]]/MAX(INDIRECT("B21:B" &amp; ROW()))-1,E167)</f>
        <v>-1.2950971322849281E-2</v>
      </c>
      <c r="F168" s="110">
        <f>表2_36716262930389121314153[[#This Row],[累计净值]]</f>
        <v>1.0780000000000001</v>
      </c>
      <c r="G168" s="170">
        <f>表2_36716262930389121314153[[#This Row],[累计净值]]/$B$21-1</f>
        <v>7.4775672981056918E-2</v>
      </c>
      <c r="H168" s="170">
        <f>表2_36716262930389121314153[[#This Row],[累计净值]]/$B$35-1</f>
        <v>6.6271018793274239E-2</v>
      </c>
    </row>
    <row r="169" spans="1:8" x14ac:dyDescent="0.2">
      <c r="A169" s="161">
        <v>44092</v>
      </c>
      <c r="B169" s="162">
        <v>1.0760000000000001</v>
      </c>
      <c r="C169" s="171">
        <f t="shared" si="26"/>
        <v>-2.0000000000000018E-3</v>
      </c>
      <c r="D169" s="168">
        <f t="shared" si="27"/>
        <v>-2.0000000000000018E-3</v>
      </c>
      <c r="E169" s="168">
        <f ca="1">IF(表2_36716262930389121314153[[#This Row],[累计净值]]/MAX(INDIRECT("B21:B" &amp; ROW()))-1&lt;E168,表2_36716262930389121314153[[#This Row],[累计净值]]/MAX(INDIRECT("B21:B" &amp; ROW()))-1,E168)</f>
        <v>-1.2950971322849281E-2</v>
      </c>
      <c r="F169" s="110">
        <f>表2_36716262930389121314153[[#This Row],[累计净值]]</f>
        <v>1.0760000000000001</v>
      </c>
      <c r="G169" s="170">
        <f>表2_36716262930389121314153[[#This Row],[累计净值]]/$B$21-1</f>
        <v>7.2781655034895421E-2</v>
      </c>
      <c r="H169" s="170">
        <f>表2_36716262930389121314153[[#This Row],[累计净值]]/$B$35-1</f>
        <v>6.4292779426310842E-2</v>
      </c>
    </row>
    <row r="170" spans="1:8" x14ac:dyDescent="0.2">
      <c r="A170" s="161">
        <v>44095</v>
      </c>
      <c r="B170" s="162">
        <v>1.0780000000000001</v>
      </c>
      <c r="C170" s="171">
        <f t="shared" si="26"/>
        <v>2.0000000000000018E-3</v>
      </c>
      <c r="D170" s="168" t="str">
        <f t="shared" si="27"/>
        <v>/</v>
      </c>
      <c r="E170" s="168">
        <f ca="1">IF(表2_36716262930389121314153[[#This Row],[累计净值]]/MAX(INDIRECT("B21:B" &amp; ROW()))-1&lt;E169,表2_36716262930389121314153[[#This Row],[累计净值]]/MAX(INDIRECT("B21:B" &amp; ROW()))-1,E169)</f>
        <v>-1.2950971322849281E-2</v>
      </c>
      <c r="F170" s="110">
        <f>表2_36716262930389121314153[[#This Row],[累计净值]]</f>
        <v>1.0780000000000001</v>
      </c>
      <c r="G170" s="170">
        <f>表2_36716262930389121314153[[#This Row],[累计净值]]/$B$21-1</f>
        <v>7.4775672981056918E-2</v>
      </c>
      <c r="H170" s="170">
        <f>表2_36716262930389121314153[[#This Row],[累计净值]]/$B$35-1</f>
        <v>6.6271018793274239E-2</v>
      </c>
    </row>
    <row r="171" spans="1:8" x14ac:dyDescent="0.2">
      <c r="A171" s="161">
        <v>44096</v>
      </c>
      <c r="B171" s="162">
        <v>1.0780000000000001</v>
      </c>
      <c r="C171" s="171">
        <f t="shared" si="26"/>
        <v>0</v>
      </c>
      <c r="D171" s="168" t="str">
        <f t="shared" si="27"/>
        <v>/</v>
      </c>
      <c r="E171" s="168">
        <f ca="1">IF(表2_36716262930389121314153[[#This Row],[累计净值]]/MAX(INDIRECT("B21:B" &amp; ROW()))-1&lt;E170,表2_36716262930389121314153[[#This Row],[累计净值]]/MAX(INDIRECT("B21:B" &amp; ROW()))-1,E170)</f>
        <v>-1.2950971322849281E-2</v>
      </c>
      <c r="F171" s="110">
        <f>表2_36716262930389121314153[[#This Row],[累计净值]]</f>
        <v>1.0780000000000001</v>
      </c>
      <c r="G171" s="170">
        <f>表2_36716262930389121314153[[#This Row],[累计净值]]/$B$21-1</f>
        <v>7.4775672981056918E-2</v>
      </c>
      <c r="H171" s="170">
        <f>表2_36716262930389121314153[[#This Row],[累计净值]]/$B$35-1</f>
        <v>6.6271018793274239E-2</v>
      </c>
    </row>
    <row r="172" spans="1:8" x14ac:dyDescent="0.2">
      <c r="A172" s="161">
        <v>44097</v>
      </c>
      <c r="B172" s="162">
        <v>1.077</v>
      </c>
      <c r="C172" s="171">
        <f t="shared" si="26"/>
        <v>-1.0000000000001119E-3</v>
      </c>
      <c r="D172" s="168">
        <f t="shared" si="27"/>
        <v>-1.0000000000001119E-3</v>
      </c>
      <c r="E172" s="168">
        <f ca="1">IF(表2_36716262930389121314153[[#This Row],[累计净值]]/MAX(INDIRECT("B21:B" &amp; ROW()))-1&lt;E171,表2_36716262930389121314153[[#This Row],[累计净值]]/MAX(INDIRECT("B21:B" &amp; ROW()))-1,E171)</f>
        <v>-1.2950971322849281E-2</v>
      </c>
      <c r="F172" s="110">
        <f>表2_36716262930389121314153[[#This Row],[累计净值]]</f>
        <v>1.077</v>
      </c>
      <c r="G172" s="170">
        <f>表2_36716262930389121314153[[#This Row],[累计净值]]/$B$21-1</f>
        <v>7.3778664007976058E-2</v>
      </c>
      <c r="H172" s="170">
        <f>表2_36716262930389121314153[[#This Row],[累计净值]]/$B$35-1</f>
        <v>6.5281899109792318E-2</v>
      </c>
    </row>
    <row r="173" spans="1:8" x14ac:dyDescent="0.2">
      <c r="A173" s="161">
        <v>44098</v>
      </c>
      <c r="B173" s="162">
        <v>1.077</v>
      </c>
      <c r="C173" s="171">
        <f t="shared" si="26"/>
        <v>0</v>
      </c>
      <c r="D173" s="168" t="str">
        <f t="shared" si="27"/>
        <v>/</v>
      </c>
      <c r="E173" s="168">
        <f ca="1">IF(表2_36716262930389121314153[[#This Row],[累计净值]]/MAX(INDIRECT("B21:B" &amp; ROW()))-1&lt;E172,表2_36716262930389121314153[[#This Row],[累计净值]]/MAX(INDIRECT("B21:B" &amp; ROW()))-1,E172)</f>
        <v>-1.2950971322849281E-2</v>
      </c>
      <c r="F173" s="110">
        <f>表2_36716262930389121314153[[#This Row],[累计净值]]</f>
        <v>1.077</v>
      </c>
      <c r="G173" s="170">
        <f>表2_36716262930389121314153[[#This Row],[累计净值]]/$B$21-1</f>
        <v>7.3778664007976058E-2</v>
      </c>
      <c r="H173" s="170">
        <f>表2_36716262930389121314153[[#This Row],[累计净值]]/$B$35-1</f>
        <v>6.5281899109792318E-2</v>
      </c>
    </row>
    <row r="174" spans="1:8" x14ac:dyDescent="0.2">
      <c r="A174" s="161">
        <v>44099</v>
      </c>
      <c r="B174" s="162">
        <v>1.0760000000000001</v>
      </c>
      <c r="C174" s="171">
        <f>IFERROR(B174-B173,0)</f>
        <v>-9.9999999999988987E-4</v>
      </c>
      <c r="D174" s="168">
        <f>IF(C174&lt;0,C174,"/")</f>
        <v>-9.9999999999988987E-4</v>
      </c>
      <c r="E174" s="168">
        <f ca="1">IF(表2_36716262930389121314153[[#This Row],[累计净值]]/MAX(INDIRECT("B21:B" &amp; ROW()))-1&lt;E173,表2_36716262930389121314153[[#This Row],[累计净值]]/MAX(INDIRECT("B21:B" &amp; ROW()))-1,E173)</f>
        <v>-1.2950971322849281E-2</v>
      </c>
      <c r="F174" s="110">
        <f>表2_36716262930389121314153[[#This Row],[累计净值]]</f>
        <v>1.0760000000000001</v>
      </c>
      <c r="G174" s="170">
        <f>表2_36716262930389121314153[[#This Row],[累计净值]]/$B$21-1</f>
        <v>7.2781655034895421E-2</v>
      </c>
      <c r="H174" s="170">
        <f>表2_36716262930389121314153[[#This Row],[累计净值]]/$B$35-1</f>
        <v>6.4292779426310842E-2</v>
      </c>
    </row>
    <row r="175" spans="1:8" x14ac:dyDescent="0.2">
      <c r="A175" s="161">
        <v>44102</v>
      </c>
      <c r="B175" s="162">
        <v>1.075</v>
      </c>
      <c r="C175" s="171">
        <f>IFERROR(B175-B174,0)</f>
        <v>-1.0000000000001119E-3</v>
      </c>
      <c r="D175" s="168">
        <f>IF(C175&lt;0,C175,"/")</f>
        <v>-1.0000000000001119E-3</v>
      </c>
      <c r="E175" s="168">
        <f ca="1">IF(表2_36716262930389121314153[[#This Row],[累计净值]]/MAX(INDIRECT("B21:B" &amp; ROW()))-1&lt;E174,表2_36716262930389121314153[[#This Row],[累计净值]]/MAX(INDIRECT("B21:B" &amp; ROW()))-1,E174)</f>
        <v>-1.2950971322849281E-2</v>
      </c>
      <c r="F175" s="110">
        <f>表2_36716262930389121314153[[#This Row],[累计净值]]</f>
        <v>1.075</v>
      </c>
      <c r="G175" s="170">
        <f>表2_36716262930389121314153[[#This Row],[累计净值]]/$B$21-1</f>
        <v>7.1784646061814561E-2</v>
      </c>
      <c r="H175" s="170">
        <f>表2_36716262930389121314153[[#This Row],[累计净值]]/$B$35-1</f>
        <v>6.3303659742828922E-2</v>
      </c>
    </row>
    <row r="176" spans="1:8" x14ac:dyDescent="0.2">
      <c r="A176" s="161">
        <v>44103</v>
      </c>
      <c r="B176" s="162">
        <v>1.0760000000000001</v>
      </c>
      <c r="C176" s="171">
        <f t="shared" ref="C176:C177" si="28">IFERROR(B176-B175,0)</f>
        <v>1.0000000000001119E-3</v>
      </c>
      <c r="D176" s="168" t="str">
        <f t="shared" ref="D176:D177" si="29">IF(C176&lt;0,C176,"/")</f>
        <v>/</v>
      </c>
      <c r="E176" s="168">
        <f ca="1">IF(表2_36716262930389121314153[[#This Row],[累计净值]]/MAX(INDIRECT("B21:B" &amp; ROW()))-1&lt;E175,表2_36716262930389121314153[[#This Row],[累计净值]]/MAX(INDIRECT("B21:B" &amp; ROW()))-1,E175)</f>
        <v>-1.2950971322849281E-2</v>
      </c>
      <c r="F176" s="110">
        <f>表2_36716262930389121314153[[#This Row],[累计净值]]</f>
        <v>1.0760000000000001</v>
      </c>
      <c r="G176" s="170">
        <f>表2_36716262930389121314153[[#This Row],[累计净值]]/$B$21-1</f>
        <v>7.2781655034895421E-2</v>
      </c>
      <c r="H176" s="170">
        <f>表2_36716262930389121314153[[#This Row],[累计净值]]/$B$35-1</f>
        <v>6.4292779426310842E-2</v>
      </c>
    </row>
    <row r="177" spans="1:8" x14ac:dyDescent="0.2">
      <c r="A177" s="161">
        <v>44104</v>
      </c>
      <c r="B177" s="162">
        <v>1.0760000000000001</v>
      </c>
      <c r="C177" s="171">
        <f t="shared" si="28"/>
        <v>0</v>
      </c>
      <c r="D177" s="168" t="str">
        <f t="shared" si="29"/>
        <v>/</v>
      </c>
      <c r="E177" s="168">
        <f ca="1">IF(表2_36716262930389121314153[[#This Row],[累计净值]]/MAX(INDIRECT("B21:B" &amp; ROW()))-1&lt;E176,表2_36716262930389121314153[[#This Row],[累计净值]]/MAX(INDIRECT("B21:B" &amp; ROW()))-1,E176)</f>
        <v>-1.2950971322849281E-2</v>
      </c>
      <c r="F177" s="110">
        <f>表2_36716262930389121314153[[#This Row],[累计净值]]</f>
        <v>1.0760000000000001</v>
      </c>
      <c r="G177" s="170">
        <f>表2_36716262930389121314153[[#This Row],[累计净值]]/$B$21-1</f>
        <v>7.2781655034895421E-2</v>
      </c>
      <c r="H177" s="170">
        <f>表2_36716262930389121314153[[#This Row],[累计净值]]/$B$35-1</f>
        <v>6.4292779426310842E-2</v>
      </c>
    </row>
    <row r="178" spans="1:8" x14ac:dyDescent="0.2">
      <c r="A178" s="161">
        <v>44113</v>
      </c>
      <c r="B178" s="162">
        <v>1.077</v>
      </c>
      <c r="C178" s="171">
        <f t="shared" ref="C178:C183" si="30">IFERROR(B178-B177,0)</f>
        <v>9.9999999999988987E-4</v>
      </c>
      <c r="D178" s="168" t="str">
        <f t="shared" ref="D178:D183" si="31">IF(C178&lt;0,C178,"/")</f>
        <v>/</v>
      </c>
      <c r="E178" s="168">
        <f ca="1">IF(表2_36716262930389121314153[[#This Row],[累计净值]]/MAX(INDIRECT("B21:B" &amp; ROW()))-1&lt;E177,表2_36716262930389121314153[[#This Row],[累计净值]]/MAX(INDIRECT("B21:B" &amp; ROW()))-1,E177)</f>
        <v>-1.2950971322849281E-2</v>
      </c>
      <c r="F178" s="110">
        <f>表2_36716262930389121314153[[#This Row],[累计净值]]</f>
        <v>1.077</v>
      </c>
      <c r="G178" s="170">
        <f>表2_36716262930389121314153[[#This Row],[累计净值]]/$B$21-1</f>
        <v>7.3778664007976058E-2</v>
      </c>
      <c r="H178" s="170">
        <f>表2_36716262930389121314153[[#This Row],[累计净值]]/$B$35-1</f>
        <v>6.5281899109792318E-2</v>
      </c>
    </row>
    <row r="179" spans="1:8" x14ac:dyDescent="0.2">
      <c r="A179" s="161">
        <v>44116</v>
      </c>
      <c r="B179" s="162">
        <v>1.079</v>
      </c>
      <c r="C179" s="171">
        <f t="shared" si="30"/>
        <v>2.0000000000000018E-3</v>
      </c>
      <c r="D179" s="168" t="str">
        <f t="shared" si="31"/>
        <v>/</v>
      </c>
      <c r="E179" s="168">
        <f ca="1">IF(表2_36716262930389121314153[[#This Row],[累计净值]]/MAX(INDIRECT("B21:B" &amp; ROW()))-1&lt;E178,表2_36716262930389121314153[[#This Row],[累计净值]]/MAX(INDIRECT("B21:B" &amp; ROW()))-1,E178)</f>
        <v>-1.2950971322849281E-2</v>
      </c>
      <c r="F179" s="110">
        <f>表2_36716262930389121314153[[#This Row],[累计净值]]</f>
        <v>1.079</v>
      </c>
      <c r="G179" s="170">
        <f>表2_36716262930389121314153[[#This Row],[累计净值]]/$B$21-1</f>
        <v>7.5772681954137555E-2</v>
      </c>
      <c r="H179" s="170">
        <f>表2_36716262930389121314153[[#This Row],[累计净值]]/$B$35-1</f>
        <v>6.7260138476755715E-2</v>
      </c>
    </row>
    <row r="180" spans="1:8" x14ac:dyDescent="0.2">
      <c r="A180" s="161">
        <v>44117</v>
      </c>
      <c r="B180" s="162">
        <v>1.079</v>
      </c>
      <c r="C180" s="171">
        <f t="shared" si="30"/>
        <v>0</v>
      </c>
      <c r="D180" s="168" t="str">
        <f t="shared" si="31"/>
        <v>/</v>
      </c>
      <c r="E180" s="168">
        <f ca="1">IF(表2_36716262930389121314153[[#This Row],[累计净值]]/MAX(INDIRECT("B21:B" &amp; ROW()))-1&lt;E179,表2_36716262930389121314153[[#This Row],[累计净值]]/MAX(INDIRECT("B21:B" &amp; ROW()))-1,E179)</f>
        <v>-1.2950971322849281E-2</v>
      </c>
      <c r="F180" s="110">
        <f>表2_36716262930389121314153[[#This Row],[累计净值]]</f>
        <v>1.079</v>
      </c>
      <c r="G180" s="170">
        <f>表2_36716262930389121314153[[#This Row],[累计净值]]/$B$21-1</f>
        <v>7.5772681954137555E-2</v>
      </c>
      <c r="H180" s="170">
        <f>表2_36716262930389121314153[[#This Row],[累计净值]]/$B$35-1</f>
        <v>6.7260138476755715E-2</v>
      </c>
    </row>
    <row r="181" spans="1:8" x14ac:dyDescent="0.2">
      <c r="A181" s="161">
        <v>44118</v>
      </c>
      <c r="B181" s="162">
        <v>1.0780000000000001</v>
      </c>
      <c r="C181" s="171">
        <f t="shared" si="30"/>
        <v>-9.9999999999988987E-4</v>
      </c>
      <c r="D181" s="168">
        <f t="shared" si="31"/>
        <v>-9.9999999999988987E-4</v>
      </c>
      <c r="E181" s="168">
        <f ca="1">IF(表2_36716262930389121314153[[#This Row],[累计净值]]/MAX(INDIRECT("B21:B" &amp; ROW()))-1&lt;E180,表2_36716262930389121314153[[#This Row],[累计净值]]/MAX(INDIRECT("B21:B" &amp; ROW()))-1,E180)</f>
        <v>-1.2950971322849281E-2</v>
      </c>
      <c r="F181" s="110">
        <f>表2_36716262930389121314153[[#This Row],[累计净值]]</f>
        <v>1.0780000000000001</v>
      </c>
      <c r="G181" s="170">
        <f>表2_36716262930389121314153[[#This Row],[累计净值]]/$B$21-1</f>
        <v>7.4775672981056918E-2</v>
      </c>
      <c r="H181" s="170">
        <f>表2_36716262930389121314153[[#This Row],[累计净值]]/$B$35-1</f>
        <v>6.6271018793274239E-2</v>
      </c>
    </row>
    <row r="182" spans="1:8" x14ac:dyDescent="0.2">
      <c r="A182" s="161">
        <v>44119</v>
      </c>
      <c r="B182" s="162">
        <v>1.0820000000000001</v>
      </c>
      <c r="C182" s="171">
        <f t="shared" si="30"/>
        <v>4.0000000000000036E-3</v>
      </c>
      <c r="D182" s="168" t="str">
        <f t="shared" si="31"/>
        <v>/</v>
      </c>
      <c r="E182" s="168">
        <f ca="1">IF(表2_36716262930389121314153[[#This Row],[累计净值]]/MAX(INDIRECT("B21:B" &amp; ROW()))-1&lt;E181,表2_36716262930389121314153[[#This Row],[累计净值]]/MAX(INDIRECT("B21:B" &amp; ROW()))-1,E181)</f>
        <v>-1.2950971322849281E-2</v>
      </c>
      <c r="F182" s="110">
        <f>表2_36716262930389121314153[[#This Row],[累计净值]]</f>
        <v>1.0820000000000001</v>
      </c>
      <c r="G182" s="170">
        <f>表2_36716262930389121314153[[#This Row],[累计净值]]/$B$21-1</f>
        <v>7.8763708873380134E-2</v>
      </c>
      <c r="H182" s="170">
        <f>表2_36716262930389121314153[[#This Row],[累计净值]]/$B$35-1</f>
        <v>7.0227497527201033E-2</v>
      </c>
    </row>
    <row r="183" spans="1:8" x14ac:dyDescent="0.2">
      <c r="A183" s="161">
        <v>44120</v>
      </c>
      <c r="B183" s="162">
        <v>1.08</v>
      </c>
      <c r="C183" s="171">
        <f t="shared" si="30"/>
        <v>-2.0000000000000018E-3</v>
      </c>
      <c r="D183" s="168">
        <f t="shared" si="31"/>
        <v>-2.0000000000000018E-3</v>
      </c>
      <c r="E183" s="168">
        <f ca="1">IF(表2_36716262930389121314153[[#This Row],[累计净值]]/MAX(INDIRECT("B21:B" &amp; ROW()))-1&lt;E182,表2_36716262930389121314153[[#This Row],[累计净值]]/MAX(INDIRECT("B21:B" &amp; ROW()))-1,E182)</f>
        <v>-1.2950971322849281E-2</v>
      </c>
      <c r="F183" s="110">
        <f>表2_36716262930389121314153[[#This Row],[累计净值]]</f>
        <v>1.08</v>
      </c>
      <c r="G183" s="170">
        <f>表2_36716262930389121314153[[#This Row],[累计净值]]/$B$21-1</f>
        <v>7.6769690927218637E-2</v>
      </c>
      <c r="H183" s="170">
        <f>表2_36716262930389121314153[[#This Row],[累计净值]]/$B$35-1</f>
        <v>6.8249258160237636E-2</v>
      </c>
    </row>
    <row r="184" spans="1:8" x14ac:dyDescent="0.2">
      <c r="A184" s="161">
        <v>44123</v>
      </c>
      <c r="B184" s="162">
        <v>1.08</v>
      </c>
      <c r="C184" s="171">
        <f t="shared" ref="C184:C189" si="32">IFERROR(B184-B183,0)</f>
        <v>0</v>
      </c>
      <c r="D184" s="168" t="str">
        <f t="shared" ref="D184:D189" si="33">IF(C184&lt;0,C184,"/")</f>
        <v>/</v>
      </c>
      <c r="E184" s="168">
        <f ca="1">IF(表2_36716262930389121314153[[#This Row],[累计净值]]/MAX(INDIRECT("B21:B" &amp; ROW()))-1&lt;E183,表2_36716262930389121314153[[#This Row],[累计净值]]/MAX(INDIRECT("B21:B" &amp; ROW()))-1,E183)</f>
        <v>-1.2950971322849281E-2</v>
      </c>
      <c r="F184" s="110">
        <f>表2_36716262930389121314153[[#This Row],[累计净值]]</f>
        <v>1.08</v>
      </c>
      <c r="G184" s="170">
        <f>表2_36716262930389121314153[[#This Row],[累计净值]]/$B$21-1</f>
        <v>7.6769690927218637E-2</v>
      </c>
      <c r="H184" s="170">
        <f>表2_36716262930389121314153[[#This Row],[累计净值]]/$B$35-1</f>
        <v>6.8249258160237636E-2</v>
      </c>
    </row>
    <row r="185" spans="1:8" x14ac:dyDescent="0.2">
      <c r="A185" s="161">
        <v>44124</v>
      </c>
      <c r="B185" s="162">
        <v>1.081</v>
      </c>
      <c r="C185" s="171">
        <f t="shared" si="32"/>
        <v>9.9999999999988987E-4</v>
      </c>
      <c r="D185" s="168" t="str">
        <f t="shared" si="33"/>
        <v>/</v>
      </c>
      <c r="E185" s="168">
        <f ca="1">IF(表2_36716262930389121314153[[#This Row],[累计净值]]/MAX(INDIRECT("B21:B" &amp; ROW()))-1&lt;E184,表2_36716262930389121314153[[#This Row],[累计净值]]/MAX(INDIRECT("B21:B" &amp; ROW()))-1,E184)</f>
        <v>-1.2950971322849281E-2</v>
      </c>
      <c r="F185" s="110">
        <f>表2_36716262930389121314153[[#This Row],[累计净值]]</f>
        <v>1.081</v>
      </c>
      <c r="G185" s="170">
        <f>表2_36716262930389121314153[[#This Row],[累计净值]]/$B$21-1</f>
        <v>7.7766699900299274E-2</v>
      </c>
      <c r="H185" s="170">
        <f>表2_36716262930389121314153[[#This Row],[累计净值]]/$B$35-1</f>
        <v>6.9238377843719112E-2</v>
      </c>
    </row>
    <row r="186" spans="1:8" x14ac:dyDescent="0.2">
      <c r="A186" s="161">
        <v>44125</v>
      </c>
      <c r="B186" s="162">
        <v>1.081</v>
      </c>
      <c r="C186" s="171">
        <f t="shared" si="32"/>
        <v>0</v>
      </c>
      <c r="D186" s="168" t="str">
        <f t="shared" si="33"/>
        <v>/</v>
      </c>
      <c r="E186" s="168">
        <f ca="1">IF(表2_36716262930389121314153[[#This Row],[累计净值]]/MAX(INDIRECT("B21:B" &amp; ROW()))-1&lt;E185,表2_36716262930389121314153[[#This Row],[累计净值]]/MAX(INDIRECT("B21:B" &amp; ROW()))-1,E185)</f>
        <v>-1.2950971322849281E-2</v>
      </c>
      <c r="F186" s="110">
        <f>表2_36716262930389121314153[[#This Row],[累计净值]]</f>
        <v>1.081</v>
      </c>
      <c r="G186" s="170">
        <f>表2_36716262930389121314153[[#This Row],[累计净值]]/$B$21-1</f>
        <v>7.7766699900299274E-2</v>
      </c>
      <c r="H186" s="170">
        <f>表2_36716262930389121314153[[#This Row],[累计净值]]/$B$35-1</f>
        <v>6.9238377843719112E-2</v>
      </c>
    </row>
    <row r="187" spans="1:8" x14ac:dyDescent="0.2">
      <c r="A187" s="161">
        <v>44126</v>
      </c>
      <c r="B187" s="162">
        <v>1.083</v>
      </c>
      <c r="C187" s="171">
        <f t="shared" si="32"/>
        <v>2.0000000000000018E-3</v>
      </c>
      <c r="D187" s="168" t="str">
        <f t="shared" si="33"/>
        <v>/</v>
      </c>
      <c r="E187" s="168">
        <f ca="1">IF(表2_36716262930389121314153[[#This Row],[累计净值]]/MAX(INDIRECT("B21:B" &amp; ROW()))-1&lt;E186,表2_36716262930389121314153[[#This Row],[累计净值]]/MAX(INDIRECT("B21:B" &amp; ROW()))-1,E186)</f>
        <v>-1.2950971322849281E-2</v>
      </c>
      <c r="F187" s="110">
        <f>表2_36716262930389121314153[[#This Row],[累计净值]]</f>
        <v>1.083</v>
      </c>
      <c r="G187" s="170">
        <f>表2_36716262930389121314153[[#This Row],[累计净值]]/$B$21-1</f>
        <v>7.9760717846460771E-2</v>
      </c>
      <c r="H187" s="170">
        <f>表2_36716262930389121314153[[#This Row],[累计净值]]/$B$35-1</f>
        <v>7.1216617210682509E-2</v>
      </c>
    </row>
    <row r="188" spans="1:8" x14ac:dyDescent="0.2">
      <c r="A188" s="161">
        <v>44127</v>
      </c>
      <c r="B188" s="162">
        <v>1.0820000000000001</v>
      </c>
      <c r="C188" s="171">
        <f t="shared" si="32"/>
        <v>-9.9999999999988987E-4</v>
      </c>
      <c r="D188" s="168">
        <f t="shared" si="33"/>
        <v>-9.9999999999988987E-4</v>
      </c>
      <c r="E188" s="168">
        <f ca="1">IF(表2_36716262930389121314153[[#This Row],[累计净值]]/MAX(INDIRECT("B21:B" &amp; ROW()))-1&lt;E187,表2_36716262930389121314153[[#This Row],[累计净值]]/MAX(INDIRECT("B21:B" &amp; ROW()))-1,E187)</f>
        <v>-1.2950971322849281E-2</v>
      </c>
      <c r="F188" s="110">
        <f>表2_36716262930389121314153[[#This Row],[累计净值]]</f>
        <v>1.0820000000000001</v>
      </c>
      <c r="G188" s="170">
        <f>表2_36716262930389121314153[[#This Row],[累计净值]]/$B$21-1</f>
        <v>7.8763708873380134E-2</v>
      </c>
      <c r="H188" s="170">
        <f>表2_36716262930389121314153[[#This Row],[累计净值]]/$B$35-1</f>
        <v>7.0227497527201033E-2</v>
      </c>
    </row>
    <row r="189" spans="1:8" x14ac:dyDescent="0.2">
      <c r="A189" s="161">
        <v>44130</v>
      </c>
      <c r="B189" s="162">
        <v>1.081</v>
      </c>
      <c r="C189" s="171">
        <f t="shared" si="32"/>
        <v>-1.0000000000001119E-3</v>
      </c>
      <c r="D189" s="168">
        <f t="shared" si="33"/>
        <v>-1.0000000000001119E-3</v>
      </c>
      <c r="E189" s="168">
        <f ca="1">IF(表2_36716262930389121314153[[#This Row],[累计净值]]/MAX(INDIRECT("B21:B" &amp; ROW()))-1&lt;E188,表2_36716262930389121314153[[#This Row],[累计净值]]/MAX(INDIRECT("B21:B" &amp; ROW()))-1,E188)</f>
        <v>-1.2950971322849281E-2</v>
      </c>
      <c r="F189" s="110">
        <f>表2_36716262930389121314153[[#This Row],[累计净值]]</f>
        <v>1.081</v>
      </c>
      <c r="G189" s="170">
        <f>表2_36716262930389121314153[[#This Row],[累计净值]]/$B$21-1</f>
        <v>7.7766699900299274E-2</v>
      </c>
      <c r="H189" s="170">
        <f>表2_36716262930389121314153[[#This Row],[累计净值]]/$B$35-1</f>
        <v>6.9238377843719112E-2</v>
      </c>
    </row>
    <row r="190" spans="1:8" x14ac:dyDescent="0.2">
      <c r="A190" s="161">
        <v>44131</v>
      </c>
      <c r="B190" s="162">
        <v>1.081</v>
      </c>
      <c r="C190" s="171">
        <f t="shared" ref="C190:C196" si="34">IFERROR(B190-B189,0)</f>
        <v>0</v>
      </c>
      <c r="D190" s="168" t="str">
        <f t="shared" ref="D190:D196" si="35">IF(C190&lt;0,C190,"/")</f>
        <v>/</v>
      </c>
      <c r="E190" s="168">
        <f ca="1">IF(表2_36716262930389121314153[[#This Row],[累计净值]]/MAX(INDIRECT("B21:B" &amp; ROW()))-1&lt;E189,表2_36716262930389121314153[[#This Row],[累计净值]]/MAX(INDIRECT("B21:B" &amp; ROW()))-1,E189)</f>
        <v>-1.2950971322849281E-2</v>
      </c>
      <c r="F190" s="110">
        <f>表2_36716262930389121314153[[#This Row],[累计净值]]</f>
        <v>1.081</v>
      </c>
      <c r="G190" s="170">
        <f>表2_36716262930389121314153[[#This Row],[累计净值]]/$B$21-1</f>
        <v>7.7766699900299274E-2</v>
      </c>
      <c r="H190" s="170">
        <f>表2_36716262930389121314153[[#This Row],[累计净值]]/$B$35-1</f>
        <v>6.9238377843719112E-2</v>
      </c>
    </row>
    <row r="191" spans="1:8" x14ac:dyDescent="0.2">
      <c r="A191" s="161">
        <v>44132</v>
      </c>
      <c r="B191" s="162">
        <v>1.08</v>
      </c>
      <c r="C191" s="171">
        <f t="shared" si="34"/>
        <v>-9.9999999999988987E-4</v>
      </c>
      <c r="D191" s="168">
        <f t="shared" si="35"/>
        <v>-9.9999999999988987E-4</v>
      </c>
      <c r="E191" s="168">
        <f ca="1">IF(表2_36716262930389121314153[[#This Row],[累计净值]]/MAX(INDIRECT("B21:B" &amp; ROW()))-1&lt;E190,表2_36716262930389121314153[[#This Row],[累计净值]]/MAX(INDIRECT("B21:B" &amp; ROW()))-1,E190)</f>
        <v>-1.2950971322849281E-2</v>
      </c>
      <c r="F191" s="110">
        <f>表2_36716262930389121314153[[#This Row],[累计净值]]</f>
        <v>1.08</v>
      </c>
      <c r="G191" s="170">
        <f>表2_36716262930389121314153[[#This Row],[累计净值]]/$B$21-1</f>
        <v>7.6769690927218637E-2</v>
      </c>
      <c r="H191" s="170">
        <f>表2_36716262930389121314153[[#This Row],[累计净值]]/$B$35-1</f>
        <v>6.8249258160237636E-2</v>
      </c>
    </row>
    <row r="192" spans="1:8" x14ac:dyDescent="0.2">
      <c r="A192" s="161">
        <v>44133</v>
      </c>
      <c r="B192" s="162">
        <v>1.0820000000000001</v>
      </c>
      <c r="C192" s="171">
        <f t="shared" si="34"/>
        <v>2.0000000000000018E-3</v>
      </c>
      <c r="D192" s="168" t="str">
        <f t="shared" si="35"/>
        <v>/</v>
      </c>
      <c r="E192" s="168">
        <f ca="1">IF(表2_36716262930389121314153[[#This Row],[累计净值]]/MAX(INDIRECT("B21:B" &amp; ROW()))-1&lt;E191,表2_36716262930389121314153[[#This Row],[累计净值]]/MAX(INDIRECT("B21:B" &amp; ROW()))-1,E191)</f>
        <v>-1.2950971322849281E-2</v>
      </c>
      <c r="F192" s="110">
        <f>表2_36716262930389121314153[[#This Row],[累计净值]]</f>
        <v>1.0820000000000001</v>
      </c>
      <c r="G192" s="170">
        <f>表2_36716262930389121314153[[#This Row],[累计净值]]/$B$21-1</f>
        <v>7.8763708873380134E-2</v>
      </c>
      <c r="H192" s="170">
        <f>表2_36716262930389121314153[[#This Row],[累计净值]]/$B$35-1</f>
        <v>7.0227497527201033E-2</v>
      </c>
    </row>
    <row r="193" spans="1:8" x14ac:dyDescent="0.2">
      <c r="A193" s="161">
        <v>44134</v>
      </c>
      <c r="B193" s="162">
        <v>1.081</v>
      </c>
      <c r="C193" s="171">
        <f t="shared" si="34"/>
        <v>-1.0000000000001119E-3</v>
      </c>
      <c r="D193" s="168">
        <f t="shared" si="35"/>
        <v>-1.0000000000001119E-3</v>
      </c>
      <c r="E193" s="168">
        <f ca="1">IF(表2_36716262930389121314153[[#This Row],[累计净值]]/MAX(INDIRECT("B21:B" &amp; ROW()))-1&lt;E192,表2_36716262930389121314153[[#This Row],[累计净值]]/MAX(INDIRECT("B21:B" &amp; ROW()))-1,E192)</f>
        <v>-1.2950971322849281E-2</v>
      </c>
      <c r="F193" s="110">
        <f>表2_36716262930389121314153[[#This Row],[累计净值]]</f>
        <v>1.081</v>
      </c>
      <c r="G193" s="170">
        <f>表2_36716262930389121314153[[#This Row],[累计净值]]/$B$21-1</f>
        <v>7.7766699900299274E-2</v>
      </c>
      <c r="H193" s="170">
        <f>表2_36716262930389121314153[[#This Row],[累计净值]]/$B$35-1</f>
        <v>6.9238377843719112E-2</v>
      </c>
    </row>
    <row r="194" spans="1:8" x14ac:dyDescent="0.2">
      <c r="A194" s="161">
        <v>44137</v>
      </c>
      <c r="B194" s="162">
        <v>1.0820000000000001</v>
      </c>
      <c r="C194" s="171">
        <f t="shared" si="34"/>
        <v>1.0000000000001119E-3</v>
      </c>
      <c r="D194" s="168" t="str">
        <f t="shared" si="35"/>
        <v>/</v>
      </c>
      <c r="E194" s="168">
        <f ca="1">IF(表2_36716262930389121314153[[#This Row],[累计净值]]/MAX(INDIRECT("B21:B" &amp; ROW()))-1&lt;E193,表2_36716262930389121314153[[#This Row],[累计净值]]/MAX(INDIRECT("B21:B" &amp; ROW()))-1,E193)</f>
        <v>-1.2950971322849281E-2</v>
      </c>
      <c r="F194" s="110">
        <f>表2_36716262930389121314153[[#This Row],[累计净值]]</f>
        <v>1.0820000000000001</v>
      </c>
      <c r="G194" s="170">
        <f>表2_36716262930389121314153[[#This Row],[累计净值]]/$B$21-1</f>
        <v>7.8763708873380134E-2</v>
      </c>
      <c r="H194" s="170">
        <f>表2_36716262930389121314153[[#This Row],[累计净值]]/$B$35-1</f>
        <v>7.0227497527201033E-2</v>
      </c>
    </row>
    <row r="195" spans="1:8" x14ac:dyDescent="0.2">
      <c r="A195" s="161">
        <v>44138</v>
      </c>
      <c r="B195" s="162">
        <v>1.0820000000000001</v>
      </c>
      <c r="C195" s="171">
        <f t="shared" si="34"/>
        <v>0</v>
      </c>
      <c r="D195" s="168" t="str">
        <f t="shared" si="35"/>
        <v>/</v>
      </c>
      <c r="E195" s="168">
        <f ca="1">IF(表2_36716262930389121314153[[#This Row],[累计净值]]/MAX(INDIRECT("B21:B" &amp; ROW()))-1&lt;E194,表2_36716262930389121314153[[#This Row],[累计净值]]/MAX(INDIRECT("B21:B" &amp; ROW()))-1,E194)</f>
        <v>-1.2950971322849281E-2</v>
      </c>
      <c r="F195" s="110">
        <f>表2_36716262930389121314153[[#This Row],[累计净值]]</f>
        <v>1.0820000000000001</v>
      </c>
      <c r="G195" s="170">
        <f>表2_36716262930389121314153[[#This Row],[累计净值]]/$B$21-1</f>
        <v>7.8763708873380134E-2</v>
      </c>
      <c r="H195" s="170">
        <f>表2_36716262930389121314153[[#This Row],[累计净值]]/$B$35-1</f>
        <v>7.0227497527201033E-2</v>
      </c>
    </row>
    <row r="196" spans="1:8" x14ac:dyDescent="0.2">
      <c r="A196" s="161">
        <v>44139</v>
      </c>
      <c r="B196" s="162">
        <v>1.0820000000000001</v>
      </c>
      <c r="C196" s="171">
        <f t="shared" si="34"/>
        <v>0</v>
      </c>
      <c r="D196" s="168" t="str">
        <f t="shared" si="35"/>
        <v>/</v>
      </c>
      <c r="E196" s="168">
        <f ca="1">IF(表2_36716262930389121314153[[#This Row],[累计净值]]/MAX(INDIRECT("B21:B" &amp; ROW()))-1&lt;E195,表2_36716262930389121314153[[#This Row],[累计净值]]/MAX(INDIRECT("B21:B" &amp; ROW()))-1,E195)</f>
        <v>-1.2950971322849281E-2</v>
      </c>
      <c r="F196" s="110">
        <f>表2_36716262930389121314153[[#This Row],[累计净值]]</f>
        <v>1.0820000000000001</v>
      </c>
      <c r="G196" s="170">
        <f>表2_36716262930389121314153[[#This Row],[累计净值]]/$B$21-1</f>
        <v>7.8763708873380134E-2</v>
      </c>
      <c r="H196" s="170">
        <f>表2_36716262930389121314153[[#This Row],[累计净值]]/$B$35-1</f>
        <v>7.0227497527201033E-2</v>
      </c>
    </row>
    <row r="197" spans="1:8" x14ac:dyDescent="0.2">
      <c r="A197" s="161">
        <v>44140</v>
      </c>
      <c r="B197" s="162">
        <v>1.0840000000000001</v>
      </c>
      <c r="C197" s="171">
        <f t="shared" ref="C197:C202" si="36">IFERROR(B197-B196,0)</f>
        <v>2.0000000000000018E-3</v>
      </c>
      <c r="D197" s="168" t="str">
        <f t="shared" ref="D197:D202" si="37">IF(C197&lt;0,C197,"/")</f>
        <v>/</v>
      </c>
      <c r="E197" s="168">
        <f ca="1">IF(表2_36716262930389121314153[[#This Row],[累计净值]]/MAX(INDIRECT("B21:B" &amp; ROW()))-1&lt;E196,表2_36716262930389121314153[[#This Row],[累计净值]]/MAX(INDIRECT("B21:B" &amp; ROW()))-1,E196)</f>
        <v>-1.2950971322849281E-2</v>
      </c>
      <c r="F197" s="110">
        <f>表2_36716262930389121314153[[#This Row],[累计净值]]</f>
        <v>1.0840000000000001</v>
      </c>
      <c r="G197" s="170">
        <f>表2_36716262930389121314153[[#This Row],[累计净值]]/$B$21-1</f>
        <v>8.0757726819541631E-2</v>
      </c>
      <c r="H197" s="170">
        <f>表2_36716262930389121314153[[#This Row],[累计净值]]/$B$35-1</f>
        <v>7.220573689416443E-2</v>
      </c>
    </row>
    <row r="198" spans="1:8" x14ac:dyDescent="0.2">
      <c r="A198" s="161">
        <v>44141</v>
      </c>
      <c r="B198" s="162">
        <v>1.0840000000000001</v>
      </c>
      <c r="C198" s="171">
        <f t="shared" si="36"/>
        <v>0</v>
      </c>
      <c r="D198" s="168" t="str">
        <f t="shared" si="37"/>
        <v>/</v>
      </c>
      <c r="E198" s="168">
        <f ca="1">IF(表2_36716262930389121314153[[#This Row],[累计净值]]/MAX(INDIRECT("B21:B" &amp; ROW()))-1&lt;E197,表2_36716262930389121314153[[#This Row],[累计净值]]/MAX(INDIRECT("B21:B" &amp; ROW()))-1,E197)</f>
        <v>-1.2950971322849281E-2</v>
      </c>
      <c r="F198" s="110">
        <f>表2_36716262930389121314153[[#This Row],[累计净值]]</f>
        <v>1.0840000000000001</v>
      </c>
      <c r="G198" s="170">
        <f>表2_36716262930389121314153[[#This Row],[累计净值]]/$B$21-1</f>
        <v>8.0757726819541631E-2</v>
      </c>
      <c r="H198" s="170">
        <f>表2_36716262930389121314153[[#This Row],[累计净值]]/$B$35-1</f>
        <v>7.220573689416443E-2</v>
      </c>
    </row>
    <row r="199" spans="1:8" x14ac:dyDescent="0.2">
      <c r="A199" s="161">
        <v>44144</v>
      </c>
      <c r="B199" s="162">
        <v>1.085</v>
      </c>
      <c r="C199" s="171">
        <f t="shared" si="36"/>
        <v>9.9999999999988987E-4</v>
      </c>
      <c r="D199" s="168" t="str">
        <f t="shared" si="37"/>
        <v>/</v>
      </c>
      <c r="E199" s="168">
        <f ca="1">IF(表2_36716262930389121314153[[#This Row],[累计净值]]/MAX(INDIRECT("B21:B" &amp; ROW()))-1&lt;E198,表2_36716262930389121314153[[#This Row],[累计净值]]/MAX(INDIRECT("B21:B" &amp; ROW()))-1,E198)</f>
        <v>-1.2950971322849281E-2</v>
      </c>
      <c r="F199" s="110">
        <f>表2_36716262930389121314153[[#This Row],[累计净值]]</f>
        <v>1.085</v>
      </c>
      <c r="G199" s="170">
        <f>表2_36716262930389121314153[[#This Row],[累计净值]]/$B$21-1</f>
        <v>8.1754735792622268E-2</v>
      </c>
      <c r="H199" s="170">
        <f>表2_36716262930389121314153[[#This Row],[累计净值]]/$B$35-1</f>
        <v>7.3194856577645906E-2</v>
      </c>
    </row>
    <row r="200" spans="1:8" x14ac:dyDescent="0.2">
      <c r="A200" s="161">
        <v>44145</v>
      </c>
      <c r="B200" s="162">
        <v>1.0900000000000001</v>
      </c>
      <c r="C200" s="171">
        <f t="shared" si="36"/>
        <v>5.0000000000001155E-3</v>
      </c>
      <c r="D200" s="168" t="str">
        <f t="shared" si="37"/>
        <v>/</v>
      </c>
      <c r="E200" s="168">
        <f ca="1">IF(表2_36716262930389121314153[[#This Row],[累计净值]]/MAX(INDIRECT("B21:B" &amp; ROW()))-1&lt;E199,表2_36716262930389121314153[[#This Row],[累计净值]]/MAX(INDIRECT("B21:B" &amp; ROW()))-1,E199)</f>
        <v>-1.2950971322849281E-2</v>
      </c>
      <c r="F200" s="110">
        <f>表2_36716262930389121314153[[#This Row],[累计净值]]</f>
        <v>1.0900000000000001</v>
      </c>
      <c r="G200" s="170">
        <f>表2_36716262930389121314153[[#This Row],[累计净值]]/$B$21-1</f>
        <v>8.6739780658026122E-2</v>
      </c>
      <c r="H200" s="170">
        <f>表2_36716262930389121314153[[#This Row],[累计净值]]/$B$35-1</f>
        <v>7.814045499505462E-2</v>
      </c>
    </row>
    <row r="201" spans="1:8" x14ac:dyDescent="0.2">
      <c r="A201" s="161">
        <v>44146</v>
      </c>
      <c r="B201" s="162">
        <v>1.0900000000000001</v>
      </c>
      <c r="C201" s="171">
        <f t="shared" si="36"/>
        <v>0</v>
      </c>
      <c r="D201" s="168" t="str">
        <f t="shared" si="37"/>
        <v>/</v>
      </c>
      <c r="E201" s="168">
        <f ca="1">IF(表2_36716262930389121314153[[#This Row],[累计净值]]/MAX(INDIRECT("B21:B" &amp; ROW()))-1&lt;E200,表2_36716262930389121314153[[#This Row],[累计净值]]/MAX(INDIRECT("B21:B" &amp; ROW()))-1,E200)</f>
        <v>-1.2950971322849281E-2</v>
      </c>
      <c r="F201" s="110">
        <f>表2_36716262930389121314153[[#This Row],[累计净值]]</f>
        <v>1.0900000000000001</v>
      </c>
      <c r="G201" s="170">
        <f>表2_36716262930389121314153[[#This Row],[累计净值]]/$B$21-1</f>
        <v>8.6739780658026122E-2</v>
      </c>
      <c r="H201" s="170">
        <f>表2_36716262930389121314153[[#This Row],[累计净值]]/$B$35-1</f>
        <v>7.814045499505462E-2</v>
      </c>
    </row>
    <row r="202" spans="1:8" x14ac:dyDescent="0.2">
      <c r="A202" s="161">
        <v>44147</v>
      </c>
      <c r="B202" s="162">
        <v>1.091</v>
      </c>
      <c r="C202" s="171">
        <f t="shared" si="36"/>
        <v>9.9999999999988987E-4</v>
      </c>
      <c r="D202" s="168" t="str">
        <f t="shared" si="37"/>
        <v>/</v>
      </c>
      <c r="E202" s="168">
        <f ca="1">IF(表2_36716262930389121314153[[#This Row],[累计净值]]/MAX(INDIRECT("B21:B" &amp; ROW()))-1&lt;E201,表2_36716262930389121314153[[#This Row],[累计净值]]/MAX(INDIRECT("B21:B" &amp; ROW()))-1,E201)</f>
        <v>-1.2950971322849281E-2</v>
      </c>
      <c r="F202" s="110">
        <f>表2_36716262930389121314153[[#This Row],[累计净值]]</f>
        <v>1.091</v>
      </c>
      <c r="G202" s="170">
        <f>表2_36716262930389121314153[[#This Row],[累计净值]]/$B$21-1</f>
        <v>8.773678963110676E-2</v>
      </c>
      <c r="H202" s="170">
        <f>表2_36716262930389121314153[[#This Row],[累计净值]]/$B$35-1</f>
        <v>7.9129574678536096E-2</v>
      </c>
    </row>
    <row r="203" spans="1:8" x14ac:dyDescent="0.2">
      <c r="A203" s="161">
        <v>44148</v>
      </c>
      <c r="B203" s="162">
        <v>1.0920000000000001</v>
      </c>
      <c r="C203" s="171">
        <f t="shared" ref="C203:C208" si="38">IFERROR(B203-B202,0)</f>
        <v>1.0000000000001119E-3</v>
      </c>
      <c r="D203" s="168" t="str">
        <f t="shared" ref="D203:D208" si="39">IF(C203&lt;0,C203,"/")</f>
        <v>/</v>
      </c>
      <c r="E203" s="168">
        <f ca="1">IF(表2_36716262930389121314153[[#This Row],[累计净值]]/MAX(INDIRECT("B21:B" &amp; ROW()))-1&lt;E202,表2_36716262930389121314153[[#This Row],[累计净值]]/MAX(INDIRECT("B21:B" &amp; ROW()))-1,E202)</f>
        <v>-1.2950971322849281E-2</v>
      </c>
      <c r="F203" s="110">
        <f>表2_36716262930389121314153[[#This Row],[累计净值]]</f>
        <v>1.0920000000000001</v>
      </c>
      <c r="G203" s="170">
        <f>表2_36716262930389121314153[[#This Row],[累计净值]]/$B$21-1</f>
        <v>8.8733798604187619E-2</v>
      </c>
      <c r="H203" s="170">
        <f>表2_36716262930389121314153[[#This Row],[累计净值]]/$B$35-1</f>
        <v>8.0118694362018017E-2</v>
      </c>
    </row>
    <row r="204" spans="1:8" x14ac:dyDescent="0.2">
      <c r="A204" s="161">
        <v>44151</v>
      </c>
      <c r="B204" s="162">
        <v>1.093</v>
      </c>
      <c r="C204" s="171">
        <f t="shared" si="38"/>
        <v>9.9999999999988987E-4</v>
      </c>
      <c r="D204" s="168" t="str">
        <f t="shared" si="39"/>
        <v>/</v>
      </c>
      <c r="E204" s="168">
        <f ca="1">IF(表2_36716262930389121314153[[#This Row],[累计净值]]/MAX(INDIRECT("B21:B" &amp; ROW()))-1&lt;E203,表2_36716262930389121314153[[#This Row],[累计净值]]/MAX(INDIRECT("B21:B" &amp; ROW()))-1,E203)</f>
        <v>-1.2950971322849281E-2</v>
      </c>
      <c r="F204" s="110">
        <f>表2_36716262930389121314153[[#This Row],[累计净值]]</f>
        <v>1.093</v>
      </c>
      <c r="G204" s="170">
        <f>表2_36716262930389121314153[[#This Row],[累计净值]]/$B$21-1</f>
        <v>8.9730807577268257E-2</v>
      </c>
      <c r="H204" s="170">
        <f>表2_36716262930389121314153[[#This Row],[累计净值]]/$B$35-1</f>
        <v>8.1107814045499493E-2</v>
      </c>
    </row>
    <row r="205" spans="1:8" x14ac:dyDescent="0.2">
      <c r="A205" s="161">
        <v>44152</v>
      </c>
      <c r="B205" s="162">
        <v>1.097</v>
      </c>
      <c r="C205" s="171">
        <f t="shared" si="38"/>
        <v>4.0000000000000036E-3</v>
      </c>
      <c r="D205" s="168" t="str">
        <f t="shared" si="39"/>
        <v>/</v>
      </c>
      <c r="E205" s="168">
        <f ca="1">IF(表2_36716262930389121314153[[#This Row],[累计净值]]/MAX(INDIRECT("B21:B" &amp; ROW()))-1&lt;E204,表2_36716262930389121314153[[#This Row],[累计净值]]/MAX(INDIRECT("B21:B" &amp; ROW()))-1,E204)</f>
        <v>-1.2950971322849281E-2</v>
      </c>
      <c r="F205" s="110">
        <f>表2_36716262930389121314153[[#This Row],[累计净值]]</f>
        <v>1.097</v>
      </c>
      <c r="G205" s="170">
        <f>表2_36716262930389121314153[[#This Row],[累计净值]]/$B$21-1</f>
        <v>9.3718843469591251E-2</v>
      </c>
      <c r="H205" s="170">
        <f>表2_36716262930389121314153[[#This Row],[累计净值]]/$B$35-1</f>
        <v>8.5064292779426287E-2</v>
      </c>
    </row>
    <row r="206" spans="1:8" x14ac:dyDescent="0.2">
      <c r="A206" s="161">
        <v>44153</v>
      </c>
      <c r="B206" s="162">
        <v>1.097</v>
      </c>
      <c r="C206" s="171">
        <f t="shared" si="38"/>
        <v>0</v>
      </c>
      <c r="D206" s="168" t="str">
        <f t="shared" si="39"/>
        <v>/</v>
      </c>
      <c r="E206" s="168">
        <f ca="1">IF(表2_36716262930389121314153[[#This Row],[累计净值]]/MAX(INDIRECT("B21:B" &amp; ROW()))-1&lt;E205,表2_36716262930389121314153[[#This Row],[累计净值]]/MAX(INDIRECT("B21:B" &amp; ROW()))-1,E205)</f>
        <v>-1.2950971322849281E-2</v>
      </c>
      <c r="F206" s="110">
        <f>表2_36716262930389121314153[[#This Row],[累计净值]]</f>
        <v>1.097</v>
      </c>
      <c r="G206" s="170">
        <f>表2_36716262930389121314153[[#This Row],[累计净值]]/$B$21-1</f>
        <v>9.3718843469591251E-2</v>
      </c>
      <c r="H206" s="170">
        <f>表2_36716262930389121314153[[#This Row],[累计净值]]/$B$35-1</f>
        <v>8.5064292779426287E-2</v>
      </c>
    </row>
    <row r="207" spans="1:8" x14ac:dyDescent="0.2">
      <c r="A207" s="161">
        <v>44154</v>
      </c>
      <c r="B207" s="162">
        <v>1.097</v>
      </c>
      <c r="C207" s="171">
        <f t="shared" si="38"/>
        <v>0</v>
      </c>
      <c r="D207" s="168" t="str">
        <f t="shared" si="39"/>
        <v>/</v>
      </c>
      <c r="E207" s="168">
        <f ca="1">IF(表2_36716262930389121314153[[#This Row],[累计净值]]/MAX(INDIRECT("B21:B" &amp; ROW()))-1&lt;E206,表2_36716262930389121314153[[#This Row],[累计净值]]/MAX(INDIRECT("B21:B" &amp; ROW()))-1,E206)</f>
        <v>-1.2950971322849281E-2</v>
      </c>
      <c r="F207" s="110">
        <f>表2_36716262930389121314153[[#This Row],[累计净值]]</f>
        <v>1.097</v>
      </c>
      <c r="G207" s="170">
        <f>表2_36716262930389121314153[[#This Row],[累计净值]]/$B$21-1</f>
        <v>9.3718843469591251E-2</v>
      </c>
      <c r="H207" s="170">
        <f>表2_36716262930389121314153[[#This Row],[累计净值]]/$B$35-1</f>
        <v>8.5064292779426287E-2</v>
      </c>
    </row>
    <row r="208" spans="1:8" x14ac:dyDescent="0.2">
      <c r="A208" s="161">
        <v>44155</v>
      </c>
      <c r="B208" s="162">
        <v>1.097</v>
      </c>
      <c r="C208" s="171">
        <f t="shared" si="38"/>
        <v>0</v>
      </c>
      <c r="D208" s="168" t="str">
        <f t="shared" si="39"/>
        <v>/</v>
      </c>
      <c r="E208" s="168">
        <f ca="1">IF(表2_36716262930389121314153[[#This Row],[累计净值]]/MAX(INDIRECT("B21:B" &amp; ROW()))-1&lt;E207,表2_36716262930389121314153[[#This Row],[累计净值]]/MAX(INDIRECT("B21:B" &amp; ROW()))-1,E207)</f>
        <v>-1.2950971322849281E-2</v>
      </c>
      <c r="F208" s="110">
        <f>表2_36716262930389121314153[[#This Row],[累计净值]]</f>
        <v>1.097</v>
      </c>
      <c r="G208" s="170">
        <f>表2_36716262930389121314153[[#This Row],[累计净值]]/$B$21-1</f>
        <v>9.3718843469591251E-2</v>
      </c>
      <c r="H208" s="170">
        <f>表2_36716262930389121314153[[#This Row],[累计净值]]/$B$35-1</f>
        <v>8.5064292779426287E-2</v>
      </c>
    </row>
    <row r="209" spans="1:8" x14ac:dyDescent="0.2">
      <c r="A209" s="161">
        <v>44158</v>
      </c>
      <c r="B209" s="162">
        <v>1.095</v>
      </c>
      <c r="C209" s="171">
        <f t="shared" ref="C209:C214" si="40">IFERROR(B209-B208,0)</f>
        <v>-2.0000000000000018E-3</v>
      </c>
      <c r="D209" s="168">
        <f t="shared" ref="D209:D214" si="41">IF(C209&lt;0,C209,"/")</f>
        <v>-2.0000000000000018E-3</v>
      </c>
      <c r="E209" s="168">
        <f ca="1">IF(表2_36716262930389121314153[[#This Row],[累计净值]]/MAX(INDIRECT("B21:B" &amp; ROW()))-1&lt;E208,表2_36716262930389121314153[[#This Row],[累计净值]]/MAX(INDIRECT("B21:B" &amp; ROW()))-1,E208)</f>
        <v>-1.2950971322849281E-2</v>
      </c>
      <c r="F209" s="110">
        <f>表2_36716262930389121314153[[#This Row],[累计净值]]</f>
        <v>1.095</v>
      </c>
      <c r="G209" s="170">
        <f>表2_36716262930389121314153[[#This Row],[累计净值]]/$B$21-1</f>
        <v>9.1724825523429754E-2</v>
      </c>
      <c r="H209" s="170">
        <f>表2_36716262930389121314153[[#This Row],[累计净值]]/$B$35-1</f>
        <v>8.308605341246289E-2</v>
      </c>
    </row>
    <row r="210" spans="1:8" x14ac:dyDescent="0.2">
      <c r="A210" s="161">
        <v>44159</v>
      </c>
      <c r="B210" s="162">
        <v>1.0960000000000001</v>
      </c>
      <c r="C210" s="171">
        <f t="shared" si="40"/>
        <v>1.0000000000001119E-3</v>
      </c>
      <c r="D210" s="168" t="str">
        <f t="shared" si="41"/>
        <v>/</v>
      </c>
      <c r="E210" s="168">
        <f ca="1">IF(表2_36716262930389121314153[[#This Row],[累计净值]]/MAX(INDIRECT("B21:B" &amp; ROW()))-1&lt;E209,表2_36716262930389121314153[[#This Row],[累计净值]]/MAX(INDIRECT("B21:B" &amp; ROW()))-1,E209)</f>
        <v>-1.2950971322849281E-2</v>
      </c>
      <c r="F210" s="110">
        <f>表2_36716262930389121314153[[#This Row],[累计净值]]</f>
        <v>1.0960000000000001</v>
      </c>
      <c r="G210" s="170">
        <f>表2_36716262930389121314153[[#This Row],[累计净值]]/$B$21-1</f>
        <v>9.2721834496510613E-2</v>
      </c>
      <c r="H210" s="170">
        <f>表2_36716262930389121314153[[#This Row],[累计净值]]/$B$35-1</f>
        <v>8.4075173095944811E-2</v>
      </c>
    </row>
    <row r="211" spans="1:8" x14ac:dyDescent="0.2">
      <c r="A211" s="161">
        <v>44160</v>
      </c>
      <c r="B211" s="162">
        <v>1.0900000000000001</v>
      </c>
      <c r="C211" s="171">
        <f t="shared" si="40"/>
        <v>-6.0000000000000053E-3</v>
      </c>
      <c r="D211" s="168">
        <f t="shared" si="41"/>
        <v>-6.0000000000000053E-3</v>
      </c>
      <c r="E211" s="168">
        <f ca="1">IF(表2_36716262930389121314153[[#This Row],[累计净值]]/MAX(INDIRECT("B21:B" &amp; ROW()))-1&lt;E210,表2_36716262930389121314153[[#This Row],[累计净值]]/MAX(INDIRECT("B21:B" &amp; ROW()))-1,E210)</f>
        <v>-1.2950971322849281E-2</v>
      </c>
      <c r="F211" s="110">
        <f>表2_36716262930389121314153[[#This Row],[累计净值]]</f>
        <v>1.0900000000000001</v>
      </c>
      <c r="G211" s="170">
        <f>表2_36716262930389121314153[[#This Row],[累计净值]]/$B$21-1</f>
        <v>8.6739780658026122E-2</v>
      </c>
      <c r="H211" s="170">
        <f>表2_36716262930389121314153[[#This Row],[累计净值]]/$B$35-1</f>
        <v>7.814045499505462E-2</v>
      </c>
    </row>
    <row r="212" spans="1:8" x14ac:dyDescent="0.2">
      <c r="A212" s="161">
        <v>44161</v>
      </c>
      <c r="B212" s="162">
        <v>1.097</v>
      </c>
      <c r="C212" s="171">
        <f t="shared" si="40"/>
        <v>6.9999999999998952E-3</v>
      </c>
      <c r="D212" s="168" t="str">
        <f t="shared" si="41"/>
        <v>/</v>
      </c>
      <c r="E212" s="168">
        <f ca="1">IF(表2_36716262930389121314153[[#This Row],[累计净值]]/MAX(INDIRECT("B21:B" &amp; ROW()))-1&lt;E211,表2_36716262930389121314153[[#This Row],[累计净值]]/MAX(INDIRECT("B21:B" &amp; ROW()))-1,E211)</f>
        <v>-1.2950971322849281E-2</v>
      </c>
      <c r="F212" s="110">
        <f>表2_36716262930389121314153[[#This Row],[累计净值]]</f>
        <v>1.097</v>
      </c>
      <c r="G212" s="170">
        <f>表2_36716262930389121314153[[#This Row],[累计净值]]/$B$21-1</f>
        <v>9.3718843469591251E-2</v>
      </c>
      <c r="H212" s="170">
        <f>表2_36716262930389121314153[[#This Row],[累计净值]]/$B$35-1</f>
        <v>8.5064292779426287E-2</v>
      </c>
    </row>
    <row r="213" spans="1:8" x14ac:dyDescent="0.2">
      <c r="A213" s="161">
        <v>44162</v>
      </c>
      <c r="B213" s="162">
        <v>1.0980000000000001</v>
      </c>
      <c r="C213" s="171">
        <f t="shared" si="40"/>
        <v>1.0000000000001119E-3</v>
      </c>
      <c r="D213" s="168" t="str">
        <f t="shared" si="41"/>
        <v>/</v>
      </c>
      <c r="E213" s="168">
        <f ca="1">IF(表2_36716262930389121314153[[#This Row],[累计净值]]/MAX(INDIRECT("B21:B" &amp; ROW()))-1&lt;E212,表2_36716262930389121314153[[#This Row],[累计净值]]/MAX(INDIRECT("B21:B" &amp; ROW()))-1,E212)</f>
        <v>-1.2950971322849281E-2</v>
      </c>
      <c r="F213" s="110">
        <f>表2_36716262930389121314153[[#This Row],[累计净值]]</f>
        <v>1.0980000000000001</v>
      </c>
      <c r="G213" s="170">
        <f>表2_36716262930389121314153[[#This Row],[累计净值]]/$B$21-1</f>
        <v>9.471585244267211E-2</v>
      </c>
      <c r="H213" s="170">
        <f>表2_36716262930389121314153[[#This Row],[累计净值]]/$B$35-1</f>
        <v>8.6053412462908208E-2</v>
      </c>
    </row>
    <row r="214" spans="1:8" x14ac:dyDescent="0.2">
      <c r="A214" s="161">
        <v>44165</v>
      </c>
      <c r="B214" s="162">
        <v>1.105</v>
      </c>
      <c r="C214" s="171">
        <f t="shared" si="40"/>
        <v>6.9999999999998952E-3</v>
      </c>
      <c r="D214" s="168" t="str">
        <f t="shared" si="41"/>
        <v>/</v>
      </c>
      <c r="E214" s="168">
        <f ca="1">IF(表2_36716262930389121314153[[#This Row],[累计净值]]/MAX(INDIRECT("B21:B" &amp; ROW()))-1&lt;E213,表2_36716262930389121314153[[#This Row],[累计净值]]/MAX(INDIRECT("B21:B" &amp; ROW()))-1,E213)</f>
        <v>-1.2950971322849281E-2</v>
      </c>
      <c r="F214" s="110">
        <f>表2_36716262930389121314153[[#This Row],[累计净值]]</f>
        <v>1.105</v>
      </c>
      <c r="G214" s="170">
        <f>表2_36716262930389121314153[[#This Row],[累计净值]]/$B$21-1</f>
        <v>0.10169491525423746</v>
      </c>
      <c r="H214" s="170">
        <f>表2_36716262930389121314153[[#This Row],[累计净值]]/$B$35-1</f>
        <v>9.2977250247280097E-2</v>
      </c>
    </row>
    <row r="215" spans="1:8" x14ac:dyDescent="0.2">
      <c r="A215" s="161">
        <v>44166</v>
      </c>
      <c r="B215" s="162">
        <v>1.101</v>
      </c>
      <c r="C215" s="171">
        <f>IFERROR(B215-B214,0)</f>
        <v>-4.0000000000000036E-3</v>
      </c>
      <c r="D215" s="168">
        <f>IF(C215&lt;0,C215,"/")</f>
        <v>-4.0000000000000036E-3</v>
      </c>
      <c r="E215" s="168">
        <f ca="1">IF(表2_36716262930389121314153[[#This Row],[累计净值]]/MAX(INDIRECT("B21:B" &amp; ROW()))-1&lt;E214,表2_36716262930389121314153[[#This Row],[累计净值]]/MAX(INDIRECT("B21:B" &amp; ROW()))-1,E214)</f>
        <v>-1.2950971322849281E-2</v>
      </c>
      <c r="F215" s="110">
        <f>表2_36716262930389121314153[[#This Row],[累计净值]]</f>
        <v>1.101</v>
      </c>
      <c r="G215" s="170">
        <f>表2_36716262930389121314153[[#This Row],[累计净值]]/$B$21-1</f>
        <v>9.7706879361914245E-2</v>
      </c>
      <c r="H215" s="170">
        <f>表2_36716262930389121314153[[#This Row],[累计净值]]/$B$35-1</f>
        <v>8.9020771513353303E-2</v>
      </c>
    </row>
    <row r="216" spans="1:8" x14ac:dyDescent="0.2">
      <c r="A216" s="161">
        <v>44167</v>
      </c>
      <c r="B216" s="162">
        <v>1.103</v>
      </c>
      <c r="C216" s="171">
        <f>IFERROR(B216-B215,0)</f>
        <v>2.0000000000000018E-3</v>
      </c>
      <c r="D216" s="168" t="str">
        <f>IF(C216&lt;0,C216,"/")</f>
        <v>/</v>
      </c>
      <c r="E216" s="168">
        <f ca="1">IF(表2_36716262930389121314153[[#This Row],[累计净值]]/MAX(INDIRECT("B21:B" &amp; ROW()))-1&lt;E215,表2_36716262930389121314153[[#This Row],[累计净值]]/MAX(INDIRECT("B21:B" &amp; ROW()))-1,E215)</f>
        <v>-1.2950971322849281E-2</v>
      </c>
      <c r="F216" s="110">
        <f>表2_36716262930389121314153[[#This Row],[累计净值]]</f>
        <v>1.103</v>
      </c>
      <c r="G216" s="170">
        <f>表2_36716262930389121314153[[#This Row],[累计净值]]/$B$21-1</f>
        <v>9.9700897308075964E-2</v>
      </c>
      <c r="H216" s="170">
        <f>表2_36716262930389121314153[[#This Row],[累计净值]]/$B$35-1</f>
        <v>9.09990108803167E-2</v>
      </c>
    </row>
    <row r="217" spans="1:8" x14ac:dyDescent="0.2">
      <c r="A217" s="161">
        <v>44168</v>
      </c>
      <c r="B217" s="162">
        <v>1.105</v>
      </c>
      <c r="C217" s="171">
        <f t="shared" ref="C217:C218" si="42">IFERROR(B217-B216,0)</f>
        <v>2.0000000000000018E-3</v>
      </c>
      <c r="D217" s="168" t="str">
        <f t="shared" ref="D217:D218" si="43">IF(C217&lt;0,C217,"/")</f>
        <v>/</v>
      </c>
      <c r="E217" s="168">
        <f ca="1">IF(表2_36716262930389121314153[[#This Row],[累计净值]]/MAX(INDIRECT("B21:B" &amp; ROW()))-1&lt;E216,表2_36716262930389121314153[[#This Row],[累计净值]]/MAX(INDIRECT("B21:B" &amp; ROW()))-1,E216)</f>
        <v>-1.2950971322849281E-2</v>
      </c>
      <c r="F217" s="110">
        <f>表2_36716262930389121314153[[#This Row],[累计净值]]</f>
        <v>1.105</v>
      </c>
      <c r="G217" s="170">
        <f>表2_36716262930389121314153[[#This Row],[累计净值]]/$B$21-1</f>
        <v>0.10169491525423746</v>
      </c>
      <c r="H217" s="170">
        <f>表2_36716262930389121314153[[#This Row],[累计净值]]/$B$35-1</f>
        <v>9.2977250247280097E-2</v>
      </c>
    </row>
    <row r="218" spans="1:8" x14ac:dyDescent="0.2">
      <c r="A218" s="161">
        <v>44169</v>
      </c>
      <c r="B218" s="162">
        <v>1.1020000000000001</v>
      </c>
      <c r="C218" s="171">
        <f t="shared" si="42"/>
        <v>-2.9999999999998916E-3</v>
      </c>
      <c r="D218" s="168">
        <f t="shared" si="43"/>
        <v>-2.9999999999998916E-3</v>
      </c>
      <c r="E218" s="168">
        <f ca="1">IF(表2_36716262930389121314153[[#This Row],[累计净值]]/MAX(INDIRECT("B21:B" &amp; ROW()))-1&lt;E217,表2_36716262930389121314153[[#This Row],[累计净值]]/MAX(INDIRECT("B21:B" &amp; ROW()))-1,E217)</f>
        <v>-1.2950971322849281E-2</v>
      </c>
      <c r="F218" s="110">
        <f>表2_36716262930389121314153[[#This Row],[累计净值]]</f>
        <v>1.1020000000000001</v>
      </c>
      <c r="G218" s="170">
        <f>表2_36716262930389121314153[[#This Row],[累计净值]]/$B$21-1</f>
        <v>9.8703888334995327E-2</v>
      </c>
      <c r="H218" s="170">
        <f>表2_36716262930389121314153[[#This Row],[累计净值]]/$B$35-1</f>
        <v>9.0009891196835001E-2</v>
      </c>
    </row>
    <row r="219" spans="1:8" x14ac:dyDescent="0.2">
      <c r="A219" s="161">
        <v>44172</v>
      </c>
      <c r="B219" s="162">
        <v>1.101</v>
      </c>
      <c r="C219" s="171">
        <f t="shared" ref="C219:C225" si="44">IFERROR(B219-B218,0)</f>
        <v>-1.0000000000001119E-3</v>
      </c>
      <c r="D219" s="168">
        <f t="shared" ref="D219:D225" si="45">IF(C219&lt;0,C219,"/")</f>
        <v>-1.0000000000001119E-3</v>
      </c>
      <c r="E219" s="168">
        <f ca="1">IF(表2_36716262930389121314153[[#This Row],[累计净值]]/MAX(INDIRECT("B21:B" &amp; ROW()))-1&lt;E218,表2_36716262930389121314153[[#This Row],[累计净值]]/MAX(INDIRECT("B21:B" &amp; ROW()))-1,E218)</f>
        <v>-1.2950971322849281E-2</v>
      </c>
      <c r="F219" s="110">
        <f>表2_36716262930389121314153[[#This Row],[累计净值]]</f>
        <v>1.101</v>
      </c>
      <c r="G219" s="170">
        <f>表2_36716262930389121314153[[#This Row],[累计净值]]/$B$21-1</f>
        <v>9.7706879361914245E-2</v>
      </c>
      <c r="H219" s="170">
        <f>表2_36716262930389121314153[[#This Row],[累计净值]]/$B$35-1</f>
        <v>8.9020771513353303E-2</v>
      </c>
    </row>
    <row r="220" spans="1:8" x14ac:dyDescent="0.2">
      <c r="A220" s="161">
        <v>44173</v>
      </c>
      <c r="B220" s="162">
        <v>1.103</v>
      </c>
      <c r="C220" s="171">
        <f t="shared" si="44"/>
        <v>2.0000000000000018E-3</v>
      </c>
      <c r="D220" s="168" t="str">
        <f t="shared" si="45"/>
        <v>/</v>
      </c>
      <c r="E220" s="168">
        <f ca="1">IF(表2_36716262930389121314153[[#This Row],[累计净值]]/MAX(INDIRECT("B21:B" &amp; ROW()))-1&lt;E219,表2_36716262930389121314153[[#This Row],[累计净值]]/MAX(INDIRECT("B21:B" &amp; ROW()))-1,E219)</f>
        <v>-1.2950971322849281E-2</v>
      </c>
      <c r="F220" s="110">
        <f>表2_36716262930389121314153[[#This Row],[累计净值]]</f>
        <v>1.103</v>
      </c>
      <c r="G220" s="170">
        <f>表2_36716262930389121314153[[#This Row],[累计净值]]/$B$21-1</f>
        <v>9.9700897308075964E-2</v>
      </c>
      <c r="H220" s="170">
        <f>表2_36716262930389121314153[[#This Row],[累计净值]]/$B$35-1</f>
        <v>9.09990108803167E-2</v>
      </c>
    </row>
    <row r="221" spans="1:8" x14ac:dyDescent="0.2">
      <c r="A221" s="161">
        <v>44174</v>
      </c>
      <c r="B221" s="162">
        <v>1.103</v>
      </c>
      <c r="C221" s="171">
        <f t="shared" si="44"/>
        <v>0</v>
      </c>
      <c r="D221" s="168" t="str">
        <f t="shared" si="45"/>
        <v>/</v>
      </c>
      <c r="E221" s="168">
        <f ca="1">IF(表2_36716262930389121314153[[#This Row],[累计净值]]/MAX(INDIRECT("B21:B" &amp; ROW()))-1&lt;E220,表2_36716262930389121314153[[#This Row],[累计净值]]/MAX(INDIRECT("B21:B" &amp; ROW()))-1,E220)</f>
        <v>-1.2950971322849281E-2</v>
      </c>
      <c r="F221" s="110">
        <f>表2_36716262930389121314153[[#This Row],[累计净值]]</f>
        <v>1.103</v>
      </c>
      <c r="G221" s="170">
        <f>表2_36716262930389121314153[[#This Row],[累计净值]]/$B$21-1</f>
        <v>9.9700897308075964E-2</v>
      </c>
      <c r="H221" s="170">
        <f>表2_36716262930389121314153[[#This Row],[累计净值]]/$B$35-1</f>
        <v>9.09990108803167E-2</v>
      </c>
    </row>
    <row r="222" spans="1:8" x14ac:dyDescent="0.2">
      <c r="A222" s="161">
        <v>44175</v>
      </c>
      <c r="B222" s="162">
        <v>1.1080000000000001</v>
      </c>
      <c r="C222" s="171">
        <f t="shared" si="44"/>
        <v>5.0000000000001155E-3</v>
      </c>
      <c r="D222" s="168" t="str">
        <f t="shared" si="45"/>
        <v>/</v>
      </c>
      <c r="E222" s="168">
        <f ca="1">IF(表2_36716262930389121314153[[#This Row],[累计净值]]/MAX(INDIRECT("B21:B" &amp; ROW()))-1&lt;E221,表2_36716262930389121314153[[#This Row],[累计净值]]/MAX(INDIRECT("B21:B" &amp; ROW()))-1,E221)</f>
        <v>-1.2950971322849281E-2</v>
      </c>
      <c r="F222" s="110">
        <f>表2_36716262930389121314153[[#This Row],[累计净值]]</f>
        <v>1.1080000000000001</v>
      </c>
      <c r="G222" s="170">
        <f>表2_36716262930389121314153[[#This Row],[累计净值]]/$B$21-1</f>
        <v>0.10468594217347982</v>
      </c>
      <c r="H222" s="170">
        <f>表2_36716262930389121314153[[#This Row],[累计净值]]/$B$35-1</f>
        <v>9.5944609297725192E-2</v>
      </c>
    </row>
    <row r="223" spans="1:8" x14ac:dyDescent="0.2">
      <c r="A223" s="161">
        <v>44176</v>
      </c>
      <c r="B223" s="162">
        <v>1.1120000000000001</v>
      </c>
      <c r="C223" s="171">
        <f t="shared" si="44"/>
        <v>4.0000000000000036E-3</v>
      </c>
      <c r="D223" s="168" t="str">
        <f t="shared" si="45"/>
        <v>/</v>
      </c>
      <c r="E223" s="168">
        <f ca="1">IF(表2_36716262930389121314153[[#This Row],[累计净值]]/MAX(INDIRECT("B21:B" &amp; ROW()))-1&lt;E222,表2_36716262930389121314153[[#This Row],[累计净值]]/MAX(INDIRECT("B21:B" &amp; ROW()))-1,E222)</f>
        <v>-1.2950971322849281E-2</v>
      </c>
      <c r="F223" s="110">
        <f>表2_36716262930389121314153[[#This Row],[累计净值]]</f>
        <v>1.1120000000000001</v>
      </c>
      <c r="G223" s="170">
        <f>表2_36716262930389121314153[[#This Row],[累计净值]]/$B$21-1</f>
        <v>0.10867397806580281</v>
      </c>
      <c r="H223" s="170">
        <f>表2_36716262930389121314153[[#This Row],[累计净值]]/$B$35-1</f>
        <v>9.9901088031651986E-2</v>
      </c>
    </row>
    <row r="224" spans="1:8" x14ac:dyDescent="0.2">
      <c r="A224" s="161">
        <v>44179</v>
      </c>
      <c r="B224" s="162">
        <v>1.1100000000000001</v>
      </c>
      <c r="C224" s="171">
        <f t="shared" si="44"/>
        <v>-2.0000000000000018E-3</v>
      </c>
      <c r="D224" s="168">
        <f t="shared" si="45"/>
        <v>-2.0000000000000018E-3</v>
      </c>
      <c r="E224" s="168">
        <f ca="1">IF(表2_36716262930389121314153[[#This Row],[累计净值]]/MAX(INDIRECT("B21:B" &amp; ROW()))-1&lt;E223,表2_36716262930389121314153[[#This Row],[累计净值]]/MAX(INDIRECT("B21:B" &amp; ROW()))-1,E223)</f>
        <v>-1.2950971322849281E-2</v>
      </c>
      <c r="F224" s="110">
        <f>表2_36716262930389121314153[[#This Row],[累计净值]]</f>
        <v>1.1100000000000001</v>
      </c>
      <c r="G224" s="170">
        <f>表2_36716262930389121314153[[#This Row],[累计净值]]/$B$21-1</f>
        <v>0.10667996011964131</v>
      </c>
      <c r="H224" s="170">
        <f>表2_36716262930389121314153[[#This Row],[累计净值]]/$B$35-1</f>
        <v>9.7922848664688589E-2</v>
      </c>
    </row>
    <row r="225" spans="1:8" x14ac:dyDescent="0.2">
      <c r="A225" s="161">
        <v>44180</v>
      </c>
      <c r="B225" s="162">
        <v>1.1140000000000001</v>
      </c>
      <c r="C225" s="171">
        <f t="shared" si="44"/>
        <v>4.0000000000000036E-3</v>
      </c>
      <c r="D225" s="168" t="str">
        <f t="shared" si="45"/>
        <v>/</v>
      </c>
      <c r="E225" s="168">
        <f ca="1">IF(表2_36716262930389121314153[[#This Row],[累计净值]]/MAX(INDIRECT("B21:B" &amp; ROW()))-1&lt;E224,表2_36716262930389121314153[[#This Row],[累计净值]]/MAX(INDIRECT("B21:B" &amp; ROW()))-1,E224)</f>
        <v>-1.2950971322849281E-2</v>
      </c>
      <c r="F225" s="110">
        <f>表2_36716262930389121314153[[#This Row],[累计净值]]</f>
        <v>1.1140000000000001</v>
      </c>
      <c r="G225" s="170">
        <f>表2_36716262930389121314153[[#This Row],[累计净值]]/$B$21-1</f>
        <v>0.11066799601196431</v>
      </c>
      <c r="H225" s="170">
        <f>表2_36716262930389121314153[[#This Row],[累计净值]]/$B$35-1</f>
        <v>0.10187932739861538</v>
      </c>
    </row>
    <row r="226" spans="1:8" x14ac:dyDescent="0.2">
      <c r="A226" s="161">
        <v>44181</v>
      </c>
      <c r="B226" s="162">
        <v>1.1140000000000001</v>
      </c>
      <c r="C226" s="171">
        <f t="shared" ref="C226:C231" si="46">IFERROR(B226-B225,0)</f>
        <v>0</v>
      </c>
      <c r="D226" s="168" t="str">
        <f t="shared" ref="D226:D231" si="47">IF(C226&lt;0,C226,"/")</f>
        <v>/</v>
      </c>
      <c r="E226" s="168">
        <f ca="1">IF(表2_36716262930389121314153[[#This Row],[累计净值]]/MAX(INDIRECT("B21:B" &amp; ROW()))-1&lt;E225,表2_36716262930389121314153[[#This Row],[累计净值]]/MAX(INDIRECT("B21:B" &amp; ROW()))-1,E225)</f>
        <v>-1.2950971322849281E-2</v>
      </c>
      <c r="F226" s="110">
        <f>表2_36716262930389121314153[[#This Row],[累计净值]]</f>
        <v>1.1140000000000001</v>
      </c>
      <c r="G226" s="170">
        <f>表2_36716262930389121314153[[#This Row],[累计净值]]/$B$21-1</f>
        <v>0.11066799601196431</v>
      </c>
      <c r="H226" s="170">
        <f>表2_36716262930389121314153[[#This Row],[累计净值]]/$B$35-1</f>
        <v>0.10187932739861538</v>
      </c>
    </row>
    <row r="227" spans="1:8" x14ac:dyDescent="0.2">
      <c r="A227" s="161">
        <v>44182</v>
      </c>
      <c r="B227" s="162">
        <v>1.1120000000000001</v>
      </c>
      <c r="C227" s="171">
        <f t="shared" si="46"/>
        <v>-2.0000000000000018E-3</v>
      </c>
      <c r="D227" s="168">
        <f t="shared" si="47"/>
        <v>-2.0000000000000018E-3</v>
      </c>
      <c r="E227" s="168">
        <f ca="1">IF(表2_36716262930389121314153[[#This Row],[累计净值]]/MAX(INDIRECT("B21:B" &amp; ROW()))-1&lt;E226,表2_36716262930389121314153[[#This Row],[累计净值]]/MAX(INDIRECT("B21:B" &amp; ROW()))-1,E226)</f>
        <v>-1.2950971322849281E-2</v>
      </c>
      <c r="F227" s="110">
        <f>表2_36716262930389121314153[[#This Row],[累计净值]]</f>
        <v>1.1120000000000001</v>
      </c>
      <c r="G227" s="170">
        <f>表2_36716262930389121314153[[#This Row],[累计净值]]/$B$21-1</f>
        <v>0.10867397806580281</v>
      </c>
      <c r="H227" s="170">
        <f>表2_36716262930389121314153[[#This Row],[累计净值]]/$B$35-1</f>
        <v>9.9901088031651986E-2</v>
      </c>
    </row>
    <row r="228" spans="1:8" x14ac:dyDescent="0.2">
      <c r="A228" s="161">
        <v>44183</v>
      </c>
      <c r="B228" s="162">
        <v>1.1140000000000001</v>
      </c>
      <c r="C228" s="171">
        <f t="shared" si="46"/>
        <v>2.0000000000000018E-3</v>
      </c>
      <c r="D228" s="168" t="str">
        <f t="shared" si="47"/>
        <v>/</v>
      </c>
      <c r="E228" s="168">
        <f ca="1">IF(表2_36716262930389121314153[[#This Row],[累计净值]]/MAX(INDIRECT("B21:B" &amp; ROW()))-1&lt;E227,表2_36716262930389121314153[[#This Row],[累计净值]]/MAX(INDIRECT("B21:B" &amp; ROW()))-1,E227)</f>
        <v>-1.2950971322849281E-2</v>
      </c>
      <c r="F228" s="110">
        <f>表2_36716262930389121314153[[#This Row],[累计净值]]</f>
        <v>1.1140000000000001</v>
      </c>
      <c r="G228" s="170">
        <f>表2_36716262930389121314153[[#This Row],[累计净值]]/$B$21-1</f>
        <v>0.11066799601196431</v>
      </c>
      <c r="H228" s="170">
        <f>表2_36716262930389121314153[[#This Row],[累计净值]]/$B$35-1</f>
        <v>0.10187932739861538</v>
      </c>
    </row>
    <row r="229" spans="1:8" x14ac:dyDescent="0.2">
      <c r="A229" s="161">
        <v>44186</v>
      </c>
      <c r="B229" s="162">
        <v>1.117</v>
      </c>
      <c r="C229" s="171">
        <f t="shared" si="46"/>
        <v>2.9999999999998916E-3</v>
      </c>
      <c r="D229" s="168" t="str">
        <f t="shared" si="47"/>
        <v>/</v>
      </c>
      <c r="E229" s="168">
        <f ca="1">IF(表2_36716262930389121314153[[#This Row],[累计净值]]/MAX(INDIRECT("B21:B" &amp; ROW()))-1&lt;E228,表2_36716262930389121314153[[#This Row],[累计净值]]/MAX(INDIRECT("B21:B" &amp; ROW()))-1,E228)</f>
        <v>-1.2950971322849281E-2</v>
      </c>
      <c r="F229" s="110">
        <f>表2_36716262930389121314153[[#This Row],[累计净值]]</f>
        <v>1.117</v>
      </c>
      <c r="G229" s="170">
        <f>表2_36716262930389121314153[[#This Row],[累计净值]]/$B$21-1</f>
        <v>0.11365902293120644</v>
      </c>
      <c r="H229" s="170">
        <f>表2_36716262930389121314153[[#This Row],[累计净值]]/$B$35-1</f>
        <v>0.10484668644906048</v>
      </c>
    </row>
    <row r="230" spans="1:8" x14ac:dyDescent="0.2">
      <c r="A230" s="161">
        <v>44187</v>
      </c>
      <c r="B230" s="162">
        <v>1.1240000000000001</v>
      </c>
      <c r="C230" s="171">
        <f t="shared" si="46"/>
        <v>7.0000000000001172E-3</v>
      </c>
      <c r="D230" s="168" t="str">
        <f t="shared" si="47"/>
        <v>/</v>
      </c>
      <c r="E230" s="168">
        <f ca="1">IF(表2_36716262930389121314153[[#This Row],[累计净值]]/MAX(INDIRECT("B21:B" &amp; ROW()))-1&lt;E229,表2_36716262930389121314153[[#This Row],[累计净值]]/MAX(INDIRECT("B21:B" &amp; ROW()))-1,E229)</f>
        <v>-1.2950971322849281E-2</v>
      </c>
      <c r="F230" s="110">
        <f>表2_36716262930389121314153[[#This Row],[累计净值]]</f>
        <v>1.1240000000000001</v>
      </c>
      <c r="G230" s="170">
        <f>表2_36716262930389121314153[[#This Row],[累计净值]]/$B$21-1</f>
        <v>0.12063808574277202</v>
      </c>
      <c r="H230" s="170">
        <f>表2_36716262930389121314153[[#This Row],[累计净值]]/$B$35-1</f>
        <v>0.11177052423343237</v>
      </c>
    </row>
    <row r="231" spans="1:8" x14ac:dyDescent="0.2">
      <c r="A231" s="161">
        <v>44188</v>
      </c>
      <c r="B231" s="162">
        <v>1.1220000000000001</v>
      </c>
      <c r="C231" s="171">
        <f t="shared" si="46"/>
        <v>-2.0000000000000018E-3</v>
      </c>
      <c r="D231" s="168">
        <f t="shared" si="47"/>
        <v>-2.0000000000000018E-3</v>
      </c>
      <c r="E231" s="168">
        <f ca="1">IF(表2_36716262930389121314153[[#This Row],[累计净值]]/MAX(INDIRECT("B21:B" &amp; ROW()))-1&lt;E230,表2_36716262930389121314153[[#This Row],[累计净值]]/MAX(INDIRECT("B21:B" &amp; ROW()))-1,E230)</f>
        <v>-1.2950971322849281E-2</v>
      </c>
      <c r="F231" s="110">
        <f>表2_36716262930389121314153[[#This Row],[累计净值]]</f>
        <v>1.1220000000000001</v>
      </c>
      <c r="G231" s="170">
        <f>表2_36716262930389121314153[[#This Row],[累计净值]]/$B$21-1</f>
        <v>0.1186440677966103</v>
      </c>
      <c r="H231" s="170">
        <f>表2_36716262930389121314153[[#This Row],[累计净值]]/$B$35-1</f>
        <v>0.10979228486646897</v>
      </c>
    </row>
    <row r="232" spans="1:8" x14ac:dyDescent="0.2">
      <c r="A232" s="161">
        <v>44189</v>
      </c>
      <c r="B232" s="162">
        <v>1.1220000000000001</v>
      </c>
      <c r="C232" s="171">
        <f t="shared" ref="C232:C237" si="48">IFERROR(B232-B231,0)</f>
        <v>0</v>
      </c>
      <c r="D232" s="168" t="str">
        <f t="shared" ref="D232:D237" si="49">IF(C232&lt;0,C232,"/")</f>
        <v>/</v>
      </c>
      <c r="E232" s="168">
        <f ca="1">IF(表2_36716262930389121314153[[#This Row],[累计净值]]/MAX(INDIRECT("B21:B" &amp; ROW()))-1&lt;E231,表2_36716262930389121314153[[#This Row],[累计净值]]/MAX(INDIRECT("B21:B" &amp; ROW()))-1,E231)</f>
        <v>-1.2950971322849281E-2</v>
      </c>
      <c r="F232" s="110">
        <f>表2_36716262930389121314153[[#This Row],[累计净值]]</f>
        <v>1.1220000000000001</v>
      </c>
      <c r="G232" s="170">
        <f>表2_36716262930389121314153[[#This Row],[累计净值]]/$B$21-1</f>
        <v>0.1186440677966103</v>
      </c>
      <c r="H232" s="170">
        <f>表2_36716262930389121314153[[#This Row],[累计净值]]/$B$35-1</f>
        <v>0.10979228486646897</v>
      </c>
    </row>
    <row r="233" spans="1:8" x14ac:dyDescent="0.2">
      <c r="A233" s="161">
        <v>44190</v>
      </c>
      <c r="B233" s="162">
        <v>1.123</v>
      </c>
      <c r="C233" s="171">
        <f t="shared" si="48"/>
        <v>9.9999999999988987E-4</v>
      </c>
      <c r="D233" s="168" t="str">
        <f t="shared" si="49"/>
        <v>/</v>
      </c>
      <c r="E233" s="168">
        <f ca="1">IF(表2_36716262930389121314153[[#This Row],[累计净值]]/MAX(INDIRECT("B21:B" &amp; ROW()))-1&lt;E232,表2_36716262930389121314153[[#This Row],[累计净值]]/MAX(INDIRECT("B21:B" &amp; ROW()))-1,E232)</f>
        <v>-1.2950971322849281E-2</v>
      </c>
      <c r="F233" s="110">
        <f>表2_36716262930389121314153[[#This Row],[累计净值]]</f>
        <v>1.123</v>
      </c>
      <c r="G233" s="170">
        <f>表2_36716262930389121314153[[#This Row],[累计净值]]/$B$21-1</f>
        <v>0.11964107676969116</v>
      </c>
      <c r="H233" s="170">
        <f>表2_36716262930389121314153[[#This Row],[累计净值]]/$B$35-1</f>
        <v>0.11078140454995067</v>
      </c>
    </row>
    <row r="234" spans="1:8" x14ac:dyDescent="0.2">
      <c r="A234" s="161">
        <v>44193</v>
      </c>
      <c r="B234" s="162">
        <v>1.123</v>
      </c>
      <c r="C234" s="171">
        <f t="shared" si="48"/>
        <v>0</v>
      </c>
      <c r="D234" s="168" t="str">
        <f t="shared" si="49"/>
        <v>/</v>
      </c>
      <c r="E234" s="168">
        <f ca="1">IF(表2_36716262930389121314153[[#This Row],[累计净值]]/MAX(INDIRECT("B21:B" &amp; ROW()))-1&lt;E233,表2_36716262930389121314153[[#This Row],[累计净值]]/MAX(INDIRECT("B21:B" &amp; ROW()))-1,E233)</f>
        <v>-1.2950971322849281E-2</v>
      </c>
      <c r="F234" s="110">
        <f>表2_36716262930389121314153[[#This Row],[累计净值]]</f>
        <v>1.123</v>
      </c>
      <c r="G234" s="170">
        <f>表2_36716262930389121314153[[#This Row],[累计净值]]/$B$21-1</f>
        <v>0.11964107676969116</v>
      </c>
      <c r="H234" s="170">
        <f>表2_36716262930389121314153[[#This Row],[累计净值]]/$B$35-1</f>
        <v>0.11078140454995067</v>
      </c>
    </row>
    <row r="235" spans="1:8" x14ac:dyDescent="0.2">
      <c r="A235" s="161">
        <v>44194</v>
      </c>
      <c r="B235" s="162">
        <v>1.1220000000000001</v>
      </c>
      <c r="C235" s="171">
        <f t="shared" si="48"/>
        <v>-9.9999999999988987E-4</v>
      </c>
      <c r="D235" s="168">
        <f t="shared" si="49"/>
        <v>-9.9999999999988987E-4</v>
      </c>
      <c r="E235" s="168">
        <f ca="1">IF(表2_36716262930389121314153[[#This Row],[累计净值]]/MAX(INDIRECT("B21:B" &amp; ROW()))-1&lt;E234,表2_36716262930389121314153[[#This Row],[累计净值]]/MAX(INDIRECT("B21:B" &amp; ROW()))-1,E234)</f>
        <v>-1.2950971322849281E-2</v>
      </c>
      <c r="F235" s="110">
        <f>表2_36716262930389121314153[[#This Row],[累计净值]]</f>
        <v>1.1220000000000001</v>
      </c>
      <c r="G235" s="170">
        <f>表2_36716262930389121314153[[#This Row],[累计净值]]/$B$21-1</f>
        <v>0.1186440677966103</v>
      </c>
      <c r="H235" s="170">
        <f>表2_36716262930389121314153[[#This Row],[累计净值]]/$B$35-1</f>
        <v>0.10979228486646897</v>
      </c>
    </row>
    <row r="236" spans="1:8" x14ac:dyDescent="0.2">
      <c r="A236" s="161">
        <v>44195</v>
      </c>
      <c r="B236" s="162">
        <v>1.121</v>
      </c>
      <c r="C236" s="171">
        <f t="shared" si="48"/>
        <v>-1.0000000000001119E-3</v>
      </c>
      <c r="D236" s="168">
        <f t="shared" si="49"/>
        <v>-1.0000000000001119E-3</v>
      </c>
      <c r="E236" s="168">
        <f ca="1">IF(表2_36716262930389121314153[[#This Row],[累计净值]]/MAX(INDIRECT("B21:B" &amp; ROW()))-1&lt;E235,表2_36716262930389121314153[[#This Row],[累计净值]]/MAX(INDIRECT("B21:B" &amp; ROW()))-1,E235)</f>
        <v>-1.2950971322849281E-2</v>
      </c>
      <c r="F236" s="110">
        <f>表2_36716262930389121314153[[#This Row],[累计净值]]</f>
        <v>1.121</v>
      </c>
      <c r="G236" s="170">
        <f>表2_36716262930389121314153[[#This Row],[累计净值]]/$B$21-1</f>
        <v>0.11764705882352944</v>
      </c>
      <c r="H236" s="170">
        <f>表2_36716262930389121314153[[#This Row],[累计净值]]/$B$35-1</f>
        <v>0.10880316518298727</v>
      </c>
    </row>
    <row r="237" spans="1:8" x14ac:dyDescent="0.2">
      <c r="A237" s="161">
        <v>44196</v>
      </c>
      <c r="B237" s="162">
        <v>1.1220000000000001</v>
      </c>
      <c r="C237" s="171">
        <f t="shared" si="48"/>
        <v>1.0000000000001119E-3</v>
      </c>
      <c r="D237" s="168" t="str">
        <f t="shared" si="49"/>
        <v>/</v>
      </c>
      <c r="E237" s="168">
        <f ca="1">IF(表2_36716262930389121314153[[#This Row],[累计净值]]/MAX(INDIRECT("B21:B" &amp; ROW()))-1&lt;E236,表2_36716262930389121314153[[#This Row],[累计净值]]/MAX(INDIRECT("B21:B" &amp; ROW()))-1,E236)</f>
        <v>-1.2950971322849281E-2</v>
      </c>
      <c r="F237" s="110">
        <f>表2_36716262930389121314153[[#This Row],[累计净值]]</f>
        <v>1.1220000000000001</v>
      </c>
      <c r="G237" s="170">
        <f>表2_36716262930389121314153[[#This Row],[累计净值]]/$B$21-1</f>
        <v>0.1186440677966103</v>
      </c>
      <c r="H237" s="170">
        <f>表2_36716262930389121314153[[#This Row],[累计净值]]/$B$35-1</f>
        <v>0.10979228486646897</v>
      </c>
    </row>
    <row r="238" spans="1:8" x14ac:dyDescent="0.2">
      <c r="A238" s="161">
        <v>44200</v>
      </c>
      <c r="B238" s="162">
        <v>1.1220000000000001</v>
      </c>
      <c r="C238" s="171">
        <f t="shared" ref="C238:C243" si="50">IFERROR(B238-B237,0)</f>
        <v>0</v>
      </c>
      <c r="D238" s="168" t="str">
        <f t="shared" ref="D238:D243" si="51">IF(C238&lt;0,C238,"/")</f>
        <v>/</v>
      </c>
      <c r="E238" s="168">
        <f ca="1">IF(表2_36716262930389121314153[[#This Row],[累计净值]]/MAX(INDIRECT("B21:B" &amp; ROW()))-1&lt;E237,表2_36716262930389121314153[[#This Row],[累计净值]]/MAX(INDIRECT("B21:B" &amp; ROW()))-1,E237)</f>
        <v>-1.2950971322849281E-2</v>
      </c>
      <c r="F238" s="110">
        <f>表2_36716262930389121314153[[#This Row],[累计净值]]</f>
        <v>1.1220000000000001</v>
      </c>
      <c r="G238" s="170">
        <f>表2_36716262930389121314153[[#This Row],[累计净值]]/$B$21-1</f>
        <v>0.1186440677966103</v>
      </c>
      <c r="H238" s="170">
        <f>表2_36716262930389121314153[[#This Row],[累计净值]]/$B$35-1</f>
        <v>0.10979228486646897</v>
      </c>
    </row>
    <row r="239" spans="1:8" x14ac:dyDescent="0.2">
      <c r="A239" s="161">
        <v>44201</v>
      </c>
      <c r="B239" s="162">
        <v>1.1220000000000001</v>
      </c>
      <c r="C239" s="171">
        <f t="shared" si="50"/>
        <v>0</v>
      </c>
      <c r="D239" s="168" t="str">
        <f t="shared" si="51"/>
        <v>/</v>
      </c>
      <c r="E239" s="168">
        <f ca="1">IF(表2_36716262930389121314153[[#This Row],[累计净值]]/MAX(INDIRECT("B21:B" &amp; ROW()))-1&lt;E238,表2_36716262930389121314153[[#This Row],[累计净值]]/MAX(INDIRECT("B21:B" &amp; ROW()))-1,E238)</f>
        <v>-1.2950971322849281E-2</v>
      </c>
      <c r="F239" s="110">
        <f>表2_36716262930389121314153[[#This Row],[累计净值]]</f>
        <v>1.1220000000000001</v>
      </c>
      <c r="G239" s="170">
        <f>表2_36716262930389121314153[[#This Row],[累计净值]]/$B$21-1</f>
        <v>0.1186440677966103</v>
      </c>
      <c r="H239" s="170">
        <f>表2_36716262930389121314153[[#This Row],[累计净值]]/$B$35-1</f>
        <v>0.10979228486646897</v>
      </c>
    </row>
    <row r="240" spans="1:8" x14ac:dyDescent="0.2">
      <c r="A240" s="161">
        <v>44202</v>
      </c>
      <c r="B240" s="162">
        <v>1.1220000000000001</v>
      </c>
      <c r="C240" s="171">
        <f t="shared" si="50"/>
        <v>0</v>
      </c>
      <c r="D240" s="168" t="str">
        <f t="shared" si="51"/>
        <v>/</v>
      </c>
      <c r="E240" s="168">
        <f ca="1">IF(表2_36716262930389121314153[[#This Row],[累计净值]]/MAX(INDIRECT("B21:B" &amp; ROW()))-1&lt;E239,表2_36716262930389121314153[[#This Row],[累计净值]]/MAX(INDIRECT("B21:B" &amp; ROW()))-1,E239)</f>
        <v>-1.2950971322849281E-2</v>
      </c>
      <c r="F240" s="110">
        <f>表2_36716262930389121314153[[#This Row],[累计净值]]</f>
        <v>1.1220000000000001</v>
      </c>
      <c r="G240" s="170">
        <f>表2_36716262930389121314153[[#This Row],[累计净值]]/$B$21-1</f>
        <v>0.1186440677966103</v>
      </c>
      <c r="H240" s="170">
        <f>表2_36716262930389121314153[[#This Row],[累计净值]]/$B$35-1</f>
        <v>0.10979228486646897</v>
      </c>
    </row>
    <row r="241" spans="1:8" x14ac:dyDescent="0.2">
      <c r="A241" s="161">
        <v>44203</v>
      </c>
      <c r="B241" s="162">
        <v>1.1220000000000001</v>
      </c>
      <c r="C241" s="171">
        <f t="shared" si="50"/>
        <v>0</v>
      </c>
      <c r="D241" s="168" t="str">
        <f t="shared" si="51"/>
        <v>/</v>
      </c>
      <c r="E241" s="168">
        <f ca="1">IF(表2_36716262930389121314153[[#This Row],[累计净值]]/MAX(INDIRECT("B21:B" &amp; ROW()))-1&lt;E240,表2_36716262930389121314153[[#This Row],[累计净值]]/MAX(INDIRECT("B21:B" &amp; ROW()))-1,E240)</f>
        <v>-1.2950971322849281E-2</v>
      </c>
      <c r="F241" s="110">
        <f>表2_36716262930389121314153[[#This Row],[累计净值]]</f>
        <v>1.1220000000000001</v>
      </c>
      <c r="G241" s="170">
        <f>表2_36716262930389121314153[[#This Row],[累计净值]]/$B$21-1</f>
        <v>0.1186440677966103</v>
      </c>
      <c r="H241" s="170">
        <f>表2_36716262930389121314153[[#This Row],[累计净值]]/$B$35-1</f>
        <v>0.10979228486646897</v>
      </c>
    </row>
    <row r="242" spans="1:8" x14ac:dyDescent="0.2">
      <c r="A242" s="161">
        <v>44204</v>
      </c>
      <c r="B242" s="162">
        <v>1.121</v>
      </c>
      <c r="C242" s="171">
        <f t="shared" si="50"/>
        <v>-1.0000000000001119E-3</v>
      </c>
      <c r="D242" s="168">
        <f t="shared" si="51"/>
        <v>-1.0000000000001119E-3</v>
      </c>
      <c r="E242" s="168">
        <f ca="1">IF(表2_36716262930389121314153[[#This Row],[累计净值]]/MAX(INDIRECT("B21:B" &amp; ROW()))-1&lt;E241,表2_36716262930389121314153[[#This Row],[累计净值]]/MAX(INDIRECT("B21:B" &amp; ROW()))-1,E241)</f>
        <v>-1.2950971322849281E-2</v>
      </c>
      <c r="F242" s="110">
        <f>表2_36716262930389121314153[[#This Row],[累计净值]]</f>
        <v>1.121</v>
      </c>
      <c r="G242" s="170">
        <f>表2_36716262930389121314153[[#This Row],[累计净值]]/$B$21-1</f>
        <v>0.11764705882352944</v>
      </c>
      <c r="H242" s="170">
        <f>表2_36716262930389121314153[[#This Row],[累计净值]]/$B$35-1</f>
        <v>0.10880316518298727</v>
      </c>
    </row>
    <row r="243" spans="1:8" x14ac:dyDescent="0.2">
      <c r="A243" s="161">
        <v>44207</v>
      </c>
      <c r="B243" s="162">
        <v>1.127</v>
      </c>
      <c r="C243" s="171">
        <f t="shared" si="50"/>
        <v>6.0000000000000053E-3</v>
      </c>
      <c r="D243" s="168" t="str">
        <f t="shared" si="51"/>
        <v>/</v>
      </c>
      <c r="E243" s="168">
        <f ca="1">IF(表2_36716262930389121314153[[#This Row],[累计净值]]/MAX(INDIRECT("B21:B" &amp; ROW()))-1&lt;E242,表2_36716262930389121314153[[#This Row],[累计净值]]/MAX(INDIRECT("B21:B" &amp; ROW()))-1,E242)</f>
        <v>-1.2950971322849281E-2</v>
      </c>
      <c r="F243" s="110">
        <f>表2_36716262930389121314153[[#This Row],[累计净值]]</f>
        <v>1.127</v>
      </c>
      <c r="G243" s="170">
        <f>表2_36716262930389121314153[[#This Row],[累计净值]]/$B$21-1</f>
        <v>0.12362911266201415</v>
      </c>
      <c r="H243" s="170">
        <f>表2_36716262930389121314153[[#This Row],[累计净值]]/$B$35-1</f>
        <v>0.11473788328387746</v>
      </c>
    </row>
    <row r="244" spans="1:8" x14ac:dyDescent="0.2">
      <c r="A244" s="161">
        <v>44208</v>
      </c>
      <c r="B244" s="162">
        <v>1.1259999999999999</v>
      </c>
      <c r="C244" s="171">
        <f t="shared" ref="C244:C249" si="52">IFERROR(B244-B243,0)</f>
        <v>-1.0000000000001119E-3</v>
      </c>
      <c r="D244" s="168">
        <f t="shared" ref="D244:D249" si="53">IF(C244&lt;0,C244,"/")</f>
        <v>-1.0000000000001119E-3</v>
      </c>
      <c r="E244" s="168">
        <f ca="1">IF(表2_36716262930389121314153[[#This Row],[累计净值]]/MAX(INDIRECT("B21:B" &amp; ROW()))-1&lt;E243,表2_36716262930389121314153[[#This Row],[累计净值]]/MAX(INDIRECT("B21:B" &amp; ROW()))-1,E243)</f>
        <v>-1.2950971322849281E-2</v>
      </c>
      <c r="F244" s="110">
        <f>表2_36716262930389121314153[[#This Row],[累计净值]]</f>
        <v>1.1259999999999999</v>
      </c>
      <c r="G244" s="170">
        <f>表2_36716262930389121314153[[#This Row],[累计净值]]/$B$21-1</f>
        <v>0.12263210368893329</v>
      </c>
      <c r="H244" s="170">
        <f>表2_36716262930389121314153[[#This Row],[累计净值]]/$B$35-1</f>
        <v>0.11374876360039554</v>
      </c>
    </row>
    <row r="245" spans="1:8" x14ac:dyDescent="0.2">
      <c r="A245" s="161">
        <v>44209</v>
      </c>
      <c r="B245" s="162">
        <v>1.1240000000000001</v>
      </c>
      <c r="C245" s="171">
        <f t="shared" si="52"/>
        <v>-1.9999999999997797E-3</v>
      </c>
      <c r="D245" s="168">
        <f t="shared" si="53"/>
        <v>-1.9999999999997797E-3</v>
      </c>
      <c r="E245" s="168">
        <f ca="1">IF(表2_36716262930389121314153[[#This Row],[累计净值]]/MAX(INDIRECT("B21:B" &amp; ROW()))-1&lt;E244,表2_36716262930389121314153[[#This Row],[累计净值]]/MAX(INDIRECT("B21:B" &amp; ROW()))-1,E244)</f>
        <v>-1.2950971322849281E-2</v>
      </c>
      <c r="F245" s="110">
        <f>表2_36716262930389121314153[[#This Row],[累计净值]]</f>
        <v>1.1240000000000001</v>
      </c>
      <c r="G245" s="170">
        <f>表2_36716262930389121314153[[#This Row],[累计净值]]/$B$21-1</f>
        <v>0.12063808574277202</v>
      </c>
      <c r="H245" s="170">
        <f>表2_36716262930389121314153[[#This Row],[累计净值]]/$B$35-1</f>
        <v>0.11177052423343237</v>
      </c>
    </row>
    <row r="246" spans="1:8" x14ac:dyDescent="0.2">
      <c r="A246" s="161">
        <v>44210</v>
      </c>
      <c r="B246" s="162">
        <v>1.125</v>
      </c>
      <c r="C246" s="171">
        <f t="shared" si="52"/>
        <v>9.9999999999988987E-4</v>
      </c>
      <c r="D246" s="168" t="str">
        <f t="shared" si="53"/>
        <v>/</v>
      </c>
      <c r="E246" s="168">
        <f ca="1">IF(表2_36716262930389121314153[[#This Row],[累计净值]]/MAX(INDIRECT("B21:B" &amp; ROW()))-1&lt;E245,表2_36716262930389121314153[[#This Row],[累计净值]]/MAX(INDIRECT("B21:B" &amp; ROW()))-1,E245)</f>
        <v>-1.2950971322849281E-2</v>
      </c>
      <c r="F246" s="110">
        <f>表2_36716262930389121314153[[#This Row],[累计净值]]</f>
        <v>1.125</v>
      </c>
      <c r="G246" s="170">
        <f>表2_36716262930389121314153[[#This Row],[累计净值]]/$B$21-1</f>
        <v>0.12163509471585265</v>
      </c>
      <c r="H246" s="170">
        <f>表2_36716262930389121314153[[#This Row],[累计净值]]/$B$35-1</f>
        <v>0.11275964391691407</v>
      </c>
    </row>
    <row r="247" spans="1:8" x14ac:dyDescent="0.2">
      <c r="A247" s="161">
        <v>44211</v>
      </c>
      <c r="B247" s="162">
        <v>1.127</v>
      </c>
      <c r="C247" s="171">
        <f t="shared" si="52"/>
        <v>2.0000000000000018E-3</v>
      </c>
      <c r="D247" s="168" t="str">
        <f t="shared" si="53"/>
        <v>/</v>
      </c>
      <c r="E247" s="168">
        <f ca="1">IF(表2_36716262930389121314153[[#This Row],[累计净值]]/MAX(INDIRECT("B21:B" &amp; ROW()))-1&lt;E246,表2_36716262930389121314153[[#This Row],[累计净值]]/MAX(INDIRECT("B21:B" &amp; ROW()))-1,E246)</f>
        <v>-1.2950971322849281E-2</v>
      </c>
      <c r="F247" s="110">
        <f>表2_36716262930389121314153[[#This Row],[累计净值]]</f>
        <v>1.127</v>
      </c>
      <c r="G247" s="170">
        <f>表2_36716262930389121314153[[#This Row],[累计净值]]/$B$21-1</f>
        <v>0.12362911266201415</v>
      </c>
      <c r="H247" s="170">
        <f>表2_36716262930389121314153[[#This Row],[累计净值]]/$B$35-1</f>
        <v>0.11473788328387746</v>
      </c>
    </row>
    <row r="248" spans="1:8" x14ac:dyDescent="0.2">
      <c r="A248" s="161">
        <v>44214</v>
      </c>
      <c r="B248" s="162">
        <v>1.1279999999999999</v>
      </c>
      <c r="C248" s="171">
        <f t="shared" si="52"/>
        <v>9.9999999999988987E-4</v>
      </c>
      <c r="D248" s="168" t="str">
        <f t="shared" si="53"/>
        <v>/</v>
      </c>
      <c r="E248" s="168">
        <f ca="1">IF(表2_36716262930389121314153[[#This Row],[累计净值]]/MAX(INDIRECT("B21:B" &amp; ROW()))-1&lt;E247,表2_36716262930389121314153[[#This Row],[累计净值]]/MAX(INDIRECT("B21:B" &amp; ROW()))-1,E247)</f>
        <v>-1.2950971322849281E-2</v>
      </c>
      <c r="F248" s="110">
        <f>表2_36716262930389121314153[[#This Row],[累计净值]]</f>
        <v>1.1279999999999999</v>
      </c>
      <c r="G248" s="170">
        <f>表2_36716262930389121314153[[#This Row],[累计净值]]/$B$21-1</f>
        <v>0.12462612163509479</v>
      </c>
      <c r="H248" s="170">
        <f>表2_36716262930389121314153[[#This Row],[累计净值]]/$B$35-1</f>
        <v>0.11572700296735916</v>
      </c>
    </row>
    <row r="249" spans="1:8" x14ac:dyDescent="0.2">
      <c r="A249" s="161">
        <v>44215</v>
      </c>
      <c r="B249" s="162">
        <v>1.1299999999999999</v>
      </c>
      <c r="C249" s="171">
        <f t="shared" si="52"/>
        <v>2.0000000000000018E-3</v>
      </c>
      <c r="D249" s="168" t="str">
        <f t="shared" si="53"/>
        <v>/</v>
      </c>
      <c r="E249" s="168">
        <f ca="1">IF(表2_36716262930389121314153[[#This Row],[累计净值]]/MAX(INDIRECT("B21:B" &amp; ROW()))-1&lt;E248,表2_36716262930389121314153[[#This Row],[累计净值]]/MAX(INDIRECT("B21:B" &amp; ROW()))-1,E248)</f>
        <v>-1.2950971322849281E-2</v>
      </c>
      <c r="F249" s="110">
        <f>表2_36716262930389121314153[[#This Row],[累计净值]]</f>
        <v>1.1299999999999999</v>
      </c>
      <c r="G249" s="170">
        <f>表2_36716262930389121314153[[#This Row],[累计净值]]/$B$21-1</f>
        <v>0.12662013958125629</v>
      </c>
      <c r="H249" s="170">
        <f>表2_36716262930389121314153[[#This Row],[累计净值]]/$B$35-1</f>
        <v>0.11770524233432256</v>
      </c>
    </row>
    <row r="250" spans="1:8" x14ac:dyDescent="0.2">
      <c r="A250" s="161">
        <v>44216</v>
      </c>
      <c r="B250" s="162">
        <v>1.131</v>
      </c>
      <c r="C250" s="171">
        <f t="shared" ref="C250:C255" si="54">IFERROR(B250-B249,0)</f>
        <v>1.0000000000001119E-3</v>
      </c>
      <c r="D250" s="168" t="str">
        <f t="shared" ref="D250:D255" si="55">IF(C250&lt;0,C250,"/")</f>
        <v>/</v>
      </c>
      <c r="E250" s="168">
        <f ca="1">IF(表2_36716262930389121314153[[#This Row],[累计净值]]/MAX(INDIRECT("B21:B" &amp; ROW()))-1&lt;E249,表2_36716262930389121314153[[#This Row],[累计净值]]/MAX(INDIRECT("B21:B" &amp; ROW()))-1,E249)</f>
        <v>-1.2950971322849281E-2</v>
      </c>
      <c r="F250" s="110">
        <f>表2_36716262930389121314153[[#This Row],[累计净值]]</f>
        <v>1.131</v>
      </c>
      <c r="G250" s="170">
        <f>表2_36716262930389121314153[[#This Row],[累计净值]]/$B$21-1</f>
        <v>0.12761714855433715</v>
      </c>
      <c r="H250" s="170">
        <f>表2_36716262930389121314153[[#This Row],[累计净值]]/$B$35-1</f>
        <v>0.11869436201780426</v>
      </c>
    </row>
    <row r="251" spans="1:8" x14ac:dyDescent="0.2">
      <c r="A251" s="161">
        <v>44217</v>
      </c>
      <c r="B251" s="162">
        <v>1.1319999999999999</v>
      </c>
      <c r="C251" s="171">
        <f t="shared" si="54"/>
        <v>9.9999999999988987E-4</v>
      </c>
      <c r="D251" s="168" t="str">
        <f t="shared" si="55"/>
        <v>/</v>
      </c>
      <c r="E251" s="168">
        <f ca="1">IF(表2_36716262930389121314153[[#This Row],[累计净值]]/MAX(INDIRECT("B21:B" &amp; ROW()))-1&lt;E250,表2_36716262930389121314153[[#This Row],[累计净值]]/MAX(INDIRECT("B21:B" &amp; ROW()))-1,E250)</f>
        <v>-1.2950971322849281E-2</v>
      </c>
      <c r="F251" s="110">
        <f>表2_36716262930389121314153[[#This Row],[累计净值]]</f>
        <v>1.1319999999999999</v>
      </c>
      <c r="G251" s="170">
        <f>表2_36716262930389121314153[[#This Row],[累计净值]]/$B$21-1</f>
        <v>0.12861415752741778</v>
      </c>
      <c r="H251" s="170">
        <f>表2_36716262930389121314153[[#This Row],[累计净值]]/$B$35-1</f>
        <v>0.11968348170128595</v>
      </c>
    </row>
    <row r="252" spans="1:8" x14ac:dyDescent="0.2">
      <c r="A252" s="161">
        <v>44218</v>
      </c>
      <c r="B252" s="162">
        <v>1.1299999999999999</v>
      </c>
      <c r="C252" s="171">
        <f t="shared" si="54"/>
        <v>-2.0000000000000018E-3</v>
      </c>
      <c r="D252" s="168">
        <f t="shared" si="55"/>
        <v>-2.0000000000000018E-3</v>
      </c>
      <c r="E252" s="168">
        <f ca="1">IF(表2_36716262930389121314153[[#This Row],[累计净值]]/MAX(INDIRECT("B21:B" &amp; ROW()))-1&lt;E251,表2_36716262930389121314153[[#This Row],[累计净值]]/MAX(INDIRECT("B21:B" &amp; ROW()))-1,E251)</f>
        <v>-1.2950971322849281E-2</v>
      </c>
      <c r="F252" s="110">
        <f>表2_36716262930389121314153[[#This Row],[累计净值]]</f>
        <v>1.1299999999999999</v>
      </c>
      <c r="G252" s="170">
        <f>表2_36716262930389121314153[[#This Row],[累计净值]]/$B$21-1</f>
        <v>0.12662013958125629</v>
      </c>
      <c r="H252" s="170">
        <f>表2_36716262930389121314153[[#This Row],[累计净值]]/$B$35-1</f>
        <v>0.11770524233432256</v>
      </c>
    </row>
    <row r="253" spans="1:8" x14ac:dyDescent="0.2">
      <c r="A253" s="161">
        <v>44221</v>
      </c>
      <c r="B253" s="162">
        <v>1.1319999999999999</v>
      </c>
      <c r="C253" s="171">
        <f t="shared" si="54"/>
        <v>2.0000000000000018E-3</v>
      </c>
      <c r="D253" s="168" t="str">
        <f t="shared" si="55"/>
        <v>/</v>
      </c>
      <c r="E253" s="168">
        <f ca="1">IF(表2_36716262930389121314153[[#This Row],[累计净值]]/MAX(INDIRECT("B21:B" &amp; ROW()))-1&lt;E252,表2_36716262930389121314153[[#This Row],[累计净值]]/MAX(INDIRECT("B21:B" &amp; ROW()))-1,E252)</f>
        <v>-1.2950971322849281E-2</v>
      </c>
      <c r="F253" s="110">
        <f>表2_36716262930389121314153[[#This Row],[累计净值]]</f>
        <v>1.1319999999999999</v>
      </c>
      <c r="G253" s="170">
        <f>表2_36716262930389121314153[[#This Row],[累计净值]]/$B$21-1</f>
        <v>0.12861415752741778</v>
      </c>
      <c r="H253" s="170">
        <f>表2_36716262930389121314153[[#This Row],[累计净值]]/$B$35-1</f>
        <v>0.11968348170128595</v>
      </c>
    </row>
    <row r="254" spans="1:8" x14ac:dyDescent="0.2">
      <c r="A254" s="161">
        <v>44222</v>
      </c>
      <c r="B254" s="162">
        <v>1.133</v>
      </c>
      <c r="C254" s="171">
        <f t="shared" si="54"/>
        <v>1.0000000000001119E-3</v>
      </c>
      <c r="D254" s="168" t="str">
        <f t="shared" si="55"/>
        <v>/</v>
      </c>
      <c r="E254" s="168">
        <f ca="1">IF(表2_36716262930389121314153[[#This Row],[累计净值]]/MAX(INDIRECT("B21:B" &amp; ROW()))-1&lt;E253,表2_36716262930389121314153[[#This Row],[累计净值]]/MAX(INDIRECT("B21:B" &amp; ROW()))-1,E253)</f>
        <v>-1.2950971322849281E-2</v>
      </c>
      <c r="F254" s="110">
        <f>表2_36716262930389121314153[[#This Row],[累计净值]]</f>
        <v>1.133</v>
      </c>
      <c r="G254" s="170">
        <f>表2_36716262930389121314153[[#This Row],[累计净值]]/$B$21-1</f>
        <v>0.12961116650049864</v>
      </c>
      <c r="H254" s="170">
        <f>表2_36716262930389121314153[[#This Row],[累计净值]]/$B$35-1</f>
        <v>0.12067260138476765</v>
      </c>
    </row>
    <row r="255" spans="1:8" x14ac:dyDescent="0.2">
      <c r="A255" s="161">
        <v>44223</v>
      </c>
      <c r="B255" s="162">
        <v>1.133</v>
      </c>
      <c r="C255" s="171">
        <f t="shared" si="54"/>
        <v>0</v>
      </c>
      <c r="D255" s="168" t="str">
        <f t="shared" si="55"/>
        <v>/</v>
      </c>
      <c r="E255" s="168">
        <f ca="1">IF(表2_36716262930389121314153[[#This Row],[累计净值]]/MAX(INDIRECT("B21:B" &amp; ROW()))-1&lt;E254,表2_36716262930389121314153[[#This Row],[累计净值]]/MAX(INDIRECT("B21:B" &amp; ROW()))-1,E254)</f>
        <v>-1.2950971322849281E-2</v>
      </c>
      <c r="F255" s="110">
        <f>表2_36716262930389121314153[[#This Row],[累计净值]]</f>
        <v>1.133</v>
      </c>
      <c r="G255" s="170">
        <f>表2_36716262930389121314153[[#This Row],[累计净值]]/$B$21-1</f>
        <v>0.12961116650049864</v>
      </c>
      <c r="H255" s="170">
        <f>表2_36716262930389121314153[[#This Row],[累计净值]]/$B$35-1</f>
        <v>0.12067260138476765</v>
      </c>
    </row>
    <row r="256" spans="1:8" x14ac:dyDescent="0.2">
      <c r="A256" s="161">
        <v>44224</v>
      </c>
      <c r="B256" s="162">
        <v>1.133</v>
      </c>
      <c r="C256" s="171">
        <f t="shared" ref="C256:C261" si="56">IFERROR(B256-B255,0)</f>
        <v>0</v>
      </c>
      <c r="D256" s="168" t="str">
        <f t="shared" ref="D256:D261" si="57">IF(C256&lt;0,C256,"/")</f>
        <v>/</v>
      </c>
      <c r="E256" s="168">
        <f ca="1">IF(表2_36716262930389121314153[[#This Row],[累计净值]]/MAX(INDIRECT("B21:B" &amp; ROW()))-1&lt;E255,表2_36716262930389121314153[[#This Row],[累计净值]]/MAX(INDIRECT("B21:B" &amp; ROW()))-1,E255)</f>
        <v>-1.2950971322849281E-2</v>
      </c>
      <c r="F256" s="110">
        <f>表2_36716262930389121314153[[#This Row],[累计净值]]</f>
        <v>1.133</v>
      </c>
      <c r="G256" s="170">
        <f>表2_36716262930389121314153[[#This Row],[累计净值]]/$B$21-1</f>
        <v>0.12961116650049864</v>
      </c>
      <c r="H256" s="170">
        <f>表2_36716262930389121314153[[#This Row],[累计净值]]/$B$35-1</f>
        <v>0.12067260138476765</v>
      </c>
    </row>
    <row r="257" spans="1:8" x14ac:dyDescent="0.2">
      <c r="A257" s="161">
        <v>44225</v>
      </c>
      <c r="B257" s="162">
        <v>1.133</v>
      </c>
      <c r="C257" s="171">
        <f t="shared" si="56"/>
        <v>0</v>
      </c>
      <c r="D257" s="168" t="str">
        <f t="shared" si="57"/>
        <v>/</v>
      </c>
      <c r="E257" s="168">
        <f ca="1">IF(表2_36716262930389121314153[[#This Row],[累计净值]]/MAX(INDIRECT("B21:B" &amp; ROW()))-1&lt;E256,表2_36716262930389121314153[[#This Row],[累计净值]]/MAX(INDIRECT("B21:B" &amp; ROW()))-1,E256)</f>
        <v>-1.2950971322849281E-2</v>
      </c>
      <c r="F257" s="110">
        <f>表2_36716262930389121314153[[#This Row],[累计净值]]</f>
        <v>1.133</v>
      </c>
      <c r="G257" s="170">
        <f>表2_36716262930389121314153[[#This Row],[累计净值]]/$B$21-1</f>
        <v>0.12961116650049864</v>
      </c>
      <c r="H257" s="170">
        <f>表2_36716262930389121314153[[#This Row],[累计净值]]/$B$35-1</f>
        <v>0.12067260138476765</v>
      </c>
    </row>
    <row r="258" spans="1:8" x14ac:dyDescent="0.2">
      <c r="A258" s="161">
        <v>44228</v>
      </c>
      <c r="B258" s="162">
        <v>1.1339999999999999</v>
      </c>
      <c r="C258" s="171">
        <f t="shared" si="56"/>
        <v>9.9999999999988987E-4</v>
      </c>
      <c r="D258" s="168" t="str">
        <f t="shared" si="57"/>
        <v>/</v>
      </c>
      <c r="E258" s="168">
        <f ca="1">IF(表2_36716262930389121314153[[#This Row],[累计净值]]/MAX(INDIRECT("B21:B" &amp; ROW()))-1&lt;E257,表2_36716262930389121314153[[#This Row],[累计净值]]/MAX(INDIRECT("B21:B" &amp; ROW()))-1,E257)</f>
        <v>-1.2950971322849281E-2</v>
      </c>
      <c r="F258" s="110">
        <f>表2_36716262930389121314153[[#This Row],[累计净值]]</f>
        <v>1.1339999999999999</v>
      </c>
      <c r="G258" s="170">
        <f>表2_36716262930389121314153[[#This Row],[累计净值]]/$B$21-1</f>
        <v>0.13060817547357928</v>
      </c>
      <c r="H258" s="170">
        <f>表2_36716262930389121314153[[#This Row],[累计净值]]/$B$35-1</f>
        <v>0.12166172106824935</v>
      </c>
    </row>
    <row r="259" spans="1:8" x14ac:dyDescent="0.2">
      <c r="A259" s="161">
        <v>44229</v>
      </c>
      <c r="B259" s="162">
        <v>1.133</v>
      </c>
      <c r="C259" s="171">
        <f t="shared" si="56"/>
        <v>-9.9999999999988987E-4</v>
      </c>
      <c r="D259" s="168">
        <f t="shared" si="57"/>
        <v>-9.9999999999988987E-4</v>
      </c>
      <c r="E259" s="168">
        <f ca="1">IF(表2_36716262930389121314153[[#This Row],[累计净值]]/MAX(INDIRECT("B21:B" &amp; ROW()))-1&lt;E258,表2_36716262930389121314153[[#This Row],[累计净值]]/MAX(INDIRECT("B21:B" &amp; ROW()))-1,E258)</f>
        <v>-1.2950971322849281E-2</v>
      </c>
      <c r="F259" s="110">
        <f>表2_36716262930389121314153[[#This Row],[累计净值]]</f>
        <v>1.133</v>
      </c>
      <c r="G259" s="170">
        <f>表2_36716262930389121314153[[#This Row],[累计净值]]/$B$21-1</f>
        <v>0.12961116650049864</v>
      </c>
      <c r="H259" s="170">
        <f>表2_36716262930389121314153[[#This Row],[累计净值]]/$B$35-1</f>
        <v>0.12067260138476765</v>
      </c>
    </row>
    <row r="260" spans="1:8" x14ac:dyDescent="0.2">
      <c r="A260" s="161">
        <v>44230</v>
      </c>
      <c r="B260" s="162">
        <v>1.1339999999999999</v>
      </c>
      <c r="C260" s="171">
        <f t="shared" si="56"/>
        <v>9.9999999999988987E-4</v>
      </c>
      <c r="D260" s="168" t="str">
        <f t="shared" si="57"/>
        <v>/</v>
      </c>
      <c r="E260" s="168">
        <f ca="1">IF(表2_36716262930389121314153[[#This Row],[累计净值]]/MAX(INDIRECT("B21:B" &amp; ROW()))-1&lt;E259,表2_36716262930389121314153[[#This Row],[累计净值]]/MAX(INDIRECT("B21:B" &amp; ROW()))-1,E259)</f>
        <v>-1.2950971322849281E-2</v>
      </c>
      <c r="F260" s="110">
        <f>表2_36716262930389121314153[[#This Row],[累计净值]]</f>
        <v>1.1339999999999999</v>
      </c>
      <c r="G260" s="170">
        <f>表2_36716262930389121314153[[#This Row],[累计净值]]/$B$21-1</f>
        <v>0.13060817547357928</v>
      </c>
      <c r="H260" s="170">
        <f>表2_36716262930389121314153[[#This Row],[累计净值]]/$B$35-1</f>
        <v>0.12166172106824935</v>
      </c>
    </row>
    <row r="261" spans="1:8" x14ac:dyDescent="0.2">
      <c r="A261" s="161">
        <v>44231</v>
      </c>
      <c r="B261" s="162">
        <v>1.1339999999999999</v>
      </c>
      <c r="C261" s="171">
        <f t="shared" si="56"/>
        <v>0</v>
      </c>
      <c r="D261" s="168" t="str">
        <f t="shared" si="57"/>
        <v>/</v>
      </c>
      <c r="E261" s="168">
        <f ca="1">IF(表2_36716262930389121314153[[#This Row],[累计净值]]/MAX(INDIRECT("B21:B" &amp; ROW()))-1&lt;E260,表2_36716262930389121314153[[#This Row],[累计净值]]/MAX(INDIRECT("B21:B" &amp; ROW()))-1,E260)</f>
        <v>-1.2950971322849281E-2</v>
      </c>
      <c r="F261" s="110">
        <f>表2_36716262930389121314153[[#This Row],[累计净值]]</f>
        <v>1.1339999999999999</v>
      </c>
      <c r="G261" s="170">
        <f>表2_36716262930389121314153[[#This Row],[累计净值]]/$B$21-1</f>
        <v>0.13060817547357928</v>
      </c>
      <c r="H261" s="170">
        <f>表2_36716262930389121314153[[#This Row],[累计净值]]/$B$35-1</f>
        <v>0.12166172106824935</v>
      </c>
    </row>
    <row r="262" spans="1:8" x14ac:dyDescent="0.2">
      <c r="A262" s="161">
        <v>44232</v>
      </c>
      <c r="B262" s="162">
        <v>1.133</v>
      </c>
      <c r="C262" s="171">
        <f t="shared" ref="C262:C267" si="58">IFERROR(B262-B261,0)</f>
        <v>-9.9999999999988987E-4</v>
      </c>
      <c r="D262" s="168">
        <f t="shared" ref="D262:D267" si="59">IF(C262&lt;0,C262,"/")</f>
        <v>-9.9999999999988987E-4</v>
      </c>
      <c r="E262" s="168">
        <f ca="1">IF(表2_36716262930389121314153[[#This Row],[累计净值]]/MAX(INDIRECT("B21:B" &amp; ROW()))-1&lt;E261,表2_36716262930389121314153[[#This Row],[累计净值]]/MAX(INDIRECT("B21:B" &amp; ROW()))-1,E261)</f>
        <v>-1.2950971322849281E-2</v>
      </c>
      <c r="F262" s="110">
        <f>表2_36716262930389121314153[[#This Row],[累计净值]]</f>
        <v>1.133</v>
      </c>
      <c r="G262" s="170">
        <f>表2_36716262930389121314153[[#This Row],[累计净值]]/$B$21-1</f>
        <v>0.12961116650049864</v>
      </c>
      <c r="H262" s="170">
        <f>表2_36716262930389121314153[[#This Row],[累计净值]]/$B$35-1</f>
        <v>0.12067260138476765</v>
      </c>
    </row>
    <row r="263" spans="1:8" x14ac:dyDescent="0.2">
      <c r="A263" s="161">
        <v>44235</v>
      </c>
      <c r="B263" s="162">
        <v>1.1319999999999999</v>
      </c>
      <c r="C263" s="171">
        <f t="shared" si="58"/>
        <v>-1.0000000000001119E-3</v>
      </c>
      <c r="D263" s="168">
        <f t="shared" si="59"/>
        <v>-1.0000000000001119E-3</v>
      </c>
      <c r="E263" s="168">
        <f ca="1">IF(表2_36716262930389121314153[[#This Row],[累计净值]]/MAX(INDIRECT("B21:B" &amp; ROW()))-1&lt;E262,表2_36716262930389121314153[[#This Row],[累计净值]]/MAX(INDIRECT("B21:B" &amp; ROW()))-1,E262)</f>
        <v>-1.2950971322849281E-2</v>
      </c>
      <c r="F263" s="110">
        <f>表2_36716262930389121314153[[#This Row],[累计净值]]</f>
        <v>1.1319999999999999</v>
      </c>
      <c r="G263" s="170">
        <f>表2_36716262930389121314153[[#This Row],[累计净值]]/$B$21-1</f>
        <v>0.12861415752741778</v>
      </c>
      <c r="H263" s="170">
        <f>表2_36716262930389121314153[[#This Row],[累计净值]]/$B$35-1</f>
        <v>0.11968348170128595</v>
      </c>
    </row>
    <row r="264" spans="1:8" x14ac:dyDescent="0.2">
      <c r="A264" s="161">
        <v>44236</v>
      </c>
      <c r="B264" s="162">
        <v>1.131</v>
      </c>
      <c r="C264" s="171">
        <f t="shared" si="58"/>
        <v>-9.9999999999988987E-4</v>
      </c>
      <c r="D264" s="168">
        <f t="shared" si="59"/>
        <v>-9.9999999999988987E-4</v>
      </c>
      <c r="E264" s="168">
        <f ca="1">IF(表2_36716262930389121314153[[#This Row],[累计净值]]/MAX(INDIRECT("B21:B" &amp; ROW()))-1&lt;E263,表2_36716262930389121314153[[#This Row],[累计净值]]/MAX(INDIRECT("B21:B" &amp; ROW()))-1,E263)</f>
        <v>-1.2950971322849281E-2</v>
      </c>
      <c r="F264" s="110">
        <f>表2_36716262930389121314153[[#This Row],[累计净值]]</f>
        <v>1.131</v>
      </c>
      <c r="G264" s="170">
        <f>表2_36716262930389121314153[[#This Row],[累计净值]]/$B$21-1</f>
        <v>0.12761714855433715</v>
      </c>
      <c r="H264" s="170">
        <f>表2_36716262930389121314153[[#This Row],[累计净值]]/$B$35-1</f>
        <v>0.11869436201780426</v>
      </c>
    </row>
    <row r="265" spans="1:8" x14ac:dyDescent="0.2">
      <c r="A265" s="161">
        <v>44237</v>
      </c>
      <c r="B265" s="162">
        <v>1.1299999999999999</v>
      </c>
      <c r="C265" s="171">
        <f t="shared" si="58"/>
        <v>-1.0000000000001119E-3</v>
      </c>
      <c r="D265" s="168">
        <f t="shared" si="59"/>
        <v>-1.0000000000001119E-3</v>
      </c>
      <c r="E265" s="168">
        <f ca="1">IF(表2_36716262930389121314153[[#This Row],[累计净值]]/MAX(INDIRECT("B21:B" &amp; ROW()))-1&lt;E264,表2_36716262930389121314153[[#This Row],[累计净值]]/MAX(INDIRECT("B21:B" &amp; ROW()))-1,E264)</f>
        <v>-1.2950971322849281E-2</v>
      </c>
      <c r="F265" s="110">
        <f>表2_36716262930389121314153[[#This Row],[累计净值]]</f>
        <v>1.1299999999999999</v>
      </c>
      <c r="G265" s="170">
        <f>表2_36716262930389121314153[[#This Row],[累计净值]]/$B$21-1</f>
        <v>0.12662013958125629</v>
      </c>
      <c r="H265" s="170">
        <f>表2_36716262930389121314153[[#This Row],[累计净值]]/$B$35-1</f>
        <v>0.11770524233432256</v>
      </c>
    </row>
    <row r="266" spans="1:8" x14ac:dyDescent="0.2">
      <c r="A266" s="161">
        <v>44245</v>
      </c>
      <c r="B266" s="162">
        <v>1.1299999999999999</v>
      </c>
      <c r="C266" s="171">
        <f t="shared" si="58"/>
        <v>0</v>
      </c>
      <c r="D266" s="168" t="str">
        <f t="shared" si="59"/>
        <v>/</v>
      </c>
      <c r="E266" s="168">
        <f ca="1">IF(表2_36716262930389121314153[[#This Row],[累计净值]]/MAX(INDIRECT("B21:B" &amp; ROW()))-1&lt;E265,表2_36716262930389121314153[[#This Row],[累计净值]]/MAX(INDIRECT("B21:B" &amp; ROW()))-1,E265)</f>
        <v>-1.2950971322849281E-2</v>
      </c>
      <c r="F266" s="110">
        <f>表2_36716262930389121314153[[#This Row],[累计净值]]</f>
        <v>1.1299999999999999</v>
      </c>
      <c r="G266" s="170">
        <f>表2_36716262930389121314153[[#This Row],[累计净值]]/$B$21-1</f>
        <v>0.12662013958125629</v>
      </c>
      <c r="H266" s="170">
        <f>表2_36716262930389121314153[[#This Row],[累计净值]]/$B$35-1</f>
        <v>0.11770524233432256</v>
      </c>
    </row>
    <row r="267" spans="1:8" x14ac:dyDescent="0.2">
      <c r="A267" s="161">
        <v>44246</v>
      </c>
      <c r="B267" s="162">
        <v>1.131</v>
      </c>
      <c r="C267" s="171">
        <f t="shared" si="58"/>
        <v>1.0000000000001119E-3</v>
      </c>
      <c r="D267" s="168" t="str">
        <f t="shared" si="59"/>
        <v>/</v>
      </c>
      <c r="E267" s="168">
        <f ca="1">IF(表2_36716262930389121314153[[#This Row],[累计净值]]/MAX(INDIRECT("B21:B" &amp; ROW()))-1&lt;E266,表2_36716262930389121314153[[#This Row],[累计净值]]/MAX(INDIRECT("B21:B" &amp; ROW()))-1,E266)</f>
        <v>-1.2950971322849281E-2</v>
      </c>
      <c r="F267" s="110">
        <f>表2_36716262930389121314153[[#This Row],[累计净值]]</f>
        <v>1.131</v>
      </c>
      <c r="G267" s="170">
        <f>表2_36716262930389121314153[[#This Row],[累计净值]]/$B$21-1</f>
        <v>0.12761714855433715</v>
      </c>
      <c r="H267" s="170">
        <f>表2_36716262930389121314153[[#This Row],[累计净值]]/$B$35-1</f>
        <v>0.11869436201780426</v>
      </c>
    </row>
    <row r="268" spans="1:8" x14ac:dyDescent="0.2">
      <c r="A268" s="161">
        <v>44249</v>
      </c>
      <c r="B268" s="162">
        <v>1.131</v>
      </c>
      <c r="C268" s="171">
        <f>IFERROR(B268-B267,0)</f>
        <v>0</v>
      </c>
      <c r="D268" s="168" t="str">
        <f>IF(C268&lt;0,C268,"/")</f>
        <v>/</v>
      </c>
      <c r="E268" s="168">
        <f ca="1">IF(表2_36716262930389121314153[[#This Row],[累计净值]]/MAX(INDIRECT("B21:B" &amp; ROW()))-1&lt;E267,表2_36716262930389121314153[[#This Row],[累计净值]]/MAX(INDIRECT("B21:B" &amp; ROW()))-1,E267)</f>
        <v>-1.2950971322849281E-2</v>
      </c>
      <c r="F268" s="110">
        <f>表2_36716262930389121314153[[#This Row],[累计净值]]</f>
        <v>1.131</v>
      </c>
      <c r="G268" s="170">
        <f>表2_36716262930389121314153[[#This Row],[累计净值]]/$B$21-1</f>
        <v>0.12761714855433715</v>
      </c>
      <c r="H268" s="170">
        <f>表2_36716262930389121314153[[#This Row],[累计净值]]/$B$35-1</f>
        <v>0.11869436201780426</v>
      </c>
    </row>
    <row r="269" spans="1:8" x14ac:dyDescent="0.2">
      <c r="A269" s="161">
        <v>44250</v>
      </c>
      <c r="B269" s="162">
        <v>1.1339999999999999</v>
      </c>
      <c r="C269" s="171">
        <f>IFERROR(B269-B268,0)</f>
        <v>2.9999999999998916E-3</v>
      </c>
      <c r="D269" s="168" t="str">
        <f>IF(C269&lt;0,C269,"/")</f>
        <v>/</v>
      </c>
      <c r="E269" s="168">
        <f ca="1">IF(表2_36716262930389121314153[[#This Row],[累计净值]]/MAX(INDIRECT("B21:B" &amp; ROW()))-1&lt;E268,表2_36716262930389121314153[[#This Row],[累计净值]]/MAX(INDIRECT("B21:B" &amp; ROW()))-1,E268)</f>
        <v>-1.2950971322849281E-2</v>
      </c>
      <c r="F269" s="110">
        <f>表2_36716262930389121314153[[#This Row],[累计净值]]</f>
        <v>1.1339999999999999</v>
      </c>
      <c r="G269" s="170">
        <f>表2_36716262930389121314153[[#This Row],[累计净值]]/$B$21-1</f>
        <v>0.13060817547357928</v>
      </c>
      <c r="H269" s="170">
        <f>表2_36716262930389121314153[[#This Row],[累计净值]]/$B$35-1</f>
        <v>0.12166172106824935</v>
      </c>
    </row>
    <row r="270" spans="1:8" x14ac:dyDescent="0.2">
      <c r="A270" s="161">
        <v>44251</v>
      </c>
      <c r="B270" s="162">
        <v>1.1339999999999999</v>
      </c>
      <c r="C270" s="171">
        <f t="shared" ref="C270:C272" si="60">IFERROR(B270-B269,0)</f>
        <v>0</v>
      </c>
      <c r="D270" s="168" t="str">
        <f t="shared" ref="D270:D272" si="61">IF(C270&lt;0,C270,"/")</f>
        <v>/</v>
      </c>
      <c r="E270" s="168">
        <f ca="1">IF(表2_36716262930389121314153[[#This Row],[累计净值]]/MAX(INDIRECT("B21:B" &amp; ROW()))-1&lt;E269,表2_36716262930389121314153[[#This Row],[累计净值]]/MAX(INDIRECT("B21:B" &amp; ROW()))-1,E269)</f>
        <v>-1.2950971322849281E-2</v>
      </c>
      <c r="F270" s="110">
        <f>表2_36716262930389121314153[[#This Row],[累计净值]]</f>
        <v>1.1339999999999999</v>
      </c>
      <c r="G270" s="170">
        <f>表2_36716262930389121314153[[#This Row],[累计净值]]/$B$21-1</f>
        <v>0.13060817547357928</v>
      </c>
      <c r="H270" s="170">
        <f>表2_36716262930389121314153[[#This Row],[累计净值]]/$B$35-1</f>
        <v>0.12166172106824935</v>
      </c>
    </row>
    <row r="271" spans="1:8" x14ac:dyDescent="0.2">
      <c r="A271" s="161">
        <v>44252</v>
      </c>
      <c r="B271" s="162">
        <v>1.135</v>
      </c>
      <c r="C271" s="171">
        <f t="shared" si="60"/>
        <v>1.0000000000001119E-3</v>
      </c>
      <c r="D271" s="168" t="str">
        <f t="shared" si="61"/>
        <v>/</v>
      </c>
      <c r="E271" s="168">
        <f ca="1">IF(表2_36716262930389121314153[[#This Row],[累计净值]]/MAX(INDIRECT("B21:B" &amp; ROW()))-1&lt;E270,表2_36716262930389121314153[[#This Row],[累计净值]]/MAX(INDIRECT("B21:B" &amp; ROW()))-1,E270)</f>
        <v>-1.2950971322849281E-2</v>
      </c>
      <c r="F271" s="110">
        <f>表2_36716262930389121314153[[#This Row],[累计净值]]</f>
        <v>1.135</v>
      </c>
      <c r="G271" s="170">
        <f>表2_36716262930389121314153[[#This Row],[累计净值]]/$B$21-1</f>
        <v>0.13160518444666014</v>
      </c>
      <c r="H271" s="170">
        <f>表2_36716262930389121314153[[#This Row],[累计净值]]/$B$35-1</f>
        <v>0.12265084075173105</v>
      </c>
    </row>
    <row r="272" spans="1:8" x14ac:dyDescent="0.2">
      <c r="A272" s="161">
        <v>44253</v>
      </c>
      <c r="B272" s="162">
        <v>1.137</v>
      </c>
      <c r="C272" s="171">
        <f t="shared" si="60"/>
        <v>2.0000000000000018E-3</v>
      </c>
      <c r="D272" s="168" t="str">
        <f t="shared" si="61"/>
        <v>/</v>
      </c>
      <c r="E272" s="168">
        <f ca="1">IF(表2_36716262930389121314153[[#This Row],[累计净值]]/MAX(INDIRECT("B21:B" &amp; ROW()))-1&lt;E271,表2_36716262930389121314153[[#This Row],[累计净值]]/MAX(INDIRECT("B21:B" &amp; ROW()))-1,E271)</f>
        <v>-1.2950971322849281E-2</v>
      </c>
      <c r="F272" s="110">
        <f>表2_36716262930389121314153[[#This Row],[累计净值]]</f>
        <v>1.137</v>
      </c>
      <c r="G272" s="170">
        <f>表2_36716262930389121314153[[#This Row],[累计净值]]/$B$21-1</f>
        <v>0.13359920239282164</v>
      </c>
      <c r="H272" s="170">
        <f>表2_36716262930389121314153[[#This Row],[累计净值]]/$B$35-1</f>
        <v>0.12462908011869445</v>
      </c>
    </row>
    <row r="273" spans="1:8" x14ac:dyDescent="0.2">
      <c r="A273" s="161">
        <v>44256</v>
      </c>
      <c r="B273" s="162">
        <v>1.137</v>
      </c>
      <c r="C273" s="171">
        <f>IFERROR(B273-B272,0)</f>
        <v>0</v>
      </c>
      <c r="D273" s="168" t="str">
        <f>IF(C273&lt;0,C273,"/")</f>
        <v>/</v>
      </c>
      <c r="E273" s="168">
        <f ca="1">IF(表2_36716262930389121314153[[#This Row],[累计净值]]/MAX(INDIRECT("B21:B" &amp; ROW()))-1&lt;E272,表2_36716262930389121314153[[#This Row],[累计净值]]/MAX(INDIRECT("B21:B" &amp; ROW()))-1,E272)</f>
        <v>-1.2950971322849281E-2</v>
      </c>
      <c r="F273" s="110">
        <f>表2_36716262930389121314153[[#This Row],[累计净值]]</f>
        <v>1.137</v>
      </c>
      <c r="G273" s="170">
        <f>表2_36716262930389121314153[[#This Row],[累计净值]]/$B$21-1</f>
        <v>0.13359920239282164</v>
      </c>
      <c r="H273" s="170">
        <f>表2_36716262930389121314153[[#This Row],[累计净值]]/$B$35-1</f>
        <v>0.12462908011869445</v>
      </c>
    </row>
    <row r="274" spans="1:8" x14ac:dyDescent="0.2">
      <c r="A274" s="161">
        <v>44257</v>
      </c>
      <c r="B274" s="162">
        <v>1.137</v>
      </c>
      <c r="C274" s="171">
        <f t="shared" ref="C274" si="62">IFERROR(B274-B273,0)</f>
        <v>0</v>
      </c>
      <c r="D274" s="168" t="str">
        <f t="shared" ref="D274" si="63">IF(C274&lt;0,C274,"/")</f>
        <v>/</v>
      </c>
      <c r="E274" s="168">
        <f ca="1">IF(表2_36716262930389121314153[[#This Row],[累计净值]]/MAX(INDIRECT("B21:B" &amp; ROW()))-1&lt;E273,表2_36716262930389121314153[[#This Row],[累计净值]]/MAX(INDIRECT("B21:B" &amp; ROW()))-1,E273)</f>
        <v>-1.2950971322849281E-2</v>
      </c>
      <c r="F274" s="110">
        <f>表2_36716262930389121314153[[#This Row],[累计净值]]</f>
        <v>1.137</v>
      </c>
      <c r="G274" s="170">
        <f>表2_36716262930389121314153[[#This Row],[累计净值]]/$B$21-1</f>
        <v>0.13359920239282164</v>
      </c>
      <c r="H274" s="170">
        <f>表2_36716262930389121314153[[#This Row],[累计净值]]/$B$35-1</f>
        <v>0.12462908011869445</v>
      </c>
    </row>
    <row r="275" spans="1:8" x14ac:dyDescent="0.2">
      <c r="A275" s="161">
        <v>44258</v>
      </c>
      <c r="B275" s="162">
        <v>1.135</v>
      </c>
      <c r="C275" s="171">
        <f t="shared" ref="C275" si="64">IFERROR(B275-B274,0)</f>
        <v>-2.0000000000000018E-3</v>
      </c>
      <c r="D275" s="168">
        <f t="shared" ref="D275" si="65">IF(C275&lt;0,C275,"/")</f>
        <v>-2.0000000000000018E-3</v>
      </c>
      <c r="E275" s="168">
        <f ca="1">IF(表2_36716262930389121314153[[#This Row],[累计净值]]/MAX(INDIRECT("B21:B" &amp; ROW()))-1&lt;E274,表2_36716262930389121314153[[#This Row],[累计净值]]/MAX(INDIRECT("B21:B" &amp; ROW()))-1,E274)</f>
        <v>-1.2950971322849281E-2</v>
      </c>
      <c r="F275" s="110">
        <f>表2_36716262930389121314153[[#This Row],[累计净值]]</f>
        <v>1.135</v>
      </c>
      <c r="G275" s="170">
        <f>表2_36716262930389121314153[[#This Row],[累计净值]]/$B$21-1</f>
        <v>0.13160518444666014</v>
      </c>
      <c r="H275" s="170">
        <f>表2_36716262930389121314153[[#This Row],[累计净值]]/$B$35-1</f>
        <v>0.12265084075173105</v>
      </c>
    </row>
    <row r="276" spans="1:8" x14ac:dyDescent="0.2">
      <c r="A276" s="161">
        <v>44259</v>
      </c>
      <c r="B276" s="162">
        <v>1.1379999999999999</v>
      </c>
      <c r="C276" s="171">
        <f t="shared" ref="C276:C281" si="66">IFERROR(B276-B275,0)</f>
        <v>2.9999999999998916E-3</v>
      </c>
      <c r="D276" s="168" t="str">
        <f t="shared" ref="D276:D281" si="67">IF(C276&lt;0,C276,"/")</f>
        <v>/</v>
      </c>
      <c r="E276" s="168">
        <f ca="1">IF(表2_36716262930389121314153[[#This Row],[累计净值]]/MAX(INDIRECT("B21:B" &amp; ROW()))-1&lt;E275,表2_36716262930389121314153[[#This Row],[累计净值]]/MAX(INDIRECT("B21:B" &amp; ROW()))-1,E275)</f>
        <v>-1.2950971322849281E-2</v>
      </c>
      <c r="F276" s="110">
        <f>表2_36716262930389121314153[[#This Row],[累计净值]]</f>
        <v>1.1379999999999999</v>
      </c>
      <c r="G276" s="170">
        <f>表2_36716262930389121314153[[#This Row],[累计净值]]/$B$21-1</f>
        <v>0.13459621136590227</v>
      </c>
      <c r="H276" s="170">
        <f>表2_36716262930389121314153[[#This Row],[累计净值]]/$B$35-1</f>
        <v>0.12561819980217614</v>
      </c>
    </row>
    <row r="277" spans="1:8" x14ac:dyDescent="0.2">
      <c r="A277" s="161">
        <v>44260</v>
      </c>
      <c r="B277" s="162">
        <v>1.135</v>
      </c>
      <c r="C277" s="171">
        <f t="shared" si="66"/>
        <v>-2.9999999999998916E-3</v>
      </c>
      <c r="D277" s="168">
        <f t="shared" si="67"/>
        <v>-2.9999999999998916E-3</v>
      </c>
      <c r="E277" s="168">
        <f ca="1">IF(表2_36716262930389121314153[[#This Row],[累计净值]]/MAX(INDIRECT("B21:B" &amp; ROW()))-1&lt;E276,表2_36716262930389121314153[[#This Row],[累计净值]]/MAX(INDIRECT("B21:B" &amp; ROW()))-1,E276)</f>
        <v>-1.2950971322849281E-2</v>
      </c>
      <c r="F277" s="110">
        <f>表2_36716262930389121314153[[#This Row],[累计净值]]</f>
        <v>1.135</v>
      </c>
      <c r="G277" s="170">
        <f>表2_36716262930389121314153[[#This Row],[累计净值]]/$B$21-1</f>
        <v>0.13160518444666014</v>
      </c>
      <c r="H277" s="170">
        <f>表2_36716262930389121314153[[#This Row],[累计净值]]/$B$35-1</f>
        <v>0.12265084075173105</v>
      </c>
    </row>
    <row r="278" spans="1:8" x14ac:dyDescent="0.2">
      <c r="A278" s="161">
        <v>44263</v>
      </c>
      <c r="B278" s="162">
        <v>1.139</v>
      </c>
      <c r="C278" s="171">
        <f t="shared" si="66"/>
        <v>4.0000000000000036E-3</v>
      </c>
      <c r="D278" s="168" t="str">
        <f t="shared" si="67"/>
        <v>/</v>
      </c>
      <c r="E278" s="168">
        <f ca="1">IF(表2_36716262930389121314153[[#This Row],[累计净值]]/MAX(INDIRECT("B21:B" &amp; ROW()))-1&lt;E277,表2_36716262930389121314153[[#This Row],[累计净值]]/MAX(INDIRECT("B21:B" &amp; ROW()))-1,E277)</f>
        <v>-1.2950971322849281E-2</v>
      </c>
      <c r="F278" s="110">
        <f>表2_36716262930389121314153[[#This Row],[累计净值]]</f>
        <v>1.139</v>
      </c>
      <c r="G278" s="170">
        <f>表2_36716262930389121314153[[#This Row],[累计净值]]/$B$21-1</f>
        <v>0.13559322033898313</v>
      </c>
      <c r="H278" s="170">
        <f>表2_36716262930389121314153[[#This Row],[累计净值]]/$B$35-1</f>
        <v>0.12660731948565784</v>
      </c>
    </row>
    <row r="279" spans="1:8" x14ac:dyDescent="0.2">
      <c r="A279" s="161">
        <v>44264</v>
      </c>
      <c r="B279" s="162">
        <v>1.1419999999999999</v>
      </c>
      <c r="C279" s="171">
        <f t="shared" si="66"/>
        <v>2.9999999999998916E-3</v>
      </c>
      <c r="D279" s="168" t="str">
        <f t="shared" si="67"/>
        <v>/</v>
      </c>
      <c r="E279" s="168">
        <f ca="1">IF(表2_36716262930389121314153[[#This Row],[累计净值]]/MAX(INDIRECT("B21:B" &amp; ROW()))-1&lt;E278,表2_36716262930389121314153[[#This Row],[累计净值]]/MAX(INDIRECT("B21:B" &amp; ROW()))-1,E278)</f>
        <v>-1.2950971322849281E-2</v>
      </c>
      <c r="F279" s="110">
        <f>表2_36716262930389121314153[[#This Row],[累计净值]]</f>
        <v>1.1419999999999999</v>
      </c>
      <c r="G279" s="170">
        <f>表2_36716262930389121314153[[#This Row],[累计净值]]/$B$21-1</f>
        <v>0.13858424725822527</v>
      </c>
      <c r="H279" s="170">
        <f>表2_36716262930389121314153[[#This Row],[累计净值]]/$B$35-1</f>
        <v>0.12957467853610294</v>
      </c>
    </row>
    <row r="280" spans="1:8" x14ac:dyDescent="0.2">
      <c r="A280" s="161">
        <v>44265</v>
      </c>
      <c r="B280" s="162">
        <v>1.143</v>
      </c>
      <c r="C280" s="171">
        <f t="shared" si="66"/>
        <v>1.0000000000001119E-3</v>
      </c>
      <c r="D280" s="168" t="str">
        <f t="shared" si="67"/>
        <v>/</v>
      </c>
      <c r="E280" s="168">
        <f ca="1">IF(表2_36716262930389121314153[[#This Row],[累计净值]]/MAX(INDIRECT("B21:B" &amp; ROW()))-1&lt;E279,表2_36716262930389121314153[[#This Row],[累计净值]]/MAX(INDIRECT("B21:B" &amp; ROW()))-1,E279)</f>
        <v>-1.2950971322849281E-2</v>
      </c>
      <c r="F280" s="110">
        <f>表2_36716262930389121314153[[#This Row],[累计净值]]</f>
        <v>1.143</v>
      </c>
      <c r="G280" s="170">
        <f>表2_36716262930389121314153[[#This Row],[累计净值]]/$B$21-1</f>
        <v>0.13958125623130613</v>
      </c>
      <c r="H280" s="170">
        <f>表2_36716262930389121314153[[#This Row],[累计净值]]/$B$35-1</f>
        <v>0.13056379821958464</v>
      </c>
    </row>
    <row r="281" spans="1:8" x14ac:dyDescent="0.2">
      <c r="A281" s="161">
        <v>44266</v>
      </c>
      <c r="B281" s="162">
        <v>1.1419999999999999</v>
      </c>
      <c r="C281" s="171">
        <f t="shared" si="66"/>
        <v>-1.0000000000001119E-3</v>
      </c>
      <c r="D281" s="168">
        <f t="shared" si="67"/>
        <v>-1.0000000000001119E-3</v>
      </c>
      <c r="E281" s="168">
        <f ca="1">IF(表2_36716262930389121314153[[#This Row],[累计净值]]/MAX(INDIRECT("B21:B" &amp; ROW()))-1&lt;E280,表2_36716262930389121314153[[#This Row],[累计净值]]/MAX(INDIRECT("B21:B" &amp; ROW()))-1,E280)</f>
        <v>-1.2950971322849281E-2</v>
      </c>
      <c r="F281" s="110">
        <f>表2_36716262930389121314153[[#This Row],[累计净值]]</f>
        <v>1.1419999999999999</v>
      </c>
      <c r="G281" s="170">
        <f>表2_36716262930389121314153[[#This Row],[累计净值]]/$B$21-1</f>
        <v>0.13858424725822527</v>
      </c>
      <c r="H281" s="170">
        <f>表2_36716262930389121314153[[#This Row],[累计净值]]/$B$35-1</f>
        <v>0.12957467853610294</v>
      </c>
    </row>
    <row r="282" spans="1:8" x14ac:dyDescent="0.2">
      <c r="A282" s="161">
        <v>44267</v>
      </c>
      <c r="B282" s="162">
        <v>1.1439999999999999</v>
      </c>
      <c r="C282" s="171">
        <f t="shared" ref="C282:C286" si="68">IFERROR(B282-B281,0)</f>
        <v>2.0000000000000018E-3</v>
      </c>
      <c r="D282" s="168" t="str">
        <f t="shared" ref="D282:D286" si="69">IF(C282&lt;0,C282,"/")</f>
        <v>/</v>
      </c>
      <c r="E282" s="168">
        <f ca="1">IF(表2_36716262930389121314153[[#This Row],[累计净值]]/MAX(INDIRECT("B21:B" &amp; ROW()))-1&lt;E281,表2_36716262930389121314153[[#This Row],[累计净值]]/MAX(INDIRECT("B21:B" &amp; ROW()))-1,E281)</f>
        <v>-1.2950971322849281E-2</v>
      </c>
      <c r="F282" s="110">
        <f>表2_36716262930389121314153[[#This Row],[累计净值]]</f>
        <v>1.1439999999999999</v>
      </c>
      <c r="G282" s="170">
        <f>表2_36716262930389121314153[[#This Row],[累计净值]]/$B$21-1</f>
        <v>0.14057826520438677</v>
      </c>
      <c r="H282" s="170">
        <f>表2_36716262930389121314153[[#This Row],[累计净值]]/$B$35-1</f>
        <v>0.13155291790306634</v>
      </c>
    </row>
    <row r="283" spans="1:8" x14ac:dyDescent="0.2">
      <c r="A283" s="161">
        <v>44270</v>
      </c>
      <c r="B283" s="162">
        <v>1.149</v>
      </c>
      <c r="C283" s="171">
        <f t="shared" si="68"/>
        <v>5.0000000000001155E-3</v>
      </c>
      <c r="D283" s="168" t="str">
        <f t="shared" si="69"/>
        <v>/</v>
      </c>
      <c r="E283" s="168">
        <f ca="1">IF(表2_36716262930389121314153[[#This Row],[累计净值]]/MAX(INDIRECT("B21:B" &amp; ROW()))-1&lt;E282,表2_36716262930389121314153[[#This Row],[累计净值]]/MAX(INDIRECT("B21:B" &amp; ROW()))-1,E282)</f>
        <v>-1.2950971322849281E-2</v>
      </c>
      <c r="F283" s="110">
        <f>表2_36716262930389121314153[[#This Row],[累计净值]]</f>
        <v>1.149</v>
      </c>
      <c r="G283" s="170">
        <f>表2_36716262930389121314153[[#This Row],[累计净值]]/$B$21-1</f>
        <v>0.14556331006979084</v>
      </c>
      <c r="H283" s="170">
        <f>表2_36716262930389121314153[[#This Row],[累计净值]]/$B$35-1</f>
        <v>0.13649851632047483</v>
      </c>
    </row>
    <row r="284" spans="1:8" x14ac:dyDescent="0.2">
      <c r="A284" s="161">
        <v>44271</v>
      </c>
      <c r="B284" s="162">
        <v>1.147</v>
      </c>
      <c r="C284" s="171">
        <f t="shared" si="68"/>
        <v>-2.0000000000000018E-3</v>
      </c>
      <c r="D284" s="168">
        <f t="shared" si="69"/>
        <v>-2.0000000000000018E-3</v>
      </c>
      <c r="E284" s="168">
        <f ca="1">IF(表2_36716262930389121314153[[#This Row],[累计净值]]/MAX(INDIRECT("B21:B" &amp; ROW()))-1&lt;E283,表2_36716262930389121314153[[#This Row],[累计净值]]/MAX(INDIRECT("B21:B" &amp; ROW()))-1,E283)</f>
        <v>-1.2950971322849281E-2</v>
      </c>
      <c r="F284" s="110">
        <f>表2_36716262930389121314153[[#This Row],[累计净值]]</f>
        <v>1.147</v>
      </c>
      <c r="G284" s="170">
        <f>表2_36716262930389121314153[[#This Row],[累计净值]]/$B$21-1</f>
        <v>0.14356929212362934</v>
      </c>
      <c r="H284" s="170">
        <f>表2_36716262930389121314153[[#This Row],[累计净值]]/$B$35-1</f>
        <v>0.13452027695351143</v>
      </c>
    </row>
    <row r="285" spans="1:8" x14ac:dyDescent="0.2">
      <c r="A285" s="161">
        <v>44272</v>
      </c>
      <c r="B285" s="162">
        <v>1.1479999999999999</v>
      </c>
      <c r="C285" s="171">
        <f t="shared" si="68"/>
        <v>9.9999999999988987E-4</v>
      </c>
      <c r="D285" s="168" t="str">
        <f t="shared" si="69"/>
        <v>/</v>
      </c>
      <c r="E285" s="168">
        <f ca="1">IF(表2_36716262930389121314153[[#This Row],[累计净值]]/MAX(INDIRECT("B21:B" &amp; ROW()))-1&lt;E284,表2_36716262930389121314153[[#This Row],[累计净值]]/MAX(INDIRECT("B21:B" &amp; ROW()))-1,E284)</f>
        <v>-1.2950971322849281E-2</v>
      </c>
      <c r="F285" s="110">
        <f>表2_36716262930389121314153[[#This Row],[累计净值]]</f>
        <v>1.1479999999999999</v>
      </c>
      <c r="G285" s="170">
        <f>表2_36716262930389121314153[[#This Row],[累计净值]]/$B$21-1</f>
        <v>0.14456630109670998</v>
      </c>
      <c r="H285" s="170">
        <f>表2_36716262930389121314153[[#This Row],[累计净值]]/$B$35-1</f>
        <v>0.13550939663699313</v>
      </c>
    </row>
    <row r="286" spans="1:8" x14ac:dyDescent="0.2">
      <c r="A286" s="161">
        <v>44273</v>
      </c>
      <c r="B286" s="162">
        <v>1.149</v>
      </c>
      <c r="C286" s="171">
        <f t="shared" si="68"/>
        <v>1.0000000000001119E-3</v>
      </c>
      <c r="D286" s="168" t="str">
        <f t="shared" si="69"/>
        <v>/</v>
      </c>
      <c r="E286" s="168">
        <f ca="1">IF(表2_36716262930389121314153[[#This Row],[累计净值]]/MAX(INDIRECT("B21:B" &amp; ROW()))-1&lt;E285,表2_36716262930389121314153[[#This Row],[累计净值]]/MAX(INDIRECT("B21:B" &amp; ROW()))-1,E285)</f>
        <v>-1.2950971322849281E-2</v>
      </c>
      <c r="F286" s="110">
        <f>表2_36716262930389121314153[[#This Row],[累计净值]]</f>
        <v>1.149</v>
      </c>
      <c r="G286" s="170">
        <f>表2_36716262930389121314153[[#This Row],[累计净值]]/$B$21-1</f>
        <v>0.14556331006979084</v>
      </c>
      <c r="H286" s="170">
        <f>表2_36716262930389121314153[[#This Row],[累计净值]]/$B$35-1</f>
        <v>0.13649851632047483</v>
      </c>
    </row>
    <row r="287" spans="1:8" x14ac:dyDescent="0.2">
      <c r="A287" s="161">
        <v>44274</v>
      </c>
      <c r="B287" s="162">
        <v>1.153</v>
      </c>
      <c r="C287" s="171">
        <f t="shared" ref="C287:C290" si="70">IFERROR(B287-B286,0)</f>
        <v>4.0000000000000036E-3</v>
      </c>
      <c r="D287" s="168" t="str">
        <f t="shared" ref="D287:D290" si="71">IF(C287&lt;0,C287,"/")</f>
        <v>/</v>
      </c>
      <c r="E287" s="168">
        <f ca="1">IF(表2_36716262930389121314153[[#This Row],[累计净值]]/MAX(INDIRECT("B21:B" &amp; ROW()))-1&lt;E286,表2_36716262930389121314153[[#This Row],[累计净值]]/MAX(INDIRECT("B21:B" &amp; ROW()))-1,E286)</f>
        <v>-1.2950971322849281E-2</v>
      </c>
      <c r="F287" s="110">
        <f>表2_36716262930389121314153[[#This Row],[累计净值]]</f>
        <v>1.153</v>
      </c>
      <c r="G287" s="170">
        <f>表2_36716262930389121314153[[#This Row],[累计净值]]/$B$21-1</f>
        <v>0.14955134596211384</v>
      </c>
      <c r="H287" s="170">
        <f>表2_36716262930389121314153[[#This Row],[累计净值]]/$B$35-1</f>
        <v>0.14045499505440162</v>
      </c>
    </row>
    <row r="288" spans="1:8" x14ac:dyDescent="0.2">
      <c r="A288" s="161">
        <v>44277</v>
      </c>
      <c r="B288" s="162">
        <v>1.1499999999999999</v>
      </c>
      <c r="C288" s="171">
        <f t="shared" si="70"/>
        <v>-3.0000000000001137E-3</v>
      </c>
      <c r="D288" s="168">
        <f t="shared" si="71"/>
        <v>-3.0000000000001137E-3</v>
      </c>
      <c r="E288" s="168">
        <f ca="1">IF(表2_36716262930389121314153[[#This Row],[累计净值]]/MAX(INDIRECT("B21:B" &amp; ROW()))-1&lt;E287,表2_36716262930389121314153[[#This Row],[累计净值]]/MAX(INDIRECT("B21:B" &amp; ROW()))-1,E287)</f>
        <v>-1.2950971322849281E-2</v>
      </c>
      <c r="F288" s="110">
        <f>表2_36716262930389121314153[[#This Row],[累计净值]]</f>
        <v>1.1499999999999999</v>
      </c>
      <c r="G288" s="170">
        <f>表2_36716262930389121314153[[#This Row],[累计净值]]/$B$21-1</f>
        <v>0.14656031904287148</v>
      </c>
      <c r="H288" s="170">
        <f>表2_36716262930389121314153[[#This Row],[累计净值]]/$B$35-1</f>
        <v>0.13748763600395653</v>
      </c>
    </row>
    <row r="289" spans="1:8" x14ac:dyDescent="0.2">
      <c r="A289" s="161">
        <v>44278</v>
      </c>
      <c r="B289" s="162">
        <v>1.1499999999999999</v>
      </c>
      <c r="C289" s="171">
        <f t="shared" si="70"/>
        <v>0</v>
      </c>
      <c r="D289" s="168" t="str">
        <f t="shared" si="71"/>
        <v>/</v>
      </c>
      <c r="E289" s="168">
        <f ca="1">IF(表2_36716262930389121314153[[#This Row],[累计净值]]/MAX(INDIRECT("B21:B" &amp; ROW()))-1&lt;E288,表2_36716262930389121314153[[#This Row],[累计净值]]/MAX(INDIRECT("B21:B" &amp; ROW()))-1,E288)</f>
        <v>-1.2950971322849281E-2</v>
      </c>
      <c r="F289" s="110">
        <f>表2_36716262930389121314153[[#This Row],[累计净值]]</f>
        <v>1.1499999999999999</v>
      </c>
      <c r="G289" s="170">
        <f>表2_36716262930389121314153[[#This Row],[累计净值]]/$B$21-1</f>
        <v>0.14656031904287148</v>
      </c>
      <c r="H289" s="170">
        <f>表2_36716262930389121314153[[#This Row],[累计净值]]/$B$35-1</f>
        <v>0.13748763600395653</v>
      </c>
    </row>
    <row r="290" spans="1:8" x14ac:dyDescent="0.2">
      <c r="A290" s="161">
        <v>44279</v>
      </c>
      <c r="B290" s="162">
        <v>1.1479999999999999</v>
      </c>
      <c r="C290" s="171">
        <f t="shared" si="70"/>
        <v>-2.0000000000000018E-3</v>
      </c>
      <c r="D290" s="168">
        <f t="shared" si="71"/>
        <v>-2.0000000000000018E-3</v>
      </c>
      <c r="E290" s="168">
        <f ca="1">IF(表2_36716262930389121314153[[#This Row],[累计净值]]/MAX(INDIRECT("B21:B" &amp; ROW()))-1&lt;E289,表2_36716262930389121314153[[#This Row],[累计净值]]/MAX(INDIRECT("B21:B" &amp; ROW()))-1,E289)</f>
        <v>-1.2950971322849281E-2</v>
      </c>
      <c r="F290" s="110">
        <f>表2_36716262930389121314153[[#This Row],[累计净值]]</f>
        <v>1.1479999999999999</v>
      </c>
      <c r="G290" s="170">
        <f>表2_36716262930389121314153[[#This Row],[累计净值]]/$B$21-1</f>
        <v>0.14456630109670998</v>
      </c>
      <c r="H290" s="170">
        <f>表2_36716262930389121314153[[#This Row],[累计净值]]/$B$35-1</f>
        <v>0.13550939663699313</v>
      </c>
    </row>
    <row r="291" spans="1:8" x14ac:dyDescent="0.2">
      <c r="A291" s="161">
        <v>44280</v>
      </c>
      <c r="B291" s="162">
        <v>1.151</v>
      </c>
      <c r="C291" s="171">
        <f t="shared" ref="C291:C292" si="72">IFERROR(B291-B290,0)</f>
        <v>3.0000000000001137E-3</v>
      </c>
      <c r="D291" s="168" t="str">
        <f t="shared" ref="D291:D292" si="73">IF(C291&lt;0,C291,"/")</f>
        <v>/</v>
      </c>
      <c r="E291" s="168">
        <f ca="1">IF(表2_36716262930389121314153[[#This Row],[累计净值]]/MAX(INDIRECT("B21:B" &amp; ROW()))-1&lt;E290,表2_36716262930389121314153[[#This Row],[累计净值]]/MAX(INDIRECT("B21:B" &amp; ROW()))-1,E290)</f>
        <v>-1.2950971322849281E-2</v>
      </c>
      <c r="F291" s="110">
        <f>表2_36716262930389121314153[[#This Row],[累计净值]]</f>
        <v>1.151</v>
      </c>
      <c r="G291" s="170">
        <f>表2_36716262930389121314153[[#This Row],[累计净值]]/$B$21-1</f>
        <v>0.14755732801595234</v>
      </c>
      <c r="H291" s="170">
        <f>表2_36716262930389121314153[[#This Row],[累计净值]]/$B$35-1</f>
        <v>0.13847675568743822</v>
      </c>
    </row>
    <row r="292" spans="1:8" x14ac:dyDescent="0.2">
      <c r="A292" s="161">
        <v>44281</v>
      </c>
      <c r="B292" s="162">
        <v>1.151</v>
      </c>
      <c r="C292" s="171">
        <f t="shared" si="72"/>
        <v>0</v>
      </c>
      <c r="D292" s="168" t="str">
        <f t="shared" si="73"/>
        <v>/</v>
      </c>
      <c r="E292" s="168">
        <f ca="1">IF(表2_36716262930389121314153[[#This Row],[累计净值]]/MAX(INDIRECT("B21:B" &amp; ROW()))-1&lt;E291,表2_36716262930389121314153[[#This Row],[累计净值]]/MAX(INDIRECT("B21:B" &amp; ROW()))-1,E291)</f>
        <v>-1.2950971322849281E-2</v>
      </c>
      <c r="F292" s="110">
        <f>表2_36716262930389121314153[[#This Row],[累计净值]]</f>
        <v>1.151</v>
      </c>
      <c r="G292" s="170">
        <f>表2_36716262930389121314153[[#This Row],[累计净值]]/$B$21-1</f>
        <v>0.14755732801595234</v>
      </c>
      <c r="H292" s="170">
        <f>表2_36716262930389121314153[[#This Row],[累计净值]]/$B$35-1</f>
        <v>0.13847675568743822</v>
      </c>
    </row>
    <row r="293" spans="1:8" x14ac:dyDescent="0.2">
      <c r="A293" s="161">
        <v>44284</v>
      </c>
      <c r="B293" s="162">
        <v>1.1519999999999999</v>
      </c>
      <c r="C293" s="171">
        <f t="shared" ref="C293:C299" si="74">IFERROR(B293-B292,0)</f>
        <v>9.9999999999988987E-4</v>
      </c>
      <c r="D293" s="168" t="str">
        <f t="shared" ref="D293:D299" si="75">IF(C293&lt;0,C293,"/")</f>
        <v>/</v>
      </c>
      <c r="E293" s="168">
        <f ca="1">IF(表2_36716262930389121314153[[#This Row],[累计净值]]/MAX(INDIRECT("B21:B" &amp; ROW()))-1&lt;E292,表2_36716262930389121314153[[#This Row],[累计净值]]/MAX(INDIRECT("B21:B" &amp; ROW()))-1,E292)</f>
        <v>-1.2950971322849281E-2</v>
      </c>
      <c r="F293" s="110">
        <f>表2_36716262930389121314153[[#This Row],[累计净值]]</f>
        <v>1.1519999999999999</v>
      </c>
      <c r="G293" s="170">
        <f>表2_36716262930389121314153[[#This Row],[累计净值]]/$B$21-1</f>
        <v>0.14855433698903298</v>
      </c>
      <c r="H293" s="170">
        <f>表2_36716262930389121314153[[#This Row],[累计净值]]/$B$35-1</f>
        <v>0.13946587537091992</v>
      </c>
    </row>
    <row r="294" spans="1:8" x14ac:dyDescent="0.2">
      <c r="A294" s="161">
        <v>44285</v>
      </c>
      <c r="B294" s="162">
        <v>1.155</v>
      </c>
      <c r="C294" s="171">
        <f t="shared" si="74"/>
        <v>3.0000000000001137E-3</v>
      </c>
      <c r="D294" s="168" t="str">
        <f t="shared" si="75"/>
        <v>/</v>
      </c>
      <c r="E294" s="168">
        <f ca="1">IF(表2_36716262930389121314153[[#This Row],[累计净值]]/MAX(INDIRECT("B21:B" &amp; ROW()))-1&lt;E293,表2_36716262930389121314153[[#This Row],[累计净值]]/MAX(INDIRECT("B21:B" &amp; ROW()))-1,E293)</f>
        <v>-1.2950971322849281E-2</v>
      </c>
      <c r="F294" s="110">
        <f>表2_36716262930389121314153[[#This Row],[累计净值]]</f>
        <v>1.155</v>
      </c>
      <c r="G294" s="170">
        <f>表2_36716262930389121314153[[#This Row],[累计净值]]/$B$21-1</f>
        <v>0.15154536390827533</v>
      </c>
      <c r="H294" s="170">
        <f>表2_36716262930389121314153[[#This Row],[累计净值]]/$B$35-1</f>
        <v>0.14243323442136502</v>
      </c>
    </row>
    <row r="295" spans="1:8" x14ac:dyDescent="0.2">
      <c r="A295" s="161">
        <v>44286</v>
      </c>
      <c r="B295" s="162">
        <v>1.1539999999999999</v>
      </c>
      <c r="C295" s="171">
        <f t="shared" si="74"/>
        <v>-1.0000000000001119E-3</v>
      </c>
      <c r="D295" s="168">
        <f t="shared" si="75"/>
        <v>-1.0000000000001119E-3</v>
      </c>
      <c r="E295" s="168">
        <f ca="1">IF(表2_36716262930389121314153[[#This Row],[累计净值]]/MAX(INDIRECT("B21:B" &amp; ROW()))-1&lt;E294,表2_36716262930389121314153[[#This Row],[累计净值]]/MAX(INDIRECT("B21:B" &amp; ROW()))-1,E294)</f>
        <v>-1.2950971322849281E-2</v>
      </c>
      <c r="F295" s="110">
        <f>表2_36716262930389121314153[[#This Row],[累计净值]]</f>
        <v>1.1539999999999999</v>
      </c>
      <c r="G295" s="170">
        <f>表2_36716262930389121314153[[#This Row],[累计净值]]/$B$21-1</f>
        <v>0.15054835493519447</v>
      </c>
      <c r="H295" s="170">
        <f>表2_36716262930389121314153[[#This Row],[累计净值]]/$B$35-1</f>
        <v>0.14144411473788332</v>
      </c>
    </row>
    <row r="296" spans="1:8" x14ac:dyDescent="0.2">
      <c r="A296" s="161">
        <v>44287</v>
      </c>
      <c r="B296" s="162">
        <v>1.157</v>
      </c>
      <c r="C296" s="171">
        <f t="shared" si="74"/>
        <v>3.0000000000001137E-3</v>
      </c>
      <c r="D296" s="168" t="str">
        <f t="shared" si="75"/>
        <v>/</v>
      </c>
      <c r="E296" s="168">
        <f ca="1">IF(表2_36716262930389121314153[[#This Row],[累计净值]]/MAX(INDIRECT("B21:B" &amp; ROW()))-1&lt;E295,表2_36716262930389121314153[[#This Row],[累计净值]]/MAX(INDIRECT("B21:B" &amp; ROW()))-1,E295)</f>
        <v>-1.2950971322849281E-2</v>
      </c>
      <c r="F296" s="110">
        <f>表2_36716262930389121314153[[#This Row],[累计净值]]</f>
        <v>1.157</v>
      </c>
      <c r="G296" s="170">
        <f>表2_36716262930389121314153[[#This Row],[累计净值]]/$B$21-1</f>
        <v>0.15353938185443683</v>
      </c>
      <c r="H296" s="170">
        <f>表2_36716262930389121314153[[#This Row],[累计净值]]/$B$35-1</f>
        <v>0.14441147378832864</v>
      </c>
    </row>
    <row r="297" spans="1:8" x14ac:dyDescent="0.2">
      <c r="A297" s="161">
        <v>44288</v>
      </c>
      <c r="B297" s="162">
        <v>1.157</v>
      </c>
      <c r="C297" s="171">
        <f t="shared" si="74"/>
        <v>0</v>
      </c>
      <c r="D297" s="168" t="str">
        <f t="shared" si="75"/>
        <v>/</v>
      </c>
      <c r="E297" s="168">
        <f ca="1">IF(表2_36716262930389121314153[[#This Row],[累计净值]]/MAX(INDIRECT("B21:B" &amp; ROW()))-1&lt;E296,表2_36716262930389121314153[[#This Row],[累计净值]]/MAX(INDIRECT("B21:B" &amp; ROW()))-1,E296)</f>
        <v>-1.2950971322849281E-2</v>
      </c>
      <c r="F297" s="110">
        <f>表2_36716262930389121314153[[#This Row],[累计净值]]</f>
        <v>1.157</v>
      </c>
      <c r="G297" s="170">
        <f>表2_36716262930389121314153[[#This Row],[累计净值]]/$B$21-1</f>
        <v>0.15353938185443683</v>
      </c>
      <c r="H297" s="170">
        <f>表2_36716262930389121314153[[#This Row],[累计净值]]/$B$35-1</f>
        <v>0.14441147378832864</v>
      </c>
    </row>
    <row r="298" spans="1:8" x14ac:dyDescent="0.2">
      <c r="A298" s="161">
        <v>44292</v>
      </c>
      <c r="B298" s="162">
        <v>1.157</v>
      </c>
      <c r="C298" s="171">
        <f t="shared" si="74"/>
        <v>0</v>
      </c>
      <c r="D298" s="168" t="str">
        <f t="shared" si="75"/>
        <v>/</v>
      </c>
      <c r="E298" s="168">
        <f ca="1">IF(表2_36716262930389121314153[[#This Row],[累计净值]]/MAX(INDIRECT("B21:B" &amp; ROW()))-1&lt;E297,表2_36716262930389121314153[[#This Row],[累计净值]]/MAX(INDIRECT("B21:B" &amp; ROW()))-1,E297)</f>
        <v>-1.2950971322849281E-2</v>
      </c>
      <c r="F298" s="110">
        <f>表2_36716262930389121314153[[#This Row],[累计净值]]</f>
        <v>1.157</v>
      </c>
      <c r="G298" s="170">
        <f>表2_36716262930389121314153[[#This Row],[累计净值]]/$B$21-1</f>
        <v>0.15353938185443683</v>
      </c>
      <c r="H298" s="170">
        <f>表2_36716262930389121314153[[#This Row],[累计净值]]/$B$35-1</f>
        <v>0.14441147378832864</v>
      </c>
    </row>
    <row r="299" spans="1:8" x14ac:dyDescent="0.2">
      <c r="A299" s="161">
        <v>44293</v>
      </c>
      <c r="B299" s="162">
        <v>1.1559999999999999</v>
      </c>
      <c r="C299" s="171">
        <f t="shared" si="74"/>
        <v>-1.0000000000001119E-3</v>
      </c>
      <c r="D299" s="168">
        <f t="shared" si="75"/>
        <v>-1.0000000000001119E-3</v>
      </c>
      <c r="E299" s="168">
        <f ca="1">IF(表2_36716262930389121314153[[#This Row],[累计净值]]/MAX(INDIRECT("B21:B" &amp; ROW()))-1&lt;E298,表2_36716262930389121314153[[#This Row],[累计净值]]/MAX(INDIRECT("B21:B" &amp; ROW()))-1,E298)</f>
        <v>-1.2950971322849281E-2</v>
      </c>
      <c r="F299" s="110">
        <f>表2_36716262930389121314153[[#This Row],[累计净值]]</f>
        <v>1.1559999999999999</v>
      </c>
      <c r="G299" s="170">
        <f>表2_36716262930389121314153[[#This Row],[累计净值]]/$B$21-1</f>
        <v>0.15254237288135597</v>
      </c>
      <c r="H299" s="170">
        <f>表2_36716262930389121314153[[#This Row],[累计净值]]/$B$35-1</f>
        <v>0.14342235410484672</v>
      </c>
    </row>
    <row r="300" spans="1:8" x14ac:dyDescent="0.2">
      <c r="A300" s="161">
        <v>44294</v>
      </c>
      <c r="B300" s="162">
        <v>1.1559999999999999</v>
      </c>
      <c r="C300" s="171">
        <f t="shared" ref="C300:C306" si="76">IFERROR(B300-B299,0)</f>
        <v>0</v>
      </c>
      <c r="D300" s="168" t="str">
        <f t="shared" ref="D300:D306" si="77">IF(C300&lt;0,C300,"/")</f>
        <v>/</v>
      </c>
      <c r="E300" s="168">
        <f ca="1">IF(表2_36716262930389121314153[[#This Row],[累计净值]]/MAX(INDIRECT("B21:B" &amp; ROW()))-1&lt;E299,表2_36716262930389121314153[[#This Row],[累计净值]]/MAX(INDIRECT("B21:B" &amp; ROW()))-1,E299)</f>
        <v>-1.2950971322849281E-2</v>
      </c>
      <c r="F300" s="110">
        <f>表2_36716262930389121314153[[#This Row],[累计净值]]</f>
        <v>1.1559999999999999</v>
      </c>
      <c r="G300" s="170">
        <f>表2_36716262930389121314153[[#This Row],[累计净值]]/$B$21-1</f>
        <v>0.15254237288135597</v>
      </c>
      <c r="H300" s="170">
        <f>表2_36716262930389121314153[[#This Row],[累计净值]]/$B$35-1</f>
        <v>0.14342235410484672</v>
      </c>
    </row>
    <row r="301" spans="1:8" x14ac:dyDescent="0.2">
      <c r="A301" s="161">
        <v>44295</v>
      </c>
      <c r="B301" s="162">
        <v>1.1559999999999999</v>
      </c>
      <c r="C301" s="171">
        <f t="shared" si="76"/>
        <v>0</v>
      </c>
      <c r="D301" s="168" t="str">
        <f t="shared" si="77"/>
        <v>/</v>
      </c>
      <c r="E301" s="168">
        <f ca="1">IF(表2_36716262930389121314153[[#This Row],[累计净值]]/MAX(INDIRECT("B21:B" &amp; ROW()))-1&lt;E300,表2_36716262930389121314153[[#This Row],[累计净值]]/MAX(INDIRECT("B21:B" &amp; ROW()))-1,E300)</f>
        <v>-1.2950971322849281E-2</v>
      </c>
      <c r="F301" s="110">
        <f>表2_36716262930389121314153[[#This Row],[累计净值]]</f>
        <v>1.1559999999999999</v>
      </c>
      <c r="G301" s="170">
        <f>表2_36716262930389121314153[[#This Row],[累计净值]]/$B$21-1</f>
        <v>0.15254237288135597</v>
      </c>
      <c r="H301" s="170">
        <f>表2_36716262930389121314153[[#This Row],[累计净值]]/$B$35-1</f>
        <v>0.14342235410484672</v>
      </c>
    </row>
    <row r="302" spans="1:8" x14ac:dyDescent="0.2">
      <c r="A302" s="161">
        <v>44298</v>
      </c>
      <c r="B302" s="162">
        <v>1.155</v>
      </c>
      <c r="C302" s="171">
        <f t="shared" si="76"/>
        <v>-9.9999999999988987E-4</v>
      </c>
      <c r="D302" s="168">
        <f t="shared" si="77"/>
        <v>-9.9999999999988987E-4</v>
      </c>
      <c r="E302" s="168">
        <f ca="1">IF(表2_36716262930389121314153[[#This Row],[累计净值]]/MAX(INDIRECT("B21:B" &amp; ROW()))-1&lt;E301,表2_36716262930389121314153[[#This Row],[累计净值]]/MAX(INDIRECT("B21:B" &amp; ROW()))-1,E301)</f>
        <v>-1.2950971322849281E-2</v>
      </c>
      <c r="F302" s="110">
        <f>表2_36716262930389121314153[[#This Row],[累计净值]]</f>
        <v>1.155</v>
      </c>
      <c r="G302" s="170">
        <f>表2_36716262930389121314153[[#This Row],[累计净值]]/$B$21-1</f>
        <v>0.15154536390827533</v>
      </c>
      <c r="H302" s="170">
        <f>表2_36716262930389121314153[[#This Row],[累计净值]]/$B$35-1</f>
        <v>0.14243323442136502</v>
      </c>
    </row>
    <row r="303" spans="1:8" x14ac:dyDescent="0.2">
      <c r="A303" s="161">
        <v>44299</v>
      </c>
      <c r="B303" s="162">
        <v>1.1559999999999999</v>
      </c>
      <c r="C303" s="171">
        <f t="shared" si="76"/>
        <v>9.9999999999988987E-4</v>
      </c>
      <c r="D303" s="168" t="str">
        <f t="shared" si="77"/>
        <v>/</v>
      </c>
      <c r="E303" s="168">
        <f ca="1">IF(表2_36716262930389121314153[[#This Row],[累计净值]]/MAX(INDIRECT("B21:B" &amp; ROW()))-1&lt;E302,表2_36716262930389121314153[[#This Row],[累计净值]]/MAX(INDIRECT("B21:B" &amp; ROW()))-1,E302)</f>
        <v>-1.2950971322849281E-2</v>
      </c>
      <c r="F303" s="110">
        <f>表2_36716262930389121314153[[#This Row],[累计净值]]</f>
        <v>1.1559999999999999</v>
      </c>
      <c r="G303" s="170">
        <f>表2_36716262930389121314153[[#This Row],[累计净值]]/$B$21-1</f>
        <v>0.15254237288135597</v>
      </c>
      <c r="H303" s="170">
        <f>表2_36716262930389121314153[[#This Row],[累计净值]]/$B$35-1</f>
        <v>0.14342235410484672</v>
      </c>
    </row>
    <row r="304" spans="1:8" x14ac:dyDescent="0.2">
      <c r="A304" s="161">
        <v>44300</v>
      </c>
      <c r="B304" s="162">
        <v>1.157</v>
      </c>
      <c r="C304" s="171">
        <f t="shared" si="76"/>
        <v>1.0000000000001119E-3</v>
      </c>
      <c r="D304" s="168" t="str">
        <f t="shared" si="77"/>
        <v>/</v>
      </c>
      <c r="E304" s="168">
        <f ca="1">IF(表2_36716262930389121314153[[#This Row],[累计净值]]/MAX(INDIRECT("B21:B" &amp; ROW()))-1&lt;E303,表2_36716262930389121314153[[#This Row],[累计净值]]/MAX(INDIRECT("B21:B" &amp; ROW()))-1,E303)</f>
        <v>-1.2950971322849281E-2</v>
      </c>
      <c r="F304" s="110">
        <f>表2_36716262930389121314153[[#This Row],[累计净值]]</f>
        <v>1.157</v>
      </c>
      <c r="G304" s="170">
        <f>表2_36716262930389121314153[[#This Row],[累计净值]]/$B$21-1</f>
        <v>0.15353938185443683</v>
      </c>
      <c r="H304" s="170">
        <f>表2_36716262930389121314153[[#This Row],[累计净值]]/$B$35-1</f>
        <v>0.14441147378832864</v>
      </c>
    </row>
    <row r="305" spans="1:8" x14ac:dyDescent="0.2">
      <c r="A305" s="161">
        <v>44301</v>
      </c>
      <c r="B305" s="162">
        <v>1.1579999999999999</v>
      </c>
      <c r="C305" s="171">
        <f t="shared" si="76"/>
        <v>9.9999999999988987E-4</v>
      </c>
      <c r="D305" s="168" t="str">
        <f t="shared" si="77"/>
        <v>/</v>
      </c>
      <c r="E305" s="168">
        <f ca="1">IF(表2_36716262930389121314153[[#This Row],[累计净值]]/MAX(INDIRECT("B21:B" &amp; ROW()))-1&lt;E304,表2_36716262930389121314153[[#This Row],[累计净值]]/MAX(INDIRECT("B21:B" &amp; ROW()))-1,E304)</f>
        <v>-1.2950971322849281E-2</v>
      </c>
      <c r="F305" s="110">
        <f>表2_36716262930389121314153[[#This Row],[累计净值]]</f>
        <v>1.1579999999999999</v>
      </c>
      <c r="G305" s="170">
        <f>表2_36716262930389121314153[[#This Row],[累计净值]]/$B$21-1</f>
        <v>0.15453639082751747</v>
      </c>
      <c r="H305" s="170">
        <f>表2_36716262930389121314153[[#This Row],[累计净值]]/$B$35-1</f>
        <v>0.14540059347181011</v>
      </c>
    </row>
    <row r="306" spans="1:8" x14ac:dyDescent="0.2">
      <c r="A306" s="161">
        <v>44302</v>
      </c>
      <c r="B306" s="162">
        <v>1.159</v>
      </c>
      <c r="C306" s="171">
        <f t="shared" si="76"/>
        <v>1.0000000000001119E-3</v>
      </c>
      <c r="D306" s="168" t="str">
        <f t="shared" si="77"/>
        <v>/</v>
      </c>
      <c r="E306" s="168">
        <f ca="1">IF(表2_36716262930389121314153[[#This Row],[累计净值]]/MAX(INDIRECT("B21:B" &amp; ROW()))-1&lt;E305,表2_36716262930389121314153[[#This Row],[累计净值]]/MAX(INDIRECT("B21:B" &amp; ROW()))-1,E305)</f>
        <v>-1.2950971322849281E-2</v>
      </c>
      <c r="F306" s="110">
        <f>表2_36716262930389121314153[[#This Row],[累计净值]]</f>
        <v>1.159</v>
      </c>
      <c r="G306" s="170">
        <f>表2_36716262930389121314153[[#This Row],[累计净值]]/$B$21-1</f>
        <v>0.15553339980059833</v>
      </c>
      <c r="H306" s="170">
        <f>表2_36716262930389121314153[[#This Row],[累计净值]]/$B$35-1</f>
        <v>0.14638971315529203</v>
      </c>
    </row>
    <row r="307" spans="1:8" x14ac:dyDescent="0.2">
      <c r="A307" s="161">
        <v>44305</v>
      </c>
      <c r="B307" s="162">
        <v>1.165</v>
      </c>
      <c r="C307" s="171">
        <f t="shared" ref="C307:C312" si="78">IFERROR(B307-B306,0)</f>
        <v>6.0000000000000053E-3</v>
      </c>
      <c r="D307" s="168" t="str">
        <f t="shared" ref="D307:D312" si="79">IF(C307&lt;0,C307,"/")</f>
        <v>/</v>
      </c>
      <c r="E307" s="168">
        <f ca="1">IF(表2_36716262930389121314153[[#This Row],[累计净值]]/MAX(INDIRECT("B21:B" &amp; ROW()))-1&lt;E306,表2_36716262930389121314153[[#This Row],[累计净值]]/MAX(INDIRECT("B21:B" &amp; ROW()))-1,E306)</f>
        <v>-1.2950971322849281E-2</v>
      </c>
      <c r="F307" s="110">
        <f>表2_36716262930389121314153[[#This Row],[累计净值]]</f>
        <v>1.165</v>
      </c>
      <c r="G307" s="170">
        <f>表2_36716262930389121314153[[#This Row],[累计净值]]/$B$21-1</f>
        <v>0.16151545363908282</v>
      </c>
      <c r="H307" s="170">
        <f>表2_36716262930389121314153[[#This Row],[累计净值]]/$B$35-1</f>
        <v>0.15232443125618222</v>
      </c>
    </row>
    <row r="308" spans="1:8" x14ac:dyDescent="0.2">
      <c r="A308" s="161">
        <v>44306</v>
      </c>
      <c r="B308" s="162">
        <v>1.165</v>
      </c>
      <c r="C308" s="171">
        <f t="shared" si="78"/>
        <v>0</v>
      </c>
      <c r="D308" s="168" t="str">
        <f t="shared" si="79"/>
        <v>/</v>
      </c>
      <c r="E308" s="168">
        <f ca="1">IF(表2_36716262930389121314153[[#This Row],[累计净值]]/MAX(INDIRECT("B21:B" &amp; ROW()))-1&lt;E307,表2_36716262930389121314153[[#This Row],[累计净值]]/MAX(INDIRECT("B21:B" &amp; ROW()))-1,E307)</f>
        <v>-1.2950971322849281E-2</v>
      </c>
      <c r="F308" s="110">
        <f>表2_36716262930389121314153[[#This Row],[累计净值]]</f>
        <v>1.165</v>
      </c>
      <c r="G308" s="170">
        <f>表2_36716262930389121314153[[#This Row],[累计净值]]/$B$21-1</f>
        <v>0.16151545363908282</v>
      </c>
      <c r="H308" s="170">
        <f>表2_36716262930389121314153[[#This Row],[累计净值]]/$B$35-1</f>
        <v>0.15232443125618222</v>
      </c>
    </row>
    <row r="309" spans="1:8" x14ac:dyDescent="0.2">
      <c r="A309" s="161">
        <v>44307</v>
      </c>
      <c r="B309" s="162">
        <v>1.163</v>
      </c>
      <c r="C309" s="171">
        <f t="shared" si="78"/>
        <v>-2.0000000000000018E-3</v>
      </c>
      <c r="D309" s="168">
        <f t="shared" si="79"/>
        <v>-2.0000000000000018E-3</v>
      </c>
      <c r="E309" s="168">
        <f ca="1">IF(表2_36716262930389121314153[[#This Row],[累计净值]]/MAX(INDIRECT("B21:B" &amp; ROW()))-1&lt;E308,表2_36716262930389121314153[[#This Row],[累计净值]]/MAX(INDIRECT("B21:B" &amp; ROW()))-1,E308)</f>
        <v>-1.2950971322849281E-2</v>
      </c>
      <c r="F309" s="110">
        <f>表2_36716262930389121314153[[#This Row],[累计净值]]</f>
        <v>1.163</v>
      </c>
      <c r="G309" s="170">
        <f>表2_36716262930389121314153[[#This Row],[累计净值]]/$B$21-1</f>
        <v>0.15952143569292132</v>
      </c>
      <c r="H309" s="170">
        <f>表2_36716262930389121314153[[#This Row],[累计净值]]/$B$35-1</f>
        <v>0.15034619188921883</v>
      </c>
    </row>
    <row r="310" spans="1:8" x14ac:dyDescent="0.2">
      <c r="A310" s="161">
        <v>44308</v>
      </c>
      <c r="B310" s="162">
        <v>1.1659999999999999</v>
      </c>
      <c r="C310" s="171">
        <f t="shared" si="78"/>
        <v>2.9999999999998916E-3</v>
      </c>
      <c r="D310" s="168" t="str">
        <f t="shared" si="79"/>
        <v>/</v>
      </c>
      <c r="E310" s="168">
        <f ca="1">IF(表2_36716262930389121314153[[#This Row],[累计净值]]/MAX(INDIRECT("B21:B" &amp; ROW()))-1&lt;E309,表2_36716262930389121314153[[#This Row],[累计净值]]/MAX(INDIRECT("B21:B" &amp; ROW()))-1,E309)</f>
        <v>-1.2950971322849281E-2</v>
      </c>
      <c r="F310" s="110">
        <f>表2_36716262930389121314153[[#This Row],[累计净值]]</f>
        <v>1.1659999999999999</v>
      </c>
      <c r="G310" s="170">
        <f>表2_36716262930389121314153[[#This Row],[累计净值]]/$B$21-1</f>
        <v>0.16251246261216346</v>
      </c>
      <c r="H310" s="170">
        <f>表2_36716262930389121314153[[#This Row],[累计净值]]/$B$35-1</f>
        <v>0.1533135509396637</v>
      </c>
    </row>
    <row r="311" spans="1:8" x14ac:dyDescent="0.2">
      <c r="A311" s="161">
        <v>44309</v>
      </c>
      <c r="B311" s="162">
        <v>1.165</v>
      </c>
      <c r="C311" s="171">
        <f t="shared" si="78"/>
        <v>-9.9999999999988987E-4</v>
      </c>
      <c r="D311" s="168">
        <f t="shared" si="79"/>
        <v>-9.9999999999988987E-4</v>
      </c>
      <c r="E311" s="168">
        <f ca="1">IF(表2_36716262930389121314153[[#This Row],[累计净值]]/MAX(INDIRECT("B21:B" &amp; ROW()))-1&lt;E310,表2_36716262930389121314153[[#This Row],[累计净值]]/MAX(INDIRECT("B21:B" &amp; ROW()))-1,E310)</f>
        <v>-1.2950971322849281E-2</v>
      </c>
      <c r="F311" s="110">
        <f>表2_36716262930389121314153[[#This Row],[累计净值]]</f>
        <v>1.165</v>
      </c>
      <c r="G311" s="170">
        <f>表2_36716262930389121314153[[#This Row],[累计净值]]/$B$21-1</f>
        <v>0.16151545363908282</v>
      </c>
      <c r="H311" s="170">
        <f>表2_36716262930389121314153[[#This Row],[累计净值]]/$B$35-1</f>
        <v>0.15232443125618222</v>
      </c>
    </row>
    <row r="312" spans="1:8" x14ac:dyDescent="0.2">
      <c r="A312" s="161">
        <v>44312</v>
      </c>
      <c r="B312" s="162">
        <v>1.167</v>
      </c>
      <c r="C312" s="171">
        <f t="shared" si="78"/>
        <v>2.0000000000000018E-3</v>
      </c>
      <c r="D312" s="168" t="str">
        <f t="shared" si="79"/>
        <v>/</v>
      </c>
      <c r="E312" s="168">
        <f ca="1">IF(表2_36716262930389121314153[[#This Row],[累计净值]]/MAX(INDIRECT("B21:B" &amp; ROW()))-1&lt;E311,表2_36716262930389121314153[[#This Row],[累计净值]]/MAX(INDIRECT("B21:B" &amp; ROW()))-1,E311)</f>
        <v>-1.2950971322849281E-2</v>
      </c>
      <c r="F312" s="110">
        <f>表2_36716262930389121314153[[#This Row],[累计净值]]</f>
        <v>1.167</v>
      </c>
      <c r="G312" s="170">
        <f>表2_36716262930389121314153[[#This Row],[累计净值]]/$B$21-1</f>
        <v>0.16350947158524454</v>
      </c>
      <c r="H312" s="170">
        <f>表2_36716262930389121314153[[#This Row],[累计净值]]/$B$35-1</f>
        <v>0.15430267062314562</v>
      </c>
    </row>
    <row r="313" spans="1:8" x14ac:dyDescent="0.2">
      <c r="A313" s="161">
        <v>44313</v>
      </c>
      <c r="B313" s="162">
        <v>1.1659999999999999</v>
      </c>
      <c r="C313" s="171">
        <f t="shared" ref="C313:C314" si="80">IFERROR(B313-B312,0)</f>
        <v>-1.0000000000001119E-3</v>
      </c>
      <c r="D313" s="168">
        <f t="shared" ref="D313:D314" si="81">IF(C313&lt;0,C313,"/")</f>
        <v>-1.0000000000001119E-3</v>
      </c>
      <c r="E313" s="168">
        <f ca="1">IF(表2_36716262930389121314153[[#This Row],[累计净值]]/MAX(INDIRECT("B21:B" &amp; ROW()))-1&lt;E312,表2_36716262930389121314153[[#This Row],[累计净值]]/MAX(INDIRECT("B21:B" &amp; ROW()))-1,E312)</f>
        <v>-1.2950971322849281E-2</v>
      </c>
      <c r="F313" s="110">
        <f>表2_36716262930389121314153[[#This Row],[累计净值]]</f>
        <v>1.1659999999999999</v>
      </c>
      <c r="G313" s="170">
        <f>表2_36716262930389121314153[[#This Row],[累计净值]]/$B$21-1</f>
        <v>0.16251246261216346</v>
      </c>
      <c r="H313" s="170">
        <f>表2_36716262930389121314153[[#This Row],[累计净值]]/$B$35-1</f>
        <v>0.1533135509396637</v>
      </c>
    </row>
    <row r="314" spans="1:8" x14ac:dyDescent="0.2">
      <c r="A314" s="161">
        <v>44314</v>
      </c>
      <c r="B314" s="162">
        <v>1.1659999999999999</v>
      </c>
      <c r="C314" s="171">
        <f t="shared" si="80"/>
        <v>0</v>
      </c>
      <c r="D314" s="168" t="str">
        <f t="shared" si="81"/>
        <v>/</v>
      </c>
      <c r="E314" s="168">
        <f ca="1">IF(表2_36716262930389121314153[[#This Row],[累计净值]]/MAX(INDIRECT("B21:B" &amp; ROW()))-1&lt;E313,表2_36716262930389121314153[[#This Row],[累计净值]]/MAX(INDIRECT("B21:B" &amp; ROW()))-1,E313)</f>
        <v>-1.2950971322849281E-2</v>
      </c>
      <c r="F314" s="110">
        <f>表2_36716262930389121314153[[#This Row],[累计净值]]</f>
        <v>1.1659999999999999</v>
      </c>
      <c r="G314" s="170">
        <f>表2_36716262930389121314153[[#This Row],[累计净值]]/$B$21-1</f>
        <v>0.16251246261216346</v>
      </c>
      <c r="H314" s="170">
        <f>表2_36716262930389121314153[[#This Row],[累计净值]]/$B$35-1</f>
        <v>0.1533135509396637</v>
      </c>
    </row>
    <row r="315" spans="1:8" x14ac:dyDescent="0.2">
      <c r="A315" s="161">
        <v>44315</v>
      </c>
      <c r="B315" s="162">
        <v>1.1659999999999999</v>
      </c>
      <c r="C315" s="171">
        <f>IFERROR(B315-B314,0)</f>
        <v>0</v>
      </c>
      <c r="D315" s="168" t="str">
        <f>IF(C315&lt;0,C315,"/")</f>
        <v>/</v>
      </c>
      <c r="E315" s="168">
        <f ca="1">IF(表2_36716262930389121314153[[#This Row],[累计净值]]/MAX(INDIRECT("B21:B" &amp; ROW()))-1&lt;E314,表2_36716262930389121314153[[#This Row],[累计净值]]/MAX(INDIRECT("B21:B" &amp; ROW()))-1,E314)</f>
        <v>-1.2950971322849281E-2</v>
      </c>
      <c r="F315" s="110">
        <f>表2_36716262930389121314153[[#This Row],[累计净值]]</f>
        <v>1.1659999999999999</v>
      </c>
      <c r="G315" s="170">
        <f>表2_36716262930389121314153[[#This Row],[累计净值]]/$B$21-1</f>
        <v>0.16251246261216346</v>
      </c>
      <c r="H315" s="170">
        <f>表2_36716262930389121314153[[#This Row],[累计净值]]/$B$35-1</f>
        <v>0.1533135509396637</v>
      </c>
    </row>
    <row r="316" spans="1:8" x14ac:dyDescent="0.2">
      <c r="A316" s="161">
        <v>44316</v>
      </c>
      <c r="B316" s="162">
        <v>1.1639999999999999</v>
      </c>
      <c r="C316" s="171">
        <f t="shared" ref="C316:C317" si="82">IFERROR(B316-B315,0)</f>
        <v>-2.0000000000000018E-3</v>
      </c>
      <c r="D316" s="168">
        <f t="shared" ref="D316:D317" si="83">IF(C316&lt;0,C316,"/")</f>
        <v>-2.0000000000000018E-3</v>
      </c>
      <c r="E316" s="168">
        <f ca="1">IF(表2_36716262930389121314153[[#This Row],[累计净值]]/MAX(INDIRECT("B21:B" &amp; ROW()))-1&lt;E315,表2_36716262930389121314153[[#This Row],[累计净值]]/MAX(INDIRECT("B21:B" &amp; ROW()))-1,E315)</f>
        <v>-1.2950971322849281E-2</v>
      </c>
      <c r="F316" s="110">
        <f>表2_36716262930389121314153[[#This Row],[累计净值]]</f>
        <v>1.1639999999999999</v>
      </c>
      <c r="G316" s="170">
        <f>表2_36716262930389121314153[[#This Row],[累计净值]]/$B$21-1</f>
        <v>0.16051844466600196</v>
      </c>
      <c r="H316" s="170">
        <f>表2_36716262930389121314153[[#This Row],[累计净值]]/$B$35-1</f>
        <v>0.1513353115727003</v>
      </c>
    </row>
    <row r="317" spans="1:8" x14ac:dyDescent="0.2">
      <c r="A317" s="161">
        <v>44322</v>
      </c>
      <c r="B317" s="162">
        <v>1.163</v>
      </c>
      <c r="C317" s="171">
        <f t="shared" si="82"/>
        <v>-9.9999999999988987E-4</v>
      </c>
      <c r="D317" s="168">
        <f t="shared" si="83"/>
        <v>-9.9999999999988987E-4</v>
      </c>
      <c r="E317" s="168">
        <f ca="1">IF(表2_36716262930389121314153[[#This Row],[累计净值]]/MAX(INDIRECT("B21:B" &amp; ROW()))-1&lt;E316,表2_36716262930389121314153[[#This Row],[累计净值]]/MAX(INDIRECT("B21:B" &amp; ROW()))-1,E316)</f>
        <v>-1.2950971322849281E-2</v>
      </c>
      <c r="F317" s="110">
        <f>表2_36716262930389121314153[[#This Row],[累计净值]]</f>
        <v>1.163</v>
      </c>
      <c r="G317" s="170">
        <f>表2_36716262930389121314153[[#This Row],[累计净值]]/$B$21-1</f>
        <v>0.15952143569292132</v>
      </c>
      <c r="H317" s="170">
        <f>表2_36716262930389121314153[[#This Row],[累计净值]]/$B$35-1</f>
        <v>0.15034619188921883</v>
      </c>
    </row>
    <row r="318" spans="1:8" x14ac:dyDescent="0.2">
      <c r="A318" s="161">
        <v>44323</v>
      </c>
      <c r="B318" s="162">
        <v>1.165</v>
      </c>
      <c r="C318" s="171">
        <f t="shared" ref="C318:C323" si="84">IFERROR(B318-B317,0)</f>
        <v>2.0000000000000018E-3</v>
      </c>
      <c r="D318" s="168" t="str">
        <f t="shared" ref="D318:D323" si="85">IF(C318&lt;0,C318,"/")</f>
        <v>/</v>
      </c>
      <c r="E318" s="168">
        <f ca="1">IF(表2_36716262930389121314153[[#This Row],[累计净值]]/MAX(INDIRECT("B21:B" &amp; ROW()))-1&lt;E317,表2_36716262930389121314153[[#This Row],[累计净值]]/MAX(INDIRECT("B21:B" &amp; ROW()))-1,E317)</f>
        <v>-1.2950971322849281E-2</v>
      </c>
      <c r="F318" s="110">
        <f>表2_36716262930389121314153[[#This Row],[累计净值]]</f>
        <v>1.165</v>
      </c>
      <c r="G318" s="170">
        <f>表2_36716262930389121314153[[#This Row],[累计净值]]/$B$21-1</f>
        <v>0.16151545363908282</v>
      </c>
      <c r="H318" s="170">
        <f>表2_36716262930389121314153[[#This Row],[累计净值]]/$B$35-1</f>
        <v>0.15232443125618222</v>
      </c>
    </row>
    <row r="319" spans="1:8" x14ac:dyDescent="0.2">
      <c r="A319" s="161">
        <v>44326</v>
      </c>
      <c r="B319" s="162">
        <v>1.165</v>
      </c>
      <c r="C319" s="171">
        <f t="shared" si="84"/>
        <v>0</v>
      </c>
      <c r="D319" s="168" t="str">
        <f t="shared" si="85"/>
        <v>/</v>
      </c>
      <c r="E319" s="168">
        <f ca="1">IF(表2_36716262930389121314153[[#This Row],[累计净值]]/MAX(INDIRECT("B21:B" &amp; ROW()))-1&lt;E318,表2_36716262930389121314153[[#This Row],[累计净值]]/MAX(INDIRECT("B21:B" &amp; ROW()))-1,E318)</f>
        <v>-1.2950971322849281E-2</v>
      </c>
      <c r="F319" s="110">
        <f>表2_36716262930389121314153[[#This Row],[累计净值]]</f>
        <v>1.165</v>
      </c>
      <c r="G319" s="170">
        <f>表2_36716262930389121314153[[#This Row],[累计净值]]/$B$21-1</f>
        <v>0.16151545363908282</v>
      </c>
      <c r="H319" s="170">
        <f>表2_36716262930389121314153[[#This Row],[累计净值]]/$B$35-1</f>
        <v>0.15232443125618222</v>
      </c>
    </row>
    <row r="320" spans="1:8" x14ac:dyDescent="0.2">
      <c r="A320" s="161">
        <v>44327</v>
      </c>
      <c r="B320" s="162">
        <v>1.1659999999999999</v>
      </c>
      <c r="C320" s="171">
        <f t="shared" si="84"/>
        <v>9.9999999999988987E-4</v>
      </c>
      <c r="D320" s="168" t="str">
        <f t="shared" si="85"/>
        <v>/</v>
      </c>
      <c r="E320" s="168">
        <f ca="1">IF(表2_36716262930389121314153[[#This Row],[累计净值]]/MAX(INDIRECT("B21:B" &amp; ROW()))-1&lt;E319,表2_36716262930389121314153[[#This Row],[累计净值]]/MAX(INDIRECT("B21:B" &amp; ROW()))-1,E319)</f>
        <v>-1.2950971322849281E-2</v>
      </c>
      <c r="F320" s="110">
        <f>表2_36716262930389121314153[[#This Row],[累计净值]]</f>
        <v>1.1659999999999999</v>
      </c>
      <c r="G320" s="170">
        <f>表2_36716262930389121314153[[#This Row],[累计净值]]/$B$21-1</f>
        <v>0.16251246261216346</v>
      </c>
      <c r="H320" s="170">
        <f>表2_36716262930389121314153[[#This Row],[累计净值]]/$B$35-1</f>
        <v>0.1533135509396637</v>
      </c>
    </row>
    <row r="321" spans="1:8" x14ac:dyDescent="0.2">
      <c r="A321" s="161">
        <v>44328</v>
      </c>
      <c r="B321" s="162">
        <v>1.1679999999999999</v>
      </c>
      <c r="C321" s="171">
        <f t="shared" si="84"/>
        <v>2.0000000000000018E-3</v>
      </c>
      <c r="D321" s="168" t="str">
        <f t="shared" si="85"/>
        <v>/</v>
      </c>
      <c r="E321" s="168">
        <f ca="1">IF(表2_36716262930389121314153[[#This Row],[累计净值]]/MAX(INDIRECT("B21:B" &amp; ROW()))-1&lt;E320,表2_36716262930389121314153[[#This Row],[累计净值]]/MAX(INDIRECT("B21:B" &amp; ROW()))-1,E320)</f>
        <v>-1.2950971322849281E-2</v>
      </c>
      <c r="F321" s="110">
        <f>表2_36716262930389121314153[[#This Row],[累计净值]]</f>
        <v>1.1679999999999999</v>
      </c>
      <c r="G321" s="170">
        <f>表2_36716262930389121314153[[#This Row],[累计净值]]/$B$21-1</f>
        <v>0.16450648055832517</v>
      </c>
      <c r="H321" s="170">
        <f>表2_36716262930389121314153[[#This Row],[累计净值]]/$B$35-1</f>
        <v>0.1552917903066271</v>
      </c>
    </row>
    <row r="322" spans="1:8" x14ac:dyDescent="0.2">
      <c r="A322" s="161">
        <v>44329</v>
      </c>
      <c r="B322" s="162">
        <v>1.1679999999999999</v>
      </c>
      <c r="C322" s="171">
        <f t="shared" si="84"/>
        <v>0</v>
      </c>
      <c r="D322" s="168" t="str">
        <f t="shared" si="85"/>
        <v>/</v>
      </c>
      <c r="E322" s="168">
        <f ca="1">IF(表2_36716262930389121314153[[#This Row],[累计净值]]/MAX(INDIRECT("B21:B" &amp; ROW()))-1&lt;E321,表2_36716262930389121314153[[#This Row],[累计净值]]/MAX(INDIRECT("B21:B" &amp; ROW()))-1,E321)</f>
        <v>-1.2950971322849281E-2</v>
      </c>
      <c r="F322" s="110">
        <f>表2_36716262930389121314153[[#This Row],[累计净值]]</f>
        <v>1.1679999999999999</v>
      </c>
      <c r="G322" s="170">
        <f>表2_36716262930389121314153[[#This Row],[累计净值]]/$B$21-1</f>
        <v>0.16450648055832517</v>
      </c>
      <c r="H322" s="170">
        <f>表2_36716262930389121314153[[#This Row],[累计净值]]/$B$35-1</f>
        <v>0.1552917903066271</v>
      </c>
    </row>
    <row r="323" spans="1:8" x14ac:dyDescent="0.2">
      <c r="A323" s="161">
        <v>44330</v>
      </c>
      <c r="B323" s="162">
        <v>1.17</v>
      </c>
      <c r="C323" s="171">
        <f t="shared" si="84"/>
        <v>2.0000000000000018E-3</v>
      </c>
      <c r="D323" s="168" t="str">
        <f t="shared" si="85"/>
        <v>/</v>
      </c>
      <c r="E323" s="168">
        <f ca="1">IF(表2_36716262930389121314153[[#This Row],[累计净值]]/MAX(INDIRECT("B21:B" &amp; ROW()))-1&lt;E322,表2_36716262930389121314153[[#This Row],[累计净值]]/MAX(INDIRECT("B21:B" &amp; ROW()))-1,E322)</f>
        <v>-1.2950971322849281E-2</v>
      </c>
      <c r="F323" s="110">
        <f>表2_36716262930389121314153[[#This Row],[累计净值]]</f>
        <v>1.17</v>
      </c>
      <c r="G323" s="170">
        <f>表2_36716262930389121314153[[#This Row],[累计净值]]/$B$21-1</f>
        <v>0.16650049850448667</v>
      </c>
      <c r="H323" s="170">
        <f>表2_36716262930389121314153[[#This Row],[累计净值]]/$B$35-1</f>
        <v>0.15727002967359049</v>
      </c>
    </row>
    <row r="324" spans="1:8" x14ac:dyDescent="0.2">
      <c r="A324" s="161">
        <v>44333</v>
      </c>
      <c r="B324" s="162">
        <v>1.17</v>
      </c>
      <c r="C324" s="171">
        <f>IFERROR(B324-B323,0)</f>
        <v>0</v>
      </c>
      <c r="D324" s="168" t="str">
        <f>IF(C324&lt;0,C324,"/")</f>
        <v>/</v>
      </c>
      <c r="E324" s="168">
        <f ca="1">IF(表2_36716262930389121314153[[#This Row],[累计净值]]/MAX(INDIRECT("B21:B" &amp; ROW()))-1&lt;E323,表2_36716262930389121314153[[#This Row],[累计净值]]/MAX(INDIRECT("B21:B" &amp; ROW()))-1,E323)</f>
        <v>-1.2950971322849281E-2</v>
      </c>
      <c r="F324" s="110">
        <f>表2_36716262930389121314153[[#This Row],[累计净值]]</f>
        <v>1.17</v>
      </c>
      <c r="G324" s="170">
        <f>表2_36716262930389121314153[[#This Row],[累计净值]]/$B$21-1</f>
        <v>0.16650049850448667</v>
      </c>
      <c r="H324" s="170">
        <f>表2_36716262930389121314153[[#This Row],[累计净值]]/$B$35-1</f>
        <v>0.15727002967359049</v>
      </c>
    </row>
  </sheetData>
  <mergeCells count="1">
    <mergeCell ref="G2:G3"/>
  </mergeCells>
  <phoneticPr fontId="24" type="noConversion"/>
  <pageMargins left="0.7" right="0.7" top="0.75" bottom="0.75" header="0.3" footer="0.3"/>
  <pageSetup paperSize="9" orientation="portrait" horizontalDpi="200" verticalDpi="200" r:id="rId1"/>
  <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H340"/>
  <sheetViews>
    <sheetView workbookViewId="0">
      <pane xSplit="1" ySplit="20" topLeftCell="B326" activePane="bottomRight" state="frozen"/>
      <selection pane="topRight" activeCell="B1" sqref="B1"/>
      <selection pane="bottomLeft" activeCell="A21" sqref="A21"/>
      <selection pane="bottomRight" activeCell="I339" sqref="I339"/>
    </sheetView>
  </sheetViews>
  <sheetFormatPr defaultColWidth="9" defaultRowHeight="14.25" x14ac:dyDescent="0.2"/>
  <cols>
    <col min="1" max="1" width="11.625" style="1" bestFit="1" customWidth="1"/>
    <col min="2" max="2" width="13" style="1" customWidth="1"/>
    <col min="3" max="4" width="13.5" style="1" bestFit="1" customWidth="1"/>
    <col min="5" max="5" width="10.75" style="1" customWidth="1"/>
    <col min="6" max="6" width="11.125" style="1" customWidth="1"/>
    <col min="7" max="7" width="18.875" style="2" customWidth="1"/>
    <col min="8" max="8" width="9" style="1"/>
    <col min="9" max="9" width="14.25" style="1" customWidth="1"/>
    <col min="10" max="10" width="12" style="1" bestFit="1" customWidth="1"/>
    <col min="11" max="16384" width="9" style="1"/>
  </cols>
  <sheetData>
    <row r="1" spans="1:7" ht="15" thickBot="1" x14ac:dyDescent="0.25"/>
    <row r="2" spans="1:7" ht="15" thickBot="1" x14ac:dyDescent="0.25">
      <c r="A2" s="23" t="s">
        <v>0</v>
      </c>
      <c r="B2" s="24">
        <f>COUNT(表2_36716262930389121314[每日盈亏])</f>
        <v>320</v>
      </c>
      <c r="C2" s="27"/>
      <c r="D2" s="3" t="s">
        <v>1</v>
      </c>
      <c r="E2" s="28"/>
      <c r="F2" s="1" t="s">
        <v>2</v>
      </c>
      <c r="G2" s="394" t="s">
        <v>3</v>
      </c>
    </row>
    <row r="3" spans="1:7" x14ac:dyDescent="0.2">
      <c r="A3" s="25" t="s">
        <v>4</v>
      </c>
      <c r="B3" s="26">
        <f>COUNTIF(表2_36716262930389121314[每日盈亏],"&gt;0")</f>
        <v>163</v>
      </c>
      <c r="C3" s="29"/>
      <c r="D3" s="30" t="s">
        <v>5</v>
      </c>
      <c r="E3" s="31">
        <f>245^0.5*(B10-0.025/365)/E10</f>
        <v>1.5483592460287459</v>
      </c>
      <c r="G3" s="394"/>
    </row>
    <row r="4" spans="1:7" x14ac:dyDescent="0.2">
      <c r="A4" s="25" t="s">
        <v>6</v>
      </c>
      <c r="B4" s="26">
        <f>COUNTIF(表2_36716262930389121314[每日盈亏],"&lt;0")</f>
        <v>129</v>
      </c>
      <c r="C4" s="29"/>
      <c r="D4" s="32" t="s">
        <v>7</v>
      </c>
      <c r="E4" s="31">
        <f ca="1">-B9/E8</f>
        <v>5.6092915488532809</v>
      </c>
      <c r="G4" s="2">
        <f>LOOKUP(999^10,表2_36716262930389121314[累计净值])</f>
        <v>1.2210000000000001</v>
      </c>
    </row>
    <row r="5" spans="1:7" x14ac:dyDescent="0.2">
      <c r="A5" s="25" t="s">
        <v>8</v>
      </c>
      <c r="B5" s="26">
        <f>B2-B3-B4</f>
        <v>28</v>
      </c>
      <c r="C5" s="29"/>
      <c r="D5" s="33" t="s">
        <v>9</v>
      </c>
      <c r="E5" s="4">
        <f>245^0.5*(B10-0.025/365)/E9</f>
        <v>2.4481664690727074</v>
      </c>
    </row>
    <row r="6" spans="1:7" ht="15" thickBot="1" x14ac:dyDescent="0.25">
      <c r="A6" s="34"/>
      <c r="B6" s="35"/>
      <c r="C6" s="35"/>
      <c r="D6" s="35"/>
      <c r="E6" s="36"/>
    </row>
    <row r="7" spans="1:7" ht="15" thickBot="1" x14ac:dyDescent="0.25">
      <c r="A7" s="5" t="s">
        <v>10</v>
      </c>
      <c r="B7" s="35"/>
      <c r="C7" s="35"/>
      <c r="D7" s="3" t="s">
        <v>11</v>
      </c>
      <c r="E7" s="37"/>
    </row>
    <row r="8" spans="1:7" x14ac:dyDescent="0.2">
      <c r="A8" s="38" t="s">
        <v>12</v>
      </c>
      <c r="B8" s="39">
        <f>LOOKUP(999^10,表2_36716262930389121314[累计净值])/$B$21-1</f>
        <v>0.15080113100848269</v>
      </c>
      <c r="C8" s="40"/>
      <c r="D8" s="30" t="s">
        <v>13</v>
      </c>
      <c r="E8" s="41">
        <f ca="1">MIN(表2_36716262930389121314[最大回撤])</f>
        <v>-2.0583190394511175E-2</v>
      </c>
    </row>
    <row r="9" spans="1:7" x14ac:dyDescent="0.2">
      <c r="A9" s="25" t="s">
        <v>14</v>
      </c>
      <c r="B9" s="32">
        <f>B8*245/B2</f>
        <v>0.11545711592836956</v>
      </c>
      <c r="C9" s="40"/>
      <c r="D9" s="33" t="s">
        <v>15</v>
      </c>
      <c r="E9" s="6">
        <f>STDEV(表2_36716262930389121314[下跌幅度])</f>
        <v>2.7588608128168018E-3</v>
      </c>
    </row>
    <row r="10" spans="1:7" x14ac:dyDescent="0.2">
      <c r="A10" s="42" t="s">
        <v>16</v>
      </c>
      <c r="B10" s="43">
        <f>AVERAGE(表2_36716262930389121314[每日盈亏])</f>
        <v>5.0000000000000044E-4</v>
      </c>
      <c r="C10" s="44"/>
      <c r="D10" s="33" t="s">
        <v>17</v>
      </c>
      <c r="E10" s="6">
        <f>STDEV(表2_36716262930389121314[每日盈亏])</f>
        <v>4.3621340151517888E-3</v>
      </c>
    </row>
    <row r="11" spans="1:7" x14ac:dyDescent="0.2">
      <c r="A11" s="7" t="s">
        <v>18</v>
      </c>
      <c r="B11" s="32">
        <f>B3/B2</f>
        <v>0.50937500000000002</v>
      </c>
      <c r="C11" s="40"/>
      <c r="D11" s="32" t="s">
        <v>19</v>
      </c>
      <c r="E11" s="41">
        <f>245^0.5*E10</f>
        <v>6.8278197293904483E-2</v>
      </c>
    </row>
    <row r="12" spans="1:7" ht="15" thickBot="1" x14ac:dyDescent="0.25">
      <c r="A12" s="45" t="s">
        <v>20</v>
      </c>
      <c r="B12" s="46">
        <f>-(SUMIF(表2_36716262930389121314[每日盈亏],"&gt;=0")/B3)/(SUMIF(表2_36716262930389121314[每日盈亏],"&lt;0")/B4)</f>
        <v>1.0715565448721429</v>
      </c>
      <c r="C12" s="47"/>
      <c r="D12" s="48"/>
      <c r="E12" s="49"/>
    </row>
    <row r="14" spans="1:7" ht="28.5" x14ac:dyDescent="0.2">
      <c r="A14" s="50" t="s">
        <v>21</v>
      </c>
      <c r="B14" s="50" t="s">
        <v>14</v>
      </c>
      <c r="C14" s="51" t="s">
        <v>19</v>
      </c>
      <c r="D14" s="51" t="s">
        <v>13</v>
      </c>
      <c r="E14" s="51" t="s">
        <v>5</v>
      </c>
      <c r="F14" s="51" t="s">
        <v>7</v>
      </c>
    </row>
    <row r="15" spans="1:7" x14ac:dyDescent="0.2">
      <c r="A15" s="78">
        <f>B2</f>
        <v>320</v>
      </c>
      <c r="B15" s="53">
        <f>B9</f>
        <v>0.11545711592836956</v>
      </c>
      <c r="C15" s="53">
        <f>E11</f>
        <v>6.8278197293904483E-2</v>
      </c>
      <c r="D15" s="53">
        <f ca="1">E8</f>
        <v>-2.0583190394511175E-2</v>
      </c>
      <c r="E15" s="54">
        <f>E3</f>
        <v>1.5483592460287459</v>
      </c>
      <c r="F15" s="54">
        <f ca="1">E4</f>
        <v>5.6092915488532809</v>
      </c>
    </row>
    <row r="19" spans="1:8" x14ac:dyDescent="0.2">
      <c r="A19" s="8"/>
      <c r="B19" s="1" t="s">
        <v>22</v>
      </c>
    </row>
    <row r="20" spans="1:8" ht="15.75" x14ac:dyDescent="0.2">
      <c r="A20" s="22" t="s">
        <v>23</v>
      </c>
      <c r="B20" s="22" t="s">
        <v>24</v>
      </c>
      <c r="C20" s="22" t="s">
        <v>25</v>
      </c>
      <c r="D20" s="22" t="s">
        <v>26</v>
      </c>
      <c r="E20" s="22" t="s">
        <v>27</v>
      </c>
      <c r="F20" s="22" t="s">
        <v>28</v>
      </c>
      <c r="G20" s="22" t="s">
        <v>29</v>
      </c>
      <c r="H20" s="22" t="s">
        <v>35</v>
      </c>
    </row>
    <row r="21" spans="1:8" x14ac:dyDescent="0.2">
      <c r="A21" s="15">
        <v>43846</v>
      </c>
      <c r="B21" s="16">
        <v>1.0609999999999999</v>
      </c>
      <c r="C21" s="11">
        <f t="shared" ref="C21:C31" si="0">IFERROR(B21-B20,0)</f>
        <v>0</v>
      </c>
      <c r="D21" s="12" t="str">
        <f t="shared" ref="D21:D31" si="1">IF(C21&lt;0,C21,"/")</f>
        <v>/</v>
      </c>
      <c r="E21" s="12">
        <f ca="1">IF(表2_36716262930389121314[[#This Row],[累计净值]]/MAX(INDIRECT("B21:B" &amp; ROW()))-1&lt;E20,表2_36716262930389121314[[#This Row],[累计净值]]/MAX(INDIRECT("B21:B" &amp; ROW()))-1,E20)</f>
        <v>0</v>
      </c>
      <c r="F21" s="13">
        <f>表2_36716262930389121314[[#This Row],[累计净值]]</f>
        <v>1.0609999999999999</v>
      </c>
      <c r="G21" s="14" t="s">
        <v>30</v>
      </c>
    </row>
    <row r="22" spans="1:8" x14ac:dyDescent="0.2">
      <c r="A22" s="15">
        <v>43847</v>
      </c>
      <c r="B22" s="16">
        <v>1.0609999999999999</v>
      </c>
      <c r="C22" s="17">
        <f t="shared" si="0"/>
        <v>0</v>
      </c>
      <c r="D22" s="18" t="str">
        <f t="shared" si="1"/>
        <v>/</v>
      </c>
      <c r="E22" s="18">
        <f ca="1">IF(表2_36716262930389121314[[#This Row],[累计净值]]/MAX(INDIRECT("B21:B" &amp; ROW()))-1&lt;E21,表2_36716262930389121314[[#This Row],[累计净值]]/MAX(INDIRECT("B21:B" &amp; ROW()))-1,E21)</f>
        <v>0</v>
      </c>
      <c r="F22" s="19">
        <f>表2_36716262930389121314[[#This Row],[累计净值]]</f>
        <v>1.0609999999999999</v>
      </c>
      <c r="G22" s="20">
        <f>表2_36716262930389121314[[#This Row],[累计净值]]/$B$21-1</f>
        <v>0</v>
      </c>
    </row>
    <row r="23" spans="1:8" x14ac:dyDescent="0.2">
      <c r="A23" s="15">
        <v>43850</v>
      </c>
      <c r="B23" s="16">
        <v>1.0609999999999999</v>
      </c>
      <c r="C23" s="73">
        <f t="shared" si="0"/>
        <v>0</v>
      </c>
      <c r="D23" s="18" t="str">
        <f t="shared" si="1"/>
        <v>/</v>
      </c>
      <c r="E23" s="18">
        <f ca="1">IF(表2_36716262930389121314[[#This Row],[累计净值]]/MAX(INDIRECT("B21:B" &amp; ROW()))-1&lt;E22,表2_36716262930389121314[[#This Row],[累计净值]]/MAX(INDIRECT("B21:B" &amp; ROW()))-1,E22)</f>
        <v>0</v>
      </c>
      <c r="F23" s="62">
        <f>表2_36716262930389121314[[#This Row],[累计净值]]</f>
        <v>1.0609999999999999</v>
      </c>
      <c r="G23" s="20">
        <f>表2_36716262930389121314[[#This Row],[累计净值]]/$B$21-1</f>
        <v>0</v>
      </c>
    </row>
    <row r="24" spans="1:8" x14ac:dyDescent="0.2">
      <c r="A24" s="15">
        <v>43851</v>
      </c>
      <c r="B24" s="16">
        <v>1.06</v>
      </c>
      <c r="C24" s="73">
        <f t="shared" si="0"/>
        <v>-9.9999999999988987E-4</v>
      </c>
      <c r="D24" s="18">
        <f t="shared" si="1"/>
        <v>-9.9999999999988987E-4</v>
      </c>
      <c r="E24" s="18">
        <f ca="1">IF(表2_36716262930389121314[[#This Row],[累计净值]]/MAX(INDIRECT("B21:B" &amp; ROW()))-1&lt;E23,表2_36716262930389121314[[#This Row],[累计净值]]/MAX(INDIRECT("B21:B" &amp; ROW()))-1,E23)</f>
        <v>-9.4250706880294466E-4</v>
      </c>
      <c r="F24" s="62">
        <f>表2_36716262930389121314[[#This Row],[累计净值]]</f>
        <v>1.06</v>
      </c>
      <c r="G24" s="20">
        <f>表2_36716262930389121314[[#This Row],[累计净值]]/$B$21-1</f>
        <v>-9.4250706880294466E-4</v>
      </c>
    </row>
    <row r="25" spans="1:8" x14ac:dyDescent="0.2">
      <c r="A25" s="15">
        <v>43852</v>
      </c>
      <c r="B25" s="16">
        <v>1.0640000000000001</v>
      </c>
      <c r="C25" s="73">
        <f t="shared" si="0"/>
        <v>4.0000000000000036E-3</v>
      </c>
      <c r="D25" s="18" t="str">
        <f t="shared" si="1"/>
        <v>/</v>
      </c>
      <c r="E25" s="18">
        <f ca="1">IF(表2_36716262930389121314[[#This Row],[累计净值]]/MAX(INDIRECT("B21:B" &amp; ROW()))-1&lt;E24,表2_36716262930389121314[[#This Row],[累计净值]]/MAX(INDIRECT("B21:B" &amp; ROW()))-1,E24)</f>
        <v>-9.4250706880294466E-4</v>
      </c>
      <c r="F25" s="62">
        <f>表2_36716262930389121314[[#This Row],[累计净值]]</f>
        <v>1.0640000000000001</v>
      </c>
      <c r="G25" s="20">
        <f>表2_36716262930389121314[[#This Row],[累计净值]]/$B$21-1</f>
        <v>2.827521206409056E-3</v>
      </c>
    </row>
    <row r="26" spans="1:8" x14ac:dyDescent="0.2">
      <c r="A26" s="15">
        <v>43853</v>
      </c>
      <c r="B26" s="16">
        <v>1.0660000000000001</v>
      </c>
      <c r="C26" s="73">
        <f t="shared" si="0"/>
        <v>2.0000000000000018E-3</v>
      </c>
      <c r="D26" s="18" t="str">
        <f t="shared" si="1"/>
        <v>/</v>
      </c>
      <c r="E26" s="18">
        <f ca="1">IF(表2_36716262930389121314[[#This Row],[累计净值]]/MAX(INDIRECT("B21:B" &amp; ROW()))-1&lt;E25,表2_36716262930389121314[[#This Row],[累计净值]]/MAX(INDIRECT("B21:B" &amp; ROW()))-1,E25)</f>
        <v>-9.4250706880294466E-4</v>
      </c>
      <c r="F26" s="62">
        <f>表2_36716262930389121314[[#This Row],[累计净值]]</f>
        <v>1.0660000000000001</v>
      </c>
      <c r="G26" s="20">
        <f>表2_36716262930389121314[[#This Row],[累计净值]]/$B$21-1</f>
        <v>4.7125353440151674E-3</v>
      </c>
    </row>
    <row r="27" spans="1:8" x14ac:dyDescent="0.2">
      <c r="A27" s="15">
        <v>43864</v>
      </c>
      <c r="B27" s="16">
        <v>1.0740000000000001</v>
      </c>
      <c r="C27" s="73">
        <f t="shared" si="0"/>
        <v>8.0000000000000071E-3</v>
      </c>
      <c r="D27" s="18" t="str">
        <f t="shared" si="1"/>
        <v>/</v>
      </c>
      <c r="E27" s="18">
        <f ca="1">IF(表2_36716262930389121314[[#This Row],[累计净值]]/MAX(INDIRECT("B21:B" &amp; ROW()))-1&lt;E26,表2_36716262930389121314[[#This Row],[累计净值]]/MAX(INDIRECT("B21:B" &amp; ROW()))-1,E26)</f>
        <v>-9.4250706880294466E-4</v>
      </c>
      <c r="F27" s="62">
        <f>表2_36716262930389121314[[#This Row],[累计净值]]</f>
        <v>1.0740000000000001</v>
      </c>
      <c r="G27" s="20">
        <f>表2_36716262930389121314[[#This Row],[累计净值]]/$B$21-1</f>
        <v>1.2252591894439391E-2</v>
      </c>
    </row>
    <row r="28" spans="1:8" x14ac:dyDescent="0.2">
      <c r="A28" s="15">
        <v>43865</v>
      </c>
      <c r="B28" s="16">
        <v>1.075</v>
      </c>
      <c r="C28" s="73">
        <f t="shared" si="0"/>
        <v>9.9999999999988987E-4</v>
      </c>
      <c r="D28" s="18" t="str">
        <f t="shared" si="1"/>
        <v>/</v>
      </c>
      <c r="E28" s="18">
        <f ca="1">IF(表2_36716262930389121314[[#This Row],[累计净值]]/MAX(INDIRECT("B21:B" &amp; ROW()))-1&lt;E27,表2_36716262930389121314[[#This Row],[累计净值]]/MAX(INDIRECT("B21:B" &amp; ROW()))-1,E27)</f>
        <v>-9.4250706880294466E-4</v>
      </c>
      <c r="F28" s="62">
        <f>表2_36716262930389121314[[#This Row],[累计净值]]</f>
        <v>1.075</v>
      </c>
      <c r="G28" s="20">
        <f>表2_36716262930389121314[[#This Row],[累计净值]]/$B$21-1</f>
        <v>1.3195098963242335E-2</v>
      </c>
    </row>
    <row r="29" spans="1:8" x14ac:dyDescent="0.2">
      <c r="A29" s="15">
        <v>43866</v>
      </c>
      <c r="B29" s="16">
        <v>1.0780000000000001</v>
      </c>
      <c r="C29" s="73">
        <f t="shared" si="0"/>
        <v>3.0000000000001137E-3</v>
      </c>
      <c r="D29" s="18" t="str">
        <f t="shared" si="1"/>
        <v>/</v>
      </c>
      <c r="E29" s="18">
        <f ca="1">IF(表2_36716262930389121314[[#This Row],[累计净值]]/MAX(INDIRECT("B21:B" &amp; ROW()))-1&lt;E28,表2_36716262930389121314[[#This Row],[累计净值]]/MAX(INDIRECT("B21:B" &amp; ROW()))-1,E28)</f>
        <v>-9.4250706880294466E-4</v>
      </c>
      <c r="F29" s="62">
        <f>表2_36716262930389121314[[#This Row],[累计净值]]</f>
        <v>1.0780000000000001</v>
      </c>
      <c r="G29" s="20">
        <f>表2_36716262930389121314[[#This Row],[累计净值]]/$B$21-1</f>
        <v>1.6022620169651391E-2</v>
      </c>
    </row>
    <row r="30" spans="1:8" x14ac:dyDescent="0.2">
      <c r="A30" s="15">
        <v>43867</v>
      </c>
      <c r="B30" s="16">
        <v>1.079</v>
      </c>
      <c r="C30" s="73">
        <f t="shared" si="0"/>
        <v>9.9999999999988987E-4</v>
      </c>
      <c r="D30" s="18" t="str">
        <f t="shared" si="1"/>
        <v>/</v>
      </c>
      <c r="E30" s="18">
        <f ca="1">IF(表2_36716262930389121314[[#This Row],[累计净值]]/MAX(INDIRECT("B21:B" &amp; ROW()))-1&lt;E29,表2_36716262930389121314[[#This Row],[累计净值]]/MAX(INDIRECT("B21:B" &amp; ROW()))-1,E29)</f>
        <v>-9.4250706880294466E-4</v>
      </c>
      <c r="F30" s="62">
        <f>表2_36716262930389121314[[#This Row],[累计净值]]</f>
        <v>1.079</v>
      </c>
      <c r="G30" s="20">
        <f>表2_36716262930389121314[[#This Row],[累计净值]]/$B$21-1</f>
        <v>1.6965127238454336E-2</v>
      </c>
    </row>
    <row r="31" spans="1:8" x14ac:dyDescent="0.2">
      <c r="A31" s="15">
        <v>43868</v>
      </c>
      <c r="B31" s="16">
        <v>1.081</v>
      </c>
      <c r="C31" s="73">
        <f t="shared" si="0"/>
        <v>2.0000000000000018E-3</v>
      </c>
      <c r="D31" s="18" t="str">
        <f t="shared" si="1"/>
        <v>/</v>
      </c>
      <c r="E31" s="18">
        <f ca="1">IF(表2_36716262930389121314[[#This Row],[累计净值]]/MAX(INDIRECT("B21:B" &amp; ROW()))-1&lt;E30,表2_36716262930389121314[[#This Row],[累计净值]]/MAX(INDIRECT("B21:B" &amp; ROW()))-1,E30)</f>
        <v>-9.4250706880294466E-4</v>
      </c>
      <c r="F31" s="62">
        <f>表2_36716262930389121314[[#This Row],[累计净值]]</f>
        <v>1.081</v>
      </c>
      <c r="G31" s="20">
        <f>表2_36716262930389121314[[#This Row],[累计净值]]/$B$21-1</f>
        <v>1.8850141376060447E-2</v>
      </c>
    </row>
    <row r="32" spans="1:8" x14ac:dyDescent="0.2">
      <c r="A32" s="15">
        <v>43871</v>
      </c>
      <c r="B32" s="16">
        <v>1.081</v>
      </c>
      <c r="C32" s="73">
        <f t="shared" ref="C32:C37" si="2">IFERROR(B32-B31,0)</f>
        <v>0</v>
      </c>
      <c r="D32" s="18" t="str">
        <f t="shared" ref="D32:D37" si="3">IF(C32&lt;0,C32,"/")</f>
        <v>/</v>
      </c>
      <c r="E32" s="18">
        <f ca="1">IF(表2_36716262930389121314[[#This Row],[累计净值]]/MAX(INDIRECT("B21:B" &amp; ROW()))-1&lt;E31,表2_36716262930389121314[[#This Row],[累计净值]]/MAX(INDIRECT("B21:B" &amp; ROW()))-1,E31)</f>
        <v>-9.4250706880294466E-4</v>
      </c>
      <c r="F32" s="62">
        <f>表2_36716262930389121314[[#This Row],[累计净值]]</f>
        <v>1.081</v>
      </c>
      <c r="G32" s="20">
        <f>表2_36716262930389121314[[#This Row],[累计净值]]/$B$21-1</f>
        <v>1.8850141376060447E-2</v>
      </c>
    </row>
    <row r="33" spans="1:7" x14ac:dyDescent="0.2">
      <c r="A33" s="15">
        <v>43872</v>
      </c>
      <c r="B33" s="16">
        <v>1.0820000000000001</v>
      </c>
      <c r="C33" s="73">
        <f t="shared" si="2"/>
        <v>1.0000000000001119E-3</v>
      </c>
      <c r="D33" s="18" t="str">
        <f t="shared" si="3"/>
        <v>/</v>
      </c>
      <c r="E33" s="18">
        <f ca="1">IF(表2_36716262930389121314[[#This Row],[累计净值]]/MAX(INDIRECT("B21:B" &amp; ROW()))-1&lt;E32,表2_36716262930389121314[[#This Row],[累计净值]]/MAX(INDIRECT("B21:B" &amp; ROW()))-1,E32)</f>
        <v>-9.4250706880294466E-4</v>
      </c>
      <c r="F33" s="62">
        <f>表2_36716262930389121314[[#This Row],[累计净值]]</f>
        <v>1.0820000000000001</v>
      </c>
      <c r="G33" s="20">
        <f>表2_36716262930389121314[[#This Row],[累计净值]]/$B$21-1</f>
        <v>1.9792648444863392E-2</v>
      </c>
    </row>
    <row r="34" spans="1:7" x14ac:dyDescent="0.2">
      <c r="A34" s="15">
        <v>43873</v>
      </c>
      <c r="B34" s="16">
        <v>1.085</v>
      </c>
      <c r="C34" s="73">
        <f t="shared" si="2"/>
        <v>2.9999999999998916E-3</v>
      </c>
      <c r="D34" s="18" t="str">
        <f t="shared" si="3"/>
        <v>/</v>
      </c>
      <c r="E34" s="18">
        <f ca="1">IF(表2_36716262930389121314[[#This Row],[累计净值]]/MAX(INDIRECT("B21:B" &amp; ROW()))-1&lt;E33,表2_36716262930389121314[[#This Row],[累计净值]]/MAX(INDIRECT("B21:B" &amp; ROW()))-1,E33)</f>
        <v>-9.4250706880294466E-4</v>
      </c>
      <c r="F34" s="62">
        <f>表2_36716262930389121314[[#This Row],[累计净值]]</f>
        <v>1.085</v>
      </c>
      <c r="G34" s="20">
        <f>表2_36716262930389121314[[#This Row],[累计净值]]/$B$21-1</f>
        <v>2.2620169651272448E-2</v>
      </c>
    </row>
    <row r="35" spans="1:7" x14ac:dyDescent="0.2">
      <c r="A35" s="15">
        <v>43874</v>
      </c>
      <c r="B35" s="16">
        <v>1.0840000000000001</v>
      </c>
      <c r="C35" s="73">
        <f t="shared" si="2"/>
        <v>-9.9999999999988987E-4</v>
      </c>
      <c r="D35" s="18">
        <f t="shared" si="3"/>
        <v>-9.9999999999988987E-4</v>
      </c>
      <c r="E35" s="18">
        <f ca="1">IF(表2_36716262930389121314[[#This Row],[累计净值]]/MAX(INDIRECT("B21:B" &amp; ROW()))-1&lt;E34,表2_36716262930389121314[[#This Row],[累计净值]]/MAX(INDIRECT("B21:B" &amp; ROW()))-1,E34)</f>
        <v>-9.4250706880294466E-4</v>
      </c>
      <c r="F35" s="62">
        <f>表2_36716262930389121314[[#This Row],[累计净值]]</f>
        <v>1.0840000000000001</v>
      </c>
      <c r="G35" s="20">
        <f>表2_36716262930389121314[[#This Row],[累计净值]]/$B$21-1</f>
        <v>2.1677662582469504E-2</v>
      </c>
    </row>
    <row r="36" spans="1:7" x14ac:dyDescent="0.2">
      <c r="A36" s="15">
        <v>43875</v>
      </c>
      <c r="B36" s="16">
        <v>1.085</v>
      </c>
      <c r="C36" s="73">
        <f t="shared" si="2"/>
        <v>9.9999999999988987E-4</v>
      </c>
      <c r="D36" s="18" t="str">
        <f t="shared" si="3"/>
        <v>/</v>
      </c>
      <c r="E36" s="18">
        <f ca="1">IF(表2_36716262930389121314[[#This Row],[累计净值]]/MAX(INDIRECT("B21:B" &amp; ROW()))-1&lt;E35,表2_36716262930389121314[[#This Row],[累计净值]]/MAX(INDIRECT("B21:B" &amp; ROW()))-1,E35)</f>
        <v>-9.4250706880294466E-4</v>
      </c>
      <c r="F36" s="62">
        <f>表2_36716262930389121314[[#This Row],[累计净值]]</f>
        <v>1.085</v>
      </c>
      <c r="G36" s="20">
        <f>表2_36716262930389121314[[#This Row],[累计净值]]/$B$21-1</f>
        <v>2.2620169651272448E-2</v>
      </c>
    </row>
    <row r="37" spans="1:7" x14ac:dyDescent="0.2">
      <c r="A37" s="15">
        <v>43878</v>
      </c>
      <c r="B37" s="16">
        <v>1.085</v>
      </c>
      <c r="C37" s="73">
        <f t="shared" si="2"/>
        <v>0</v>
      </c>
      <c r="D37" s="18" t="str">
        <f t="shared" si="3"/>
        <v>/</v>
      </c>
      <c r="E37" s="18">
        <f ca="1">IF(表2_36716262930389121314[[#This Row],[累计净值]]/MAX(INDIRECT("B21:B" &amp; ROW()))-1&lt;E36,表2_36716262930389121314[[#This Row],[累计净值]]/MAX(INDIRECT("B21:B" &amp; ROW()))-1,E36)</f>
        <v>-9.4250706880294466E-4</v>
      </c>
      <c r="F37" s="62">
        <f>表2_36716262930389121314[[#This Row],[累计净值]]</f>
        <v>1.085</v>
      </c>
      <c r="G37" s="20">
        <f>表2_36716262930389121314[[#This Row],[累计净值]]/$B$21-1</f>
        <v>2.2620169651272448E-2</v>
      </c>
    </row>
    <row r="38" spans="1:7" x14ac:dyDescent="0.2">
      <c r="A38" s="15">
        <v>43879</v>
      </c>
      <c r="B38" s="16">
        <v>1.0880000000000001</v>
      </c>
      <c r="C38" s="73">
        <f t="shared" ref="C38:C43" si="4">IFERROR(B38-B37,0)</f>
        <v>3.0000000000001137E-3</v>
      </c>
      <c r="D38" s="18" t="str">
        <f t="shared" ref="D38:D43" si="5">IF(C38&lt;0,C38,"/")</f>
        <v>/</v>
      </c>
      <c r="E38" s="18">
        <f ca="1">IF(表2_36716262930389121314[[#This Row],[累计净值]]/MAX(INDIRECT("B21:B" &amp; ROW()))-1&lt;E37,表2_36716262930389121314[[#This Row],[累计净值]]/MAX(INDIRECT("B21:B" &amp; ROW()))-1,E37)</f>
        <v>-9.4250706880294466E-4</v>
      </c>
      <c r="F38" s="62">
        <f>表2_36716262930389121314[[#This Row],[累计净值]]</f>
        <v>1.0880000000000001</v>
      </c>
      <c r="G38" s="20">
        <f>表2_36716262930389121314[[#This Row],[累计净值]]/$B$21-1</f>
        <v>2.5447690857681504E-2</v>
      </c>
    </row>
    <row r="39" spans="1:7" x14ac:dyDescent="0.2">
      <c r="A39" s="15">
        <v>43880</v>
      </c>
      <c r="B39" s="16">
        <v>1.0860000000000001</v>
      </c>
      <c r="C39" s="73">
        <f t="shared" si="4"/>
        <v>-2.0000000000000018E-3</v>
      </c>
      <c r="D39" s="18">
        <f t="shared" si="5"/>
        <v>-2.0000000000000018E-3</v>
      </c>
      <c r="E39" s="18">
        <f ca="1">IF(表2_36716262930389121314[[#This Row],[累计净值]]/MAX(INDIRECT("B21:B" &amp; ROW()))-1&lt;E38,表2_36716262930389121314[[#This Row],[累计净值]]/MAX(INDIRECT("B21:B" &amp; ROW()))-1,E38)</f>
        <v>-1.8382352941176405E-3</v>
      </c>
      <c r="F39" s="62">
        <f>表2_36716262930389121314[[#This Row],[累计净值]]</f>
        <v>1.0860000000000001</v>
      </c>
      <c r="G39" s="20">
        <f>表2_36716262930389121314[[#This Row],[累计净值]]/$B$21-1</f>
        <v>2.3562676720075615E-2</v>
      </c>
    </row>
    <row r="40" spans="1:7" x14ac:dyDescent="0.2">
      <c r="A40" s="15">
        <v>43881</v>
      </c>
      <c r="B40" s="16">
        <v>1.0860000000000001</v>
      </c>
      <c r="C40" s="73">
        <f t="shared" si="4"/>
        <v>0</v>
      </c>
      <c r="D40" s="18" t="str">
        <f t="shared" si="5"/>
        <v>/</v>
      </c>
      <c r="E40" s="18">
        <f ca="1">IF(表2_36716262930389121314[[#This Row],[累计净值]]/MAX(INDIRECT("B21:B" &amp; ROW()))-1&lt;E39,表2_36716262930389121314[[#This Row],[累计净值]]/MAX(INDIRECT("B21:B" &amp; ROW()))-1,E39)</f>
        <v>-1.8382352941176405E-3</v>
      </c>
      <c r="F40" s="62">
        <f>表2_36716262930389121314[[#This Row],[累计净值]]</f>
        <v>1.0860000000000001</v>
      </c>
      <c r="G40" s="20">
        <f>表2_36716262930389121314[[#This Row],[累计净值]]/$B$21-1</f>
        <v>2.3562676720075615E-2</v>
      </c>
    </row>
    <row r="41" spans="1:7" x14ac:dyDescent="0.2">
      <c r="A41" s="15">
        <v>43882</v>
      </c>
      <c r="B41" s="16">
        <v>1.087</v>
      </c>
      <c r="C41" s="73">
        <f t="shared" si="4"/>
        <v>9.9999999999988987E-4</v>
      </c>
      <c r="D41" s="18" t="str">
        <f t="shared" si="5"/>
        <v>/</v>
      </c>
      <c r="E41" s="18">
        <f ca="1">IF(表2_36716262930389121314[[#This Row],[累计净值]]/MAX(INDIRECT("B21:B" &amp; ROW()))-1&lt;E40,表2_36716262930389121314[[#This Row],[累计净值]]/MAX(INDIRECT("B21:B" &amp; ROW()))-1,E40)</f>
        <v>-1.8382352941176405E-3</v>
      </c>
      <c r="F41" s="62">
        <f>表2_36716262930389121314[[#This Row],[累计净值]]</f>
        <v>1.087</v>
      </c>
      <c r="G41" s="20">
        <f>表2_36716262930389121314[[#This Row],[累计净值]]/$B$21-1</f>
        <v>2.4505183788878337E-2</v>
      </c>
    </row>
    <row r="42" spans="1:7" x14ac:dyDescent="0.2">
      <c r="A42" s="15">
        <v>43885</v>
      </c>
      <c r="B42" s="16">
        <v>1.091</v>
      </c>
      <c r="C42" s="73">
        <f t="shared" si="4"/>
        <v>4.0000000000000036E-3</v>
      </c>
      <c r="D42" s="18" t="str">
        <f t="shared" si="5"/>
        <v>/</v>
      </c>
      <c r="E42" s="18">
        <f ca="1">IF(表2_36716262930389121314[[#This Row],[累计净值]]/MAX(INDIRECT("B21:B" &amp; ROW()))-1&lt;E41,表2_36716262930389121314[[#This Row],[累计净值]]/MAX(INDIRECT("B21:B" &amp; ROW()))-1,E41)</f>
        <v>-1.8382352941176405E-3</v>
      </c>
      <c r="F42" s="62">
        <f>表2_36716262930389121314[[#This Row],[累计净值]]</f>
        <v>1.091</v>
      </c>
      <c r="G42" s="20">
        <f>表2_36716262930389121314[[#This Row],[累计净值]]/$B$21-1</f>
        <v>2.827521206409056E-2</v>
      </c>
    </row>
    <row r="43" spans="1:7" x14ac:dyDescent="0.2">
      <c r="A43" s="15">
        <v>43886</v>
      </c>
      <c r="B43" s="76">
        <v>1.0920000000000001</v>
      </c>
      <c r="C43" s="73">
        <f t="shared" si="4"/>
        <v>1.0000000000001119E-3</v>
      </c>
      <c r="D43" s="18" t="str">
        <f t="shared" si="5"/>
        <v>/</v>
      </c>
      <c r="E43" s="18">
        <f ca="1">IF(表2_36716262930389121314[[#This Row],[累计净值]]/MAX(INDIRECT("B21:B" &amp; ROW()))-1&lt;E42,表2_36716262930389121314[[#This Row],[累计净值]]/MAX(INDIRECT("B21:B" &amp; ROW()))-1,E42)</f>
        <v>-1.8382352941176405E-3</v>
      </c>
      <c r="F43" s="62">
        <f>表2_36716262930389121314[[#This Row],[累计净值]]</f>
        <v>1.0920000000000001</v>
      </c>
      <c r="G43" s="20">
        <f>表2_36716262930389121314[[#This Row],[累计净值]]/$B$21-1</f>
        <v>2.9217719132893727E-2</v>
      </c>
    </row>
    <row r="44" spans="1:7" x14ac:dyDescent="0.2">
      <c r="A44" s="15">
        <v>43887</v>
      </c>
      <c r="B44" s="16">
        <v>1.087</v>
      </c>
      <c r="C44" s="73">
        <f t="shared" ref="C44:C49" si="6">IFERROR(B44-B43,0)</f>
        <v>-5.0000000000001155E-3</v>
      </c>
      <c r="D44" s="18">
        <f t="shared" ref="D44:D49" si="7">IF(C44&lt;0,C44,"/")</f>
        <v>-5.0000000000001155E-3</v>
      </c>
      <c r="E44" s="18">
        <f ca="1">IF(表2_36716262930389121314[[#This Row],[累计净值]]/MAX(INDIRECT("B21:B" &amp; ROW()))-1&lt;E43,表2_36716262930389121314[[#This Row],[累计净值]]/MAX(INDIRECT("B21:B" &amp; ROW()))-1,E43)</f>
        <v>-4.5787545787546735E-3</v>
      </c>
      <c r="F44" s="62">
        <f>表2_36716262930389121314[[#This Row],[累计净值]]</f>
        <v>1.087</v>
      </c>
      <c r="G44" s="20">
        <f>表2_36716262930389121314[[#This Row],[累计净值]]/$B$21-1</f>
        <v>2.4505183788878337E-2</v>
      </c>
    </row>
    <row r="45" spans="1:7" x14ac:dyDescent="0.2">
      <c r="A45" s="15">
        <v>43888</v>
      </c>
      <c r="B45" s="16">
        <v>1.0900000000000001</v>
      </c>
      <c r="C45" s="73">
        <f t="shared" si="6"/>
        <v>3.0000000000001137E-3</v>
      </c>
      <c r="D45" s="18" t="str">
        <f t="shared" si="7"/>
        <v>/</v>
      </c>
      <c r="E45" s="18">
        <f ca="1">IF(表2_36716262930389121314[[#This Row],[累计净值]]/MAX(INDIRECT("B21:B" &amp; ROW()))-1&lt;E44,表2_36716262930389121314[[#This Row],[累计净值]]/MAX(INDIRECT("B21:B" &amp; ROW()))-1,E44)</f>
        <v>-4.5787545787546735E-3</v>
      </c>
      <c r="F45" s="62">
        <f>表2_36716262930389121314[[#This Row],[累计净值]]</f>
        <v>1.0900000000000001</v>
      </c>
      <c r="G45" s="20">
        <f>表2_36716262930389121314[[#This Row],[累计净值]]/$B$21-1</f>
        <v>2.7332704995287616E-2</v>
      </c>
    </row>
    <row r="46" spans="1:7" x14ac:dyDescent="0.2">
      <c r="A46" s="15">
        <v>43889</v>
      </c>
      <c r="B46" s="16">
        <v>1.089</v>
      </c>
      <c r="C46" s="73">
        <f t="shared" si="6"/>
        <v>-1.0000000000001119E-3</v>
      </c>
      <c r="D46" s="18">
        <f t="shared" si="7"/>
        <v>-1.0000000000001119E-3</v>
      </c>
      <c r="E46" s="18">
        <f ca="1">IF(表2_36716262930389121314[[#This Row],[累计净值]]/MAX(INDIRECT("B21:B" &amp; ROW()))-1&lt;E45,表2_36716262930389121314[[#This Row],[累计净值]]/MAX(INDIRECT("B21:B" &amp; ROW()))-1,E45)</f>
        <v>-4.5787545787546735E-3</v>
      </c>
      <c r="F46" s="62">
        <f>表2_36716262930389121314[[#This Row],[累计净值]]</f>
        <v>1.089</v>
      </c>
      <c r="G46" s="20">
        <f>表2_36716262930389121314[[#This Row],[累计净值]]/$B$21-1</f>
        <v>2.6390197926484449E-2</v>
      </c>
    </row>
    <row r="47" spans="1:7" x14ac:dyDescent="0.2">
      <c r="A47" s="15">
        <v>43892</v>
      </c>
      <c r="B47" s="16">
        <v>1.089</v>
      </c>
      <c r="C47" s="73">
        <f t="shared" si="6"/>
        <v>0</v>
      </c>
      <c r="D47" s="18" t="str">
        <f t="shared" si="7"/>
        <v>/</v>
      </c>
      <c r="E47" s="18">
        <f ca="1">IF(表2_36716262930389121314[[#This Row],[累计净值]]/MAX(INDIRECT("B21:B" &amp; ROW()))-1&lt;E46,表2_36716262930389121314[[#This Row],[累计净值]]/MAX(INDIRECT("B21:B" &amp; ROW()))-1,E46)</f>
        <v>-4.5787545787546735E-3</v>
      </c>
      <c r="F47" s="62">
        <f>表2_36716262930389121314[[#This Row],[累计净值]]</f>
        <v>1.089</v>
      </c>
      <c r="G47" s="20">
        <f>表2_36716262930389121314[[#This Row],[累计净值]]/$B$21-1</f>
        <v>2.6390197926484449E-2</v>
      </c>
    </row>
    <row r="48" spans="1:7" x14ac:dyDescent="0.2">
      <c r="A48" s="15">
        <v>43893</v>
      </c>
      <c r="B48" s="16">
        <v>1.093</v>
      </c>
      <c r="C48" s="73">
        <f t="shared" si="6"/>
        <v>4.0000000000000036E-3</v>
      </c>
      <c r="D48" s="18" t="str">
        <f t="shared" si="7"/>
        <v>/</v>
      </c>
      <c r="E48" s="18">
        <f ca="1">IF(表2_36716262930389121314[[#This Row],[累计净值]]/MAX(INDIRECT("B21:B" &amp; ROW()))-1&lt;E47,表2_36716262930389121314[[#This Row],[累计净值]]/MAX(INDIRECT("B21:B" &amp; ROW()))-1,E47)</f>
        <v>-4.5787545787546735E-3</v>
      </c>
      <c r="F48" s="62">
        <f>表2_36716262930389121314[[#This Row],[累计净值]]</f>
        <v>1.093</v>
      </c>
      <c r="G48" s="20">
        <f>表2_36716262930389121314[[#This Row],[累计净值]]/$B$21-1</f>
        <v>3.016022620169645E-2</v>
      </c>
    </row>
    <row r="49" spans="1:8" x14ac:dyDescent="0.2">
      <c r="A49" s="15">
        <v>43894</v>
      </c>
      <c r="B49" s="16">
        <v>1.0940000000000001</v>
      </c>
      <c r="C49" s="73">
        <f t="shared" si="6"/>
        <v>1.0000000000001119E-3</v>
      </c>
      <c r="D49" s="18" t="str">
        <f t="shared" si="7"/>
        <v>/</v>
      </c>
      <c r="E49" s="18">
        <f ca="1">IF(表2_36716262930389121314[[#This Row],[累计净值]]/MAX(INDIRECT("B21:B" &amp; ROW()))-1&lt;E48,表2_36716262930389121314[[#This Row],[累计净值]]/MAX(INDIRECT("B21:B" &amp; ROW()))-1,E48)</f>
        <v>-4.5787545787546735E-3</v>
      </c>
      <c r="F49" s="62">
        <f>表2_36716262930389121314[[#This Row],[累计净值]]</f>
        <v>1.0940000000000001</v>
      </c>
      <c r="G49" s="20">
        <f>表2_36716262930389121314[[#This Row],[累计净值]]/$B$21-1</f>
        <v>3.1102733270499616E-2</v>
      </c>
    </row>
    <row r="50" spans="1:8" x14ac:dyDescent="0.2">
      <c r="A50" s="15">
        <v>43895</v>
      </c>
      <c r="B50" s="16">
        <v>1.095</v>
      </c>
      <c r="C50" s="73">
        <f t="shared" ref="C50:C55" si="8">IFERROR(B50-B49,0)</f>
        <v>9.9999999999988987E-4</v>
      </c>
      <c r="D50" s="18" t="str">
        <f t="shared" ref="D50:D55" si="9">IF(C50&lt;0,C50,"/")</f>
        <v>/</v>
      </c>
      <c r="E50" s="18">
        <f ca="1">IF(表2_36716262930389121314[[#This Row],[累计净值]]/MAX(INDIRECT("B21:B" &amp; ROW()))-1&lt;E49,表2_36716262930389121314[[#This Row],[累计净值]]/MAX(INDIRECT("B21:B" &amp; ROW()))-1,E49)</f>
        <v>-4.5787545787546735E-3</v>
      </c>
      <c r="F50" s="62">
        <f>表2_36716262930389121314[[#This Row],[累计净值]]</f>
        <v>1.095</v>
      </c>
      <c r="G50" s="20">
        <f>表2_36716262930389121314[[#This Row],[累计净值]]/$B$21-1</f>
        <v>3.2045240339302561E-2</v>
      </c>
    </row>
    <row r="51" spans="1:8" x14ac:dyDescent="0.2">
      <c r="A51" s="9">
        <v>43896</v>
      </c>
      <c r="B51" s="10">
        <v>1.095</v>
      </c>
      <c r="C51" s="80">
        <f t="shared" si="8"/>
        <v>0</v>
      </c>
      <c r="D51" s="12" t="str">
        <f t="shared" si="9"/>
        <v>/</v>
      </c>
      <c r="E51" s="12">
        <f ca="1">IF(表2_36716262930389121314[[#This Row],[累计净值]]/MAX(INDIRECT("B21:B" &amp; ROW()))-1&lt;E50,表2_36716262930389121314[[#This Row],[累计净值]]/MAX(INDIRECT("B21:B" &amp; ROW()))-1,E50)</f>
        <v>-4.5787545787546735E-3</v>
      </c>
      <c r="F51" s="81">
        <f>表2_36716262930389121314[[#This Row],[累计净值]]</f>
        <v>1.095</v>
      </c>
      <c r="G51" s="20">
        <f>表2_36716262930389121314[[#This Row],[累计净值]]/$B$21-1</f>
        <v>3.2045240339302561E-2</v>
      </c>
      <c r="H51" s="92" t="s">
        <v>34</v>
      </c>
    </row>
    <row r="52" spans="1:8" x14ac:dyDescent="0.2">
      <c r="A52" s="15">
        <v>43899</v>
      </c>
      <c r="B52" s="16">
        <v>1.089</v>
      </c>
      <c r="C52" s="73">
        <f t="shared" si="8"/>
        <v>-6.0000000000000053E-3</v>
      </c>
      <c r="D52" s="18">
        <f t="shared" si="9"/>
        <v>-6.0000000000000053E-3</v>
      </c>
      <c r="E52" s="18">
        <f ca="1">IF(表2_36716262930389121314[[#This Row],[累计净值]]/MAX(INDIRECT("B21:B" &amp; ROW()))-1&lt;E51,表2_36716262930389121314[[#This Row],[累计净值]]/MAX(INDIRECT("B21:B" &amp; ROW()))-1,E51)</f>
        <v>-5.479452054794498E-3</v>
      </c>
      <c r="F52" s="62">
        <f>表2_36716262930389121314[[#This Row],[累计净值]]</f>
        <v>1.089</v>
      </c>
      <c r="G52" s="20">
        <f>表2_36716262930389121314[[#This Row],[累计净值]]/$B$21-1</f>
        <v>2.6390197926484449E-2</v>
      </c>
      <c r="H52" s="20">
        <f>表2_36716262930389121314[[#This Row],[累计净值]]/$B$51-1</f>
        <v>-5.479452054794498E-3</v>
      </c>
    </row>
    <row r="53" spans="1:8" x14ac:dyDescent="0.2">
      <c r="A53" s="15">
        <v>43900</v>
      </c>
      <c r="B53" s="16">
        <v>1.0880000000000001</v>
      </c>
      <c r="C53" s="73">
        <f t="shared" si="8"/>
        <v>-9.9999999999988987E-4</v>
      </c>
      <c r="D53" s="18">
        <f t="shared" si="9"/>
        <v>-9.9999999999988987E-4</v>
      </c>
      <c r="E53" s="18">
        <f ca="1">IF(表2_36716262930389121314[[#This Row],[累计净值]]/MAX(INDIRECT("B21:B" &amp; ROW()))-1&lt;E52,表2_36716262930389121314[[#This Row],[累计净值]]/MAX(INDIRECT("B21:B" &amp; ROW()))-1,E52)</f>
        <v>-6.3926940639268404E-3</v>
      </c>
      <c r="F53" s="62">
        <f>表2_36716262930389121314[[#This Row],[累计净值]]</f>
        <v>1.0880000000000001</v>
      </c>
      <c r="G53" s="20">
        <f>表2_36716262930389121314[[#This Row],[累计净值]]/$B$21-1</f>
        <v>2.5447690857681504E-2</v>
      </c>
      <c r="H53" s="20">
        <f>表2_36716262930389121314[[#This Row],[累计净值]]/$B$51-1</f>
        <v>-6.3926940639268404E-3</v>
      </c>
    </row>
    <row r="54" spans="1:8" x14ac:dyDescent="0.2">
      <c r="A54" s="15">
        <v>43901</v>
      </c>
      <c r="B54" s="16">
        <v>1.0900000000000001</v>
      </c>
      <c r="C54" s="73">
        <f t="shared" si="8"/>
        <v>2.0000000000000018E-3</v>
      </c>
      <c r="D54" s="18" t="str">
        <f t="shared" si="9"/>
        <v>/</v>
      </c>
      <c r="E54" s="18">
        <f ca="1">IF(表2_36716262930389121314[[#This Row],[累计净值]]/MAX(INDIRECT("B21:B" &amp; ROW()))-1&lt;E53,表2_36716262930389121314[[#This Row],[累计净值]]/MAX(INDIRECT("B21:B" &amp; ROW()))-1,E53)</f>
        <v>-6.3926940639268404E-3</v>
      </c>
      <c r="F54" s="62">
        <f>表2_36716262930389121314[[#This Row],[累计净值]]</f>
        <v>1.0900000000000001</v>
      </c>
      <c r="G54" s="20">
        <f>表2_36716262930389121314[[#This Row],[累计净值]]/$B$21-1</f>
        <v>2.7332704995287616E-2</v>
      </c>
      <c r="H54" s="20">
        <f>表2_36716262930389121314[[#This Row],[累计净值]]/$B$51-1</f>
        <v>-4.5662100456620447E-3</v>
      </c>
    </row>
    <row r="55" spans="1:8" x14ac:dyDescent="0.2">
      <c r="A55" s="15">
        <v>43902</v>
      </c>
      <c r="B55" s="16">
        <v>1.085</v>
      </c>
      <c r="C55" s="73">
        <f t="shared" si="8"/>
        <v>-5.0000000000001155E-3</v>
      </c>
      <c r="D55" s="18">
        <f t="shared" si="9"/>
        <v>-5.0000000000001155E-3</v>
      </c>
      <c r="E55" s="18">
        <f ca="1">IF(表2_36716262930389121314[[#This Row],[累计净值]]/MAX(INDIRECT("B21:B" &amp; ROW()))-1&lt;E54,表2_36716262930389121314[[#This Row],[累计净值]]/MAX(INDIRECT("B21:B" &amp; ROW()))-1,E54)</f>
        <v>-9.1324200913242004E-3</v>
      </c>
      <c r="F55" s="62">
        <f>表2_36716262930389121314[[#This Row],[累计净值]]</f>
        <v>1.085</v>
      </c>
      <c r="G55" s="20">
        <f>表2_36716262930389121314[[#This Row],[累计净值]]/$B$21-1</f>
        <v>2.2620169651272448E-2</v>
      </c>
      <c r="H55" s="20">
        <f>表2_36716262930389121314[[#This Row],[累计净值]]/$B$51-1</f>
        <v>-9.1324200913242004E-3</v>
      </c>
    </row>
    <row r="56" spans="1:8" x14ac:dyDescent="0.2">
      <c r="A56" s="15">
        <v>43903</v>
      </c>
      <c r="B56" s="16">
        <v>1.0860000000000001</v>
      </c>
      <c r="C56" s="73">
        <f t="shared" ref="C56:C61" si="10">IFERROR(B56-B55,0)</f>
        <v>1.0000000000001119E-3</v>
      </c>
      <c r="D56" s="18" t="str">
        <f t="shared" ref="D56:D61" si="11">IF(C56&lt;0,C56,"/")</f>
        <v>/</v>
      </c>
      <c r="E56" s="18">
        <f ca="1">IF(表2_36716262930389121314[[#This Row],[累计净值]]/MAX(INDIRECT("B21:B" &amp; ROW()))-1&lt;E55,表2_36716262930389121314[[#This Row],[累计净值]]/MAX(INDIRECT("B21:B" &amp; ROW()))-1,E55)</f>
        <v>-9.1324200913242004E-3</v>
      </c>
      <c r="F56" s="62">
        <f>表2_36716262930389121314[[#This Row],[累计净值]]</f>
        <v>1.0860000000000001</v>
      </c>
      <c r="G56" s="20">
        <f>表2_36716262930389121314[[#This Row],[累计净值]]/$B$21-1</f>
        <v>2.3562676720075615E-2</v>
      </c>
      <c r="H56" s="20">
        <f>表2_36716262930389121314[[#This Row],[累计净值]]/$B$51-1</f>
        <v>-8.219178082191636E-3</v>
      </c>
    </row>
    <row r="57" spans="1:8" x14ac:dyDescent="0.2">
      <c r="A57" s="15">
        <v>43906</v>
      </c>
      <c r="B57" s="16">
        <v>1.08</v>
      </c>
      <c r="C57" s="73">
        <f t="shared" si="10"/>
        <v>-6.0000000000000053E-3</v>
      </c>
      <c r="D57" s="18">
        <f t="shared" si="11"/>
        <v>-6.0000000000000053E-3</v>
      </c>
      <c r="E57" s="18">
        <f ca="1">IF(表2_36716262930389121314[[#This Row],[累计净值]]/MAX(INDIRECT("B21:B" &amp; ROW()))-1&lt;E56,表2_36716262930389121314[[#This Row],[累计净值]]/MAX(INDIRECT("B21:B" &amp; ROW()))-1,E56)</f>
        <v>-1.3698630136986245E-2</v>
      </c>
      <c r="F57" s="62">
        <f>表2_36716262930389121314[[#This Row],[累计净值]]</f>
        <v>1.08</v>
      </c>
      <c r="G57" s="20">
        <f>表2_36716262930389121314[[#This Row],[累计净值]]/$B$21-1</f>
        <v>1.7907634307257503E-2</v>
      </c>
      <c r="H57" s="20">
        <f>表2_36716262930389121314[[#This Row],[累计净值]]/$B$51-1</f>
        <v>-1.3698630136986245E-2</v>
      </c>
    </row>
    <row r="58" spans="1:8" x14ac:dyDescent="0.2">
      <c r="A58" s="15">
        <v>43907</v>
      </c>
      <c r="B58" s="16">
        <v>1.0840000000000001</v>
      </c>
      <c r="C58" s="73">
        <f t="shared" si="10"/>
        <v>4.0000000000000036E-3</v>
      </c>
      <c r="D58" s="18" t="str">
        <f t="shared" si="11"/>
        <v>/</v>
      </c>
      <c r="E58" s="18">
        <f ca="1">IF(表2_36716262930389121314[[#This Row],[累计净值]]/MAX(INDIRECT("B21:B" &amp; ROW()))-1&lt;E57,表2_36716262930389121314[[#This Row],[累计净值]]/MAX(INDIRECT("B21:B" &amp; ROW()))-1,E57)</f>
        <v>-1.3698630136986245E-2</v>
      </c>
      <c r="F58" s="62">
        <f>表2_36716262930389121314[[#This Row],[累计净值]]</f>
        <v>1.0840000000000001</v>
      </c>
      <c r="G58" s="20">
        <f>表2_36716262930389121314[[#This Row],[累计净值]]/$B$21-1</f>
        <v>2.1677662582469504E-2</v>
      </c>
      <c r="H58" s="20">
        <f>表2_36716262930389121314[[#This Row],[累计净值]]/$B$51-1</f>
        <v>-1.0045662100456543E-2</v>
      </c>
    </row>
    <row r="59" spans="1:8" x14ac:dyDescent="0.2">
      <c r="A59" s="15">
        <v>43908</v>
      </c>
      <c r="B59" s="16">
        <v>1.0780000000000001</v>
      </c>
      <c r="C59" s="73">
        <f t="shared" si="10"/>
        <v>-6.0000000000000053E-3</v>
      </c>
      <c r="D59" s="18">
        <f t="shared" si="11"/>
        <v>-6.0000000000000053E-3</v>
      </c>
      <c r="E59" s="18">
        <f ca="1">IF(表2_36716262930389121314[[#This Row],[累计净值]]/MAX(INDIRECT("B21:B" &amp; ROW()))-1&lt;E58,表2_36716262930389121314[[#This Row],[累计净值]]/MAX(INDIRECT("B21:B" &amp; ROW()))-1,E58)</f>
        <v>-1.5525114155251041E-2</v>
      </c>
      <c r="F59" s="62">
        <f>表2_36716262930389121314[[#This Row],[累计净值]]</f>
        <v>1.0780000000000001</v>
      </c>
      <c r="G59" s="20">
        <f>表2_36716262930389121314[[#This Row],[累计净值]]/$B$21-1</f>
        <v>1.6022620169651391E-2</v>
      </c>
      <c r="H59" s="20">
        <f>表2_36716262930389121314[[#This Row],[累计净值]]/$B$51-1</f>
        <v>-1.5525114155251041E-2</v>
      </c>
    </row>
    <row r="60" spans="1:8" x14ac:dyDescent="0.2">
      <c r="A60" s="15">
        <v>43909</v>
      </c>
      <c r="B60" s="16">
        <v>1.081</v>
      </c>
      <c r="C60" s="73">
        <f t="shared" si="10"/>
        <v>2.9999999999998916E-3</v>
      </c>
      <c r="D60" s="18" t="str">
        <f t="shared" si="11"/>
        <v>/</v>
      </c>
      <c r="E60" s="18">
        <f ca="1">IF(表2_36716262930389121314[[#This Row],[累计净值]]/MAX(INDIRECT("B21:B" &amp; ROW()))-1&lt;E59,表2_36716262930389121314[[#This Row],[累计净值]]/MAX(INDIRECT("B21:B" &amp; ROW()))-1,E59)</f>
        <v>-1.5525114155251041E-2</v>
      </c>
      <c r="F60" s="62">
        <f>表2_36716262930389121314[[#This Row],[累计净值]]</f>
        <v>1.081</v>
      </c>
      <c r="G60" s="20">
        <f>表2_36716262930389121314[[#This Row],[累计净值]]/$B$21-1</f>
        <v>1.8850141376060447E-2</v>
      </c>
      <c r="H60" s="20">
        <f>表2_36716262930389121314[[#This Row],[累计净值]]/$B$51-1</f>
        <v>-1.2785388127853903E-2</v>
      </c>
    </row>
    <row r="61" spans="1:8" x14ac:dyDescent="0.2">
      <c r="A61" s="15">
        <v>43910</v>
      </c>
      <c r="B61" s="16">
        <v>1.0900000000000001</v>
      </c>
      <c r="C61" s="73">
        <f t="shared" si="10"/>
        <v>9.000000000000119E-3</v>
      </c>
      <c r="D61" s="18" t="str">
        <f t="shared" si="11"/>
        <v>/</v>
      </c>
      <c r="E61" s="18">
        <f ca="1">IF(表2_36716262930389121314[[#This Row],[累计净值]]/MAX(INDIRECT("B21:B" &amp; ROW()))-1&lt;E60,表2_36716262930389121314[[#This Row],[累计净值]]/MAX(INDIRECT("B21:B" &amp; ROW()))-1,E60)</f>
        <v>-1.5525114155251041E-2</v>
      </c>
      <c r="F61" s="62">
        <f>表2_36716262930389121314[[#This Row],[累计净值]]</f>
        <v>1.0900000000000001</v>
      </c>
      <c r="G61" s="20">
        <f>表2_36716262930389121314[[#This Row],[累计净值]]/$B$21-1</f>
        <v>2.7332704995287616E-2</v>
      </c>
      <c r="H61" s="20">
        <f>表2_36716262930389121314[[#This Row],[累计净值]]/$B$51-1</f>
        <v>-4.5662100456620447E-3</v>
      </c>
    </row>
    <row r="62" spans="1:8" x14ac:dyDescent="0.2">
      <c r="A62" s="15">
        <v>43913</v>
      </c>
      <c r="B62" s="16">
        <v>1.083</v>
      </c>
      <c r="C62" s="73">
        <f t="shared" ref="C62:C68" si="12">IFERROR(B62-B61,0)</f>
        <v>-7.0000000000001172E-3</v>
      </c>
      <c r="D62" s="18">
        <f t="shared" ref="D62:D68" si="13">IF(C62&lt;0,C62,"/")</f>
        <v>-7.0000000000001172E-3</v>
      </c>
      <c r="E62" s="18">
        <f ca="1">IF(表2_36716262930389121314[[#This Row],[累计净值]]/MAX(INDIRECT("B21:B" &amp; ROW()))-1&lt;E61,表2_36716262930389121314[[#This Row],[累计净值]]/MAX(INDIRECT("B21:B" &amp; ROW()))-1,E61)</f>
        <v>-1.5525114155251041E-2</v>
      </c>
      <c r="F62" s="62">
        <f>表2_36716262930389121314[[#This Row],[累计净值]]</f>
        <v>1.083</v>
      </c>
      <c r="G62" s="20">
        <f>表2_36716262930389121314[[#This Row],[累计净值]]/$B$21-1</f>
        <v>2.0735155513666337E-2</v>
      </c>
      <c r="H62" s="20">
        <f>表2_36716262930389121314[[#This Row],[累计净值]]/$B$51-1</f>
        <v>-1.0958904109588996E-2</v>
      </c>
    </row>
    <row r="63" spans="1:8" x14ac:dyDescent="0.2">
      <c r="A63" s="15">
        <v>43914</v>
      </c>
      <c r="B63" s="16">
        <v>1.0900000000000001</v>
      </c>
      <c r="C63" s="73">
        <f t="shared" si="12"/>
        <v>7.0000000000001172E-3</v>
      </c>
      <c r="D63" s="18" t="str">
        <f t="shared" si="13"/>
        <v>/</v>
      </c>
      <c r="E63" s="18">
        <f ca="1">IF(表2_36716262930389121314[[#This Row],[累计净值]]/MAX(INDIRECT("B21:B" &amp; ROW()))-1&lt;E62,表2_36716262930389121314[[#This Row],[累计净值]]/MAX(INDIRECT("B21:B" &amp; ROW()))-1,E62)</f>
        <v>-1.5525114155251041E-2</v>
      </c>
      <c r="F63" s="62">
        <f>表2_36716262930389121314[[#This Row],[累计净值]]</f>
        <v>1.0900000000000001</v>
      </c>
      <c r="G63" s="20">
        <f>表2_36716262930389121314[[#This Row],[累计净值]]/$B$21-1</f>
        <v>2.7332704995287616E-2</v>
      </c>
      <c r="H63" s="20">
        <f>表2_36716262930389121314[[#This Row],[累计净值]]/$B$51-1</f>
        <v>-4.5662100456620447E-3</v>
      </c>
    </row>
    <row r="64" spans="1:8" x14ac:dyDescent="0.2">
      <c r="A64" s="15">
        <v>43915</v>
      </c>
      <c r="B64" s="16">
        <v>1.0960000000000001</v>
      </c>
      <c r="C64" s="73">
        <f t="shared" si="12"/>
        <v>6.0000000000000053E-3</v>
      </c>
      <c r="D64" s="18" t="str">
        <f t="shared" si="13"/>
        <v>/</v>
      </c>
      <c r="E64" s="18">
        <f ca="1">IF(表2_36716262930389121314[[#This Row],[累计净值]]/MAX(INDIRECT("B21:B" &amp; ROW()))-1&lt;E63,表2_36716262930389121314[[#This Row],[累计净值]]/MAX(INDIRECT("B21:B" &amp; ROW()))-1,E63)</f>
        <v>-1.5525114155251041E-2</v>
      </c>
      <c r="F64" s="62">
        <f>表2_36716262930389121314[[#This Row],[累计净值]]</f>
        <v>1.0960000000000001</v>
      </c>
      <c r="G64" s="20">
        <f>表2_36716262930389121314[[#This Row],[累计净值]]/$B$21-1</f>
        <v>3.2987747408105728E-2</v>
      </c>
      <c r="H64" s="20">
        <f>表2_36716262930389121314[[#This Row],[累计净值]]/$B$51-1</f>
        <v>9.1324200913245335E-4</v>
      </c>
    </row>
    <row r="65" spans="1:8" x14ac:dyDescent="0.2">
      <c r="A65" s="15">
        <v>43916</v>
      </c>
      <c r="B65" s="76">
        <v>1.099</v>
      </c>
      <c r="C65" s="73">
        <f t="shared" si="12"/>
        <v>2.9999999999998916E-3</v>
      </c>
      <c r="D65" s="18" t="str">
        <f t="shared" si="13"/>
        <v>/</v>
      </c>
      <c r="E65" s="18">
        <f ca="1">IF(表2_36716262930389121314[[#This Row],[累计净值]]/MAX(INDIRECT("B21:B" &amp; ROW()))-1&lt;E64,表2_36716262930389121314[[#This Row],[累计净值]]/MAX(INDIRECT("B21:B" &amp; ROW()))-1,E64)</f>
        <v>-1.5525114155251041E-2</v>
      </c>
      <c r="F65" s="62">
        <f>表2_36716262930389121314[[#This Row],[累计净值]]</f>
        <v>1.099</v>
      </c>
      <c r="G65" s="20">
        <f>表2_36716262930389121314[[#This Row],[累计净值]]/$B$21-1</f>
        <v>3.5815268614514562E-2</v>
      </c>
      <c r="H65" s="20">
        <f>表2_36716262930389121314[[#This Row],[累计净值]]/$B$51-1</f>
        <v>3.6529680365295913E-3</v>
      </c>
    </row>
    <row r="66" spans="1:8" x14ac:dyDescent="0.2">
      <c r="A66" s="15">
        <v>43917</v>
      </c>
      <c r="B66" s="16">
        <v>1.097</v>
      </c>
      <c r="C66" s="73">
        <f t="shared" si="12"/>
        <v>-2.0000000000000018E-3</v>
      </c>
      <c r="D66" s="18">
        <f t="shared" si="13"/>
        <v>-2.0000000000000018E-3</v>
      </c>
      <c r="E66" s="18">
        <f ca="1">IF(表2_36716262930389121314[[#This Row],[累计净值]]/MAX(INDIRECT("B21:B" &amp; ROW()))-1&lt;E65,表2_36716262930389121314[[#This Row],[累计净值]]/MAX(INDIRECT("B21:B" &amp; ROW()))-1,E65)</f>
        <v>-1.5525114155251041E-2</v>
      </c>
      <c r="F66" s="62">
        <f>表2_36716262930389121314[[#This Row],[累计净值]]</f>
        <v>1.097</v>
      </c>
      <c r="G66" s="20">
        <f>表2_36716262930389121314[[#This Row],[累计净值]]/$B$21-1</f>
        <v>3.3930254476908672E-2</v>
      </c>
      <c r="H66" s="20">
        <f>表2_36716262930389121314[[#This Row],[累计净值]]/$B$51-1</f>
        <v>1.8264840182649067E-3</v>
      </c>
    </row>
    <row r="67" spans="1:8" x14ac:dyDescent="0.2">
      <c r="A67" s="15">
        <v>43920</v>
      </c>
      <c r="B67" s="16">
        <v>1.093</v>
      </c>
      <c r="C67" s="73">
        <f t="shared" si="12"/>
        <v>-4.0000000000000036E-3</v>
      </c>
      <c r="D67" s="18">
        <f t="shared" si="13"/>
        <v>-4.0000000000000036E-3</v>
      </c>
      <c r="E67" s="18">
        <f ca="1">IF(表2_36716262930389121314[[#This Row],[累计净值]]/MAX(INDIRECT("B21:B" &amp; ROW()))-1&lt;E66,表2_36716262930389121314[[#This Row],[累计净值]]/MAX(INDIRECT("B21:B" &amp; ROW()))-1,E66)</f>
        <v>-1.5525114155251041E-2</v>
      </c>
      <c r="F67" s="62">
        <f>表2_36716262930389121314[[#This Row],[累计净值]]</f>
        <v>1.093</v>
      </c>
      <c r="G67" s="20">
        <f>表2_36716262930389121314[[#This Row],[累计净值]]/$B$21-1</f>
        <v>3.016022620169645E-2</v>
      </c>
      <c r="H67" s="20">
        <f>表2_36716262930389121314[[#This Row],[累计净值]]/$B$51-1</f>
        <v>-1.8264840182647957E-3</v>
      </c>
    </row>
    <row r="68" spans="1:8" x14ac:dyDescent="0.2">
      <c r="A68" s="15">
        <v>43921</v>
      </c>
      <c r="B68" s="16">
        <v>1.097</v>
      </c>
      <c r="C68" s="73">
        <f t="shared" si="12"/>
        <v>4.0000000000000036E-3</v>
      </c>
      <c r="D68" s="18" t="str">
        <f t="shared" si="13"/>
        <v>/</v>
      </c>
      <c r="E68" s="18">
        <f ca="1">IF(表2_36716262930389121314[[#This Row],[累计净值]]/MAX(INDIRECT("B21:B" &amp; ROW()))-1&lt;E67,表2_36716262930389121314[[#This Row],[累计净值]]/MAX(INDIRECT("B21:B" &amp; ROW()))-1,E67)</f>
        <v>-1.5525114155251041E-2</v>
      </c>
      <c r="F68" s="62">
        <f>表2_36716262930389121314[[#This Row],[累计净值]]</f>
        <v>1.097</v>
      </c>
      <c r="G68" s="20">
        <f>表2_36716262930389121314[[#This Row],[累计净值]]/$B$21-1</f>
        <v>3.3930254476908672E-2</v>
      </c>
      <c r="H68" s="20">
        <f>表2_36716262930389121314[[#This Row],[累计净值]]/$B$51-1</f>
        <v>1.8264840182649067E-3</v>
      </c>
    </row>
    <row r="69" spans="1:8" x14ac:dyDescent="0.2">
      <c r="A69" s="15">
        <v>43922</v>
      </c>
      <c r="B69" s="16">
        <v>1.095</v>
      </c>
      <c r="C69" s="73">
        <f t="shared" ref="C69:C74" si="14">IFERROR(B69-B68,0)</f>
        <v>-2.0000000000000018E-3</v>
      </c>
      <c r="D69" s="18">
        <f t="shared" ref="D69:D74" si="15">IF(C69&lt;0,C69,"/")</f>
        <v>-2.0000000000000018E-3</v>
      </c>
      <c r="E69" s="18">
        <f ca="1">IF(表2_36716262930389121314[[#This Row],[累计净值]]/MAX(INDIRECT("B21:B" &amp; ROW()))-1&lt;E68,表2_36716262930389121314[[#This Row],[累计净值]]/MAX(INDIRECT("B21:B" &amp; ROW()))-1,E68)</f>
        <v>-1.5525114155251041E-2</v>
      </c>
      <c r="F69" s="62">
        <f>表2_36716262930389121314[[#This Row],[累计净值]]</f>
        <v>1.095</v>
      </c>
      <c r="G69" s="20">
        <f>表2_36716262930389121314[[#This Row],[累计净值]]/$B$21-1</f>
        <v>3.2045240339302561E-2</v>
      </c>
      <c r="H69" s="20">
        <f>表2_36716262930389121314[[#This Row],[累计净值]]/$B$51-1</f>
        <v>0</v>
      </c>
    </row>
    <row r="70" spans="1:8" x14ac:dyDescent="0.2">
      <c r="A70" s="15">
        <v>43923</v>
      </c>
      <c r="B70" s="16">
        <v>1.0980000000000001</v>
      </c>
      <c r="C70" s="73">
        <f t="shared" si="14"/>
        <v>3.0000000000001137E-3</v>
      </c>
      <c r="D70" s="18" t="str">
        <f t="shared" si="15"/>
        <v>/</v>
      </c>
      <c r="E70" s="18">
        <f ca="1">IF(表2_36716262930389121314[[#This Row],[累计净值]]/MAX(INDIRECT("B21:B" &amp; ROW()))-1&lt;E69,表2_36716262930389121314[[#This Row],[累计净值]]/MAX(INDIRECT("B21:B" &amp; ROW()))-1,E69)</f>
        <v>-1.5525114155251041E-2</v>
      </c>
      <c r="F70" s="62">
        <f>表2_36716262930389121314[[#This Row],[累计净值]]</f>
        <v>1.0980000000000001</v>
      </c>
      <c r="G70" s="20">
        <f>表2_36716262930389121314[[#This Row],[累计净值]]/$B$21-1</f>
        <v>3.4872761545711839E-2</v>
      </c>
      <c r="H70" s="20">
        <f>表2_36716262930389121314[[#This Row],[累计净值]]/$B$51-1</f>
        <v>2.73972602739736E-3</v>
      </c>
    </row>
    <row r="71" spans="1:8" x14ac:dyDescent="0.2">
      <c r="A71" s="15">
        <v>43924</v>
      </c>
      <c r="B71" s="16">
        <v>1.0960000000000001</v>
      </c>
      <c r="C71" s="73">
        <f t="shared" si="14"/>
        <v>-2.0000000000000018E-3</v>
      </c>
      <c r="D71" s="18">
        <f t="shared" si="15"/>
        <v>-2.0000000000000018E-3</v>
      </c>
      <c r="E71" s="18">
        <f ca="1">IF(表2_36716262930389121314[[#This Row],[累计净值]]/MAX(INDIRECT("B21:B" &amp; ROW()))-1&lt;E70,表2_36716262930389121314[[#This Row],[累计净值]]/MAX(INDIRECT("B21:B" &amp; ROW()))-1,E70)</f>
        <v>-1.5525114155251041E-2</v>
      </c>
      <c r="F71" s="62">
        <f>表2_36716262930389121314[[#This Row],[累计净值]]</f>
        <v>1.0960000000000001</v>
      </c>
      <c r="G71" s="20">
        <f>表2_36716262930389121314[[#This Row],[累计净值]]/$B$21-1</f>
        <v>3.2987747408105728E-2</v>
      </c>
      <c r="H71" s="20">
        <f>表2_36716262930389121314[[#This Row],[累计净值]]/$B$51-1</f>
        <v>9.1324200913245335E-4</v>
      </c>
    </row>
    <row r="72" spans="1:8" x14ac:dyDescent="0.2">
      <c r="A72" s="15">
        <v>43928</v>
      </c>
      <c r="B72" s="16">
        <v>1.099</v>
      </c>
      <c r="C72" s="73">
        <f t="shared" si="14"/>
        <v>2.9999999999998916E-3</v>
      </c>
      <c r="D72" s="18" t="str">
        <f t="shared" si="15"/>
        <v>/</v>
      </c>
      <c r="E72" s="18">
        <f ca="1">IF(表2_36716262930389121314[[#This Row],[累计净值]]/MAX(INDIRECT("B21:B" &amp; ROW()))-1&lt;E71,表2_36716262930389121314[[#This Row],[累计净值]]/MAX(INDIRECT("B21:B" &amp; ROW()))-1,E71)</f>
        <v>-1.5525114155251041E-2</v>
      </c>
      <c r="F72" s="62">
        <f>表2_36716262930389121314[[#This Row],[累计净值]]</f>
        <v>1.099</v>
      </c>
      <c r="G72" s="20">
        <f>表2_36716262930389121314[[#This Row],[累计净值]]/$B$21-1</f>
        <v>3.5815268614514562E-2</v>
      </c>
      <c r="H72" s="20">
        <f>表2_36716262930389121314[[#This Row],[累计净值]]/$B$51-1</f>
        <v>3.6529680365295913E-3</v>
      </c>
    </row>
    <row r="73" spans="1:8" x14ac:dyDescent="0.2">
      <c r="A73" s="15">
        <v>43929</v>
      </c>
      <c r="B73" s="16">
        <v>1.0980000000000001</v>
      </c>
      <c r="C73" s="73">
        <f t="shared" si="14"/>
        <v>-9.9999999999988987E-4</v>
      </c>
      <c r="D73" s="18">
        <f t="shared" si="15"/>
        <v>-9.9999999999988987E-4</v>
      </c>
      <c r="E73" s="18">
        <f ca="1">IF(表2_36716262930389121314[[#This Row],[累计净值]]/MAX(INDIRECT("B21:B" &amp; ROW()))-1&lt;E72,表2_36716262930389121314[[#This Row],[累计净值]]/MAX(INDIRECT("B21:B" &amp; ROW()))-1,E72)</f>
        <v>-1.5525114155251041E-2</v>
      </c>
      <c r="F73" s="62">
        <f>表2_36716262930389121314[[#This Row],[累计净值]]</f>
        <v>1.0980000000000001</v>
      </c>
      <c r="G73" s="20">
        <f>表2_36716262930389121314[[#This Row],[累计净值]]/$B$21-1</f>
        <v>3.4872761545711839E-2</v>
      </c>
      <c r="H73" s="20">
        <f>表2_36716262930389121314[[#This Row],[累计净值]]/$B$51-1</f>
        <v>2.73972602739736E-3</v>
      </c>
    </row>
    <row r="74" spans="1:8" x14ac:dyDescent="0.2">
      <c r="A74" s="15">
        <v>43930</v>
      </c>
      <c r="B74" s="16">
        <v>1.103</v>
      </c>
      <c r="C74" s="73">
        <f t="shared" si="14"/>
        <v>4.9999999999998934E-3</v>
      </c>
      <c r="D74" s="18" t="str">
        <f t="shared" si="15"/>
        <v>/</v>
      </c>
      <c r="E74" s="18">
        <f ca="1">IF(表2_36716262930389121314[[#This Row],[累计净值]]/MAX(INDIRECT("B21:B" &amp; ROW()))-1&lt;E73,表2_36716262930389121314[[#This Row],[累计净值]]/MAX(INDIRECT("B21:B" &amp; ROW()))-1,E73)</f>
        <v>-1.5525114155251041E-2</v>
      </c>
      <c r="F74" s="62">
        <f>表2_36716262930389121314[[#This Row],[累计净值]]</f>
        <v>1.103</v>
      </c>
      <c r="G74" s="20">
        <f>表2_36716262930389121314[[#This Row],[累计净值]]/$B$21-1</f>
        <v>3.9585296889726784E-2</v>
      </c>
      <c r="H74" s="20">
        <f>表2_36716262930389121314[[#This Row],[累计净值]]/$B$51-1</f>
        <v>7.3059360730594047E-3</v>
      </c>
    </row>
    <row r="75" spans="1:8" x14ac:dyDescent="0.2">
      <c r="A75" s="15">
        <v>43931</v>
      </c>
      <c r="B75" s="16">
        <v>1.1040000000000001</v>
      </c>
      <c r="C75" s="73">
        <f t="shared" ref="C75:C80" si="16">IFERROR(B75-B74,0)</f>
        <v>1.0000000000001119E-3</v>
      </c>
      <c r="D75" s="18" t="str">
        <f t="shared" ref="D75:D80" si="17">IF(C75&lt;0,C75,"/")</f>
        <v>/</v>
      </c>
      <c r="E75" s="18">
        <f ca="1">IF(表2_36716262930389121314[[#This Row],[累计净值]]/MAX(INDIRECT("B21:B" &amp; ROW()))-1&lt;E74,表2_36716262930389121314[[#This Row],[累计净值]]/MAX(INDIRECT("B21:B" &amp; ROW()))-1,E74)</f>
        <v>-1.5525114155251041E-2</v>
      </c>
      <c r="F75" s="62">
        <f>表2_36716262930389121314[[#This Row],[累计净值]]</f>
        <v>1.1040000000000001</v>
      </c>
      <c r="G75" s="20">
        <f>表2_36716262930389121314[[#This Row],[累计净值]]/$B$21-1</f>
        <v>4.0527803958529729E-2</v>
      </c>
      <c r="H75" s="20">
        <f>表2_36716262930389121314[[#This Row],[累计净值]]/$B$51-1</f>
        <v>8.2191780821918581E-3</v>
      </c>
    </row>
    <row r="76" spans="1:8" x14ac:dyDescent="0.2">
      <c r="A76" s="15">
        <v>43934</v>
      </c>
      <c r="B76" s="16">
        <v>1.105</v>
      </c>
      <c r="C76" s="73">
        <f t="shared" si="16"/>
        <v>9.9999999999988987E-4</v>
      </c>
      <c r="D76" s="18" t="str">
        <f t="shared" si="17"/>
        <v>/</v>
      </c>
      <c r="E76" s="18">
        <f ca="1">IF(表2_36716262930389121314[[#This Row],[累计净值]]/MAX(INDIRECT("B21:B" &amp; ROW()))-1&lt;E75,表2_36716262930389121314[[#This Row],[累计净值]]/MAX(INDIRECT("B21:B" &amp; ROW()))-1,E75)</f>
        <v>-1.5525114155251041E-2</v>
      </c>
      <c r="F76" s="62">
        <f>表2_36716262930389121314[[#This Row],[累计净值]]</f>
        <v>1.105</v>
      </c>
      <c r="G76" s="20">
        <f>表2_36716262930389121314[[#This Row],[累计净值]]/$B$21-1</f>
        <v>4.1470311027332674E-2</v>
      </c>
      <c r="H76" s="20">
        <f>表2_36716262930389121314[[#This Row],[累计净值]]/$B$51-1</f>
        <v>9.1324200913243114E-3</v>
      </c>
    </row>
    <row r="77" spans="1:8" x14ac:dyDescent="0.2">
      <c r="A77" s="15">
        <v>43935</v>
      </c>
      <c r="B77" s="16">
        <v>1.107</v>
      </c>
      <c r="C77" s="73">
        <f t="shared" si="16"/>
        <v>2.0000000000000018E-3</v>
      </c>
      <c r="D77" s="18" t="str">
        <f t="shared" si="17"/>
        <v>/</v>
      </c>
      <c r="E77" s="18">
        <f ca="1">IF(表2_36716262930389121314[[#This Row],[累计净值]]/MAX(INDIRECT("B21:B" &amp; ROW()))-1&lt;E76,表2_36716262930389121314[[#This Row],[累计净值]]/MAX(INDIRECT("B21:B" &amp; ROW()))-1,E76)</f>
        <v>-1.5525114155251041E-2</v>
      </c>
      <c r="F77" s="62">
        <f>表2_36716262930389121314[[#This Row],[累计净值]]</f>
        <v>1.107</v>
      </c>
      <c r="G77" s="20">
        <f>表2_36716262930389121314[[#This Row],[累计净值]]/$B$21-1</f>
        <v>4.3355325164938785E-2</v>
      </c>
      <c r="H77" s="20">
        <f>表2_36716262930389121314[[#This Row],[累计净值]]/$B$51-1</f>
        <v>1.0958904109588996E-2</v>
      </c>
    </row>
    <row r="78" spans="1:8" x14ac:dyDescent="0.2">
      <c r="A78" s="15">
        <v>43936</v>
      </c>
      <c r="B78" s="16">
        <v>1.1080000000000001</v>
      </c>
      <c r="C78" s="73">
        <f t="shared" si="16"/>
        <v>1.0000000000001119E-3</v>
      </c>
      <c r="D78" s="18" t="str">
        <f t="shared" si="17"/>
        <v>/</v>
      </c>
      <c r="E78" s="18">
        <f ca="1">IF(表2_36716262930389121314[[#This Row],[累计净值]]/MAX(INDIRECT("B21:B" &amp; ROW()))-1&lt;E77,表2_36716262930389121314[[#This Row],[累计净值]]/MAX(INDIRECT("B21:B" &amp; ROW()))-1,E77)</f>
        <v>-1.5525114155251041E-2</v>
      </c>
      <c r="F78" s="62">
        <f>表2_36716262930389121314[[#This Row],[累计净值]]</f>
        <v>1.1080000000000001</v>
      </c>
      <c r="G78" s="20">
        <f>表2_36716262930389121314[[#This Row],[累计净值]]/$B$21-1</f>
        <v>4.4297832233741952E-2</v>
      </c>
      <c r="H78" s="20">
        <f>表2_36716262930389121314[[#This Row],[累计净值]]/$B$51-1</f>
        <v>1.1872146118721671E-2</v>
      </c>
    </row>
    <row r="79" spans="1:8" x14ac:dyDescent="0.2">
      <c r="A79" s="15">
        <v>43937</v>
      </c>
      <c r="B79" s="96">
        <v>1.111</v>
      </c>
      <c r="C79" s="94">
        <f t="shared" si="16"/>
        <v>2.9999999999998916E-3</v>
      </c>
      <c r="D79" s="95" t="str">
        <f t="shared" si="17"/>
        <v>/</v>
      </c>
      <c r="E79" s="95">
        <f ca="1">IF(表2_36716262930389121314[[#This Row],[累计净值]]/MAX(INDIRECT("B21:B" &amp; ROW()))-1&lt;E78,表2_36716262930389121314[[#This Row],[累计净值]]/MAX(INDIRECT("B21:B" &amp; ROW()))-1,E78)</f>
        <v>-1.5525114155251041E-2</v>
      </c>
      <c r="F79" s="97">
        <f>表2_36716262930389121314[[#This Row],[累计净值]]</f>
        <v>1.111</v>
      </c>
      <c r="G79" s="20">
        <f>表2_36716262930389121314[[#This Row],[累计净值]]/$B$21-1</f>
        <v>4.7125353440150786E-2</v>
      </c>
      <c r="H79" s="20">
        <f>表2_36716262930389121314[[#This Row],[累计净值]]/$B$51-1</f>
        <v>1.4611872146118809E-2</v>
      </c>
    </row>
    <row r="80" spans="1:8" x14ac:dyDescent="0.2">
      <c r="A80" s="15">
        <v>43938</v>
      </c>
      <c r="B80" s="96">
        <v>1.1140000000000001</v>
      </c>
      <c r="C80" s="94">
        <f t="shared" si="16"/>
        <v>3.0000000000001137E-3</v>
      </c>
      <c r="D80" s="95" t="str">
        <f t="shared" si="17"/>
        <v>/</v>
      </c>
      <c r="E80" s="95">
        <f ca="1">IF(表2_36716262930389121314[[#This Row],[累计净值]]/MAX(INDIRECT("B21:B" &amp; ROW()))-1&lt;E79,表2_36716262930389121314[[#This Row],[累计净值]]/MAX(INDIRECT("B21:B" &amp; ROW()))-1,E79)</f>
        <v>-1.5525114155251041E-2</v>
      </c>
      <c r="F80" s="97">
        <f>表2_36716262930389121314[[#This Row],[累计净值]]</f>
        <v>1.1140000000000001</v>
      </c>
      <c r="G80" s="20">
        <f>表2_36716262930389121314[[#This Row],[累计净值]]/$B$21-1</f>
        <v>4.9952874646560064E-2</v>
      </c>
      <c r="H80" s="20">
        <f>表2_36716262930389121314[[#This Row],[累计净值]]/$B$51-1</f>
        <v>1.735159817351617E-2</v>
      </c>
    </row>
    <row r="81" spans="1:8" x14ac:dyDescent="0.2">
      <c r="A81" s="15">
        <v>43941</v>
      </c>
      <c r="B81" s="76">
        <v>1.119</v>
      </c>
      <c r="C81" s="94">
        <f t="shared" ref="C81:C86" si="18">IFERROR(B81-B80,0)</f>
        <v>4.9999999999998934E-3</v>
      </c>
      <c r="D81" s="95" t="str">
        <f t="shared" ref="D81:D86" si="19">IF(C81&lt;0,C81,"/")</f>
        <v>/</v>
      </c>
      <c r="E81" s="95">
        <f ca="1">IF(表2_36716262930389121314[[#This Row],[累计净值]]/MAX(INDIRECT("B21:B" &amp; ROW()))-1&lt;E80,表2_36716262930389121314[[#This Row],[累计净值]]/MAX(INDIRECT("B21:B" &amp; ROW()))-1,E80)</f>
        <v>-1.5525114155251041E-2</v>
      </c>
      <c r="F81" s="97">
        <f>表2_36716262930389121314[[#This Row],[累计净值]]</f>
        <v>1.119</v>
      </c>
      <c r="G81" s="20">
        <f>表2_36716262930389121314[[#This Row],[累计净值]]/$B$21-1</f>
        <v>5.4665409990575009E-2</v>
      </c>
      <c r="H81" s="20">
        <f>表2_36716262930389121314[[#This Row],[累计净值]]/$B$51-1</f>
        <v>2.1917808219177992E-2</v>
      </c>
    </row>
    <row r="82" spans="1:8" x14ac:dyDescent="0.2">
      <c r="A82" s="15">
        <v>43942</v>
      </c>
      <c r="B82" s="96">
        <v>1.1160000000000001</v>
      </c>
      <c r="C82" s="94">
        <f t="shared" si="18"/>
        <v>-2.9999999999998916E-3</v>
      </c>
      <c r="D82" s="95">
        <f t="shared" si="19"/>
        <v>-2.9999999999998916E-3</v>
      </c>
      <c r="E82" s="95">
        <f ca="1">IF(表2_36716262930389121314[[#This Row],[累计净值]]/MAX(INDIRECT("B21:B" &amp; ROW()))-1&lt;E81,表2_36716262930389121314[[#This Row],[累计净值]]/MAX(INDIRECT("B21:B" &amp; ROW()))-1,E81)</f>
        <v>-1.5525114155251041E-2</v>
      </c>
      <c r="F82" s="97">
        <f>表2_36716262930389121314[[#This Row],[累计净值]]</f>
        <v>1.1160000000000001</v>
      </c>
      <c r="G82" s="20">
        <f>表2_36716262930389121314[[#This Row],[累计净值]]/$B$21-1</f>
        <v>5.1837888784165953E-2</v>
      </c>
      <c r="H82" s="20">
        <f>表2_36716262930389121314[[#This Row],[累计净值]]/$B$51-1</f>
        <v>1.9178082191780854E-2</v>
      </c>
    </row>
    <row r="83" spans="1:8" x14ac:dyDescent="0.2">
      <c r="A83" s="15">
        <v>43943</v>
      </c>
      <c r="B83" s="76">
        <v>1.1220000000000001</v>
      </c>
      <c r="C83" s="94">
        <f t="shared" si="18"/>
        <v>6.0000000000000053E-3</v>
      </c>
      <c r="D83" s="95" t="str">
        <f t="shared" si="19"/>
        <v>/</v>
      </c>
      <c r="E83" s="95">
        <f ca="1">IF(表2_36716262930389121314[[#This Row],[累计净值]]/MAX(INDIRECT("B21:B" &amp; ROW()))-1&lt;E82,表2_36716262930389121314[[#This Row],[累计净值]]/MAX(INDIRECT("B21:B" &amp; ROW()))-1,E82)</f>
        <v>-1.5525114155251041E-2</v>
      </c>
      <c r="F83" s="97">
        <f>表2_36716262930389121314[[#This Row],[累计净值]]</f>
        <v>1.1220000000000001</v>
      </c>
      <c r="G83" s="20">
        <f>表2_36716262930389121314[[#This Row],[累计净值]]/$B$21-1</f>
        <v>5.7492931196984065E-2</v>
      </c>
      <c r="H83" s="20">
        <f>表2_36716262930389121314[[#This Row],[累计净值]]/$B$51-1</f>
        <v>2.4657534246575574E-2</v>
      </c>
    </row>
    <row r="84" spans="1:8" x14ac:dyDescent="0.2">
      <c r="A84" s="15">
        <v>43944</v>
      </c>
      <c r="B84" s="96">
        <v>1.1200000000000001</v>
      </c>
      <c r="C84" s="94">
        <f t="shared" si="18"/>
        <v>-2.0000000000000018E-3</v>
      </c>
      <c r="D84" s="95">
        <f t="shared" si="19"/>
        <v>-2.0000000000000018E-3</v>
      </c>
      <c r="E84" s="95">
        <f ca="1">IF(表2_36716262930389121314[[#This Row],[累计净值]]/MAX(INDIRECT("B21:B" &amp; ROW()))-1&lt;E83,表2_36716262930389121314[[#This Row],[累计净值]]/MAX(INDIRECT("B21:B" &amp; ROW()))-1,E83)</f>
        <v>-1.5525114155251041E-2</v>
      </c>
      <c r="F84" s="97">
        <f>表2_36716262930389121314[[#This Row],[累计净值]]</f>
        <v>1.1200000000000001</v>
      </c>
      <c r="G84" s="20">
        <f>表2_36716262930389121314[[#This Row],[累计净值]]/$B$21-1</f>
        <v>5.5607917059378176E-2</v>
      </c>
      <c r="H84" s="20">
        <f>表2_36716262930389121314[[#This Row],[累计净值]]/$B$51-1</f>
        <v>2.2831050228310668E-2</v>
      </c>
    </row>
    <row r="85" spans="1:8" x14ac:dyDescent="0.2">
      <c r="A85" s="15">
        <v>43945</v>
      </c>
      <c r="B85" s="96">
        <v>1.1160000000000001</v>
      </c>
      <c r="C85" s="94">
        <f t="shared" si="18"/>
        <v>-4.0000000000000036E-3</v>
      </c>
      <c r="D85" s="95">
        <f t="shared" si="19"/>
        <v>-4.0000000000000036E-3</v>
      </c>
      <c r="E85" s="95">
        <f ca="1">IF(表2_36716262930389121314[[#This Row],[累计净值]]/MAX(INDIRECT("B21:B" &amp; ROW()))-1&lt;E84,表2_36716262930389121314[[#This Row],[累计净值]]/MAX(INDIRECT("B21:B" &amp; ROW()))-1,E84)</f>
        <v>-1.5525114155251041E-2</v>
      </c>
      <c r="F85" s="97">
        <f>表2_36716262930389121314[[#This Row],[累计净值]]</f>
        <v>1.1160000000000001</v>
      </c>
      <c r="G85" s="20">
        <f>表2_36716262930389121314[[#This Row],[累计净值]]/$B$21-1</f>
        <v>5.1837888784165953E-2</v>
      </c>
      <c r="H85" s="20">
        <f>表2_36716262930389121314[[#This Row],[累计净值]]/$B$51-1</f>
        <v>1.9178082191780854E-2</v>
      </c>
    </row>
    <row r="86" spans="1:8" x14ac:dyDescent="0.2">
      <c r="A86" s="15">
        <v>43948</v>
      </c>
      <c r="B86" s="96">
        <v>1.1160000000000001</v>
      </c>
      <c r="C86" s="94">
        <f t="shared" si="18"/>
        <v>0</v>
      </c>
      <c r="D86" s="95" t="str">
        <f t="shared" si="19"/>
        <v>/</v>
      </c>
      <c r="E86" s="95">
        <f ca="1">IF(表2_36716262930389121314[[#This Row],[累计净值]]/MAX(INDIRECT("B21:B" &amp; ROW()))-1&lt;E85,表2_36716262930389121314[[#This Row],[累计净值]]/MAX(INDIRECT("B21:B" &amp; ROW()))-1,E85)</f>
        <v>-1.5525114155251041E-2</v>
      </c>
      <c r="F86" s="97">
        <f>表2_36716262930389121314[[#This Row],[累计净值]]</f>
        <v>1.1160000000000001</v>
      </c>
      <c r="G86" s="20">
        <f>表2_36716262930389121314[[#This Row],[累计净值]]/$B$21-1</f>
        <v>5.1837888784165953E-2</v>
      </c>
      <c r="H86" s="20">
        <f>表2_36716262930389121314[[#This Row],[累计净值]]/$B$51-1</f>
        <v>1.9178082191780854E-2</v>
      </c>
    </row>
    <row r="87" spans="1:8" x14ac:dyDescent="0.2">
      <c r="A87" s="15">
        <v>43949</v>
      </c>
      <c r="B87" s="96">
        <v>1.119</v>
      </c>
      <c r="C87" s="94">
        <f t="shared" ref="C87:C93" si="20">IFERROR(B87-B86,0)</f>
        <v>2.9999999999998916E-3</v>
      </c>
      <c r="D87" s="95" t="str">
        <f t="shared" ref="D87:D93" si="21">IF(C87&lt;0,C87,"/")</f>
        <v>/</v>
      </c>
      <c r="E87" s="95">
        <f ca="1">IF(表2_36716262930389121314[[#This Row],[累计净值]]/MAX(INDIRECT("B21:B" &amp; ROW()))-1&lt;E86,表2_36716262930389121314[[#This Row],[累计净值]]/MAX(INDIRECT("B21:B" &amp; ROW()))-1,E86)</f>
        <v>-1.5525114155251041E-2</v>
      </c>
      <c r="F87" s="97">
        <f>表2_36716262930389121314[[#This Row],[累计净值]]</f>
        <v>1.119</v>
      </c>
      <c r="G87" s="20">
        <f>表2_36716262930389121314[[#This Row],[累计净值]]/$B$21-1</f>
        <v>5.4665409990575009E-2</v>
      </c>
      <c r="H87" s="20">
        <f>表2_36716262930389121314[[#This Row],[累计净值]]/$B$51-1</f>
        <v>2.1917808219177992E-2</v>
      </c>
    </row>
    <row r="88" spans="1:8" x14ac:dyDescent="0.2">
      <c r="A88" s="15">
        <v>43950</v>
      </c>
      <c r="B88" s="96">
        <v>1.1180000000000001</v>
      </c>
      <c r="C88" s="94">
        <f t="shared" si="20"/>
        <v>-9.9999999999988987E-4</v>
      </c>
      <c r="D88" s="95">
        <f t="shared" si="21"/>
        <v>-9.9999999999988987E-4</v>
      </c>
      <c r="E88" s="95">
        <f ca="1">IF(表2_36716262930389121314[[#This Row],[累计净值]]/MAX(INDIRECT("B21:B" &amp; ROW()))-1&lt;E87,表2_36716262930389121314[[#This Row],[累计净值]]/MAX(INDIRECT("B21:B" &amp; ROW()))-1,E87)</f>
        <v>-1.5525114155251041E-2</v>
      </c>
      <c r="F88" s="97">
        <f>表2_36716262930389121314[[#This Row],[累计净值]]</f>
        <v>1.1180000000000001</v>
      </c>
      <c r="G88" s="20">
        <f>表2_36716262930389121314[[#This Row],[累计净值]]/$B$21-1</f>
        <v>5.3722902921772064E-2</v>
      </c>
      <c r="H88" s="20">
        <f>表2_36716262930389121314[[#This Row],[累计净值]]/$B$51-1</f>
        <v>2.1004566210045761E-2</v>
      </c>
    </row>
    <row r="89" spans="1:8" x14ac:dyDescent="0.2">
      <c r="A89" s="15">
        <v>43951</v>
      </c>
      <c r="B89" s="96">
        <v>1.1120000000000001</v>
      </c>
      <c r="C89" s="94">
        <f t="shared" si="20"/>
        <v>-6.0000000000000053E-3</v>
      </c>
      <c r="D89" s="95">
        <f t="shared" si="21"/>
        <v>-6.0000000000000053E-3</v>
      </c>
      <c r="E89" s="95">
        <f ca="1">IF(表2_36716262930389121314[[#This Row],[累计净值]]/MAX(INDIRECT("B21:B" &amp; ROW()))-1&lt;E88,表2_36716262930389121314[[#This Row],[累计净值]]/MAX(INDIRECT("B21:B" &amp; ROW()))-1,E88)</f>
        <v>-1.5525114155251041E-2</v>
      </c>
      <c r="F89" s="97">
        <f>表2_36716262930389121314[[#This Row],[累计净值]]</f>
        <v>1.1120000000000001</v>
      </c>
      <c r="G89" s="20">
        <f>表2_36716262930389121314[[#This Row],[累计净值]]/$B$21-1</f>
        <v>4.8067860508953952E-2</v>
      </c>
      <c r="H89" s="20">
        <f>表2_36716262930389121314[[#This Row],[累计净值]]/$B$51-1</f>
        <v>1.5525114155251263E-2</v>
      </c>
    </row>
    <row r="90" spans="1:8" x14ac:dyDescent="0.2">
      <c r="A90" s="15">
        <v>43957</v>
      </c>
      <c r="B90" s="96">
        <v>1.115</v>
      </c>
      <c r="C90" s="94">
        <f t="shared" si="20"/>
        <v>2.9999999999998916E-3</v>
      </c>
      <c r="D90" s="95" t="str">
        <f t="shared" si="21"/>
        <v>/</v>
      </c>
      <c r="E90" s="95">
        <f ca="1">IF(表2_36716262930389121314[[#This Row],[累计净值]]/MAX(INDIRECT("B21:B" &amp; ROW()))-1&lt;E89,表2_36716262930389121314[[#This Row],[累计净值]]/MAX(INDIRECT("B21:B" &amp; ROW()))-1,E89)</f>
        <v>-1.5525114155251041E-2</v>
      </c>
      <c r="F90" s="97">
        <f>表2_36716262930389121314[[#This Row],[累计净值]]</f>
        <v>1.115</v>
      </c>
      <c r="G90" s="20">
        <f>表2_36716262930389121314[[#This Row],[累计净值]]/$B$21-1</f>
        <v>5.0895381715363008E-2</v>
      </c>
      <c r="H90" s="20">
        <f>表2_36716262930389121314[[#This Row],[累计净值]]/$B$51-1</f>
        <v>1.8264840182648401E-2</v>
      </c>
    </row>
    <row r="91" spans="1:8" x14ac:dyDescent="0.2">
      <c r="A91" s="15">
        <v>43958</v>
      </c>
      <c r="B91" s="104">
        <v>1.115</v>
      </c>
      <c r="C91" s="101">
        <f t="shared" si="20"/>
        <v>0</v>
      </c>
      <c r="D91" s="102" t="str">
        <f t="shared" si="21"/>
        <v>/</v>
      </c>
      <c r="E91" s="102">
        <f ca="1">IF(表2_36716262930389121314[[#This Row],[累计净值]]/MAX(INDIRECT("B21:B" &amp; ROW()))-1&lt;E90,表2_36716262930389121314[[#This Row],[累计净值]]/MAX(INDIRECT("B21:B" &amp; ROW()))-1,E90)</f>
        <v>-1.5525114155251041E-2</v>
      </c>
      <c r="F91" s="103">
        <f>表2_36716262930389121314[[#This Row],[累计净值]]</f>
        <v>1.115</v>
      </c>
      <c r="G91" s="20">
        <f>表2_36716262930389121314[[#This Row],[累计净值]]/$B$21-1</f>
        <v>5.0895381715363008E-2</v>
      </c>
      <c r="H91" s="20">
        <f>表2_36716262930389121314[[#This Row],[累计净值]]/$B$51-1</f>
        <v>1.8264840182648401E-2</v>
      </c>
    </row>
    <row r="92" spans="1:8" x14ac:dyDescent="0.2">
      <c r="A92" s="15">
        <v>43959</v>
      </c>
      <c r="B92" s="104">
        <v>1.1200000000000001</v>
      </c>
      <c r="C92" s="101">
        <f t="shared" si="20"/>
        <v>5.0000000000001155E-3</v>
      </c>
      <c r="D92" s="102" t="str">
        <f t="shared" si="21"/>
        <v>/</v>
      </c>
      <c r="E92" s="102">
        <f ca="1">IF(表2_36716262930389121314[[#This Row],[累计净值]]/MAX(INDIRECT("B21:B" &amp; ROW()))-1&lt;E91,表2_36716262930389121314[[#This Row],[累计净值]]/MAX(INDIRECT("B21:B" &amp; ROW()))-1,E91)</f>
        <v>-1.5525114155251041E-2</v>
      </c>
      <c r="F92" s="103">
        <f>表2_36716262930389121314[[#This Row],[累计净值]]</f>
        <v>1.1200000000000001</v>
      </c>
      <c r="G92" s="20">
        <f>表2_36716262930389121314[[#This Row],[累计净值]]/$B$21-1</f>
        <v>5.5607917059378176E-2</v>
      </c>
      <c r="H92" s="20">
        <f>表2_36716262930389121314[[#This Row],[累计净值]]/$B$51-1</f>
        <v>2.2831050228310668E-2</v>
      </c>
    </row>
    <row r="93" spans="1:8" x14ac:dyDescent="0.2">
      <c r="A93" s="15">
        <v>43962</v>
      </c>
      <c r="B93" s="104">
        <v>1.1240000000000001</v>
      </c>
      <c r="C93" s="101">
        <f t="shared" si="20"/>
        <v>4.0000000000000036E-3</v>
      </c>
      <c r="D93" s="102" t="str">
        <f t="shared" si="21"/>
        <v>/</v>
      </c>
      <c r="E93" s="102">
        <f ca="1">IF(表2_36716262930389121314[[#This Row],[累计净值]]/MAX(INDIRECT("B21:B" &amp; ROW()))-1&lt;E92,表2_36716262930389121314[[#This Row],[累计净值]]/MAX(INDIRECT("B21:B" &amp; ROW()))-1,E92)</f>
        <v>-1.5525114155251041E-2</v>
      </c>
      <c r="F93" s="103">
        <f>表2_36716262930389121314[[#This Row],[累计净值]]</f>
        <v>1.1240000000000001</v>
      </c>
      <c r="G93" s="20">
        <f>表2_36716262930389121314[[#This Row],[累计净值]]/$B$21-1</f>
        <v>5.9377945334590176E-2</v>
      </c>
      <c r="H93" s="20">
        <f>表2_36716262930389121314[[#This Row],[累计净值]]/$B$51-1</f>
        <v>2.6484018264840259E-2</v>
      </c>
    </row>
    <row r="94" spans="1:8" x14ac:dyDescent="0.2">
      <c r="A94" s="15">
        <v>43963</v>
      </c>
      <c r="B94" s="104">
        <v>1.1279999999999999</v>
      </c>
      <c r="C94" s="101">
        <f t="shared" ref="C94:C99" si="22">IFERROR(B94-B93,0)</f>
        <v>3.9999999999997815E-3</v>
      </c>
      <c r="D94" s="102" t="str">
        <f t="shared" ref="D94:D99" si="23">IF(C94&lt;0,C94,"/")</f>
        <v>/</v>
      </c>
      <c r="E94" s="102">
        <f ca="1">IF(表2_36716262930389121314[[#This Row],[累计净值]]/MAX(INDIRECT("B21:B" &amp; ROW()))-1&lt;E93,表2_36716262930389121314[[#This Row],[累计净值]]/MAX(INDIRECT("B21:B" &amp; ROW()))-1,E93)</f>
        <v>-1.5525114155251041E-2</v>
      </c>
      <c r="F94" s="103">
        <f>表2_36716262930389121314[[#This Row],[累计净值]]</f>
        <v>1.1279999999999999</v>
      </c>
      <c r="G94" s="20">
        <f>表2_36716262930389121314[[#This Row],[累计净值]]/$B$21-1</f>
        <v>6.3147973609801955E-2</v>
      </c>
      <c r="H94" s="20">
        <f>表2_36716262930389121314[[#This Row],[累计净值]]/$B$51-1</f>
        <v>3.013698630136985E-2</v>
      </c>
    </row>
    <row r="95" spans="1:8" x14ac:dyDescent="0.2">
      <c r="A95" s="15">
        <v>43964</v>
      </c>
      <c r="B95" s="104">
        <v>1.1319999999999999</v>
      </c>
      <c r="C95" s="101">
        <f t="shared" si="22"/>
        <v>4.0000000000000036E-3</v>
      </c>
      <c r="D95" s="102" t="str">
        <f t="shared" si="23"/>
        <v>/</v>
      </c>
      <c r="E95" s="102">
        <f ca="1">IF(表2_36716262930389121314[[#This Row],[累计净值]]/MAX(INDIRECT("B21:B" &amp; ROW()))-1&lt;E94,表2_36716262930389121314[[#This Row],[累计净值]]/MAX(INDIRECT("B21:B" &amp; ROW()))-1,E94)</f>
        <v>-1.5525114155251041E-2</v>
      </c>
      <c r="F95" s="103">
        <f>表2_36716262930389121314[[#This Row],[累计净值]]</f>
        <v>1.1319999999999999</v>
      </c>
      <c r="G95" s="20">
        <f>表2_36716262930389121314[[#This Row],[累计净值]]/$B$21-1</f>
        <v>6.6918001885014178E-2</v>
      </c>
      <c r="H95" s="20">
        <f>表2_36716262930389121314[[#This Row],[累计净值]]/$B$51-1</f>
        <v>3.3789954337899442E-2</v>
      </c>
    </row>
    <row r="96" spans="1:8" x14ac:dyDescent="0.2">
      <c r="A96" s="15">
        <v>43965</v>
      </c>
      <c r="B96" s="104">
        <v>1.135</v>
      </c>
      <c r="C96" s="101">
        <f t="shared" si="22"/>
        <v>3.0000000000001137E-3</v>
      </c>
      <c r="D96" s="102" t="str">
        <f t="shared" si="23"/>
        <v>/</v>
      </c>
      <c r="E96" s="102">
        <f ca="1">IF(表2_36716262930389121314[[#This Row],[累计净值]]/MAX(INDIRECT("B21:B" &amp; ROW()))-1&lt;E95,表2_36716262930389121314[[#This Row],[累计净值]]/MAX(INDIRECT("B21:B" &amp; ROW()))-1,E95)</f>
        <v>-1.5525114155251041E-2</v>
      </c>
      <c r="F96" s="103">
        <f>表2_36716262930389121314[[#This Row],[累计净值]]</f>
        <v>1.135</v>
      </c>
      <c r="G96" s="20">
        <f>表2_36716262930389121314[[#This Row],[累计净值]]/$B$21-1</f>
        <v>6.9745523091423234E-2</v>
      </c>
      <c r="H96" s="20">
        <f>表2_36716262930389121314[[#This Row],[累计净值]]/$B$51-1</f>
        <v>3.6529680365296802E-2</v>
      </c>
    </row>
    <row r="97" spans="1:8" x14ac:dyDescent="0.2">
      <c r="A97" s="15">
        <v>43966</v>
      </c>
      <c r="B97" s="104">
        <v>1.1319999999999999</v>
      </c>
      <c r="C97" s="101">
        <f t="shared" si="22"/>
        <v>-3.0000000000001137E-3</v>
      </c>
      <c r="D97" s="102">
        <f t="shared" si="23"/>
        <v>-3.0000000000001137E-3</v>
      </c>
      <c r="E97" s="102">
        <f ca="1">IF(表2_36716262930389121314[[#This Row],[累计净值]]/MAX(INDIRECT("B21:B" &amp; ROW()))-1&lt;E96,表2_36716262930389121314[[#This Row],[累计净值]]/MAX(INDIRECT("B21:B" &amp; ROW()))-1,E96)</f>
        <v>-1.5525114155251041E-2</v>
      </c>
      <c r="F97" s="103">
        <f>表2_36716262930389121314[[#This Row],[累计净值]]</f>
        <v>1.1319999999999999</v>
      </c>
      <c r="G97" s="20">
        <f>表2_36716262930389121314[[#This Row],[累计净值]]/$B$21-1</f>
        <v>6.6918001885014178E-2</v>
      </c>
      <c r="H97" s="20">
        <f>表2_36716262930389121314[[#This Row],[累计净值]]/$B$51-1</f>
        <v>3.3789954337899442E-2</v>
      </c>
    </row>
    <row r="98" spans="1:8" x14ac:dyDescent="0.2">
      <c r="A98" s="15">
        <v>43969</v>
      </c>
      <c r="B98" s="104">
        <v>1.135</v>
      </c>
      <c r="C98" s="101">
        <f t="shared" si="22"/>
        <v>3.0000000000001137E-3</v>
      </c>
      <c r="D98" s="102" t="str">
        <f t="shared" si="23"/>
        <v>/</v>
      </c>
      <c r="E98" s="102">
        <f ca="1">IF(表2_36716262930389121314[[#This Row],[累计净值]]/MAX(INDIRECT("B21:B" &amp; ROW()))-1&lt;E97,表2_36716262930389121314[[#This Row],[累计净值]]/MAX(INDIRECT("B21:B" &amp; ROW()))-1,E97)</f>
        <v>-1.5525114155251041E-2</v>
      </c>
      <c r="F98" s="103">
        <f>表2_36716262930389121314[[#This Row],[累计净值]]</f>
        <v>1.135</v>
      </c>
      <c r="G98" s="20">
        <f>表2_36716262930389121314[[#This Row],[累计净值]]/$B$21-1</f>
        <v>6.9745523091423234E-2</v>
      </c>
      <c r="H98" s="20">
        <f>表2_36716262930389121314[[#This Row],[累计净值]]/$B$51-1</f>
        <v>3.6529680365296802E-2</v>
      </c>
    </row>
    <row r="99" spans="1:8" x14ac:dyDescent="0.2">
      <c r="A99" s="15">
        <v>43970</v>
      </c>
      <c r="B99" s="104">
        <v>1.1399999999999999</v>
      </c>
      <c r="C99" s="101">
        <f t="shared" si="22"/>
        <v>4.9999999999998934E-3</v>
      </c>
      <c r="D99" s="102" t="str">
        <f t="shared" si="23"/>
        <v>/</v>
      </c>
      <c r="E99" s="102">
        <f ca="1">IF(表2_36716262930389121314[[#This Row],[累计净值]]/MAX(INDIRECT("B21:B" &amp; ROW()))-1&lt;E98,表2_36716262930389121314[[#This Row],[累计净值]]/MAX(INDIRECT("B21:B" &amp; ROW()))-1,E98)</f>
        <v>-1.5525114155251041E-2</v>
      </c>
      <c r="F99" s="103">
        <f>表2_36716262930389121314[[#This Row],[累计净值]]</f>
        <v>1.1399999999999999</v>
      </c>
      <c r="G99" s="20">
        <f>表2_36716262930389121314[[#This Row],[累计净值]]/$B$21-1</f>
        <v>7.4458058435438179E-2</v>
      </c>
      <c r="H99" s="20">
        <f>表2_36716262930389121314[[#This Row],[累计净值]]/$B$51-1</f>
        <v>4.1095890410958846E-2</v>
      </c>
    </row>
    <row r="100" spans="1:8" x14ac:dyDescent="0.2">
      <c r="A100" s="15">
        <v>43971</v>
      </c>
      <c r="B100" s="111">
        <v>1.1419999999999999</v>
      </c>
      <c r="C100" s="101">
        <f t="shared" ref="C100:C105" si="24">IFERROR(B100-B99,0)</f>
        <v>2.0000000000000018E-3</v>
      </c>
      <c r="D100" s="102" t="str">
        <f t="shared" ref="D100:D105" si="25">IF(C100&lt;0,C100,"/")</f>
        <v>/</v>
      </c>
      <c r="E100" s="102">
        <f ca="1">IF(表2_36716262930389121314[[#This Row],[累计净值]]/MAX(INDIRECT("B21:B" &amp; ROW()))-1&lt;E99,表2_36716262930389121314[[#This Row],[累计净值]]/MAX(INDIRECT("B21:B" &amp; ROW()))-1,E99)</f>
        <v>-1.5525114155251041E-2</v>
      </c>
      <c r="F100" s="103">
        <f>表2_36716262930389121314[[#This Row],[累计净值]]</f>
        <v>1.1419999999999999</v>
      </c>
      <c r="G100" s="20">
        <f>表2_36716262930389121314[[#This Row],[累计净值]]/$B$21-1</f>
        <v>7.6343072573044291E-2</v>
      </c>
      <c r="H100" s="20">
        <f>表2_36716262930389121314[[#This Row],[累计净值]]/$B$51-1</f>
        <v>4.2922374429223753E-2</v>
      </c>
    </row>
    <row r="101" spans="1:8" x14ac:dyDescent="0.2">
      <c r="A101" s="15">
        <v>43972</v>
      </c>
      <c r="B101" s="104">
        <v>1.1379999999999999</v>
      </c>
      <c r="C101" s="101">
        <f t="shared" si="24"/>
        <v>-4.0000000000000036E-3</v>
      </c>
      <c r="D101" s="102">
        <f t="shared" si="25"/>
        <v>-4.0000000000000036E-3</v>
      </c>
      <c r="E101" s="102">
        <f ca="1">IF(表2_36716262930389121314[[#This Row],[累计净值]]/MAX(INDIRECT("B21:B" &amp; ROW()))-1&lt;E100,表2_36716262930389121314[[#This Row],[累计净值]]/MAX(INDIRECT("B21:B" &amp; ROW()))-1,E100)</f>
        <v>-1.5525114155251041E-2</v>
      </c>
      <c r="F101" s="103">
        <f>表2_36716262930389121314[[#This Row],[累计净值]]</f>
        <v>1.1379999999999999</v>
      </c>
      <c r="G101" s="20">
        <f>表2_36716262930389121314[[#This Row],[累计净值]]/$B$21-1</f>
        <v>7.257304429783229E-2</v>
      </c>
      <c r="H101" s="20">
        <f>表2_36716262930389121314[[#This Row],[累计净值]]/$B$51-1</f>
        <v>3.926940639269394E-2</v>
      </c>
    </row>
    <row r="102" spans="1:8" x14ac:dyDescent="0.2">
      <c r="A102" s="15">
        <v>43973</v>
      </c>
      <c r="B102" s="112">
        <v>1.1279999999999999</v>
      </c>
      <c r="C102" s="108">
        <f t="shared" si="24"/>
        <v>-1.0000000000000009E-2</v>
      </c>
      <c r="D102" s="109">
        <f t="shared" si="25"/>
        <v>-1.0000000000000009E-2</v>
      </c>
      <c r="E102" s="109">
        <f ca="1">IF(表2_36716262930389121314[[#This Row],[累计净值]]/MAX(INDIRECT("B21:B" &amp; ROW()))-1&lt;E101,表2_36716262930389121314[[#This Row],[累计净值]]/MAX(INDIRECT("B21:B" &amp; ROW()))-1,E101)</f>
        <v>-1.5525114155251041E-2</v>
      </c>
      <c r="F102" s="110">
        <f>表2_36716262930389121314[[#This Row],[累计净值]]</f>
        <v>1.1279999999999999</v>
      </c>
      <c r="G102" s="20">
        <f>表2_36716262930389121314[[#This Row],[累计净值]]/$B$21-1</f>
        <v>6.3147973609801955E-2</v>
      </c>
      <c r="H102" s="20">
        <f>表2_36716262930389121314[[#This Row],[累计净值]]/$B$51-1</f>
        <v>3.013698630136985E-2</v>
      </c>
    </row>
    <row r="103" spans="1:8" x14ac:dyDescent="0.2">
      <c r="A103" s="15">
        <v>43976</v>
      </c>
      <c r="B103" s="112">
        <v>1.1359999999999999</v>
      </c>
      <c r="C103" s="108">
        <f t="shared" si="24"/>
        <v>8.0000000000000071E-3</v>
      </c>
      <c r="D103" s="109" t="str">
        <f t="shared" si="25"/>
        <v>/</v>
      </c>
      <c r="E103" s="109">
        <f ca="1">IF(表2_36716262930389121314[[#This Row],[累计净值]]/MAX(INDIRECT("B21:B" &amp; ROW()))-1&lt;E102,表2_36716262930389121314[[#This Row],[累计净值]]/MAX(INDIRECT("B21:B" &amp; ROW()))-1,E102)</f>
        <v>-1.5525114155251041E-2</v>
      </c>
      <c r="F103" s="110">
        <f>表2_36716262930389121314[[#This Row],[累计净值]]</f>
        <v>1.1359999999999999</v>
      </c>
      <c r="G103" s="20">
        <f>表2_36716262930389121314[[#This Row],[累计净值]]/$B$21-1</f>
        <v>7.0688030160226178E-2</v>
      </c>
      <c r="H103" s="20">
        <f>表2_36716262930389121314[[#This Row],[累计净值]]/$B$51-1</f>
        <v>3.7442922374429255E-2</v>
      </c>
    </row>
    <row r="104" spans="1:8" x14ac:dyDescent="0.2">
      <c r="A104" s="15">
        <v>43977</v>
      </c>
      <c r="B104" s="112">
        <v>1.147</v>
      </c>
      <c r="C104" s="108">
        <f t="shared" si="24"/>
        <v>1.1000000000000121E-2</v>
      </c>
      <c r="D104" s="109" t="str">
        <f t="shared" si="25"/>
        <v>/</v>
      </c>
      <c r="E104" s="109">
        <f ca="1">IF(表2_36716262930389121314[[#This Row],[累计净值]]/MAX(INDIRECT("B21:B" &amp; ROW()))-1&lt;E103,表2_36716262930389121314[[#This Row],[累计净值]]/MAX(INDIRECT("B21:B" &amp; ROW()))-1,E103)</f>
        <v>-1.5525114155251041E-2</v>
      </c>
      <c r="F104" s="110">
        <f>表2_36716262930389121314[[#This Row],[累计净值]]</f>
        <v>1.147</v>
      </c>
      <c r="G104" s="20">
        <f>表2_36716262930389121314[[#This Row],[累计净值]]/$B$21-1</f>
        <v>8.1055607917059458E-2</v>
      </c>
      <c r="H104" s="20">
        <f>表2_36716262930389121314[[#This Row],[累计净值]]/$B$51-1</f>
        <v>4.7488584474885798E-2</v>
      </c>
    </row>
    <row r="105" spans="1:8" x14ac:dyDescent="0.2">
      <c r="A105" s="15">
        <v>43978</v>
      </c>
      <c r="B105" s="112">
        <v>1.145</v>
      </c>
      <c r="C105" s="108">
        <f t="shared" si="24"/>
        <v>-2.0000000000000018E-3</v>
      </c>
      <c r="D105" s="109">
        <f t="shared" si="25"/>
        <v>-2.0000000000000018E-3</v>
      </c>
      <c r="E105" s="109">
        <f ca="1">IF(表2_36716262930389121314[[#This Row],[累计净值]]/MAX(INDIRECT("B21:B" &amp; ROW()))-1&lt;E104,表2_36716262930389121314[[#This Row],[累计净值]]/MAX(INDIRECT("B21:B" &amp; ROW()))-1,E104)</f>
        <v>-1.5525114155251041E-2</v>
      </c>
      <c r="F105" s="110">
        <f>表2_36716262930389121314[[#This Row],[累计净值]]</f>
        <v>1.145</v>
      </c>
      <c r="G105" s="20">
        <f>表2_36716262930389121314[[#This Row],[累计净值]]/$B$21-1</f>
        <v>7.9170593779453347E-2</v>
      </c>
      <c r="H105" s="20">
        <f>表2_36716262930389121314[[#This Row],[累计净值]]/$B$51-1</f>
        <v>4.5662100456621113E-2</v>
      </c>
    </row>
    <row r="106" spans="1:8" x14ac:dyDescent="0.2">
      <c r="A106" s="15">
        <v>43979</v>
      </c>
      <c r="B106" s="112">
        <v>1.1439999999999999</v>
      </c>
      <c r="C106" s="108">
        <f t="shared" ref="C106:C111" si="26">IFERROR(B106-B105,0)</f>
        <v>-1.0000000000001119E-3</v>
      </c>
      <c r="D106" s="109">
        <f t="shared" ref="D106:D111" si="27">IF(C106&lt;0,C106,"/")</f>
        <v>-1.0000000000001119E-3</v>
      </c>
      <c r="E106" s="109">
        <f ca="1">IF(表2_36716262930389121314[[#This Row],[累计净值]]/MAX(INDIRECT("B21:B" &amp; ROW()))-1&lt;E105,表2_36716262930389121314[[#This Row],[累计净值]]/MAX(INDIRECT("B21:B" &amp; ROW()))-1,E105)</f>
        <v>-1.5525114155251041E-2</v>
      </c>
      <c r="F106" s="110">
        <f>表2_36716262930389121314[[#This Row],[累计净值]]</f>
        <v>1.1439999999999999</v>
      </c>
      <c r="G106" s="20">
        <f>表2_36716262930389121314[[#This Row],[累计净值]]/$B$21-1</f>
        <v>7.8228086710650402E-2</v>
      </c>
      <c r="H106" s="20">
        <f>表2_36716262930389121314[[#This Row],[累计净值]]/$B$51-1</f>
        <v>4.4748858447488438E-2</v>
      </c>
    </row>
    <row r="107" spans="1:8" x14ac:dyDescent="0.2">
      <c r="A107" s="15">
        <v>43980</v>
      </c>
      <c r="B107" s="112">
        <v>1.151</v>
      </c>
      <c r="C107" s="108">
        <f t="shared" si="26"/>
        <v>7.0000000000001172E-3</v>
      </c>
      <c r="D107" s="109" t="str">
        <f t="shared" si="27"/>
        <v>/</v>
      </c>
      <c r="E107" s="109">
        <f ca="1">IF(表2_36716262930389121314[[#This Row],[累计净值]]/MAX(INDIRECT("B21:B" &amp; ROW()))-1&lt;E106,表2_36716262930389121314[[#This Row],[累计净值]]/MAX(INDIRECT("B21:B" &amp; ROW()))-1,E106)</f>
        <v>-1.5525114155251041E-2</v>
      </c>
      <c r="F107" s="110">
        <f>表2_36716262930389121314[[#This Row],[累计净值]]</f>
        <v>1.151</v>
      </c>
      <c r="G107" s="20">
        <f>表2_36716262930389121314[[#This Row],[累计净值]]/$B$21-1</f>
        <v>8.4825636192271459E-2</v>
      </c>
      <c r="H107" s="20">
        <f>表2_36716262930389121314[[#This Row],[累计净值]]/$B$51-1</f>
        <v>5.1141552511415611E-2</v>
      </c>
    </row>
    <row r="108" spans="1:8" x14ac:dyDescent="0.2">
      <c r="A108" s="15">
        <v>43983</v>
      </c>
      <c r="B108" s="112">
        <v>1.151</v>
      </c>
      <c r="C108" s="108">
        <f t="shared" si="26"/>
        <v>0</v>
      </c>
      <c r="D108" s="109" t="str">
        <f t="shared" si="27"/>
        <v>/</v>
      </c>
      <c r="E108" s="109">
        <f ca="1">IF(表2_36716262930389121314[[#This Row],[累计净值]]/MAX(INDIRECT("B21:B" &amp; ROW()))-1&lt;E107,表2_36716262930389121314[[#This Row],[累计净值]]/MAX(INDIRECT("B21:B" &amp; ROW()))-1,E107)</f>
        <v>-1.5525114155251041E-2</v>
      </c>
      <c r="F108" s="110">
        <f>表2_36716262930389121314[[#This Row],[累计净值]]</f>
        <v>1.151</v>
      </c>
      <c r="G108" s="20">
        <f>表2_36716262930389121314[[#This Row],[累计净值]]/$B$21-1</f>
        <v>8.4825636192271459E-2</v>
      </c>
      <c r="H108" s="20">
        <f>表2_36716262930389121314[[#This Row],[累计净值]]/$B$51-1</f>
        <v>5.1141552511415611E-2</v>
      </c>
    </row>
    <row r="109" spans="1:8" x14ac:dyDescent="0.2">
      <c r="A109" s="15">
        <v>43984</v>
      </c>
      <c r="B109" s="112">
        <v>1.1459999999999999</v>
      </c>
      <c r="C109" s="108">
        <f t="shared" si="26"/>
        <v>-5.0000000000001155E-3</v>
      </c>
      <c r="D109" s="109">
        <f t="shared" si="27"/>
        <v>-5.0000000000001155E-3</v>
      </c>
      <c r="E109" s="109">
        <f ca="1">IF(表2_36716262930389121314[[#This Row],[累计净值]]/MAX(INDIRECT("B21:B" &amp; ROW()))-1&lt;E108,表2_36716262930389121314[[#This Row],[累计净值]]/MAX(INDIRECT("B21:B" &amp; ROW()))-1,E108)</f>
        <v>-1.5525114155251041E-2</v>
      </c>
      <c r="F109" s="110">
        <f>表2_36716262930389121314[[#This Row],[累计净值]]</f>
        <v>1.1459999999999999</v>
      </c>
      <c r="G109" s="20">
        <f>表2_36716262930389121314[[#This Row],[累计净值]]/$B$21-1</f>
        <v>8.0113100848256291E-2</v>
      </c>
      <c r="H109" s="20">
        <f>表2_36716262930389121314[[#This Row],[累计净值]]/$B$51-1</f>
        <v>4.6575342465753344E-2</v>
      </c>
    </row>
    <row r="110" spans="1:8" x14ac:dyDescent="0.2">
      <c r="A110" s="15">
        <v>43985</v>
      </c>
      <c r="B110" s="112">
        <v>1.1499999999999999</v>
      </c>
      <c r="C110" s="108">
        <f t="shared" si="26"/>
        <v>4.0000000000000036E-3</v>
      </c>
      <c r="D110" s="109" t="str">
        <f t="shared" si="27"/>
        <v>/</v>
      </c>
      <c r="E110" s="109">
        <f ca="1">IF(表2_36716262930389121314[[#This Row],[累计净值]]/MAX(INDIRECT("B21:B" &amp; ROW()))-1&lt;E109,表2_36716262930389121314[[#This Row],[累计净值]]/MAX(INDIRECT("B21:B" &amp; ROW()))-1,E109)</f>
        <v>-1.5525114155251041E-2</v>
      </c>
      <c r="F110" s="110">
        <f>表2_36716262930389121314[[#This Row],[累计净值]]</f>
        <v>1.1499999999999999</v>
      </c>
      <c r="G110" s="20">
        <f>表2_36716262930389121314[[#This Row],[累计净值]]/$B$21-1</f>
        <v>8.3883129123468292E-2</v>
      </c>
      <c r="H110" s="20">
        <f>表2_36716262930389121314[[#This Row],[累计净值]]/$B$51-1</f>
        <v>5.0228310502283158E-2</v>
      </c>
    </row>
    <row r="111" spans="1:8" x14ac:dyDescent="0.2">
      <c r="A111" s="15">
        <v>43986</v>
      </c>
      <c r="B111" s="112">
        <v>1.157</v>
      </c>
      <c r="C111" s="108">
        <f t="shared" si="26"/>
        <v>7.0000000000001172E-3</v>
      </c>
      <c r="D111" s="109" t="str">
        <f t="shared" si="27"/>
        <v>/</v>
      </c>
      <c r="E111" s="109">
        <f ca="1">IF(表2_36716262930389121314[[#This Row],[累计净值]]/MAX(INDIRECT("B21:B" &amp; ROW()))-1&lt;E110,表2_36716262930389121314[[#This Row],[累计净值]]/MAX(INDIRECT("B21:B" &amp; ROW()))-1,E110)</f>
        <v>-1.5525114155251041E-2</v>
      </c>
      <c r="F111" s="110">
        <f>表2_36716262930389121314[[#This Row],[累计净值]]</f>
        <v>1.157</v>
      </c>
      <c r="G111" s="20">
        <f>表2_36716262930389121314[[#This Row],[累计净值]]/$B$21-1</f>
        <v>9.0480678605089571E-2</v>
      </c>
      <c r="H111" s="20">
        <f>表2_36716262930389121314[[#This Row],[累计净值]]/$B$51-1</f>
        <v>5.6621004566210109E-2</v>
      </c>
    </row>
    <row r="112" spans="1:8" x14ac:dyDescent="0.2">
      <c r="A112" s="15">
        <v>43987</v>
      </c>
      <c r="B112" s="112">
        <v>1.1559999999999999</v>
      </c>
      <c r="C112" s="108">
        <f t="shared" ref="C112:C117" si="28">IFERROR(B112-B111,0)</f>
        <v>-1.0000000000001119E-3</v>
      </c>
      <c r="D112" s="109">
        <f t="shared" ref="D112:D117" si="29">IF(C112&lt;0,C112,"/")</f>
        <v>-1.0000000000001119E-3</v>
      </c>
      <c r="E112" s="109">
        <f ca="1">IF(表2_36716262930389121314[[#This Row],[累计净值]]/MAX(INDIRECT("B21:B" &amp; ROW()))-1&lt;E111,表2_36716262930389121314[[#This Row],[累计净值]]/MAX(INDIRECT("B21:B" &amp; ROW()))-1,E111)</f>
        <v>-1.5525114155251041E-2</v>
      </c>
      <c r="F112" s="110">
        <f>表2_36716262930389121314[[#This Row],[累计净值]]</f>
        <v>1.1559999999999999</v>
      </c>
      <c r="G112" s="20">
        <f>表2_36716262930389121314[[#This Row],[累计净值]]/$B$21-1</f>
        <v>8.9538171536286404E-2</v>
      </c>
      <c r="H112" s="20">
        <f>表2_36716262930389121314[[#This Row],[累计净值]]/$B$51-1</f>
        <v>5.5707762557077656E-2</v>
      </c>
    </row>
    <row r="113" spans="1:8" x14ac:dyDescent="0.2">
      <c r="A113" s="15">
        <v>43990</v>
      </c>
      <c r="B113" s="112">
        <v>1.1539999999999999</v>
      </c>
      <c r="C113" s="108">
        <f t="shared" si="28"/>
        <v>-2.0000000000000018E-3</v>
      </c>
      <c r="D113" s="109">
        <f t="shared" si="29"/>
        <v>-2.0000000000000018E-3</v>
      </c>
      <c r="E113" s="109">
        <f ca="1">IF(表2_36716262930389121314[[#This Row],[累计净值]]/MAX(INDIRECT("B21:B" &amp; ROW()))-1&lt;E112,表2_36716262930389121314[[#This Row],[累计净值]]/MAX(INDIRECT("B21:B" &amp; ROW()))-1,E112)</f>
        <v>-1.5525114155251041E-2</v>
      </c>
      <c r="F113" s="110">
        <f>表2_36716262930389121314[[#This Row],[累计净值]]</f>
        <v>1.1539999999999999</v>
      </c>
      <c r="G113" s="20">
        <f>表2_36716262930389121314[[#This Row],[累计净值]]/$B$21-1</f>
        <v>8.7653157398680515E-2</v>
      </c>
      <c r="H113" s="20">
        <f>表2_36716262930389121314[[#This Row],[累计净值]]/$B$51-1</f>
        <v>5.3881278538812749E-2</v>
      </c>
    </row>
    <row r="114" spans="1:8" x14ac:dyDescent="0.2">
      <c r="A114" s="15">
        <v>43991</v>
      </c>
      <c r="B114" s="112">
        <v>1.153</v>
      </c>
      <c r="C114" s="108">
        <f t="shared" si="28"/>
        <v>-9.9999999999988987E-4</v>
      </c>
      <c r="D114" s="109">
        <f t="shared" si="29"/>
        <v>-9.9999999999988987E-4</v>
      </c>
      <c r="E114" s="109">
        <f ca="1">IF(表2_36716262930389121314[[#This Row],[累计净值]]/MAX(INDIRECT("B21:B" &amp; ROW()))-1&lt;E113,表2_36716262930389121314[[#This Row],[累计净值]]/MAX(INDIRECT("B21:B" &amp; ROW()))-1,E113)</f>
        <v>-1.5525114155251041E-2</v>
      </c>
      <c r="F114" s="110">
        <f>表2_36716262930389121314[[#This Row],[累计净值]]</f>
        <v>1.153</v>
      </c>
      <c r="G114" s="20">
        <f>表2_36716262930389121314[[#This Row],[累计净值]]/$B$21-1</f>
        <v>8.671065032987757E-2</v>
      </c>
      <c r="H114" s="20">
        <f>表2_36716262930389121314[[#This Row],[累计净值]]/$B$51-1</f>
        <v>5.2968036529680518E-2</v>
      </c>
    </row>
    <row r="115" spans="1:8" x14ac:dyDescent="0.2">
      <c r="A115" s="15">
        <v>43992</v>
      </c>
      <c r="B115" s="112">
        <v>1.1599999999999999</v>
      </c>
      <c r="C115" s="108">
        <f t="shared" si="28"/>
        <v>6.9999999999998952E-3</v>
      </c>
      <c r="D115" s="109" t="str">
        <f t="shared" si="29"/>
        <v>/</v>
      </c>
      <c r="E115" s="109">
        <f ca="1">IF(表2_36716262930389121314[[#This Row],[累计净值]]/MAX(INDIRECT("B21:B" &amp; ROW()))-1&lt;E114,表2_36716262930389121314[[#This Row],[累计净值]]/MAX(INDIRECT("B21:B" &amp; ROW()))-1,E114)</f>
        <v>-1.5525114155251041E-2</v>
      </c>
      <c r="F115" s="110">
        <f>表2_36716262930389121314[[#This Row],[累计净值]]</f>
        <v>1.1599999999999999</v>
      </c>
      <c r="G115" s="20">
        <f>表2_36716262930389121314[[#This Row],[累计净值]]/$B$21-1</f>
        <v>9.3308199811498627E-2</v>
      </c>
      <c r="H115" s="20">
        <f>表2_36716262930389121314[[#This Row],[累计净值]]/$B$51-1</f>
        <v>5.9360730593607247E-2</v>
      </c>
    </row>
    <row r="116" spans="1:8" x14ac:dyDescent="0.2">
      <c r="A116" s="15">
        <v>43993</v>
      </c>
      <c r="B116" s="112">
        <v>1.159</v>
      </c>
      <c r="C116" s="108">
        <f t="shared" si="28"/>
        <v>-9.9999999999988987E-4</v>
      </c>
      <c r="D116" s="109">
        <f t="shared" si="29"/>
        <v>-9.9999999999988987E-4</v>
      </c>
      <c r="E116" s="109">
        <f ca="1">IF(表2_36716262930389121314[[#This Row],[累计净值]]/MAX(INDIRECT("B21:B" &amp; ROW()))-1&lt;E115,表2_36716262930389121314[[#This Row],[累计净值]]/MAX(INDIRECT("B21:B" &amp; ROW()))-1,E115)</f>
        <v>-1.5525114155251041E-2</v>
      </c>
      <c r="F116" s="110">
        <f>表2_36716262930389121314[[#This Row],[累计净值]]</f>
        <v>1.159</v>
      </c>
      <c r="G116" s="20">
        <f>表2_36716262930389121314[[#This Row],[累计净值]]/$B$21-1</f>
        <v>9.2365692742695682E-2</v>
      </c>
      <c r="H116" s="20">
        <f>表2_36716262930389121314[[#This Row],[累计净值]]/$B$51-1</f>
        <v>5.8447488584475016E-2</v>
      </c>
    </row>
    <row r="117" spans="1:8" x14ac:dyDescent="0.2">
      <c r="A117" s="15">
        <v>43994</v>
      </c>
      <c r="B117" s="112">
        <v>1.163</v>
      </c>
      <c r="C117" s="108">
        <f t="shared" si="28"/>
        <v>4.0000000000000036E-3</v>
      </c>
      <c r="D117" s="109" t="str">
        <f t="shared" si="29"/>
        <v>/</v>
      </c>
      <c r="E117" s="109">
        <f ca="1">IF(表2_36716262930389121314[[#This Row],[累计净值]]/MAX(INDIRECT("B21:B" &amp; ROW()))-1&lt;E116,表2_36716262930389121314[[#This Row],[累计净值]]/MAX(INDIRECT("B21:B" &amp; ROW()))-1,E116)</f>
        <v>-1.5525114155251041E-2</v>
      </c>
      <c r="F117" s="110">
        <f>表2_36716262930389121314[[#This Row],[累计净值]]</f>
        <v>1.163</v>
      </c>
      <c r="G117" s="20">
        <f>表2_36716262930389121314[[#This Row],[累计净值]]/$B$21-1</f>
        <v>9.6135721017907683E-2</v>
      </c>
      <c r="H117" s="20">
        <f>表2_36716262930389121314[[#This Row],[累计净值]]/$B$51-1</f>
        <v>6.2100456621004607E-2</v>
      </c>
    </row>
    <row r="118" spans="1:8" x14ac:dyDescent="0.2">
      <c r="A118" s="15">
        <v>43997</v>
      </c>
      <c r="B118" s="112">
        <v>1.157</v>
      </c>
      <c r="C118" s="108">
        <f t="shared" ref="C118:C124" si="30">IFERROR(B118-B117,0)</f>
        <v>-6.0000000000000053E-3</v>
      </c>
      <c r="D118" s="109">
        <f t="shared" ref="D118:D124" si="31">IF(C118&lt;0,C118,"/")</f>
        <v>-6.0000000000000053E-3</v>
      </c>
      <c r="E118" s="109">
        <f ca="1">IF(表2_36716262930389121314[[#This Row],[累计净值]]/MAX(INDIRECT("B21:B" &amp; ROW()))-1&lt;E117,表2_36716262930389121314[[#This Row],[累计净值]]/MAX(INDIRECT("B21:B" &amp; ROW()))-1,E117)</f>
        <v>-1.5525114155251041E-2</v>
      </c>
      <c r="F118" s="110">
        <f>表2_36716262930389121314[[#This Row],[累计净值]]</f>
        <v>1.157</v>
      </c>
      <c r="G118" s="20">
        <f>表2_36716262930389121314[[#This Row],[累计净值]]/$B$21-1</f>
        <v>9.0480678605089571E-2</v>
      </c>
      <c r="H118" s="20">
        <f>表2_36716262930389121314[[#This Row],[累计净值]]/$B$51-1</f>
        <v>5.6621004566210109E-2</v>
      </c>
    </row>
    <row r="119" spans="1:8" x14ac:dyDescent="0.2">
      <c r="A119" s="15">
        <v>43998</v>
      </c>
      <c r="B119" s="117">
        <v>1.1659999999999999</v>
      </c>
      <c r="C119" s="108">
        <f t="shared" si="30"/>
        <v>8.999999999999897E-3</v>
      </c>
      <c r="D119" s="109" t="str">
        <f t="shared" si="31"/>
        <v>/</v>
      </c>
      <c r="E119" s="109">
        <f ca="1">IF(表2_36716262930389121314[[#This Row],[累计净值]]/MAX(INDIRECT("B21:B" &amp; ROW()))-1&lt;E118,表2_36716262930389121314[[#This Row],[累计净值]]/MAX(INDIRECT("B21:B" &amp; ROW()))-1,E118)</f>
        <v>-1.5525114155251041E-2</v>
      </c>
      <c r="F119" s="110">
        <f>表2_36716262930389121314[[#This Row],[累计净值]]</f>
        <v>1.1659999999999999</v>
      </c>
      <c r="G119" s="20">
        <f>表2_36716262930389121314[[#This Row],[累计净值]]/$B$21-1</f>
        <v>9.8963242224316739E-2</v>
      </c>
      <c r="H119" s="20">
        <f>表2_36716262930389121314[[#This Row],[累计净值]]/$B$51-1</f>
        <v>6.4840182648401745E-2</v>
      </c>
    </row>
    <row r="120" spans="1:8" x14ac:dyDescent="0.2">
      <c r="A120" s="15">
        <v>43999</v>
      </c>
      <c r="B120" s="112">
        <v>1.165</v>
      </c>
      <c r="C120" s="108">
        <f t="shared" si="30"/>
        <v>-9.9999999999988987E-4</v>
      </c>
      <c r="D120" s="109">
        <f t="shared" si="31"/>
        <v>-9.9999999999988987E-4</v>
      </c>
      <c r="E120" s="109">
        <f ca="1">IF(表2_36716262930389121314[[#This Row],[累计净值]]/MAX(INDIRECT("B21:B" &amp; ROW()))-1&lt;E119,表2_36716262930389121314[[#This Row],[累计净值]]/MAX(INDIRECT("B21:B" &amp; ROW()))-1,E119)</f>
        <v>-1.5525114155251041E-2</v>
      </c>
      <c r="F120" s="110">
        <f>表2_36716262930389121314[[#This Row],[累计净值]]</f>
        <v>1.165</v>
      </c>
      <c r="G120" s="20">
        <f>表2_36716262930389121314[[#This Row],[累计净值]]/$B$21-1</f>
        <v>9.8020735155513794E-2</v>
      </c>
      <c r="H120" s="20">
        <f>表2_36716262930389121314[[#This Row],[累计净值]]/$B$51-1</f>
        <v>6.3926940639269514E-2</v>
      </c>
    </row>
    <row r="121" spans="1:8" x14ac:dyDescent="0.2">
      <c r="A121" s="15">
        <v>44000</v>
      </c>
      <c r="B121" s="112">
        <v>1.159</v>
      </c>
      <c r="C121" s="108">
        <f t="shared" si="30"/>
        <v>-6.0000000000000053E-3</v>
      </c>
      <c r="D121" s="109">
        <f t="shared" si="31"/>
        <v>-6.0000000000000053E-3</v>
      </c>
      <c r="E121" s="109">
        <f ca="1">IF(表2_36716262930389121314[[#This Row],[累计净值]]/MAX(INDIRECT("B21:B" &amp; ROW()))-1&lt;E120,表2_36716262930389121314[[#This Row],[累计净值]]/MAX(INDIRECT("B21:B" &amp; ROW()))-1,E120)</f>
        <v>-1.5525114155251041E-2</v>
      </c>
      <c r="F121" s="110">
        <f>表2_36716262930389121314[[#This Row],[累计净值]]</f>
        <v>1.159</v>
      </c>
      <c r="G121" s="20">
        <f>表2_36716262930389121314[[#This Row],[累计净值]]/$B$21-1</f>
        <v>9.2365692742695682E-2</v>
      </c>
      <c r="H121" s="20">
        <f>表2_36716262930389121314[[#This Row],[累计净值]]/$B$51-1</f>
        <v>5.8447488584475016E-2</v>
      </c>
    </row>
    <row r="122" spans="1:8" x14ac:dyDescent="0.2">
      <c r="A122" s="15">
        <v>44001</v>
      </c>
      <c r="B122" s="112">
        <v>1.1539999999999999</v>
      </c>
      <c r="C122" s="108">
        <f t="shared" si="30"/>
        <v>-5.0000000000001155E-3</v>
      </c>
      <c r="D122" s="109">
        <f t="shared" si="31"/>
        <v>-5.0000000000001155E-3</v>
      </c>
      <c r="E122" s="109">
        <f ca="1">IF(表2_36716262930389121314[[#This Row],[累计净值]]/MAX(INDIRECT("B21:B" &amp; ROW()))-1&lt;E121,表2_36716262930389121314[[#This Row],[累计净值]]/MAX(INDIRECT("B21:B" &amp; ROW()))-1,E121)</f>
        <v>-1.5525114155251041E-2</v>
      </c>
      <c r="F122" s="110">
        <f>表2_36716262930389121314[[#This Row],[累计净值]]</f>
        <v>1.1539999999999999</v>
      </c>
      <c r="G122" s="20">
        <f>表2_36716262930389121314[[#This Row],[累计净值]]/$B$21-1</f>
        <v>8.7653157398680515E-2</v>
      </c>
      <c r="H122" s="20">
        <f>表2_36716262930389121314[[#This Row],[累计净值]]/$B$51-1</f>
        <v>5.3881278538812749E-2</v>
      </c>
    </row>
    <row r="123" spans="1:8" x14ac:dyDescent="0.2">
      <c r="A123" s="15">
        <v>44004</v>
      </c>
      <c r="B123" s="112">
        <v>1.151</v>
      </c>
      <c r="C123" s="108">
        <f t="shared" si="30"/>
        <v>-2.9999999999998916E-3</v>
      </c>
      <c r="D123" s="109">
        <f t="shared" si="31"/>
        <v>-2.9999999999998916E-3</v>
      </c>
      <c r="E123" s="109">
        <f ca="1">IF(表2_36716262930389121314[[#This Row],[累计净值]]/MAX(INDIRECT("B21:B" &amp; ROW()))-1&lt;E122,表2_36716262930389121314[[#This Row],[累计净值]]/MAX(INDIRECT("B21:B" &amp; ROW()))-1,E122)</f>
        <v>-1.5525114155251041E-2</v>
      </c>
      <c r="F123" s="110">
        <f>表2_36716262930389121314[[#This Row],[累计净值]]</f>
        <v>1.151</v>
      </c>
      <c r="G123" s="20">
        <f>表2_36716262930389121314[[#This Row],[累计净值]]/$B$21-1</f>
        <v>8.4825636192271459E-2</v>
      </c>
      <c r="H123" s="20">
        <f>表2_36716262930389121314[[#This Row],[累计净值]]/$B$51-1</f>
        <v>5.1141552511415611E-2</v>
      </c>
    </row>
    <row r="124" spans="1:8" x14ac:dyDescent="0.2">
      <c r="A124" s="15">
        <v>44005</v>
      </c>
      <c r="B124" s="112">
        <v>1.163</v>
      </c>
      <c r="C124" s="108">
        <f t="shared" si="30"/>
        <v>1.2000000000000011E-2</v>
      </c>
      <c r="D124" s="109" t="str">
        <f t="shared" si="31"/>
        <v>/</v>
      </c>
      <c r="E124" s="109">
        <f ca="1">IF(表2_36716262930389121314[[#This Row],[累计净值]]/MAX(INDIRECT("B21:B" &amp; ROW()))-1&lt;E123,表2_36716262930389121314[[#This Row],[累计净值]]/MAX(INDIRECT("B21:B" &amp; ROW()))-1,E123)</f>
        <v>-1.5525114155251041E-2</v>
      </c>
      <c r="F124" s="110">
        <f>表2_36716262930389121314[[#This Row],[累计净值]]</f>
        <v>1.163</v>
      </c>
      <c r="G124" s="20">
        <f>表2_36716262930389121314[[#This Row],[累计净值]]/$B$21-1</f>
        <v>9.6135721017907683E-2</v>
      </c>
      <c r="H124" s="20">
        <f>表2_36716262930389121314[[#This Row],[累计净值]]/$B$51-1</f>
        <v>6.2100456621004607E-2</v>
      </c>
    </row>
    <row r="125" spans="1:8" x14ac:dyDescent="0.2">
      <c r="A125" s="9">
        <v>44006</v>
      </c>
      <c r="B125" s="190">
        <v>1.159</v>
      </c>
      <c r="C125" s="191">
        <f t="shared" ref="C125:C131" si="32">IFERROR(B125-B124,0)</f>
        <v>-4.0000000000000036E-3</v>
      </c>
      <c r="D125" s="192">
        <f t="shared" ref="D125:D131" si="33">IF(C125&lt;0,C125,"/")</f>
        <v>-4.0000000000000036E-3</v>
      </c>
      <c r="E125" s="192">
        <f ca="1">IF(表2_36716262930389121314[[#This Row],[累计净值]]/MAX(INDIRECT("B21:B" &amp; ROW()))-1&lt;E124,表2_36716262930389121314[[#This Row],[累计净值]]/MAX(INDIRECT("B21:B" &amp; ROW()))-1,E124)</f>
        <v>-1.5525114155251041E-2</v>
      </c>
      <c r="F125" s="193">
        <f>表2_36716262930389121314[[#This Row],[累计净值]]-0.12</f>
        <v>1.0390000000000001</v>
      </c>
      <c r="G125" s="82">
        <f>表2_36716262930389121314[[#This Row],[累计净值]]/$B$21-1</f>
        <v>9.2365692742695682E-2</v>
      </c>
      <c r="H125" s="82">
        <f>表2_36716262930389121314[[#This Row],[累计净值]]/$B$51-1</f>
        <v>5.8447488584475016E-2</v>
      </c>
    </row>
    <row r="126" spans="1:8" x14ac:dyDescent="0.2">
      <c r="A126" s="15">
        <v>44011</v>
      </c>
      <c r="B126" s="112">
        <v>1.1619999999999999</v>
      </c>
      <c r="C126" s="108">
        <f t="shared" si="32"/>
        <v>2.9999999999998916E-3</v>
      </c>
      <c r="D126" s="109" t="str">
        <f t="shared" si="33"/>
        <v>/</v>
      </c>
      <c r="E126" s="109">
        <f ca="1">IF(表2_36716262930389121314[[#This Row],[累计净值]]/MAX(INDIRECT("B21:B" &amp; ROW()))-1&lt;E125,表2_36716262930389121314[[#This Row],[累计净值]]/MAX(INDIRECT("B21:B" &amp; ROW()))-1,E125)</f>
        <v>-1.5525114155251041E-2</v>
      </c>
      <c r="F126" s="110">
        <f>表2_36716262930389121314[[#This Row],[累计净值]]-0.12</f>
        <v>1.0419999999999998</v>
      </c>
      <c r="G126" s="20">
        <f>表2_36716262930389121314[[#This Row],[累计净值]]/$B$21-1</f>
        <v>9.5193213949104516E-2</v>
      </c>
      <c r="H126" s="20">
        <f>表2_36716262930389121314[[#This Row],[累计净值]]/$B$51-1</f>
        <v>6.1187214611872154E-2</v>
      </c>
    </row>
    <row r="127" spans="1:8" x14ac:dyDescent="0.2">
      <c r="A127" s="15">
        <v>44012</v>
      </c>
      <c r="B127" s="112">
        <v>1.1659999999999999</v>
      </c>
      <c r="C127" s="108">
        <f t="shared" si="32"/>
        <v>4.0000000000000036E-3</v>
      </c>
      <c r="D127" s="109" t="str">
        <f t="shared" si="33"/>
        <v>/</v>
      </c>
      <c r="E127" s="109">
        <f ca="1">IF(表2_36716262930389121314[[#This Row],[累计净值]]/MAX(INDIRECT("B21:B" &amp; ROW()))-1&lt;E126,表2_36716262930389121314[[#This Row],[累计净值]]/MAX(INDIRECT("B21:B" &amp; ROW()))-1,E126)</f>
        <v>-1.5525114155251041E-2</v>
      </c>
      <c r="F127" s="110">
        <f>表2_36716262930389121314[[#This Row],[累计净值]]-0.12</f>
        <v>1.0459999999999998</v>
      </c>
      <c r="G127" s="20">
        <f>表2_36716262930389121314[[#This Row],[累计净值]]/$B$21-1</f>
        <v>9.8963242224316739E-2</v>
      </c>
      <c r="H127" s="20">
        <f>表2_36716262930389121314[[#This Row],[累计净值]]/$B$51-1</f>
        <v>6.4840182648401745E-2</v>
      </c>
    </row>
    <row r="128" spans="1:8" x14ac:dyDescent="0.2">
      <c r="A128" s="15">
        <v>44013</v>
      </c>
      <c r="B128" s="112">
        <v>1.165</v>
      </c>
      <c r="C128" s="108">
        <f t="shared" si="32"/>
        <v>-9.9999999999988987E-4</v>
      </c>
      <c r="D128" s="109">
        <f t="shared" si="33"/>
        <v>-9.9999999999988987E-4</v>
      </c>
      <c r="E128" s="109">
        <f ca="1">IF(表2_36716262930389121314[[#This Row],[累计净值]]/MAX(INDIRECT("B21:B" &amp; ROW()))-1&lt;E127,表2_36716262930389121314[[#This Row],[累计净值]]/MAX(INDIRECT("B21:B" &amp; ROW()))-1,E127)</f>
        <v>-1.5525114155251041E-2</v>
      </c>
      <c r="F128" s="110">
        <f>表2_36716262930389121314[[#This Row],[累计净值]]-0.12</f>
        <v>1.0449999999999999</v>
      </c>
      <c r="G128" s="20">
        <f>表2_36716262930389121314[[#This Row],[累计净值]]/$B$21-1</f>
        <v>9.8020735155513794E-2</v>
      </c>
      <c r="H128" s="20">
        <f>表2_36716262930389121314[[#This Row],[累计净值]]/$B$51-1</f>
        <v>6.3926940639269514E-2</v>
      </c>
    </row>
    <row r="129" spans="1:8" x14ac:dyDescent="0.2">
      <c r="A129" s="15">
        <v>44014</v>
      </c>
      <c r="B129" s="112">
        <v>1.161</v>
      </c>
      <c r="C129" s="108">
        <f t="shared" si="32"/>
        <v>-4.0000000000000036E-3</v>
      </c>
      <c r="D129" s="109">
        <f t="shared" si="33"/>
        <v>-4.0000000000000036E-3</v>
      </c>
      <c r="E129" s="109">
        <f ca="1">IF(表2_36716262930389121314[[#This Row],[累计净值]]/MAX(INDIRECT("B21:B" &amp; ROW()))-1&lt;E128,表2_36716262930389121314[[#This Row],[累计净值]]/MAX(INDIRECT("B21:B" &amp; ROW()))-1,E128)</f>
        <v>-1.5525114155251041E-2</v>
      </c>
      <c r="F129" s="110">
        <f>表2_36716262930389121314[[#This Row],[累计净值]]-0.12</f>
        <v>1.0409999999999999</v>
      </c>
      <c r="G129" s="20">
        <f>表2_36716262930389121314[[#This Row],[累计净值]]/$B$21-1</f>
        <v>9.4250706880301793E-2</v>
      </c>
      <c r="H129" s="20">
        <f>表2_36716262930389121314[[#This Row],[累计净值]]/$B$51-1</f>
        <v>6.02739726027397E-2</v>
      </c>
    </row>
    <row r="130" spans="1:8" x14ac:dyDescent="0.2">
      <c r="A130" s="15">
        <v>44015</v>
      </c>
      <c r="B130" s="112">
        <v>1.1639999999999999</v>
      </c>
      <c r="C130" s="108">
        <f t="shared" si="32"/>
        <v>2.9999999999998916E-3</v>
      </c>
      <c r="D130" s="109" t="str">
        <f t="shared" si="33"/>
        <v>/</v>
      </c>
      <c r="E130" s="109">
        <f ca="1">IF(表2_36716262930389121314[[#This Row],[累计净值]]/MAX(INDIRECT("B21:B" &amp; ROW()))-1&lt;E129,表2_36716262930389121314[[#This Row],[累计净值]]/MAX(INDIRECT("B21:B" &amp; ROW()))-1,E129)</f>
        <v>-1.5525114155251041E-2</v>
      </c>
      <c r="F130" s="110">
        <f>表2_36716262930389121314[[#This Row],[累计净值]]-0.12</f>
        <v>1.044</v>
      </c>
      <c r="G130" s="20">
        <f>表2_36716262930389121314[[#This Row],[累计净值]]/$B$21-1</f>
        <v>9.7078228086710627E-2</v>
      </c>
      <c r="H130" s="20">
        <f>表2_36716262930389121314[[#This Row],[累计净值]]/$B$51-1</f>
        <v>6.3013698630136838E-2</v>
      </c>
    </row>
    <row r="131" spans="1:8" x14ac:dyDescent="0.2">
      <c r="A131" s="15">
        <v>44018</v>
      </c>
      <c r="B131" s="112">
        <v>1.1439999999999999</v>
      </c>
      <c r="C131" s="108">
        <f t="shared" si="32"/>
        <v>-2.0000000000000018E-2</v>
      </c>
      <c r="D131" s="109">
        <f t="shared" si="33"/>
        <v>-2.0000000000000018E-2</v>
      </c>
      <c r="E131" s="109">
        <f ca="1">IF(表2_36716262930389121314[[#This Row],[累计净值]]/MAX(INDIRECT("B21:B" &amp; ROW()))-1&lt;E130,表2_36716262930389121314[[#This Row],[累计净值]]/MAX(INDIRECT("B21:B" &amp; ROW()))-1,E130)</f>
        <v>-1.8867924528301883E-2</v>
      </c>
      <c r="F131" s="110">
        <f>表2_36716262930389121314[[#This Row],[累计净值]]-0.12</f>
        <v>1.024</v>
      </c>
      <c r="G131" s="20">
        <f>表2_36716262930389121314[[#This Row],[累计净值]]/$B$21-1</f>
        <v>7.8228086710650402E-2</v>
      </c>
      <c r="H131" s="20">
        <f>表2_36716262930389121314[[#This Row],[累计净值]]/$B$51-1</f>
        <v>4.4748858447488438E-2</v>
      </c>
    </row>
    <row r="132" spans="1:8" x14ac:dyDescent="0.2">
      <c r="A132" s="15">
        <v>44019</v>
      </c>
      <c r="B132" s="112">
        <v>1.1419999999999999</v>
      </c>
      <c r="C132" s="108">
        <f t="shared" ref="C132:C137" si="34">IFERROR(B132-B131,0)</f>
        <v>-2.0000000000000018E-3</v>
      </c>
      <c r="D132" s="109">
        <f t="shared" ref="D132:D137" si="35">IF(C132&lt;0,C132,"/")</f>
        <v>-2.0000000000000018E-3</v>
      </c>
      <c r="E132" s="109">
        <f ca="1">IF(表2_36716262930389121314[[#This Row],[累计净值]]/MAX(INDIRECT("B21:B" &amp; ROW()))-1&lt;E131,表2_36716262930389121314[[#This Row],[累计净值]]/MAX(INDIRECT("B21:B" &amp; ROW()))-1,E131)</f>
        <v>-2.0583190394511175E-2</v>
      </c>
      <c r="F132" s="110">
        <f>表2_36716262930389121314[[#This Row],[累计净值]]-0.12</f>
        <v>1.0219999999999998</v>
      </c>
      <c r="G132" s="20">
        <f>表2_36716262930389121314[[#This Row],[累计净值]]/$B$21-1</f>
        <v>7.6343072573044291E-2</v>
      </c>
      <c r="H132" s="20">
        <f>表2_36716262930389121314[[#This Row],[累计净值]]/$B$51-1</f>
        <v>4.2922374429223753E-2</v>
      </c>
    </row>
    <row r="133" spans="1:8" x14ac:dyDescent="0.2">
      <c r="A133" s="15">
        <v>44020</v>
      </c>
      <c r="B133" s="112">
        <v>1.1539999999999999</v>
      </c>
      <c r="C133" s="108">
        <f t="shared" si="34"/>
        <v>1.2000000000000011E-2</v>
      </c>
      <c r="D133" s="109" t="str">
        <f t="shared" si="35"/>
        <v>/</v>
      </c>
      <c r="E133" s="109">
        <f ca="1">IF(表2_36716262930389121314[[#This Row],[累计净值]]/MAX(INDIRECT("B21:B" &amp; ROW()))-1&lt;E132,表2_36716262930389121314[[#This Row],[累计净值]]/MAX(INDIRECT("B21:B" &amp; ROW()))-1,E132)</f>
        <v>-2.0583190394511175E-2</v>
      </c>
      <c r="F133" s="110">
        <f>表2_36716262930389121314[[#This Row],[累计净值]]-0.12</f>
        <v>1.0339999999999998</v>
      </c>
      <c r="G133" s="20">
        <f>表2_36716262930389121314[[#This Row],[累计净值]]/$B$21-1</f>
        <v>8.7653157398680515E-2</v>
      </c>
      <c r="H133" s="20">
        <f>表2_36716262930389121314[[#This Row],[累计净值]]/$B$51-1</f>
        <v>5.3881278538812749E-2</v>
      </c>
    </row>
    <row r="134" spans="1:8" x14ac:dyDescent="0.2">
      <c r="A134" s="15">
        <v>44021</v>
      </c>
      <c r="B134" s="112">
        <v>1.161</v>
      </c>
      <c r="C134" s="108">
        <f t="shared" si="34"/>
        <v>7.0000000000001172E-3</v>
      </c>
      <c r="D134" s="109" t="str">
        <f t="shared" si="35"/>
        <v>/</v>
      </c>
      <c r="E134" s="109">
        <f ca="1">IF(表2_36716262930389121314[[#This Row],[累计净值]]/MAX(INDIRECT("B21:B" &amp; ROW()))-1&lt;E133,表2_36716262930389121314[[#This Row],[累计净值]]/MAX(INDIRECT("B21:B" &amp; ROW()))-1,E133)</f>
        <v>-2.0583190394511175E-2</v>
      </c>
      <c r="F134" s="110">
        <f>表2_36716262930389121314[[#This Row],[累计净值]]-0.12</f>
        <v>1.0409999999999999</v>
      </c>
      <c r="G134" s="20">
        <f>表2_36716262930389121314[[#This Row],[累计净值]]/$B$21-1</f>
        <v>9.4250706880301793E-2</v>
      </c>
      <c r="H134" s="20">
        <f>表2_36716262930389121314[[#This Row],[累计净值]]/$B$51-1</f>
        <v>6.02739726027397E-2</v>
      </c>
    </row>
    <row r="135" spans="1:8" x14ac:dyDescent="0.2">
      <c r="A135" s="15">
        <v>44022</v>
      </c>
      <c r="B135" s="112">
        <v>1.157</v>
      </c>
      <c r="C135" s="108">
        <f t="shared" si="34"/>
        <v>-4.0000000000000036E-3</v>
      </c>
      <c r="D135" s="109">
        <f t="shared" si="35"/>
        <v>-4.0000000000000036E-3</v>
      </c>
      <c r="E135" s="109">
        <f ca="1">IF(表2_36716262930389121314[[#This Row],[累计净值]]/MAX(INDIRECT("B21:B" &amp; ROW()))-1&lt;E134,表2_36716262930389121314[[#This Row],[累计净值]]/MAX(INDIRECT("B21:B" &amp; ROW()))-1,E134)</f>
        <v>-2.0583190394511175E-2</v>
      </c>
      <c r="F135" s="110">
        <f>表2_36716262930389121314[[#This Row],[累计净值]]-0.12</f>
        <v>1.0369999999999999</v>
      </c>
      <c r="G135" s="20">
        <f>表2_36716262930389121314[[#This Row],[累计净值]]/$B$21-1</f>
        <v>9.0480678605089571E-2</v>
      </c>
      <c r="H135" s="20">
        <f>表2_36716262930389121314[[#This Row],[累计净值]]/$B$51-1</f>
        <v>5.6621004566210109E-2</v>
      </c>
    </row>
    <row r="136" spans="1:8" x14ac:dyDescent="0.2">
      <c r="A136" s="15">
        <v>44025</v>
      </c>
      <c r="B136" s="112">
        <v>1.159</v>
      </c>
      <c r="C136" s="108">
        <f t="shared" si="34"/>
        <v>2.0000000000000018E-3</v>
      </c>
      <c r="D136" s="109" t="str">
        <f t="shared" si="35"/>
        <v>/</v>
      </c>
      <c r="E136" s="109">
        <f ca="1">IF(表2_36716262930389121314[[#This Row],[累计净值]]/MAX(INDIRECT("B21:B" &amp; ROW()))-1&lt;E135,表2_36716262930389121314[[#This Row],[累计净值]]/MAX(INDIRECT("B21:B" &amp; ROW()))-1,E135)</f>
        <v>-2.0583190394511175E-2</v>
      </c>
      <c r="F136" s="110">
        <f>表2_36716262930389121314[[#This Row],[累计净值]]-0.12</f>
        <v>1.0390000000000001</v>
      </c>
      <c r="G136" s="20">
        <f>表2_36716262930389121314[[#This Row],[累计净值]]/$B$21-1</f>
        <v>9.2365692742695682E-2</v>
      </c>
      <c r="H136" s="20">
        <f>表2_36716262930389121314[[#This Row],[累计净值]]/$B$51-1</f>
        <v>5.8447488584475016E-2</v>
      </c>
    </row>
    <row r="137" spans="1:8" x14ac:dyDescent="0.2">
      <c r="A137" s="15">
        <v>44026</v>
      </c>
      <c r="B137" s="112">
        <v>1.155</v>
      </c>
      <c r="C137" s="108">
        <f t="shared" si="34"/>
        <v>-4.0000000000000036E-3</v>
      </c>
      <c r="D137" s="109">
        <f t="shared" si="35"/>
        <v>-4.0000000000000036E-3</v>
      </c>
      <c r="E137" s="109">
        <f ca="1">IF(表2_36716262930389121314[[#This Row],[累计净值]]/MAX(INDIRECT("B21:B" &amp; ROW()))-1&lt;E136,表2_36716262930389121314[[#This Row],[累计净值]]/MAX(INDIRECT("B21:B" &amp; ROW()))-1,E136)</f>
        <v>-2.0583190394511175E-2</v>
      </c>
      <c r="F137" s="110">
        <f>表2_36716262930389121314[[#This Row],[累计净值]]-0.12</f>
        <v>1.0350000000000001</v>
      </c>
      <c r="G137" s="20">
        <f>表2_36716262930389121314[[#This Row],[累计净值]]/$B$21-1</f>
        <v>8.8595664467483681E-2</v>
      </c>
      <c r="H137" s="20">
        <f>表2_36716262930389121314[[#This Row],[累计净值]]/$B$51-1</f>
        <v>5.4794520547945202E-2</v>
      </c>
    </row>
    <row r="138" spans="1:8" x14ac:dyDescent="0.2">
      <c r="A138" s="15">
        <v>44027</v>
      </c>
      <c r="B138" s="112">
        <v>1.157</v>
      </c>
      <c r="C138" s="108">
        <f t="shared" ref="C138:C145" si="36">IFERROR(B138-B137,0)</f>
        <v>2.0000000000000018E-3</v>
      </c>
      <c r="D138" s="109" t="str">
        <f t="shared" ref="D138:D145" si="37">IF(C138&lt;0,C138,"/")</f>
        <v>/</v>
      </c>
      <c r="E138" s="109">
        <f ca="1">IF(表2_36716262930389121314[[#This Row],[累计净值]]/MAX(INDIRECT("B21:B" &amp; ROW()))-1&lt;E137,表2_36716262930389121314[[#This Row],[累计净值]]/MAX(INDIRECT("B21:B" &amp; ROW()))-1,E137)</f>
        <v>-2.0583190394511175E-2</v>
      </c>
      <c r="F138" s="110">
        <f>表2_36716262930389121314[[#This Row],[累计净值]]-0.12</f>
        <v>1.0369999999999999</v>
      </c>
      <c r="G138" s="20">
        <f>表2_36716262930389121314[[#This Row],[累计净值]]/$B$21-1</f>
        <v>9.0480678605089571E-2</v>
      </c>
      <c r="H138" s="20">
        <f>表2_36716262930389121314[[#This Row],[累计净值]]/$B$51-1</f>
        <v>5.6621004566210109E-2</v>
      </c>
    </row>
    <row r="139" spans="1:8" x14ac:dyDescent="0.2">
      <c r="A139" s="15">
        <v>44028</v>
      </c>
      <c r="B139" s="112">
        <v>1.145</v>
      </c>
      <c r="C139" s="108">
        <f t="shared" si="36"/>
        <v>-1.2000000000000011E-2</v>
      </c>
      <c r="D139" s="109">
        <f t="shared" si="37"/>
        <v>-1.2000000000000011E-2</v>
      </c>
      <c r="E139" s="109">
        <f ca="1">IF(表2_36716262930389121314[[#This Row],[累计净值]]/MAX(INDIRECT("B21:B" &amp; ROW()))-1&lt;E138,表2_36716262930389121314[[#This Row],[累计净值]]/MAX(INDIRECT("B21:B" &amp; ROW()))-1,E138)</f>
        <v>-2.0583190394511175E-2</v>
      </c>
      <c r="F139" s="110">
        <f>表2_36716262930389121314[[#This Row],[累计净值]]-0.12</f>
        <v>1.0249999999999999</v>
      </c>
      <c r="G139" s="20">
        <f>表2_36716262930389121314[[#This Row],[累计净值]]/$B$21-1</f>
        <v>7.9170593779453347E-2</v>
      </c>
      <c r="H139" s="20">
        <f>表2_36716262930389121314[[#This Row],[累计净值]]/$B$51-1</f>
        <v>4.5662100456621113E-2</v>
      </c>
    </row>
    <row r="140" spans="1:8" x14ac:dyDescent="0.2">
      <c r="A140" s="15">
        <v>44029</v>
      </c>
      <c r="B140" s="112">
        <v>1.155</v>
      </c>
      <c r="C140" s="108">
        <f t="shared" si="36"/>
        <v>1.0000000000000009E-2</v>
      </c>
      <c r="D140" s="109" t="str">
        <f t="shared" si="37"/>
        <v>/</v>
      </c>
      <c r="E140" s="109">
        <f ca="1">IF(表2_36716262930389121314[[#This Row],[累计净值]]/MAX(INDIRECT("B21:B" &amp; ROW()))-1&lt;E139,表2_36716262930389121314[[#This Row],[累计净值]]/MAX(INDIRECT("B21:B" &amp; ROW()))-1,E139)</f>
        <v>-2.0583190394511175E-2</v>
      </c>
      <c r="F140" s="110">
        <f>表2_36716262930389121314[[#This Row],[累计净值]]-0.12</f>
        <v>1.0350000000000001</v>
      </c>
      <c r="G140" s="20">
        <f>表2_36716262930389121314[[#This Row],[累计净值]]/$B$21-1</f>
        <v>8.8595664467483681E-2</v>
      </c>
      <c r="H140" s="20">
        <f>表2_36716262930389121314[[#This Row],[累计净值]]/$B$51-1</f>
        <v>5.4794520547945202E-2</v>
      </c>
    </row>
    <row r="141" spans="1:8" x14ac:dyDescent="0.2">
      <c r="A141" s="15">
        <v>44032</v>
      </c>
      <c r="B141" s="112">
        <v>1.1579999999999999</v>
      </c>
      <c r="C141" s="108">
        <f t="shared" si="36"/>
        <v>2.9999999999998916E-3</v>
      </c>
      <c r="D141" s="109" t="str">
        <f t="shared" si="37"/>
        <v>/</v>
      </c>
      <c r="E141" s="109">
        <f ca="1">IF(表2_36716262930389121314[[#This Row],[累计净值]]/MAX(INDIRECT("B21:B" &amp; ROW()))-1&lt;E140,表2_36716262930389121314[[#This Row],[累计净值]]/MAX(INDIRECT("B21:B" &amp; ROW()))-1,E140)</f>
        <v>-2.0583190394511175E-2</v>
      </c>
      <c r="F141" s="110">
        <f>表2_36716262930389121314[[#This Row],[累计净值]]-0.12</f>
        <v>1.0379999999999998</v>
      </c>
      <c r="G141" s="20">
        <f>表2_36716262930389121314[[#This Row],[累计净值]]/$B$21-1</f>
        <v>9.1423185673892515E-2</v>
      </c>
      <c r="H141" s="20">
        <f>表2_36716262930389121314[[#This Row],[累计净值]]/$B$51-1</f>
        <v>5.753424657534234E-2</v>
      </c>
    </row>
    <row r="142" spans="1:8" x14ac:dyDescent="0.2">
      <c r="A142" s="9">
        <v>44033</v>
      </c>
      <c r="B142" s="190">
        <v>1.1659999999999999</v>
      </c>
      <c r="C142" s="191">
        <f t="shared" si="36"/>
        <v>8.0000000000000071E-3</v>
      </c>
      <c r="D142" s="192" t="str">
        <f t="shared" si="37"/>
        <v>/</v>
      </c>
      <c r="E142" s="192">
        <f ca="1">IF(表2_36716262930389121314[[#This Row],[累计净值]]/MAX(INDIRECT("B21:B" &amp; ROW()))-1&lt;E141,表2_36716262930389121314[[#This Row],[累计净值]]/MAX(INDIRECT("B21:B" &amp; ROW()))-1,E141)</f>
        <v>-2.0583190394511175E-2</v>
      </c>
      <c r="F142" s="193">
        <f>表2_36716262930389121314[[#This Row],[累计净值]]-0.12</f>
        <v>1.0459999999999998</v>
      </c>
      <c r="G142" s="82">
        <f>表2_36716262930389121314[[#This Row],[累计净值]]/$B$21-1</f>
        <v>9.8963242224316739E-2</v>
      </c>
      <c r="H142" s="82">
        <f>表2_36716262930389121314[[#This Row],[累计净值]]/$B$51-1</f>
        <v>6.4840182648401745E-2</v>
      </c>
    </row>
    <row r="143" spans="1:8" x14ac:dyDescent="0.2">
      <c r="A143" s="15">
        <v>44034</v>
      </c>
      <c r="B143" s="112">
        <v>1.163</v>
      </c>
      <c r="C143" s="108">
        <f t="shared" si="36"/>
        <v>-2.9999999999998916E-3</v>
      </c>
      <c r="D143" s="109">
        <f t="shared" si="37"/>
        <v>-2.9999999999998916E-3</v>
      </c>
      <c r="E143" s="109">
        <f ca="1">IF(表2_36716262930389121314[[#This Row],[累计净值]]/MAX(INDIRECT("B21:B" &amp; ROW()))-1&lt;E142,表2_36716262930389121314[[#This Row],[累计净值]]/MAX(INDIRECT("B21:B" &amp; ROW()))-1,E142)</f>
        <v>-2.0583190394511175E-2</v>
      </c>
      <c r="F143" s="110">
        <f>表2_36716262930389121314[[#This Row],[累计净值]]-0.12</f>
        <v>1.0430000000000001</v>
      </c>
      <c r="G143" s="20">
        <f>表2_36716262930389121314[[#This Row],[累计净值]]/$B$21-1</f>
        <v>9.6135721017907683E-2</v>
      </c>
      <c r="H143" s="20">
        <f>表2_36716262930389121314[[#This Row],[累计净值]]/$B$51-1</f>
        <v>6.2100456621004607E-2</v>
      </c>
    </row>
    <row r="144" spans="1:8" x14ac:dyDescent="0.2">
      <c r="A144" s="15">
        <v>44035</v>
      </c>
      <c r="B144" s="117">
        <v>1.167</v>
      </c>
      <c r="C144" s="108">
        <f t="shared" si="36"/>
        <v>4.0000000000000036E-3</v>
      </c>
      <c r="D144" s="109" t="str">
        <f t="shared" si="37"/>
        <v>/</v>
      </c>
      <c r="E144" s="109">
        <f ca="1">IF(表2_36716262930389121314[[#This Row],[累计净值]]/MAX(INDIRECT("B21:B" &amp; ROW()))-1&lt;E143,表2_36716262930389121314[[#This Row],[累计净值]]/MAX(INDIRECT("B21:B" &amp; ROW()))-1,E143)</f>
        <v>-2.0583190394511175E-2</v>
      </c>
      <c r="F144" s="110">
        <f>表2_36716262930389121314[[#This Row],[累计净值]]-0.12</f>
        <v>1.0470000000000002</v>
      </c>
      <c r="G144" s="20">
        <f>表2_36716262930389121314[[#This Row],[累计净值]]/$B$21-1</f>
        <v>9.9905749293119683E-2</v>
      </c>
      <c r="H144" s="20">
        <f>表2_36716262930389121314[[#This Row],[累计净值]]/$B$51-1</f>
        <v>6.5753424657534199E-2</v>
      </c>
    </row>
    <row r="145" spans="1:8" x14ac:dyDescent="0.2">
      <c r="A145" s="15">
        <v>44036</v>
      </c>
      <c r="B145" s="112">
        <v>1.1619999999999999</v>
      </c>
      <c r="C145" s="108">
        <f t="shared" si="36"/>
        <v>-5.0000000000001155E-3</v>
      </c>
      <c r="D145" s="109">
        <f t="shared" si="37"/>
        <v>-5.0000000000001155E-3</v>
      </c>
      <c r="E145" s="109">
        <f ca="1">IF(表2_36716262930389121314[[#This Row],[累计净值]]/MAX(INDIRECT("B21:B" &amp; ROW()))-1&lt;E144,表2_36716262930389121314[[#This Row],[累计净值]]/MAX(INDIRECT("B21:B" &amp; ROW()))-1,E144)</f>
        <v>-2.0583190394511175E-2</v>
      </c>
      <c r="F145" s="110">
        <f>表2_36716262930389121314[[#This Row],[累计净值]]-0.12</f>
        <v>1.0419999999999998</v>
      </c>
      <c r="G145" s="20">
        <f>表2_36716262930389121314[[#This Row],[累计净值]]/$B$21-1</f>
        <v>9.5193213949104516E-2</v>
      </c>
      <c r="H145" s="20">
        <f>表2_36716262930389121314[[#This Row],[累计净值]]/$B$51-1</f>
        <v>6.1187214611872154E-2</v>
      </c>
    </row>
    <row r="146" spans="1:8" x14ac:dyDescent="0.2">
      <c r="A146" s="15">
        <v>44039</v>
      </c>
      <c r="B146" s="112">
        <v>1.1599999999999999</v>
      </c>
      <c r="C146" s="108">
        <f t="shared" ref="C146:C151" si="38">IFERROR(B146-B145,0)</f>
        <v>-2.0000000000000018E-3</v>
      </c>
      <c r="D146" s="109">
        <f t="shared" ref="D146:D151" si="39">IF(C146&lt;0,C146,"/")</f>
        <v>-2.0000000000000018E-3</v>
      </c>
      <c r="E146" s="109">
        <f ca="1">IF(表2_36716262930389121314[[#This Row],[累计净值]]/MAX(INDIRECT("B21:B" &amp; ROW()))-1&lt;E145,表2_36716262930389121314[[#This Row],[累计净值]]/MAX(INDIRECT("B21:B" &amp; ROW()))-1,E145)</f>
        <v>-2.0583190394511175E-2</v>
      </c>
      <c r="F146" s="110">
        <f>表2_36716262930389121314[[#This Row],[累计净值]]-0.12</f>
        <v>1.04</v>
      </c>
      <c r="G146" s="20">
        <f>表2_36716262930389121314[[#This Row],[累计净值]]/$B$21-1</f>
        <v>9.3308199811498627E-2</v>
      </c>
      <c r="H146" s="20">
        <f>表2_36716262930389121314[[#This Row],[累计净值]]/$B$51-1</f>
        <v>5.9360730593607247E-2</v>
      </c>
    </row>
    <row r="147" spans="1:8" x14ac:dyDescent="0.2">
      <c r="A147" s="15">
        <v>44040</v>
      </c>
      <c r="B147" s="112">
        <v>1.1659999999999999</v>
      </c>
      <c r="C147" s="108">
        <f t="shared" si="38"/>
        <v>6.0000000000000053E-3</v>
      </c>
      <c r="D147" s="109" t="str">
        <f t="shared" si="39"/>
        <v>/</v>
      </c>
      <c r="E147" s="109">
        <f ca="1">IF(表2_36716262930389121314[[#This Row],[累计净值]]/MAX(INDIRECT("B21:B" &amp; ROW()))-1&lt;E146,表2_36716262930389121314[[#This Row],[累计净值]]/MAX(INDIRECT("B21:B" &amp; ROW()))-1,E146)</f>
        <v>-2.0583190394511175E-2</v>
      </c>
      <c r="F147" s="110">
        <f>表2_36716262930389121314[[#This Row],[累计净值]]-0.12</f>
        <v>1.0459999999999998</v>
      </c>
      <c r="G147" s="20">
        <f>表2_36716262930389121314[[#This Row],[累计净值]]/$B$21-1</f>
        <v>9.8963242224316739E-2</v>
      </c>
      <c r="H147" s="20">
        <f>表2_36716262930389121314[[#This Row],[累计净值]]/$B$51-1</f>
        <v>6.4840182648401745E-2</v>
      </c>
    </row>
    <row r="148" spans="1:8" x14ac:dyDescent="0.2">
      <c r="A148" s="15">
        <v>44041</v>
      </c>
      <c r="B148" s="112">
        <v>1.161</v>
      </c>
      <c r="C148" s="108">
        <f t="shared" si="38"/>
        <v>-4.9999999999998934E-3</v>
      </c>
      <c r="D148" s="109">
        <f t="shared" si="39"/>
        <v>-4.9999999999998934E-3</v>
      </c>
      <c r="E148" s="109">
        <f ca="1">IF(表2_36716262930389121314[[#This Row],[累计净值]]/MAX(INDIRECT("B21:B" &amp; ROW()))-1&lt;E147,表2_36716262930389121314[[#This Row],[累计净值]]/MAX(INDIRECT("B21:B" &amp; ROW()))-1,E147)</f>
        <v>-2.0583190394511175E-2</v>
      </c>
      <c r="F148" s="110">
        <f>表2_36716262930389121314[[#This Row],[累计净值]]-0.12</f>
        <v>1.0409999999999999</v>
      </c>
      <c r="G148" s="20">
        <f>表2_36716262930389121314[[#This Row],[累计净值]]/$B$21-1</f>
        <v>9.4250706880301793E-2</v>
      </c>
      <c r="H148" s="20">
        <f>表2_36716262930389121314[[#This Row],[累计净值]]/$B$51-1</f>
        <v>6.02739726027397E-2</v>
      </c>
    </row>
    <row r="149" spans="1:8" x14ac:dyDescent="0.2">
      <c r="A149" s="15">
        <v>44042</v>
      </c>
      <c r="B149" s="112">
        <v>1.161</v>
      </c>
      <c r="C149" s="108">
        <f t="shared" si="38"/>
        <v>0</v>
      </c>
      <c r="D149" s="109" t="str">
        <f t="shared" si="39"/>
        <v>/</v>
      </c>
      <c r="E149" s="109">
        <f ca="1">IF(表2_36716262930389121314[[#This Row],[累计净值]]/MAX(INDIRECT("B21:B" &amp; ROW()))-1&lt;E148,表2_36716262930389121314[[#This Row],[累计净值]]/MAX(INDIRECT("B21:B" &amp; ROW()))-1,E148)</f>
        <v>-2.0583190394511175E-2</v>
      </c>
      <c r="F149" s="110">
        <f>表2_36716262930389121314[[#This Row],[累计净值]]-0.12</f>
        <v>1.0409999999999999</v>
      </c>
      <c r="G149" s="20">
        <f>表2_36716262930389121314[[#This Row],[累计净值]]/$B$21-1</f>
        <v>9.4250706880301793E-2</v>
      </c>
      <c r="H149" s="20">
        <f>表2_36716262930389121314[[#This Row],[累计净值]]/$B$51-1</f>
        <v>6.02739726027397E-2</v>
      </c>
    </row>
    <row r="150" spans="1:8" x14ac:dyDescent="0.2">
      <c r="A150" s="15">
        <v>44043</v>
      </c>
      <c r="B150" s="112">
        <v>1.163</v>
      </c>
      <c r="C150" s="108">
        <f t="shared" si="38"/>
        <v>2.0000000000000018E-3</v>
      </c>
      <c r="D150" s="109" t="str">
        <f t="shared" si="39"/>
        <v>/</v>
      </c>
      <c r="E150" s="109">
        <f ca="1">IF(表2_36716262930389121314[[#This Row],[累计净值]]/MAX(INDIRECT("B21:B" &amp; ROW()))-1&lt;E149,表2_36716262930389121314[[#This Row],[累计净值]]/MAX(INDIRECT("B21:B" &amp; ROW()))-1,E149)</f>
        <v>-2.0583190394511175E-2</v>
      </c>
      <c r="F150" s="110">
        <f>表2_36716262930389121314[[#This Row],[累计净值]]-0.12</f>
        <v>1.0430000000000001</v>
      </c>
      <c r="G150" s="20">
        <f>表2_36716262930389121314[[#This Row],[累计净值]]/$B$21-1</f>
        <v>9.6135721017907683E-2</v>
      </c>
      <c r="H150" s="20">
        <f>表2_36716262930389121314[[#This Row],[累计净值]]/$B$51-1</f>
        <v>6.2100456621004607E-2</v>
      </c>
    </row>
    <row r="151" spans="1:8" x14ac:dyDescent="0.2">
      <c r="A151" s="15">
        <v>44046</v>
      </c>
      <c r="B151" s="112">
        <v>1.1659999999999999</v>
      </c>
      <c r="C151" s="108">
        <f t="shared" si="38"/>
        <v>2.9999999999998916E-3</v>
      </c>
      <c r="D151" s="109" t="str">
        <f t="shared" si="39"/>
        <v>/</v>
      </c>
      <c r="E151" s="109">
        <f ca="1">IF(表2_36716262930389121314[[#This Row],[累计净值]]/MAX(INDIRECT("B21:B" &amp; ROW()))-1&lt;E150,表2_36716262930389121314[[#This Row],[累计净值]]/MAX(INDIRECT("B21:B" &amp; ROW()))-1,E150)</f>
        <v>-2.0583190394511175E-2</v>
      </c>
      <c r="F151" s="110">
        <f>表2_36716262930389121314[[#This Row],[累计净值]]-0.12</f>
        <v>1.0459999999999998</v>
      </c>
      <c r="G151" s="20">
        <f>表2_36716262930389121314[[#This Row],[累计净值]]/$B$21-1</f>
        <v>9.8963242224316739E-2</v>
      </c>
      <c r="H151" s="20">
        <f>表2_36716262930389121314[[#This Row],[累计净值]]/$B$51-1</f>
        <v>6.4840182648401745E-2</v>
      </c>
    </row>
    <row r="152" spans="1:8" x14ac:dyDescent="0.2">
      <c r="A152" s="15">
        <v>44047</v>
      </c>
      <c r="B152" s="112">
        <v>1.1659999999999999</v>
      </c>
      <c r="C152" s="108">
        <f t="shared" ref="C152:C157" si="40">IFERROR(B152-B151,0)</f>
        <v>0</v>
      </c>
      <c r="D152" s="109" t="str">
        <f t="shared" ref="D152:D157" si="41">IF(C152&lt;0,C152,"/")</f>
        <v>/</v>
      </c>
      <c r="E152" s="109">
        <f ca="1">IF(表2_36716262930389121314[[#This Row],[累计净值]]/MAX(INDIRECT("B21:B" &amp; ROW()))-1&lt;E151,表2_36716262930389121314[[#This Row],[累计净值]]/MAX(INDIRECT("B21:B" &amp; ROW()))-1,E151)</f>
        <v>-2.0583190394511175E-2</v>
      </c>
      <c r="F152" s="110">
        <f>表2_36716262930389121314[[#This Row],[累计净值]]-0.12</f>
        <v>1.0459999999999998</v>
      </c>
      <c r="G152" s="20">
        <f>表2_36716262930389121314[[#This Row],[累计净值]]/$B$21-1</f>
        <v>9.8963242224316739E-2</v>
      </c>
      <c r="H152" s="20">
        <f>表2_36716262930389121314[[#This Row],[累计净值]]/$B$51-1</f>
        <v>6.4840182648401745E-2</v>
      </c>
    </row>
    <row r="153" spans="1:8" x14ac:dyDescent="0.2">
      <c r="A153" s="15">
        <v>44048</v>
      </c>
      <c r="B153" s="112">
        <v>1.1659999999999999</v>
      </c>
      <c r="C153" s="108">
        <f t="shared" si="40"/>
        <v>0</v>
      </c>
      <c r="D153" s="109" t="str">
        <f t="shared" si="41"/>
        <v>/</v>
      </c>
      <c r="E153" s="109">
        <f ca="1">IF(表2_36716262930389121314[[#This Row],[累计净值]]/MAX(INDIRECT("B21:B" &amp; ROW()))-1&lt;E152,表2_36716262930389121314[[#This Row],[累计净值]]/MAX(INDIRECT("B21:B" &amp; ROW()))-1,E152)</f>
        <v>-2.0583190394511175E-2</v>
      </c>
      <c r="F153" s="110">
        <f>表2_36716262930389121314[[#This Row],[累计净值]]-0.12</f>
        <v>1.0459999999999998</v>
      </c>
      <c r="G153" s="20">
        <f>表2_36716262930389121314[[#This Row],[累计净值]]/$B$21-1</f>
        <v>9.8963242224316739E-2</v>
      </c>
      <c r="H153" s="20">
        <f>表2_36716262930389121314[[#This Row],[累计净值]]/$B$51-1</f>
        <v>6.4840182648401745E-2</v>
      </c>
    </row>
    <row r="154" spans="1:8" x14ac:dyDescent="0.2">
      <c r="A154" s="15">
        <v>44049</v>
      </c>
      <c r="B154" s="112">
        <v>1.1619999999999999</v>
      </c>
      <c r="C154" s="108">
        <f t="shared" si="40"/>
        <v>-4.0000000000000036E-3</v>
      </c>
      <c r="D154" s="109">
        <f t="shared" si="41"/>
        <v>-4.0000000000000036E-3</v>
      </c>
      <c r="E154" s="109">
        <f ca="1">IF(表2_36716262930389121314[[#This Row],[累计净值]]/MAX(INDIRECT("B21:B" &amp; ROW()))-1&lt;E153,表2_36716262930389121314[[#This Row],[累计净值]]/MAX(INDIRECT("B21:B" &amp; ROW()))-1,E153)</f>
        <v>-2.0583190394511175E-2</v>
      </c>
      <c r="F154" s="110">
        <f>表2_36716262930389121314[[#This Row],[累计净值]]-0.12</f>
        <v>1.0419999999999998</v>
      </c>
      <c r="G154" s="20">
        <f>表2_36716262930389121314[[#This Row],[累计净值]]/$B$21-1</f>
        <v>9.5193213949104516E-2</v>
      </c>
      <c r="H154" s="20">
        <f>表2_36716262930389121314[[#This Row],[累计净值]]/$B$51-1</f>
        <v>6.1187214611872154E-2</v>
      </c>
    </row>
    <row r="155" spans="1:8" x14ac:dyDescent="0.2">
      <c r="A155" s="15">
        <v>44050</v>
      </c>
      <c r="B155" s="112">
        <v>1.1599999999999999</v>
      </c>
      <c r="C155" s="108">
        <f t="shared" si="40"/>
        <v>-2.0000000000000018E-3</v>
      </c>
      <c r="D155" s="109">
        <f t="shared" si="41"/>
        <v>-2.0000000000000018E-3</v>
      </c>
      <c r="E155" s="109">
        <f ca="1">IF(表2_36716262930389121314[[#This Row],[累计净值]]/MAX(INDIRECT("B21:B" &amp; ROW()))-1&lt;E154,表2_36716262930389121314[[#This Row],[累计净值]]/MAX(INDIRECT("B21:B" &amp; ROW()))-1,E154)</f>
        <v>-2.0583190394511175E-2</v>
      </c>
      <c r="F155" s="110">
        <f>表2_36716262930389121314[[#This Row],[累计净值]]-0.12</f>
        <v>1.04</v>
      </c>
      <c r="G155" s="20">
        <f>表2_36716262930389121314[[#This Row],[累计净值]]/$B$21-1</f>
        <v>9.3308199811498627E-2</v>
      </c>
      <c r="H155" s="20">
        <f>表2_36716262930389121314[[#This Row],[累计净值]]/$B$51-1</f>
        <v>5.9360730593607247E-2</v>
      </c>
    </row>
    <row r="156" spans="1:8" x14ac:dyDescent="0.2">
      <c r="A156" s="15">
        <v>44053</v>
      </c>
      <c r="B156" s="112">
        <v>1.1579999999999999</v>
      </c>
      <c r="C156" s="108">
        <f t="shared" si="40"/>
        <v>-2.0000000000000018E-3</v>
      </c>
      <c r="D156" s="109">
        <f t="shared" si="41"/>
        <v>-2.0000000000000018E-3</v>
      </c>
      <c r="E156" s="109">
        <f ca="1">IF(表2_36716262930389121314[[#This Row],[累计净值]]/MAX(INDIRECT("B21:B" &amp; ROW()))-1&lt;E155,表2_36716262930389121314[[#This Row],[累计净值]]/MAX(INDIRECT("B21:B" &amp; ROW()))-1,E155)</f>
        <v>-2.0583190394511175E-2</v>
      </c>
      <c r="F156" s="110">
        <f>表2_36716262930389121314[[#This Row],[累计净值]]-0.12</f>
        <v>1.0379999999999998</v>
      </c>
      <c r="G156" s="20">
        <f>表2_36716262930389121314[[#This Row],[累计净值]]/$B$21-1</f>
        <v>9.1423185673892515E-2</v>
      </c>
      <c r="H156" s="20">
        <f>表2_36716262930389121314[[#This Row],[累计净值]]/$B$51-1</f>
        <v>5.753424657534234E-2</v>
      </c>
    </row>
    <row r="157" spans="1:8" x14ac:dyDescent="0.2">
      <c r="A157" s="15">
        <v>44054</v>
      </c>
      <c r="B157" s="112">
        <v>1.159</v>
      </c>
      <c r="C157" s="108">
        <f t="shared" si="40"/>
        <v>1.0000000000001119E-3</v>
      </c>
      <c r="D157" s="109" t="str">
        <f t="shared" si="41"/>
        <v>/</v>
      </c>
      <c r="E157" s="109">
        <f ca="1">IF(表2_36716262930389121314[[#This Row],[累计净值]]/MAX(INDIRECT("B21:B" &amp; ROW()))-1&lt;E156,表2_36716262930389121314[[#This Row],[累计净值]]/MAX(INDIRECT("B21:B" &amp; ROW()))-1,E156)</f>
        <v>-2.0583190394511175E-2</v>
      </c>
      <c r="F157" s="110">
        <f>表2_36716262930389121314[[#This Row],[累计净值]]-0.12</f>
        <v>1.0390000000000001</v>
      </c>
      <c r="G157" s="20">
        <f>表2_36716262930389121314[[#This Row],[累计净值]]/$B$21-1</f>
        <v>9.2365692742695682E-2</v>
      </c>
      <c r="H157" s="20">
        <f>表2_36716262930389121314[[#This Row],[累计净值]]/$B$51-1</f>
        <v>5.8447488584475016E-2</v>
      </c>
    </row>
    <row r="158" spans="1:8" x14ac:dyDescent="0.2">
      <c r="A158" s="15">
        <v>44055</v>
      </c>
      <c r="B158" s="112">
        <v>1.157</v>
      </c>
      <c r="C158" s="108">
        <f t="shared" ref="C158:C163" si="42">IFERROR(B158-B157,0)</f>
        <v>-2.0000000000000018E-3</v>
      </c>
      <c r="D158" s="109">
        <f t="shared" ref="D158:D163" si="43">IF(C158&lt;0,C158,"/")</f>
        <v>-2.0000000000000018E-3</v>
      </c>
      <c r="E158" s="109">
        <f ca="1">IF(表2_36716262930389121314[[#This Row],[累计净值]]/MAX(INDIRECT("B21:B" &amp; ROW()))-1&lt;E157,表2_36716262930389121314[[#This Row],[累计净值]]/MAX(INDIRECT("B21:B" &amp; ROW()))-1,E157)</f>
        <v>-2.0583190394511175E-2</v>
      </c>
      <c r="F158" s="110">
        <f>表2_36716262930389121314[[#This Row],[累计净值]]-0.12</f>
        <v>1.0369999999999999</v>
      </c>
      <c r="G158" s="20">
        <f>表2_36716262930389121314[[#This Row],[累计净值]]/$B$21-1</f>
        <v>9.0480678605089571E-2</v>
      </c>
      <c r="H158" s="20">
        <f>表2_36716262930389121314[[#This Row],[累计净值]]/$B$51-1</f>
        <v>5.6621004566210109E-2</v>
      </c>
    </row>
    <row r="159" spans="1:8" x14ac:dyDescent="0.2">
      <c r="A159" s="15">
        <v>44056</v>
      </c>
      <c r="B159" s="112">
        <v>1.157</v>
      </c>
      <c r="C159" s="108">
        <f t="shared" si="42"/>
        <v>0</v>
      </c>
      <c r="D159" s="109" t="str">
        <f t="shared" si="43"/>
        <v>/</v>
      </c>
      <c r="E159" s="109">
        <f ca="1">IF(表2_36716262930389121314[[#This Row],[累计净值]]/MAX(INDIRECT("B21:B" &amp; ROW()))-1&lt;E158,表2_36716262930389121314[[#This Row],[累计净值]]/MAX(INDIRECT("B21:B" &amp; ROW()))-1,E158)</f>
        <v>-2.0583190394511175E-2</v>
      </c>
      <c r="F159" s="110">
        <f>表2_36716262930389121314[[#This Row],[累计净值]]-0.12</f>
        <v>1.0369999999999999</v>
      </c>
      <c r="G159" s="20">
        <f>表2_36716262930389121314[[#This Row],[累计净值]]/$B$21-1</f>
        <v>9.0480678605089571E-2</v>
      </c>
      <c r="H159" s="20">
        <f>表2_36716262930389121314[[#This Row],[累计净值]]/$B$51-1</f>
        <v>5.6621004566210109E-2</v>
      </c>
    </row>
    <row r="160" spans="1:8" x14ac:dyDescent="0.2">
      <c r="A160" s="15">
        <v>44057</v>
      </c>
      <c r="B160" s="112">
        <v>1.159</v>
      </c>
      <c r="C160" s="108">
        <f t="shared" si="42"/>
        <v>2.0000000000000018E-3</v>
      </c>
      <c r="D160" s="109" t="str">
        <f t="shared" si="43"/>
        <v>/</v>
      </c>
      <c r="E160" s="109">
        <f ca="1">IF(表2_36716262930389121314[[#This Row],[累计净值]]/MAX(INDIRECT("B21:B" &amp; ROW()))-1&lt;E159,表2_36716262930389121314[[#This Row],[累计净值]]/MAX(INDIRECT("B21:B" &amp; ROW()))-1,E159)</f>
        <v>-2.0583190394511175E-2</v>
      </c>
      <c r="F160" s="110">
        <f>表2_36716262930389121314[[#This Row],[累计净值]]-0.12</f>
        <v>1.0390000000000001</v>
      </c>
      <c r="G160" s="20">
        <f>表2_36716262930389121314[[#This Row],[累计净值]]/$B$21-1</f>
        <v>9.2365692742695682E-2</v>
      </c>
      <c r="H160" s="20">
        <f>表2_36716262930389121314[[#This Row],[累计净值]]/$B$51-1</f>
        <v>5.8447488584475016E-2</v>
      </c>
    </row>
    <row r="161" spans="1:8" x14ac:dyDescent="0.2">
      <c r="A161" s="15">
        <v>44060</v>
      </c>
      <c r="B161" s="112">
        <v>1.1559999999999999</v>
      </c>
      <c r="C161" s="108">
        <f t="shared" si="42"/>
        <v>-3.0000000000001137E-3</v>
      </c>
      <c r="D161" s="109">
        <f t="shared" si="43"/>
        <v>-3.0000000000001137E-3</v>
      </c>
      <c r="E161" s="109">
        <f ca="1">IF(表2_36716262930389121314[[#This Row],[累计净值]]/MAX(INDIRECT("B21:B" &amp; ROW()))-1&lt;E160,表2_36716262930389121314[[#This Row],[累计净值]]/MAX(INDIRECT("B21:B" &amp; ROW()))-1,E160)</f>
        <v>-2.0583190394511175E-2</v>
      </c>
      <c r="F161" s="110">
        <f>表2_36716262930389121314[[#This Row],[累计净值]]-0.12</f>
        <v>1.036</v>
      </c>
      <c r="G161" s="20">
        <f>表2_36716262930389121314[[#This Row],[累计净值]]/$B$21-1</f>
        <v>8.9538171536286404E-2</v>
      </c>
      <c r="H161" s="20">
        <f>表2_36716262930389121314[[#This Row],[累计净值]]/$B$51-1</f>
        <v>5.5707762557077656E-2</v>
      </c>
    </row>
    <row r="162" spans="1:8" x14ac:dyDescent="0.2">
      <c r="A162" s="15">
        <v>44061</v>
      </c>
      <c r="B162" s="112">
        <v>1.159</v>
      </c>
      <c r="C162" s="108">
        <f t="shared" si="42"/>
        <v>3.0000000000001137E-3</v>
      </c>
      <c r="D162" s="109" t="str">
        <f t="shared" si="43"/>
        <v>/</v>
      </c>
      <c r="E162" s="109">
        <f ca="1">IF(表2_36716262930389121314[[#This Row],[累计净值]]/MAX(INDIRECT("B21:B" &amp; ROW()))-1&lt;E161,表2_36716262930389121314[[#This Row],[累计净值]]/MAX(INDIRECT("B21:B" &amp; ROW()))-1,E161)</f>
        <v>-2.0583190394511175E-2</v>
      </c>
      <c r="F162" s="110">
        <f>表2_36716262930389121314[[#This Row],[累计净值]]-0.12</f>
        <v>1.0390000000000001</v>
      </c>
      <c r="G162" s="20">
        <f>表2_36716262930389121314[[#This Row],[累计净值]]/$B$21-1</f>
        <v>9.2365692742695682E-2</v>
      </c>
      <c r="H162" s="20">
        <f>表2_36716262930389121314[[#This Row],[累计净值]]/$B$51-1</f>
        <v>5.8447488584475016E-2</v>
      </c>
    </row>
    <row r="163" spans="1:8" x14ac:dyDescent="0.2">
      <c r="A163" s="15">
        <v>44062</v>
      </c>
      <c r="B163" s="112">
        <v>1.157</v>
      </c>
      <c r="C163" s="108">
        <f t="shared" si="42"/>
        <v>-2.0000000000000018E-3</v>
      </c>
      <c r="D163" s="109">
        <f t="shared" si="43"/>
        <v>-2.0000000000000018E-3</v>
      </c>
      <c r="E163" s="109">
        <f ca="1">IF(表2_36716262930389121314[[#This Row],[累计净值]]/MAX(INDIRECT("B21:B" &amp; ROW()))-1&lt;E162,表2_36716262930389121314[[#This Row],[累计净值]]/MAX(INDIRECT("B21:B" &amp; ROW()))-1,E162)</f>
        <v>-2.0583190394511175E-2</v>
      </c>
      <c r="F163" s="110">
        <f>表2_36716262930389121314[[#This Row],[累计净值]]-0.12</f>
        <v>1.0369999999999999</v>
      </c>
      <c r="G163" s="20">
        <f>表2_36716262930389121314[[#This Row],[累计净值]]/$B$21-1</f>
        <v>9.0480678605089571E-2</v>
      </c>
      <c r="H163" s="20">
        <f>表2_36716262930389121314[[#This Row],[累计净值]]/$B$51-1</f>
        <v>5.6621004566210109E-2</v>
      </c>
    </row>
    <row r="164" spans="1:8" x14ac:dyDescent="0.2">
      <c r="A164" s="15">
        <v>44063</v>
      </c>
      <c r="B164" s="112">
        <v>1.155</v>
      </c>
      <c r="C164" s="108">
        <f t="shared" ref="C164:C169" si="44">IFERROR(B164-B163,0)</f>
        <v>-2.0000000000000018E-3</v>
      </c>
      <c r="D164" s="109">
        <f t="shared" ref="D164:D169" si="45">IF(C164&lt;0,C164,"/")</f>
        <v>-2.0000000000000018E-3</v>
      </c>
      <c r="E164" s="109">
        <f ca="1">IF(表2_36716262930389121314[[#This Row],[累计净值]]/MAX(INDIRECT("B21:B" &amp; ROW()))-1&lt;E163,表2_36716262930389121314[[#This Row],[累计净值]]/MAX(INDIRECT("B21:B" &amp; ROW()))-1,E163)</f>
        <v>-2.0583190394511175E-2</v>
      </c>
      <c r="F164" s="110">
        <f>表2_36716262930389121314[[#This Row],[累计净值]]-0.12</f>
        <v>1.0350000000000001</v>
      </c>
      <c r="G164" s="20">
        <f>表2_36716262930389121314[[#This Row],[累计净值]]/$B$21-1</f>
        <v>8.8595664467483681E-2</v>
      </c>
      <c r="H164" s="20">
        <f>表2_36716262930389121314[[#This Row],[累计净值]]/$B$51-1</f>
        <v>5.4794520547945202E-2</v>
      </c>
    </row>
    <row r="165" spans="1:8" x14ac:dyDescent="0.2">
      <c r="A165" s="15">
        <v>44064</v>
      </c>
      <c r="B165" s="112">
        <v>1.1579999999999999</v>
      </c>
      <c r="C165" s="108">
        <f t="shared" si="44"/>
        <v>2.9999999999998916E-3</v>
      </c>
      <c r="D165" s="109" t="str">
        <f t="shared" si="45"/>
        <v>/</v>
      </c>
      <c r="E165" s="109">
        <f ca="1">IF(表2_36716262930389121314[[#This Row],[累计净值]]/MAX(INDIRECT("B21:B" &amp; ROW()))-1&lt;E164,表2_36716262930389121314[[#This Row],[累计净值]]/MAX(INDIRECT("B21:B" &amp; ROW()))-1,E164)</f>
        <v>-2.0583190394511175E-2</v>
      </c>
      <c r="F165" s="110">
        <f>表2_36716262930389121314[[#This Row],[累计净值]]-0.12</f>
        <v>1.0379999999999998</v>
      </c>
      <c r="G165" s="20">
        <f>表2_36716262930389121314[[#This Row],[累计净值]]/$B$21-1</f>
        <v>9.1423185673892515E-2</v>
      </c>
      <c r="H165" s="20">
        <f>表2_36716262930389121314[[#This Row],[累计净值]]/$B$51-1</f>
        <v>5.753424657534234E-2</v>
      </c>
    </row>
    <row r="166" spans="1:8" x14ac:dyDescent="0.2">
      <c r="A166" s="15">
        <v>44067</v>
      </c>
      <c r="B166" s="112">
        <v>1.1619999999999999</v>
      </c>
      <c r="C166" s="108">
        <f t="shared" si="44"/>
        <v>4.0000000000000036E-3</v>
      </c>
      <c r="D166" s="109" t="str">
        <f t="shared" si="45"/>
        <v>/</v>
      </c>
      <c r="E166" s="109">
        <f ca="1">IF(表2_36716262930389121314[[#This Row],[累计净值]]/MAX(INDIRECT("B21:B" &amp; ROW()))-1&lt;E165,表2_36716262930389121314[[#This Row],[累计净值]]/MAX(INDIRECT("B21:B" &amp; ROW()))-1,E165)</f>
        <v>-2.0583190394511175E-2</v>
      </c>
      <c r="F166" s="110">
        <f>表2_36716262930389121314[[#This Row],[累计净值]]-0.12</f>
        <v>1.0419999999999998</v>
      </c>
      <c r="G166" s="20">
        <f>表2_36716262930389121314[[#This Row],[累计净值]]/$B$21-1</f>
        <v>9.5193213949104516E-2</v>
      </c>
      <c r="H166" s="20">
        <f>表2_36716262930389121314[[#This Row],[累计净值]]/$B$51-1</f>
        <v>6.1187214611872154E-2</v>
      </c>
    </row>
    <row r="167" spans="1:8" x14ac:dyDescent="0.2">
      <c r="A167" s="15">
        <v>44068</v>
      </c>
      <c r="B167" s="112">
        <v>1.1639999999999999</v>
      </c>
      <c r="C167" s="108">
        <f t="shared" si="44"/>
        <v>2.0000000000000018E-3</v>
      </c>
      <c r="D167" s="109" t="str">
        <f t="shared" si="45"/>
        <v>/</v>
      </c>
      <c r="E167" s="109">
        <f ca="1">IF(表2_36716262930389121314[[#This Row],[累计净值]]/MAX(INDIRECT("B21:B" &amp; ROW()))-1&lt;E166,表2_36716262930389121314[[#This Row],[累计净值]]/MAX(INDIRECT("B21:B" &amp; ROW()))-1,E166)</f>
        <v>-2.0583190394511175E-2</v>
      </c>
      <c r="F167" s="110">
        <f>表2_36716262930389121314[[#This Row],[累计净值]]-0.12</f>
        <v>1.044</v>
      </c>
      <c r="G167" s="20">
        <f>表2_36716262930389121314[[#This Row],[累计净值]]/$B$21-1</f>
        <v>9.7078228086710627E-2</v>
      </c>
      <c r="H167" s="20">
        <f>表2_36716262930389121314[[#This Row],[累计净值]]/$B$51-1</f>
        <v>6.3013698630136838E-2</v>
      </c>
    </row>
    <row r="168" spans="1:8" x14ac:dyDescent="0.2">
      <c r="A168" s="15">
        <v>44069</v>
      </c>
      <c r="B168" s="112">
        <v>1.1639999999999999</v>
      </c>
      <c r="C168" s="108">
        <f t="shared" si="44"/>
        <v>0</v>
      </c>
      <c r="D168" s="109" t="str">
        <f t="shared" si="45"/>
        <v>/</v>
      </c>
      <c r="E168" s="109">
        <f ca="1">IF(表2_36716262930389121314[[#This Row],[累计净值]]/MAX(INDIRECT("B21:B" &amp; ROW()))-1&lt;E167,表2_36716262930389121314[[#This Row],[累计净值]]/MAX(INDIRECT("B21:B" &amp; ROW()))-1,E167)</f>
        <v>-2.0583190394511175E-2</v>
      </c>
      <c r="F168" s="110">
        <f>表2_36716262930389121314[[#This Row],[累计净值]]-0.12</f>
        <v>1.044</v>
      </c>
      <c r="G168" s="20">
        <f>表2_36716262930389121314[[#This Row],[累计净值]]/$B$21-1</f>
        <v>9.7078228086710627E-2</v>
      </c>
      <c r="H168" s="20">
        <f>表2_36716262930389121314[[#This Row],[累计净值]]/$B$51-1</f>
        <v>6.3013698630136838E-2</v>
      </c>
    </row>
    <row r="169" spans="1:8" x14ac:dyDescent="0.2">
      <c r="A169" s="15">
        <v>44070</v>
      </c>
      <c r="B169" s="112">
        <v>1.1659999999999999</v>
      </c>
      <c r="C169" s="108">
        <f t="shared" si="44"/>
        <v>2.0000000000000018E-3</v>
      </c>
      <c r="D169" s="109" t="str">
        <f t="shared" si="45"/>
        <v>/</v>
      </c>
      <c r="E169" s="109">
        <f ca="1">IF(表2_36716262930389121314[[#This Row],[累计净值]]/MAX(INDIRECT("B21:B" &amp; ROW()))-1&lt;E168,表2_36716262930389121314[[#This Row],[累计净值]]/MAX(INDIRECT("B21:B" &amp; ROW()))-1,E168)</f>
        <v>-2.0583190394511175E-2</v>
      </c>
      <c r="F169" s="110">
        <f>表2_36716262930389121314[[#This Row],[累计净值]]-0.12</f>
        <v>1.0459999999999998</v>
      </c>
      <c r="G169" s="20">
        <f>表2_36716262930389121314[[#This Row],[累计净值]]/$B$21-1</f>
        <v>9.8963242224316739E-2</v>
      </c>
      <c r="H169" s="20">
        <f>表2_36716262930389121314[[#This Row],[累计净值]]/$B$51-1</f>
        <v>6.4840182648401745E-2</v>
      </c>
    </row>
    <row r="170" spans="1:8" x14ac:dyDescent="0.2">
      <c r="A170" s="15">
        <v>44071</v>
      </c>
      <c r="B170" s="112">
        <v>1.163</v>
      </c>
      <c r="C170" s="108">
        <f t="shared" ref="C170:C175" si="46">IFERROR(B170-B169,0)</f>
        <v>-2.9999999999998916E-3</v>
      </c>
      <c r="D170" s="109">
        <f t="shared" ref="D170:D175" si="47">IF(C170&lt;0,C170,"/")</f>
        <v>-2.9999999999998916E-3</v>
      </c>
      <c r="E170" s="109">
        <f ca="1">IF(表2_36716262930389121314[[#This Row],[累计净值]]/MAX(INDIRECT("B21:B" &amp; ROW()))-1&lt;E169,表2_36716262930389121314[[#This Row],[累计净值]]/MAX(INDIRECT("B21:B" &amp; ROW()))-1,E169)</f>
        <v>-2.0583190394511175E-2</v>
      </c>
      <c r="F170" s="110">
        <f>表2_36716262930389121314[[#This Row],[累计净值]]-0.12</f>
        <v>1.0430000000000001</v>
      </c>
      <c r="G170" s="20">
        <f>表2_36716262930389121314[[#This Row],[累计净值]]/$B$21-1</f>
        <v>9.6135721017907683E-2</v>
      </c>
      <c r="H170" s="20">
        <f>表2_36716262930389121314[[#This Row],[累计净值]]/$B$51-1</f>
        <v>6.2100456621004607E-2</v>
      </c>
    </row>
    <row r="171" spans="1:8" x14ac:dyDescent="0.2">
      <c r="A171" s="15">
        <v>44074</v>
      </c>
      <c r="B171" s="112">
        <v>1.1619999999999999</v>
      </c>
      <c r="C171" s="108">
        <f t="shared" si="46"/>
        <v>-1.0000000000001119E-3</v>
      </c>
      <c r="D171" s="109">
        <f t="shared" si="47"/>
        <v>-1.0000000000001119E-3</v>
      </c>
      <c r="E171" s="109">
        <f ca="1">IF(表2_36716262930389121314[[#This Row],[累计净值]]/MAX(INDIRECT("B21:B" &amp; ROW()))-1&lt;E170,表2_36716262930389121314[[#This Row],[累计净值]]/MAX(INDIRECT("B21:B" &amp; ROW()))-1,E170)</f>
        <v>-2.0583190394511175E-2</v>
      </c>
      <c r="F171" s="110">
        <f>表2_36716262930389121314[[#This Row],[累计净值]]-0.12</f>
        <v>1.0419999999999998</v>
      </c>
      <c r="G171" s="20">
        <f>表2_36716262930389121314[[#This Row],[累计净值]]/$B$21-1</f>
        <v>9.5193213949104516E-2</v>
      </c>
      <c r="H171" s="20">
        <f>表2_36716262930389121314[[#This Row],[累计净值]]/$B$51-1</f>
        <v>6.1187214611872154E-2</v>
      </c>
    </row>
    <row r="172" spans="1:8" x14ac:dyDescent="0.2">
      <c r="A172" s="15">
        <v>44075</v>
      </c>
      <c r="B172" s="112">
        <v>1.165</v>
      </c>
      <c r="C172" s="108">
        <f t="shared" si="46"/>
        <v>3.0000000000001137E-3</v>
      </c>
      <c r="D172" s="109" t="str">
        <f t="shared" si="47"/>
        <v>/</v>
      </c>
      <c r="E172" s="109">
        <f ca="1">IF(表2_36716262930389121314[[#This Row],[累计净值]]/MAX(INDIRECT("B21:B" &amp; ROW()))-1&lt;E171,表2_36716262930389121314[[#This Row],[累计净值]]/MAX(INDIRECT("B21:B" &amp; ROW()))-1,E171)</f>
        <v>-2.0583190394511175E-2</v>
      </c>
      <c r="F172" s="110">
        <f>表2_36716262930389121314[[#This Row],[累计净值]]-0.12</f>
        <v>1.0449999999999999</v>
      </c>
      <c r="G172" s="20">
        <f>表2_36716262930389121314[[#This Row],[累计净值]]/$B$21-1</f>
        <v>9.8020735155513794E-2</v>
      </c>
      <c r="H172" s="20">
        <f>表2_36716262930389121314[[#This Row],[累计净值]]/$B$51-1</f>
        <v>6.3926940639269514E-2</v>
      </c>
    </row>
    <row r="173" spans="1:8" x14ac:dyDescent="0.2">
      <c r="A173" s="15">
        <v>44076</v>
      </c>
      <c r="B173" s="112">
        <v>1.167</v>
      </c>
      <c r="C173" s="108">
        <f t="shared" si="46"/>
        <v>2.0000000000000018E-3</v>
      </c>
      <c r="D173" s="109" t="str">
        <f t="shared" si="47"/>
        <v>/</v>
      </c>
      <c r="E173" s="109">
        <f ca="1">IF(表2_36716262930389121314[[#This Row],[累计净值]]/MAX(INDIRECT("B21:B" &amp; ROW()))-1&lt;E172,表2_36716262930389121314[[#This Row],[累计净值]]/MAX(INDIRECT("B21:B" &amp; ROW()))-1,E172)</f>
        <v>-2.0583190394511175E-2</v>
      </c>
      <c r="F173" s="110">
        <f>表2_36716262930389121314[[#This Row],[累计净值]]-0.12</f>
        <v>1.0470000000000002</v>
      </c>
      <c r="G173" s="20">
        <f>表2_36716262930389121314[[#This Row],[累计净值]]/$B$21-1</f>
        <v>9.9905749293119683E-2</v>
      </c>
      <c r="H173" s="20">
        <f>表2_36716262930389121314[[#This Row],[累计净值]]/$B$51-1</f>
        <v>6.5753424657534199E-2</v>
      </c>
    </row>
    <row r="174" spans="1:8" x14ac:dyDescent="0.2">
      <c r="A174" s="15">
        <v>44077</v>
      </c>
      <c r="B174" s="112">
        <v>1.1639999999999999</v>
      </c>
      <c r="C174" s="108">
        <f t="shared" si="46"/>
        <v>-3.0000000000001137E-3</v>
      </c>
      <c r="D174" s="109">
        <f t="shared" si="47"/>
        <v>-3.0000000000001137E-3</v>
      </c>
      <c r="E174" s="109">
        <f ca="1">IF(表2_36716262930389121314[[#This Row],[累计净值]]/MAX(INDIRECT("B21:B" &amp; ROW()))-1&lt;E173,表2_36716262930389121314[[#This Row],[累计净值]]/MAX(INDIRECT("B21:B" &amp; ROW()))-1,E173)</f>
        <v>-2.0583190394511175E-2</v>
      </c>
      <c r="F174" s="110">
        <f>表2_36716262930389121314[[#This Row],[累计净值]]-0.12</f>
        <v>1.044</v>
      </c>
      <c r="G174" s="20">
        <f>表2_36716262930389121314[[#This Row],[累计净值]]/$B$21-1</f>
        <v>9.7078228086710627E-2</v>
      </c>
      <c r="H174" s="20">
        <f>表2_36716262930389121314[[#This Row],[累计净值]]/$B$51-1</f>
        <v>6.3013698630136838E-2</v>
      </c>
    </row>
    <row r="175" spans="1:8" x14ac:dyDescent="0.2">
      <c r="A175" s="15">
        <v>44078</v>
      </c>
      <c r="B175" s="112">
        <v>1.165</v>
      </c>
      <c r="C175" s="108">
        <f t="shared" si="46"/>
        <v>1.0000000000001119E-3</v>
      </c>
      <c r="D175" s="109" t="str">
        <f t="shared" si="47"/>
        <v>/</v>
      </c>
      <c r="E175" s="109">
        <f ca="1">IF(表2_36716262930389121314[[#This Row],[累计净值]]/MAX(INDIRECT("B21:B" &amp; ROW()))-1&lt;E174,表2_36716262930389121314[[#This Row],[累计净值]]/MAX(INDIRECT("B21:B" &amp; ROW()))-1,E174)</f>
        <v>-2.0583190394511175E-2</v>
      </c>
      <c r="F175" s="110">
        <f>表2_36716262930389121314[[#This Row],[累计净值]]-0.12</f>
        <v>1.0449999999999999</v>
      </c>
      <c r="G175" s="20">
        <f>表2_36716262930389121314[[#This Row],[累计净值]]/$B$21-1</f>
        <v>9.8020735155513794E-2</v>
      </c>
      <c r="H175" s="20">
        <f>表2_36716262930389121314[[#This Row],[累计净值]]/$B$51-1</f>
        <v>6.3926940639269514E-2</v>
      </c>
    </row>
    <row r="176" spans="1:8" x14ac:dyDescent="0.2">
      <c r="A176" s="15">
        <v>44081</v>
      </c>
      <c r="B176" s="112">
        <v>1.163</v>
      </c>
      <c r="C176" s="108">
        <f t="shared" ref="C176:C181" si="48">IFERROR(B176-B175,0)</f>
        <v>-2.0000000000000018E-3</v>
      </c>
      <c r="D176" s="109">
        <f t="shared" ref="D176:D181" si="49">IF(C176&lt;0,C176,"/")</f>
        <v>-2.0000000000000018E-3</v>
      </c>
      <c r="E176" s="109">
        <f ca="1">IF(表2_36716262930389121314[[#This Row],[累计净值]]/MAX(INDIRECT("B21:B" &amp; ROW()))-1&lt;E175,表2_36716262930389121314[[#This Row],[累计净值]]/MAX(INDIRECT("B21:B" &amp; ROW()))-1,E175)</f>
        <v>-2.0583190394511175E-2</v>
      </c>
      <c r="F176" s="110">
        <f>表2_36716262930389121314[[#This Row],[累计净值]]-0.12</f>
        <v>1.0430000000000001</v>
      </c>
      <c r="G176" s="20">
        <f>表2_36716262930389121314[[#This Row],[累计净值]]/$B$21-1</f>
        <v>9.6135721017907683E-2</v>
      </c>
      <c r="H176" s="20">
        <f>表2_36716262930389121314[[#This Row],[累计净值]]/$B$51-1</f>
        <v>6.2100456621004607E-2</v>
      </c>
    </row>
    <row r="177" spans="1:8" x14ac:dyDescent="0.2">
      <c r="A177" s="15">
        <v>44082</v>
      </c>
      <c r="B177" s="112">
        <v>1.1619999999999999</v>
      </c>
      <c r="C177" s="108">
        <f t="shared" si="48"/>
        <v>-1.0000000000001119E-3</v>
      </c>
      <c r="D177" s="109">
        <f t="shared" si="49"/>
        <v>-1.0000000000001119E-3</v>
      </c>
      <c r="E177" s="109">
        <f ca="1">IF(表2_36716262930389121314[[#This Row],[累计净值]]/MAX(INDIRECT("B21:B" &amp; ROW()))-1&lt;E176,表2_36716262930389121314[[#This Row],[累计净值]]/MAX(INDIRECT("B21:B" &amp; ROW()))-1,E176)</f>
        <v>-2.0583190394511175E-2</v>
      </c>
      <c r="F177" s="110">
        <f>表2_36716262930389121314[[#This Row],[累计净值]]-0.12</f>
        <v>1.0419999999999998</v>
      </c>
      <c r="G177" s="20">
        <f>表2_36716262930389121314[[#This Row],[累计净值]]/$B$21-1</f>
        <v>9.5193213949104516E-2</v>
      </c>
      <c r="H177" s="20">
        <f>表2_36716262930389121314[[#This Row],[累计净值]]/$B$51-1</f>
        <v>6.1187214611872154E-2</v>
      </c>
    </row>
    <row r="178" spans="1:8" x14ac:dyDescent="0.2">
      <c r="A178" s="15">
        <v>44083</v>
      </c>
      <c r="B178" s="112">
        <v>1.1619999999999999</v>
      </c>
      <c r="C178" s="108">
        <f t="shared" si="48"/>
        <v>0</v>
      </c>
      <c r="D178" s="109" t="str">
        <f t="shared" si="49"/>
        <v>/</v>
      </c>
      <c r="E178" s="109">
        <f ca="1">IF(表2_36716262930389121314[[#This Row],[累计净值]]/MAX(INDIRECT("B21:B" &amp; ROW()))-1&lt;E177,表2_36716262930389121314[[#This Row],[累计净值]]/MAX(INDIRECT("B21:B" &amp; ROW()))-1,E177)</f>
        <v>-2.0583190394511175E-2</v>
      </c>
      <c r="F178" s="110">
        <f>表2_36716262930389121314[[#This Row],[累计净值]]-0.12</f>
        <v>1.0419999999999998</v>
      </c>
      <c r="G178" s="20">
        <f>表2_36716262930389121314[[#This Row],[累计净值]]/$B$21-1</f>
        <v>9.5193213949104516E-2</v>
      </c>
      <c r="H178" s="20">
        <f>表2_36716262930389121314[[#This Row],[累计净值]]/$B$51-1</f>
        <v>6.1187214611872154E-2</v>
      </c>
    </row>
    <row r="179" spans="1:8" x14ac:dyDescent="0.2">
      <c r="A179" s="15">
        <v>44084</v>
      </c>
      <c r="B179" s="112">
        <v>1.161</v>
      </c>
      <c r="C179" s="108">
        <f t="shared" si="48"/>
        <v>-9.9999999999988987E-4</v>
      </c>
      <c r="D179" s="109">
        <f t="shared" si="49"/>
        <v>-9.9999999999988987E-4</v>
      </c>
      <c r="E179" s="109">
        <f ca="1">IF(表2_36716262930389121314[[#This Row],[累计净值]]/MAX(INDIRECT("B21:B" &amp; ROW()))-1&lt;E178,表2_36716262930389121314[[#This Row],[累计净值]]/MAX(INDIRECT("B21:B" &amp; ROW()))-1,E178)</f>
        <v>-2.0583190394511175E-2</v>
      </c>
      <c r="F179" s="110">
        <f>表2_36716262930389121314[[#This Row],[累计净值]]-0.12</f>
        <v>1.0409999999999999</v>
      </c>
      <c r="G179" s="20">
        <f>表2_36716262930389121314[[#This Row],[累计净值]]/$B$21-1</f>
        <v>9.4250706880301793E-2</v>
      </c>
      <c r="H179" s="20">
        <f>表2_36716262930389121314[[#This Row],[累计净值]]/$B$51-1</f>
        <v>6.02739726027397E-2</v>
      </c>
    </row>
    <row r="180" spans="1:8" x14ac:dyDescent="0.2">
      <c r="A180" s="15">
        <v>44085</v>
      </c>
      <c r="B180" s="112">
        <v>1.1659999999999999</v>
      </c>
      <c r="C180" s="108">
        <f t="shared" si="48"/>
        <v>4.9999999999998934E-3</v>
      </c>
      <c r="D180" s="109" t="str">
        <f t="shared" si="49"/>
        <v>/</v>
      </c>
      <c r="E180" s="109">
        <f ca="1">IF(表2_36716262930389121314[[#This Row],[累计净值]]/MAX(INDIRECT("B21:B" &amp; ROW()))-1&lt;E179,表2_36716262930389121314[[#This Row],[累计净值]]/MAX(INDIRECT("B21:B" &amp; ROW()))-1,E179)</f>
        <v>-2.0583190394511175E-2</v>
      </c>
      <c r="F180" s="110">
        <f>表2_36716262930389121314[[#This Row],[累计净值]]-0.12</f>
        <v>1.0459999999999998</v>
      </c>
      <c r="G180" s="20">
        <f>表2_36716262930389121314[[#This Row],[累计净值]]/$B$21-1</f>
        <v>9.8963242224316739E-2</v>
      </c>
      <c r="H180" s="20">
        <f>表2_36716262930389121314[[#This Row],[累计净值]]/$B$51-1</f>
        <v>6.4840182648401745E-2</v>
      </c>
    </row>
    <row r="181" spans="1:8" x14ac:dyDescent="0.2">
      <c r="A181" s="15">
        <v>44088</v>
      </c>
      <c r="B181" s="112">
        <v>1.17</v>
      </c>
      <c r="C181" s="108">
        <f t="shared" si="48"/>
        <v>4.0000000000000036E-3</v>
      </c>
      <c r="D181" s="109" t="str">
        <f t="shared" si="49"/>
        <v>/</v>
      </c>
      <c r="E181" s="109">
        <f ca="1">IF(表2_36716262930389121314[[#This Row],[累计净值]]/MAX(INDIRECT("B21:B" &amp; ROW()))-1&lt;E180,表2_36716262930389121314[[#This Row],[累计净值]]/MAX(INDIRECT("B21:B" &amp; ROW()))-1,E180)</f>
        <v>-2.0583190394511175E-2</v>
      </c>
      <c r="F181" s="110">
        <f>表2_36716262930389121314[[#This Row],[累计净值]]-0.12</f>
        <v>1.0499999999999998</v>
      </c>
      <c r="G181" s="20">
        <f>表2_36716262930389121314[[#This Row],[累计净值]]/$B$21-1</f>
        <v>0.10273327049952874</v>
      </c>
      <c r="H181" s="20">
        <f>表2_36716262930389121314[[#This Row],[累计净值]]/$B$51-1</f>
        <v>6.8493150684931559E-2</v>
      </c>
    </row>
    <row r="182" spans="1:8" x14ac:dyDescent="0.2">
      <c r="A182" s="15">
        <v>44089</v>
      </c>
      <c r="B182" s="112">
        <v>1.173</v>
      </c>
      <c r="C182" s="108">
        <f t="shared" ref="C182:C187" si="50">IFERROR(B182-B181,0)</f>
        <v>3.0000000000001137E-3</v>
      </c>
      <c r="D182" s="109" t="str">
        <f t="shared" ref="D182:D187" si="51">IF(C182&lt;0,C182,"/")</f>
        <v>/</v>
      </c>
      <c r="E182" s="109">
        <f ca="1">IF(表2_36716262930389121314[[#This Row],[累计净值]]/MAX(INDIRECT("B21:B" &amp; ROW()))-1&lt;E181,表2_36716262930389121314[[#This Row],[累计净值]]/MAX(INDIRECT("B21:B" &amp; ROW()))-1,E181)</f>
        <v>-2.0583190394511175E-2</v>
      </c>
      <c r="F182" s="110">
        <f>表2_36716262930389121314[[#This Row],[累计净值]]-0.12</f>
        <v>1.0529999999999999</v>
      </c>
      <c r="G182" s="20">
        <f>表2_36716262930389121314[[#This Row],[累计净值]]/$B$21-1</f>
        <v>0.1055607917059378</v>
      </c>
      <c r="H182" s="20">
        <f>表2_36716262930389121314[[#This Row],[累计净值]]/$B$51-1</f>
        <v>7.1232876712328919E-2</v>
      </c>
    </row>
    <row r="183" spans="1:8" x14ac:dyDescent="0.2">
      <c r="A183" s="15">
        <v>44090</v>
      </c>
      <c r="B183" s="112">
        <v>1.171</v>
      </c>
      <c r="C183" s="108">
        <f t="shared" si="50"/>
        <v>-2.0000000000000018E-3</v>
      </c>
      <c r="D183" s="109">
        <f t="shared" si="51"/>
        <v>-2.0000000000000018E-3</v>
      </c>
      <c r="E183" s="109">
        <f ca="1">IF(表2_36716262930389121314[[#This Row],[累计净值]]/MAX(INDIRECT("B21:B" &amp; ROW()))-1&lt;E182,表2_36716262930389121314[[#This Row],[累计净值]]/MAX(INDIRECT("B21:B" &amp; ROW()))-1,E182)</f>
        <v>-2.0583190394511175E-2</v>
      </c>
      <c r="F183" s="110">
        <f>表2_36716262930389121314[[#This Row],[累计净值]]-0.12</f>
        <v>1.0510000000000002</v>
      </c>
      <c r="G183" s="20">
        <f>表2_36716262930389121314[[#This Row],[累计净值]]/$B$21-1</f>
        <v>0.10367577756833191</v>
      </c>
      <c r="H183" s="20">
        <f>表2_36716262930389121314[[#This Row],[累计净值]]/$B$51-1</f>
        <v>6.9406392694064012E-2</v>
      </c>
    </row>
    <row r="184" spans="1:8" x14ac:dyDescent="0.2">
      <c r="A184" s="15">
        <v>44091</v>
      </c>
      <c r="B184" s="112">
        <v>1.17</v>
      </c>
      <c r="C184" s="108">
        <f t="shared" si="50"/>
        <v>-1.0000000000001119E-3</v>
      </c>
      <c r="D184" s="109">
        <f t="shared" si="51"/>
        <v>-1.0000000000001119E-3</v>
      </c>
      <c r="E184" s="109">
        <f ca="1">IF(表2_36716262930389121314[[#This Row],[累计净值]]/MAX(INDIRECT("B21:B" &amp; ROW()))-1&lt;E183,表2_36716262930389121314[[#This Row],[累计净值]]/MAX(INDIRECT("B21:B" &amp; ROW()))-1,E183)</f>
        <v>-2.0583190394511175E-2</v>
      </c>
      <c r="F184" s="110">
        <f>表2_36716262930389121314[[#This Row],[累计净值]]-0.12</f>
        <v>1.0499999999999998</v>
      </c>
      <c r="G184" s="20">
        <f>表2_36716262930389121314[[#This Row],[累计净值]]/$B$21-1</f>
        <v>0.10273327049952874</v>
      </c>
      <c r="H184" s="20">
        <f>表2_36716262930389121314[[#This Row],[累计净值]]/$B$51-1</f>
        <v>6.8493150684931559E-2</v>
      </c>
    </row>
    <row r="185" spans="1:8" x14ac:dyDescent="0.2">
      <c r="A185" s="15">
        <v>44092</v>
      </c>
      <c r="B185" s="112">
        <v>1.171</v>
      </c>
      <c r="C185" s="108">
        <f t="shared" si="50"/>
        <v>1.0000000000001119E-3</v>
      </c>
      <c r="D185" s="109" t="str">
        <f t="shared" si="51"/>
        <v>/</v>
      </c>
      <c r="E185" s="109">
        <f ca="1">IF(表2_36716262930389121314[[#This Row],[累计净值]]/MAX(INDIRECT("B21:B" &amp; ROW()))-1&lt;E184,表2_36716262930389121314[[#This Row],[累计净值]]/MAX(INDIRECT("B21:B" &amp; ROW()))-1,E184)</f>
        <v>-2.0583190394511175E-2</v>
      </c>
      <c r="F185" s="110">
        <f>表2_36716262930389121314[[#This Row],[累计净值]]-0.12</f>
        <v>1.0510000000000002</v>
      </c>
      <c r="G185" s="20">
        <f>表2_36716262930389121314[[#This Row],[累计净值]]/$B$21-1</f>
        <v>0.10367577756833191</v>
      </c>
      <c r="H185" s="20">
        <f>表2_36716262930389121314[[#This Row],[累计净值]]/$B$51-1</f>
        <v>6.9406392694064012E-2</v>
      </c>
    </row>
    <row r="186" spans="1:8" x14ac:dyDescent="0.2">
      <c r="A186" s="15">
        <v>44095</v>
      </c>
      <c r="B186" s="112">
        <v>1.1679999999999999</v>
      </c>
      <c r="C186" s="108">
        <f t="shared" si="50"/>
        <v>-3.0000000000001137E-3</v>
      </c>
      <c r="D186" s="109">
        <f t="shared" si="51"/>
        <v>-3.0000000000001137E-3</v>
      </c>
      <c r="E186" s="109">
        <f ca="1">IF(表2_36716262930389121314[[#This Row],[累计净值]]/MAX(INDIRECT("B21:B" &amp; ROW()))-1&lt;E185,表2_36716262930389121314[[#This Row],[累计净值]]/MAX(INDIRECT("B21:B" &amp; ROW()))-1,E185)</f>
        <v>-2.0583190394511175E-2</v>
      </c>
      <c r="F186" s="110">
        <f>表2_36716262930389121314[[#This Row],[累计净值]]-0.12</f>
        <v>1.048</v>
      </c>
      <c r="G186" s="20">
        <f>表2_36716262930389121314[[#This Row],[累计净值]]/$B$21-1</f>
        <v>0.10084825636192263</v>
      </c>
      <c r="H186" s="20">
        <f>表2_36716262930389121314[[#This Row],[累计净值]]/$B$51-1</f>
        <v>6.6666666666666652E-2</v>
      </c>
    </row>
    <row r="187" spans="1:8" x14ac:dyDescent="0.2">
      <c r="A187" s="15">
        <v>44096</v>
      </c>
      <c r="B187" s="112">
        <v>1.17</v>
      </c>
      <c r="C187" s="108">
        <f t="shared" si="50"/>
        <v>2.0000000000000018E-3</v>
      </c>
      <c r="D187" s="109" t="str">
        <f t="shared" si="51"/>
        <v>/</v>
      </c>
      <c r="E187" s="109">
        <f ca="1">IF(表2_36716262930389121314[[#This Row],[累计净值]]/MAX(INDIRECT("B21:B" &amp; ROW()))-1&lt;E186,表2_36716262930389121314[[#This Row],[累计净值]]/MAX(INDIRECT("B21:B" &amp; ROW()))-1,E186)</f>
        <v>-2.0583190394511175E-2</v>
      </c>
      <c r="F187" s="110">
        <f>表2_36716262930389121314[[#This Row],[累计净值]]-0.12</f>
        <v>1.0499999999999998</v>
      </c>
      <c r="G187" s="20">
        <f>表2_36716262930389121314[[#This Row],[累计净值]]/$B$21-1</f>
        <v>0.10273327049952874</v>
      </c>
      <c r="H187" s="20">
        <f>表2_36716262930389121314[[#This Row],[累计净值]]/$B$51-1</f>
        <v>6.8493150684931559E-2</v>
      </c>
    </row>
    <row r="188" spans="1:8" x14ac:dyDescent="0.2">
      <c r="A188" s="15">
        <v>44097</v>
      </c>
      <c r="B188" s="112">
        <v>1.1679999999999999</v>
      </c>
      <c r="C188" s="108">
        <f>IFERROR(B188-B187,0)</f>
        <v>-2.0000000000000018E-3</v>
      </c>
      <c r="D188" s="109">
        <f>IF(C188&lt;0,C188,"/")</f>
        <v>-2.0000000000000018E-3</v>
      </c>
      <c r="E188" s="109">
        <f ca="1">IF(表2_36716262930389121314[[#This Row],[累计净值]]/MAX(INDIRECT("B21:B" &amp; ROW()))-1&lt;E187,表2_36716262930389121314[[#This Row],[累计净值]]/MAX(INDIRECT("B21:B" &amp; ROW()))-1,E187)</f>
        <v>-2.0583190394511175E-2</v>
      </c>
      <c r="F188" s="110">
        <f>表2_36716262930389121314[[#This Row],[累计净值]]-0.12</f>
        <v>1.048</v>
      </c>
      <c r="G188" s="20">
        <f>表2_36716262930389121314[[#This Row],[累计净值]]/$B$21-1</f>
        <v>0.10084825636192263</v>
      </c>
      <c r="H188" s="20">
        <f>表2_36716262930389121314[[#This Row],[累计净值]]/$B$51-1</f>
        <v>6.6666666666666652E-2</v>
      </c>
    </row>
    <row r="189" spans="1:8" x14ac:dyDescent="0.2">
      <c r="A189" s="15">
        <v>44098</v>
      </c>
      <c r="B189" s="112">
        <v>1.1659999999999999</v>
      </c>
      <c r="C189" s="108">
        <f>IFERROR(B189-B188,0)</f>
        <v>-2.0000000000000018E-3</v>
      </c>
      <c r="D189" s="109">
        <f>IF(C189&lt;0,C189,"/")</f>
        <v>-2.0000000000000018E-3</v>
      </c>
      <c r="E189" s="109">
        <f ca="1">IF(表2_36716262930389121314[[#This Row],[累计净值]]/MAX(INDIRECT("B21:B" &amp; ROW()))-1&lt;E188,表2_36716262930389121314[[#This Row],[累计净值]]/MAX(INDIRECT("B21:B" &amp; ROW()))-1,E188)</f>
        <v>-2.0583190394511175E-2</v>
      </c>
      <c r="F189" s="110">
        <f>表2_36716262930389121314[[#This Row],[累计净值]]-0.12</f>
        <v>1.0459999999999998</v>
      </c>
      <c r="G189" s="20">
        <f>表2_36716262930389121314[[#This Row],[累计净值]]/$B$21-1</f>
        <v>9.8963242224316739E-2</v>
      </c>
      <c r="H189" s="20">
        <f>表2_36716262930389121314[[#This Row],[累计净值]]/$B$51-1</f>
        <v>6.4840182648401745E-2</v>
      </c>
    </row>
    <row r="190" spans="1:8" x14ac:dyDescent="0.2">
      <c r="A190" s="15">
        <v>44099</v>
      </c>
      <c r="B190" s="112">
        <v>1.1639999999999999</v>
      </c>
      <c r="C190" s="108">
        <f>IFERROR(B190-B189,0)</f>
        <v>-2.0000000000000018E-3</v>
      </c>
      <c r="D190" s="109">
        <f>IF(C190&lt;0,C190,"/")</f>
        <v>-2.0000000000000018E-3</v>
      </c>
      <c r="E190" s="109">
        <f ca="1">IF(表2_36716262930389121314[[#This Row],[累计净值]]/MAX(INDIRECT("B21:B" &amp; ROW()))-1&lt;E189,表2_36716262930389121314[[#This Row],[累计净值]]/MAX(INDIRECT("B21:B" &amp; ROW()))-1,E189)</f>
        <v>-2.0583190394511175E-2</v>
      </c>
      <c r="F190" s="110">
        <f>表2_36716262930389121314[[#This Row],[累计净值]]-0.12</f>
        <v>1.044</v>
      </c>
      <c r="G190" s="20">
        <f>表2_36716262930389121314[[#This Row],[累计净值]]/$B$21-1</f>
        <v>9.7078228086710627E-2</v>
      </c>
      <c r="H190" s="20">
        <f>表2_36716262930389121314[[#This Row],[累计净值]]/$B$51-1</f>
        <v>6.3013698630136838E-2</v>
      </c>
    </row>
    <row r="191" spans="1:8" x14ac:dyDescent="0.2">
      <c r="A191" s="15">
        <v>44102</v>
      </c>
      <c r="B191" s="112">
        <v>1.1659999999999999</v>
      </c>
      <c r="C191" s="108">
        <f>IFERROR(B191-B190,0)</f>
        <v>2.0000000000000018E-3</v>
      </c>
      <c r="D191" s="109" t="str">
        <f>IF(C191&lt;0,C191,"/")</f>
        <v>/</v>
      </c>
      <c r="E191" s="109">
        <f ca="1">IF(表2_36716262930389121314[[#This Row],[累计净值]]/MAX(INDIRECT("B21:B" &amp; ROW()))-1&lt;E190,表2_36716262930389121314[[#This Row],[累计净值]]/MAX(INDIRECT("B21:B" &amp; ROW()))-1,E190)</f>
        <v>-2.0583190394511175E-2</v>
      </c>
      <c r="F191" s="110">
        <f>表2_36716262930389121314[[#This Row],[累计净值]]-0.12</f>
        <v>1.0459999999999998</v>
      </c>
      <c r="G191" s="20">
        <f>表2_36716262930389121314[[#This Row],[累计净值]]/$B$21-1</f>
        <v>9.8963242224316739E-2</v>
      </c>
      <c r="H191" s="20">
        <f>表2_36716262930389121314[[#This Row],[累计净值]]/$B$51-1</f>
        <v>6.4840182648401745E-2</v>
      </c>
    </row>
    <row r="192" spans="1:8" x14ac:dyDescent="0.2">
      <c r="A192" s="15">
        <v>44103</v>
      </c>
      <c r="B192" s="112">
        <v>1.1599999999999999</v>
      </c>
      <c r="C192" s="108">
        <f t="shared" ref="C192:C193" si="52">IFERROR(B192-B191,0)</f>
        <v>-6.0000000000000053E-3</v>
      </c>
      <c r="D192" s="109">
        <f t="shared" ref="D192:D193" si="53">IF(C192&lt;0,C192,"/")</f>
        <v>-6.0000000000000053E-3</v>
      </c>
      <c r="E192" s="109">
        <f ca="1">IF(表2_36716262930389121314[[#This Row],[累计净值]]/MAX(INDIRECT("B21:B" &amp; ROW()))-1&lt;E191,表2_36716262930389121314[[#This Row],[累计净值]]/MAX(INDIRECT("B21:B" &amp; ROW()))-1,E191)</f>
        <v>-2.0583190394511175E-2</v>
      </c>
      <c r="F192" s="110">
        <f>表2_36716262930389121314[[#This Row],[累计净值]]-0.12</f>
        <v>1.04</v>
      </c>
      <c r="G192" s="20">
        <f>表2_36716262930389121314[[#This Row],[累计净值]]/$B$21-1</f>
        <v>9.3308199811498627E-2</v>
      </c>
      <c r="H192" s="20">
        <f>表2_36716262930389121314[[#This Row],[累计净值]]/$B$51-1</f>
        <v>5.9360730593607247E-2</v>
      </c>
    </row>
    <row r="193" spans="1:8" x14ac:dyDescent="0.2">
      <c r="A193" s="15">
        <v>44104</v>
      </c>
      <c r="B193" s="112">
        <v>1.1639999999999999</v>
      </c>
      <c r="C193" s="108">
        <f t="shared" si="52"/>
        <v>4.0000000000000036E-3</v>
      </c>
      <c r="D193" s="109" t="str">
        <f t="shared" si="53"/>
        <v>/</v>
      </c>
      <c r="E193" s="109">
        <f ca="1">IF(表2_36716262930389121314[[#This Row],[累计净值]]/MAX(INDIRECT("B21:B" &amp; ROW()))-1&lt;E192,表2_36716262930389121314[[#This Row],[累计净值]]/MAX(INDIRECT("B21:B" &amp; ROW()))-1,E192)</f>
        <v>-2.0583190394511175E-2</v>
      </c>
      <c r="F193" s="110">
        <f>表2_36716262930389121314[[#This Row],[累计净值]]-0.12</f>
        <v>1.044</v>
      </c>
      <c r="G193" s="20">
        <f>表2_36716262930389121314[[#This Row],[累计净值]]/$B$21-1</f>
        <v>9.7078228086710627E-2</v>
      </c>
      <c r="H193" s="20">
        <f>表2_36716262930389121314[[#This Row],[累计净值]]/$B$51-1</f>
        <v>6.3013698630136838E-2</v>
      </c>
    </row>
    <row r="194" spans="1:8" x14ac:dyDescent="0.2">
      <c r="A194" s="15">
        <v>44113</v>
      </c>
      <c r="B194" s="112">
        <v>1.169</v>
      </c>
      <c r="C194" s="108">
        <f t="shared" ref="C194:C199" si="54">IFERROR(B194-B193,0)</f>
        <v>5.0000000000001155E-3</v>
      </c>
      <c r="D194" s="109" t="str">
        <f t="shared" ref="D194:D199" si="55">IF(C194&lt;0,C194,"/")</f>
        <v>/</v>
      </c>
      <c r="E194" s="109">
        <f ca="1">IF(表2_36716262930389121314[[#This Row],[累计净值]]/MAX(INDIRECT("B21:B" &amp; ROW()))-1&lt;E193,表2_36716262930389121314[[#This Row],[累计净值]]/MAX(INDIRECT("B21:B" &amp; ROW()))-1,E193)</f>
        <v>-2.0583190394511175E-2</v>
      </c>
      <c r="F194" s="110">
        <f>表2_36716262930389121314[[#This Row],[累计净值]]-0.12</f>
        <v>1.0489999999999999</v>
      </c>
      <c r="G194" s="20">
        <f>表2_36716262930389121314[[#This Row],[累计净值]]/$B$21-1</f>
        <v>0.10179076343072579</v>
      </c>
      <c r="H194" s="20">
        <f>表2_36716262930389121314[[#This Row],[累计净值]]/$B$51-1</f>
        <v>6.7579908675799105E-2</v>
      </c>
    </row>
    <row r="195" spans="1:8" x14ac:dyDescent="0.2">
      <c r="A195" s="15">
        <v>44116</v>
      </c>
      <c r="B195" s="112">
        <v>1.167</v>
      </c>
      <c r="C195" s="108">
        <f t="shared" si="54"/>
        <v>-2.0000000000000018E-3</v>
      </c>
      <c r="D195" s="109">
        <f t="shared" si="55"/>
        <v>-2.0000000000000018E-3</v>
      </c>
      <c r="E195" s="109">
        <f ca="1">IF(表2_36716262930389121314[[#This Row],[累计净值]]/MAX(INDIRECT("B21:B" &amp; ROW()))-1&lt;E194,表2_36716262930389121314[[#This Row],[累计净值]]/MAX(INDIRECT("B21:B" &amp; ROW()))-1,E194)</f>
        <v>-2.0583190394511175E-2</v>
      </c>
      <c r="F195" s="110">
        <f>表2_36716262930389121314[[#This Row],[累计净值]]-0.12</f>
        <v>1.0470000000000002</v>
      </c>
      <c r="G195" s="20">
        <f>表2_36716262930389121314[[#This Row],[累计净值]]/$B$21-1</f>
        <v>9.9905749293119683E-2</v>
      </c>
      <c r="H195" s="20">
        <f>表2_36716262930389121314[[#This Row],[累计净值]]/$B$51-1</f>
        <v>6.5753424657534199E-2</v>
      </c>
    </row>
    <row r="196" spans="1:8" x14ac:dyDescent="0.2">
      <c r="A196" s="15">
        <v>44117</v>
      </c>
      <c r="B196" s="112">
        <v>1.167</v>
      </c>
      <c r="C196" s="108">
        <f t="shared" si="54"/>
        <v>0</v>
      </c>
      <c r="D196" s="109" t="str">
        <f t="shared" si="55"/>
        <v>/</v>
      </c>
      <c r="E196" s="109">
        <f ca="1">IF(表2_36716262930389121314[[#This Row],[累计净值]]/MAX(INDIRECT("B21:B" &amp; ROW()))-1&lt;E195,表2_36716262930389121314[[#This Row],[累计净值]]/MAX(INDIRECT("B21:B" &amp; ROW()))-1,E195)</f>
        <v>-2.0583190394511175E-2</v>
      </c>
      <c r="F196" s="110">
        <f>表2_36716262930389121314[[#This Row],[累计净值]]-0.12</f>
        <v>1.0470000000000002</v>
      </c>
      <c r="G196" s="20">
        <f>表2_36716262930389121314[[#This Row],[累计净值]]/$B$21-1</f>
        <v>9.9905749293119683E-2</v>
      </c>
      <c r="H196" s="20">
        <f>表2_36716262930389121314[[#This Row],[累计净值]]/$B$51-1</f>
        <v>6.5753424657534199E-2</v>
      </c>
    </row>
    <row r="197" spans="1:8" x14ac:dyDescent="0.2">
      <c r="A197" s="15">
        <v>44118</v>
      </c>
      <c r="B197" s="112">
        <v>1.171</v>
      </c>
      <c r="C197" s="108">
        <f t="shared" si="54"/>
        <v>4.0000000000000036E-3</v>
      </c>
      <c r="D197" s="109" t="str">
        <f t="shared" si="55"/>
        <v>/</v>
      </c>
      <c r="E197" s="109">
        <f ca="1">IF(表2_36716262930389121314[[#This Row],[累计净值]]/MAX(INDIRECT("B21:B" &amp; ROW()))-1&lt;E196,表2_36716262930389121314[[#This Row],[累计净值]]/MAX(INDIRECT("B21:B" &amp; ROW()))-1,E196)</f>
        <v>-2.0583190394511175E-2</v>
      </c>
      <c r="F197" s="110">
        <f>表2_36716262930389121314[[#This Row],[累计净值]]-0.12</f>
        <v>1.0510000000000002</v>
      </c>
      <c r="G197" s="20">
        <f>表2_36716262930389121314[[#This Row],[累计净值]]/$B$21-1</f>
        <v>0.10367577756833191</v>
      </c>
      <c r="H197" s="20">
        <f>表2_36716262930389121314[[#This Row],[累计净值]]/$B$51-1</f>
        <v>6.9406392694064012E-2</v>
      </c>
    </row>
    <row r="198" spans="1:8" x14ac:dyDescent="0.2">
      <c r="A198" s="15">
        <v>44119</v>
      </c>
      <c r="B198" s="112">
        <v>1.167</v>
      </c>
      <c r="C198" s="108">
        <f t="shared" si="54"/>
        <v>-4.0000000000000036E-3</v>
      </c>
      <c r="D198" s="109">
        <f t="shared" si="55"/>
        <v>-4.0000000000000036E-3</v>
      </c>
      <c r="E198" s="109">
        <f ca="1">IF(表2_36716262930389121314[[#This Row],[累计净值]]/MAX(INDIRECT("B21:B" &amp; ROW()))-1&lt;E197,表2_36716262930389121314[[#This Row],[累计净值]]/MAX(INDIRECT("B21:B" &amp; ROW()))-1,E197)</f>
        <v>-2.0583190394511175E-2</v>
      </c>
      <c r="F198" s="110">
        <f>表2_36716262930389121314[[#This Row],[累计净值]]-0.12</f>
        <v>1.0470000000000002</v>
      </c>
      <c r="G198" s="20">
        <f>表2_36716262930389121314[[#This Row],[累计净值]]/$B$21-1</f>
        <v>9.9905749293119683E-2</v>
      </c>
      <c r="H198" s="20">
        <f>表2_36716262930389121314[[#This Row],[累计净值]]/$B$51-1</f>
        <v>6.5753424657534199E-2</v>
      </c>
    </row>
    <row r="199" spans="1:8" x14ac:dyDescent="0.2">
      <c r="A199" s="15">
        <v>44120</v>
      </c>
      <c r="B199" s="112">
        <v>1.167</v>
      </c>
      <c r="C199" s="108">
        <f t="shared" si="54"/>
        <v>0</v>
      </c>
      <c r="D199" s="109" t="str">
        <f t="shared" si="55"/>
        <v>/</v>
      </c>
      <c r="E199" s="109">
        <f ca="1">IF(表2_36716262930389121314[[#This Row],[累计净值]]/MAX(INDIRECT("B21:B" &amp; ROW()))-1&lt;E198,表2_36716262930389121314[[#This Row],[累计净值]]/MAX(INDIRECT("B21:B" &amp; ROW()))-1,E198)</f>
        <v>-2.0583190394511175E-2</v>
      </c>
      <c r="F199" s="110">
        <f>表2_36716262930389121314[[#This Row],[累计净值]]-0.12</f>
        <v>1.0470000000000002</v>
      </c>
      <c r="G199" s="20">
        <f>表2_36716262930389121314[[#This Row],[累计净值]]/$B$21-1</f>
        <v>9.9905749293119683E-2</v>
      </c>
      <c r="H199" s="20">
        <f>表2_36716262930389121314[[#This Row],[累计净值]]/$B$51-1</f>
        <v>6.5753424657534199E-2</v>
      </c>
    </row>
    <row r="200" spans="1:8" x14ac:dyDescent="0.2">
      <c r="A200" s="15">
        <v>44123</v>
      </c>
      <c r="B200" s="112">
        <v>1.165</v>
      </c>
      <c r="C200" s="108">
        <f t="shared" ref="C200:C205" si="56">IFERROR(B200-B199,0)</f>
        <v>-2.0000000000000018E-3</v>
      </c>
      <c r="D200" s="109">
        <f t="shared" ref="D200:D205" si="57">IF(C200&lt;0,C200,"/")</f>
        <v>-2.0000000000000018E-3</v>
      </c>
      <c r="E200" s="109">
        <f ca="1">IF(表2_36716262930389121314[[#This Row],[累计净值]]/MAX(INDIRECT("B21:B" &amp; ROW()))-1&lt;E199,表2_36716262930389121314[[#This Row],[累计净值]]/MAX(INDIRECT("B21:B" &amp; ROW()))-1,E199)</f>
        <v>-2.0583190394511175E-2</v>
      </c>
      <c r="F200" s="110">
        <f>表2_36716262930389121314[[#This Row],[累计净值]]-0.12</f>
        <v>1.0449999999999999</v>
      </c>
      <c r="G200" s="20">
        <f>表2_36716262930389121314[[#This Row],[累计净值]]/$B$21-1</f>
        <v>9.8020735155513794E-2</v>
      </c>
      <c r="H200" s="20">
        <f>表2_36716262930389121314[[#This Row],[累计净值]]/$B$51-1</f>
        <v>6.3926940639269514E-2</v>
      </c>
    </row>
    <row r="201" spans="1:8" x14ac:dyDescent="0.2">
      <c r="A201" s="15">
        <v>44124</v>
      </c>
      <c r="B201" s="112">
        <v>1.1659999999999999</v>
      </c>
      <c r="C201" s="108">
        <f t="shared" si="56"/>
        <v>9.9999999999988987E-4</v>
      </c>
      <c r="D201" s="109" t="str">
        <f t="shared" si="57"/>
        <v>/</v>
      </c>
      <c r="E201" s="109">
        <f ca="1">IF(表2_36716262930389121314[[#This Row],[累计净值]]/MAX(INDIRECT("B21:B" &amp; ROW()))-1&lt;E200,表2_36716262930389121314[[#This Row],[累计净值]]/MAX(INDIRECT("B21:B" &amp; ROW()))-1,E200)</f>
        <v>-2.0583190394511175E-2</v>
      </c>
      <c r="F201" s="110">
        <f>表2_36716262930389121314[[#This Row],[累计净值]]-0.12</f>
        <v>1.0459999999999998</v>
      </c>
      <c r="G201" s="20">
        <f>表2_36716262930389121314[[#This Row],[累计净值]]/$B$21-1</f>
        <v>9.8963242224316739E-2</v>
      </c>
      <c r="H201" s="20">
        <f>表2_36716262930389121314[[#This Row],[累计净值]]/$B$51-1</f>
        <v>6.4840182648401745E-2</v>
      </c>
    </row>
    <row r="202" spans="1:8" x14ac:dyDescent="0.2">
      <c r="A202" s="15">
        <v>44125</v>
      </c>
      <c r="B202" s="112">
        <v>1.1679999999999999</v>
      </c>
      <c r="C202" s="108">
        <f t="shared" si="56"/>
        <v>2.0000000000000018E-3</v>
      </c>
      <c r="D202" s="109" t="str">
        <f t="shared" si="57"/>
        <v>/</v>
      </c>
      <c r="E202" s="109">
        <f ca="1">IF(表2_36716262930389121314[[#This Row],[累计净值]]/MAX(INDIRECT("B21:B" &amp; ROW()))-1&lt;E201,表2_36716262930389121314[[#This Row],[累计净值]]/MAX(INDIRECT("B21:B" &amp; ROW()))-1,E201)</f>
        <v>-2.0583190394511175E-2</v>
      </c>
      <c r="F202" s="110">
        <f>表2_36716262930389121314[[#This Row],[累计净值]]-0.12</f>
        <v>1.048</v>
      </c>
      <c r="G202" s="20">
        <f>表2_36716262930389121314[[#This Row],[累计净值]]/$B$21-1</f>
        <v>0.10084825636192263</v>
      </c>
      <c r="H202" s="20">
        <f>表2_36716262930389121314[[#This Row],[累计净值]]/$B$51-1</f>
        <v>6.6666666666666652E-2</v>
      </c>
    </row>
    <row r="203" spans="1:8" x14ac:dyDescent="0.2">
      <c r="A203" s="15">
        <v>44126</v>
      </c>
      <c r="B203" s="112">
        <v>1.17</v>
      </c>
      <c r="C203" s="108">
        <f t="shared" si="56"/>
        <v>2.0000000000000018E-3</v>
      </c>
      <c r="D203" s="109" t="str">
        <f t="shared" si="57"/>
        <v>/</v>
      </c>
      <c r="E203" s="109">
        <f ca="1">IF(表2_36716262930389121314[[#This Row],[累计净值]]/MAX(INDIRECT("B21:B" &amp; ROW()))-1&lt;E202,表2_36716262930389121314[[#This Row],[累计净值]]/MAX(INDIRECT("B21:B" &amp; ROW()))-1,E202)</f>
        <v>-2.0583190394511175E-2</v>
      </c>
      <c r="F203" s="110">
        <f>表2_36716262930389121314[[#This Row],[累计净值]]-0.12</f>
        <v>1.0499999999999998</v>
      </c>
      <c r="G203" s="20">
        <f>表2_36716262930389121314[[#This Row],[累计净值]]/$B$21-1</f>
        <v>0.10273327049952874</v>
      </c>
      <c r="H203" s="20">
        <f>表2_36716262930389121314[[#This Row],[累计净值]]/$B$51-1</f>
        <v>6.8493150684931559E-2</v>
      </c>
    </row>
    <row r="204" spans="1:8" x14ac:dyDescent="0.2">
      <c r="A204" s="15">
        <v>44127</v>
      </c>
      <c r="B204" s="112">
        <v>1.173</v>
      </c>
      <c r="C204" s="108">
        <f t="shared" si="56"/>
        <v>3.0000000000001137E-3</v>
      </c>
      <c r="D204" s="109" t="str">
        <f t="shared" si="57"/>
        <v>/</v>
      </c>
      <c r="E204" s="109">
        <f ca="1">IF(表2_36716262930389121314[[#This Row],[累计净值]]/MAX(INDIRECT("B21:B" &amp; ROW()))-1&lt;E203,表2_36716262930389121314[[#This Row],[累计净值]]/MAX(INDIRECT("B21:B" &amp; ROW()))-1,E203)</f>
        <v>-2.0583190394511175E-2</v>
      </c>
      <c r="F204" s="110">
        <f>表2_36716262930389121314[[#This Row],[累计净值]]-0.12</f>
        <v>1.0529999999999999</v>
      </c>
      <c r="G204" s="20">
        <f>表2_36716262930389121314[[#This Row],[累计净值]]/$B$21-1</f>
        <v>0.1055607917059378</v>
      </c>
      <c r="H204" s="20">
        <f>表2_36716262930389121314[[#This Row],[累计净值]]/$B$51-1</f>
        <v>7.1232876712328919E-2</v>
      </c>
    </row>
    <row r="205" spans="1:8" x14ac:dyDescent="0.2">
      <c r="A205" s="15">
        <v>44130</v>
      </c>
      <c r="B205" s="112">
        <v>1.167</v>
      </c>
      <c r="C205" s="108">
        <f t="shared" si="56"/>
        <v>-6.0000000000000053E-3</v>
      </c>
      <c r="D205" s="109">
        <f t="shared" si="57"/>
        <v>-6.0000000000000053E-3</v>
      </c>
      <c r="E205" s="109">
        <f ca="1">IF(表2_36716262930389121314[[#This Row],[累计净值]]/MAX(INDIRECT("B21:B" &amp; ROW()))-1&lt;E204,表2_36716262930389121314[[#This Row],[累计净值]]/MAX(INDIRECT("B21:B" &amp; ROW()))-1,E204)</f>
        <v>-2.0583190394511175E-2</v>
      </c>
      <c r="F205" s="110">
        <f>表2_36716262930389121314[[#This Row],[累计净值]]-0.12</f>
        <v>1.0470000000000002</v>
      </c>
      <c r="G205" s="20">
        <f>表2_36716262930389121314[[#This Row],[累计净值]]/$B$21-1</f>
        <v>9.9905749293119683E-2</v>
      </c>
      <c r="H205" s="20">
        <f>表2_36716262930389121314[[#This Row],[累计净值]]/$B$51-1</f>
        <v>6.5753424657534199E-2</v>
      </c>
    </row>
    <row r="206" spans="1:8" x14ac:dyDescent="0.2">
      <c r="A206" s="15">
        <v>44131</v>
      </c>
      <c r="B206" s="112">
        <v>1.163</v>
      </c>
      <c r="C206" s="108">
        <f t="shared" ref="C206:C211" si="58">IFERROR(B206-B205,0)</f>
        <v>-4.0000000000000036E-3</v>
      </c>
      <c r="D206" s="109">
        <f t="shared" ref="D206:D211" si="59">IF(C206&lt;0,C206,"/")</f>
        <v>-4.0000000000000036E-3</v>
      </c>
      <c r="E206" s="109">
        <f ca="1">IF(表2_36716262930389121314[[#This Row],[累计净值]]/MAX(INDIRECT("B21:B" &amp; ROW()))-1&lt;E205,表2_36716262930389121314[[#This Row],[累计净值]]/MAX(INDIRECT("B21:B" &amp; ROW()))-1,E205)</f>
        <v>-2.0583190394511175E-2</v>
      </c>
      <c r="F206" s="110">
        <f>表2_36716262930389121314[[#This Row],[累计净值]]-0.12</f>
        <v>1.0430000000000001</v>
      </c>
      <c r="G206" s="20">
        <f>表2_36716262930389121314[[#This Row],[累计净值]]/$B$21-1</f>
        <v>9.6135721017907683E-2</v>
      </c>
      <c r="H206" s="20">
        <f>表2_36716262930389121314[[#This Row],[累计净值]]/$B$51-1</f>
        <v>6.2100456621004607E-2</v>
      </c>
    </row>
    <row r="207" spans="1:8" x14ac:dyDescent="0.2">
      <c r="A207" s="15">
        <v>44132</v>
      </c>
      <c r="B207" s="112">
        <v>1.163</v>
      </c>
      <c r="C207" s="108">
        <f t="shared" si="58"/>
        <v>0</v>
      </c>
      <c r="D207" s="109" t="str">
        <f t="shared" si="59"/>
        <v>/</v>
      </c>
      <c r="E207" s="109">
        <f ca="1">IF(表2_36716262930389121314[[#This Row],[累计净值]]/MAX(INDIRECT("B21:B" &amp; ROW()))-1&lt;E206,表2_36716262930389121314[[#This Row],[累计净值]]/MAX(INDIRECT("B21:B" &amp; ROW()))-1,E206)</f>
        <v>-2.0583190394511175E-2</v>
      </c>
      <c r="F207" s="110">
        <f>表2_36716262930389121314[[#This Row],[累计净值]]-0.12</f>
        <v>1.0430000000000001</v>
      </c>
      <c r="G207" s="20">
        <f>表2_36716262930389121314[[#This Row],[累计净值]]/$B$21-1</f>
        <v>9.6135721017907683E-2</v>
      </c>
      <c r="H207" s="20">
        <f>表2_36716262930389121314[[#This Row],[累计净值]]/$B$51-1</f>
        <v>6.2100456621004607E-2</v>
      </c>
    </row>
    <row r="208" spans="1:8" x14ac:dyDescent="0.2">
      <c r="A208" s="15">
        <v>44133</v>
      </c>
      <c r="B208" s="112">
        <v>1.1599999999999999</v>
      </c>
      <c r="C208" s="108">
        <f t="shared" si="58"/>
        <v>-3.0000000000001137E-3</v>
      </c>
      <c r="D208" s="109">
        <f t="shared" si="59"/>
        <v>-3.0000000000001137E-3</v>
      </c>
      <c r="E208" s="109">
        <f ca="1">IF(表2_36716262930389121314[[#This Row],[累计净值]]/MAX(INDIRECT("B21:B" &amp; ROW()))-1&lt;E207,表2_36716262930389121314[[#This Row],[累计净值]]/MAX(INDIRECT("B21:B" &amp; ROW()))-1,E207)</f>
        <v>-2.0583190394511175E-2</v>
      </c>
      <c r="F208" s="110">
        <f>表2_36716262930389121314[[#This Row],[累计净值]]-0.12</f>
        <v>1.04</v>
      </c>
      <c r="G208" s="20">
        <f>表2_36716262930389121314[[#This Row],[累计净值]]/$B$21-1</f>
        <v>9.3308199811498627E-2</v>
      </c>
      <c r="H208" s="20">
        <f>表2_36716262930389121314[[#This Row],[累计净值]]/$B$51-1</f>
        <v>5.9360730593607247E-2</v>
      </c>
    </row>
    <row r="209" spans="1:8" x14ac:dyDescent="0.2">
      <c r="A209" s="15">
        <v>44134</v>
      </c>
      <c r="B209" s="112">
        <v>1.159</v>
      </c>
      <c r="C209" s="108">
        <f t="shared" si="58"/>
        <v>-9.9999999999988987E-4</v>
      </c>
      <c r="D209" s="109">
        <f t="shared" si="59"/>
        <v>-9.9999999999988987E-4</v>
      </c>
      <c r="E209" s="109">
        <f ca="1">IF(表2_36716262930389121314[[#This Row],[累计净值]]/MAX(INDIRECT("B21:B" &amp; ROW()))-1&lt;E208,表2_36716262930389121314[[#This Row],[累计净值]]/MAX(INDIRECT("B21:B" &amp; ROW()))-1,E208)</f>
        <v>-2.0583190394511175E-2</v>
      </c>
      <c r="F209" s="110">
        <f>表2_36716262930389121314[[#This Row],[累计净值]]-0.12</f>
        <v>1.0390000000000001</v>
      </c>
      <c r="G209" s="20">
        <f>表2_36716262930389121314[[#This Row],[累计净值]]/$B$21-1</f>
        <v>9.2365692742695682E-2</v>
      </c>
      <c r="H209" s="20">
        <f>表2_36716262930389121314[[#This Row],[累计净值]]/$B$51-1</f>
        <v>5.8447488584475016E-2</v>
      </c>
    </row>
    <row r="210" spans="1:8" x14ac:dyDescent="0.2">
      <c r="A210" s="15">
        <v>44137</v>
      </c>
      <c r="B210" s="112">
        <v>1.157</v>
      </c>
      <c r="C210" s="108">
        <f t="shared" si="58"/>
        <v>-2.0000000000000018E-3</v>
      </c>
      <c r="D210" s="109">
        <f t="shared" si="59"/>
        <v>-2.0000000000000018E-3</v>
      </c>
      <c r="E210" s="109">
        <f ca="1">IF(表2_36716262930389121314[[#This Row],[累计净值]]/MAX(INDIRECT("B21:B" &amp; ROW()))-1&lt;E209,表2_36716262930389121314[[#This Row],[累计净值]]/MAX(INDIRECT("B21:B" &amp; ROW()))-1,E209)</f>
        <v>-2.0583190394511175E-2</v>
      </c>
      <c r="F210" s="110">
        <f>表2_36716262930389121314[[#This Row],[累计净值]]-0.12</f>
        <v>1.0369999999999999</v>
      </c>
      <c r="G210" s="20">
        <f>表2_36716262930389121314[[#This Row],[累计净值]]/$B$21-1</f>
        <v>9.0480678605089571E-2</v>
      </c>
      <c r="H210" s="20">
        <f>表2_36716262930389121314[[#This Row],[累计净值]]/$B$51-1</f>
        <v>5.6621004566210109E-2</v>
      </c>
    </row>
    <row r="211" spans="1:8" x14ac:dyDescent="0.2">
      <c r="A211" s="15">
        <v>44138</v>
      </c>
      <c r="B211" s="112">
        <v>1.159</v>
      </c>
      <c r="C211" s="108">
        <f t="shared" si="58"/>
        <v>2.0000000000000018E-3</v>
      </c>
      <c r="D211" s="109" t="str">
        <f t="shared" si="59"/>
        <v>/</v>
      </c>
      <c r="E211" s="109">
        <f ca="1">IF(表2_36716262930389121314[[#This Row],[累计净值]]/MAX(INDIRECT("B21:B" &amp; ROW()))-1&lt;E210,表2_36716262930389121314[[#This Row],[累计净值]]/MAX(INDIRECT("B21:B" &amp; ROW()))-1,E210)</f>
        <v>-2.0583190394511175E-2</v>
      </c>
      <c r="F211" s="110">
        <f>表2_36716262930389121314[[#This Row],[累计净值]]-0.12</f>
        <v>1.0390000000000001</v>
      </c>
      <c r="G211" s="20">
        <f>表2_36716262930389121314[[#This Row],[累计净值]]/$B$21-1</f>
        <v>9.2365692742695682E-2</v>
      </c>
      <c r="H211" s="20">
        <f>表2_36716262930389121314[[#This Row],[累计净值]]/$B$51-1</f>
        <v>5.8447488584475016E-2</v>
      </c>
    </row>
    <row r="212" spans="1:8" x14ac:dyDescent="0.2">
      <c r="A212" s="15">
        <v>44139</v>
      </c>
      <c r="B212" s="112">
        <v>1.161</v>
      </c>
      <c r="C212" s="108">
        <f t="shared" ref="C212:C217" si="60">IFERROR(B212-B211,0)</f>
        <v>2.0000000000000018E-3</v>
      </c>
      <c r="D212" s="109" t="str">
        <f t="shared" ref="D212:D217" si="61">IF(C212&lt;0,C212,"/")</f>
        <v>/</v>
      </c>
      <c r="E212" s="109">
        <f ca="1">IF(表2_36716262930389121314[[#This Row],[累计净值]]/MAX(INDIRECT("B21:B" &amp; ROW()))-1&lt;E211,表2_36716262930389121314[[#This Row],[累计净值]]/MAX(INDIRECT("B21:B" &amp; ROW()))-1,E211)</f>
        <v>-2.0583190394511175E-2</v>
      </c>
      <c r="F212" s="110">
        <f>表2_36716262930389121314[[#This Row],[累计净值]]-0.12</f>
        <v>1.0409999999999999</v>
      </c>
      <c r="G212" s="20">
        <f>表2_36716262930389121314[[#This Row],[累计净值]]/$B$21-1</f>
        <v>9.4250706880301793E-2</v>
      </c>
      <c r="H212" s="20">
        <f>表2_36716262930389121314[[#This Row],[累计净值]]/$B$51-1</f>
        <v>6.02739726027397E-2</v>
      </c>
    </row>
    <row r="213" spans="1:8" x14ac:dyDescent="0.2">
      <c r="A213" s="15">
        <v>44140</v>
      </c>
      <c r="B213" s="112">
        <v>1.167</v>
      </c>
      <c r="C213" s="108">
        <f t="shared" si="60"/>
        <v>6.0000000000000053E-3</v>
      </c>
      <c r="D213" s="109" t="str">
        <f t="shared" si="61"/>
        <v>/</v>
      </c>
      <c r="E213" s="109">
        <f ca="1">IF(表2_36716262930389121314[[#This Row],[累计净值]]/MAX(INDIRECT("B21:B" &amp; ROW()))-1&lt;E212,表2_36716262930389121314[[#This Row],[累计净值]]/MAX(INDIRECT("B21:B" &amp; ROW()))-1,E212)</f>
        <v>-2.0583190394511175E-2</v>
      </c>
      <c r="F213" s="110">
        <f>表2_36716262930389121314[[#This Row],[累计净值]]-0.12</f>
        <v>1.0470000000000002</v>
      </c>
      <c r="G213" s="20">
        <f>表2_36716262930389121314[[#This Row],[累计净值]]/$B$21-1</f>
        <v>9.9905749293119683E-2</v>
      </c>
      <c r="H213" s="20">
        <f>表2_36716262930389121314[[#This Row],[累计净值]]/$B$51-1</f>
        <v>6.5753424657534199E-2</v>
      </c>
    </row>
    <row r="214" spans="1:8" x14ac:dyDescent="0.2">
      <c r="A214" s="15">
        <v>44141</v>
      </c>
      <c r="B214" s="112">
        <v>1.1639999999999999</v>
      </c>
      <c r="C214" s="108">
        <f t="shared" si="60"/>
        <v>-3.0000000000001137E-3</v>
      </c>
      <c r="D214" s="109">
        <f t="shared" si="61"/>
        <v>-3.0000000000001137E-3</v>
      </c>
      <c r="E214" s="109">
        <f ca="1">IF(表2_36716262930389121314[[#This Row],[累计净值]]/MAX(INDIRECT("B21:B" &amp; ROW()))-1&lt;E213,表2_36716262930389121314[[#This Row],[累计净值]]/MAX(INDIRECT("B21:B" &amp; ROW()))-1,E213)</f>
        <v>-2.0583190394511175E-2</v>
      </c>
      <c r="F214" s="110">
        <f>表2_36716262930389121314[[#This Row],[累计净值]]-0.12</f>
        <v>1.044</v>
      </c>
      <c r="G214" s="20">
        <f>表2_36716262930389121314[[#This Row],[累计净值]]/$B$21-1</f>
        <v>9.7078228086710627E-2</v>
      </c>
      <c r="H214" s="20">
        <f>表2_36716262930389121314[[#This Row],[累计净值]]/$B$51-1</f>
        <v>6.3013698630136838E-2</v>
      </c>
    </row>
    <row r="215" spans="1:8" x14ac:dyDescent="0.2">
      <c r="A215" s="15">
        <v>44144</v>
      </c>
      <c r="B215" s="112">
        <v>1.165</v>
      </c>
      <c r="C215" s="108">
        <f t="shared" si="60"/>
        <v>1.0000000000001119E-3</v>
      </c>
      <c r="D215" s="109" t="str">
        <f t="shared" si="61"/>
        <v>/</v>
      </c>
      <c r="E215" s="109">
        <f ca="1">IF(表2_36716262930389121314[[#This Row],[累计净值]]/MAX(INDIRECT("B21:B" &amp; ROW()))-1&lt;E214,表2_36716262930389121314[[#This Row],[累计净值]]/MAX(INDIRECT("B21:B" &amp; ROW()))-1,E214)</f>
        <v>-2.0583190394511175E-2</v>
      </c>
      <c r="F215" s="110">
        <f>表2_36716262930389121314[[#This Row],[累计净值]]-0.12</f>
        <v>1.0449999999999999</v>
      </c>
      <c r="G215" s="20">
        <f>表2_36716262930389121314[[#This Row],[累计净值]]/$B$21-1</f>
        <v>9.8020735155513794E-2</v>
      </c>
      <c r="H215" s="20">
        <f>表2_36716262930389121314[[#This Row],[累计净值]]/$B$51-1</f>
        <v>6.3926940639269514E-2</v>
      </c>
    </row>
    <row r="216" spans="1:8" x14ac:dyDescent="0.2">
      <c r="A216" s="15">
        <v>44145</v>
      </c>
      <c r="B216" s="112">
        <v>1.163</v>
      </c>
      <c r="C216" s="108">
        <f t="shared" si="60"/>
        <v>-2.0000000000000018E-3</v>
      </c>
      <c r="D216" s="109">
        <f t="shared" si="61"/>
        <v>-2.0000000000000018E-3</v>
      </c>
      <c r="E216" s="109">
        <f ca="1">IF(表2_36716262930389121314[[#This Row],[累计净值]]/MAX(INDIRECT("B21:B" &amp; ROW()))-1&lt;E215,表2_36716262930389121314[[#This Row],[累计净值]]/MAX(INDIRECT("B21:B" &amp; ROW()))-1,E215)</f>
        <v>-2.0583190394511175E-2</v>
      </c>
      <c r="F216" s="110">
        <f>表2_36716262930389121314[[#This Row],[累计净值]]-0.12</f>
        <v>1.0430000000000001</v>
      </c>
      <c r="G216" s="20">
        <f>表2_36716262930389121314[[#This Row],[累计净值]]/$B$21-1</f>
        <v>9.6135721017907683E-2</v>
      </c>
      <c r="H216" s="20">
        <f>表2_36716262930389121314[[#This Row],[累计净值]]/$B$51-1</f>
        <v>6.2100456621004607E-2</v>
      </c>
    </row>
    <row r="217" spans="1:8" x14ac:dyDescent="0.2">
      <c r="A217" s="15">
        <v>44146</v>
      </c>
      <c r="B217" s="112">
        <v>1.159</v>
      </c>
      <c r="C217" s="108">
        <f t="shared" si="60"/>
        <v>-4.0000000000000036E-3</v>
      </c>
      <c r="D217" s="109">
        <f t="shared" si="61"/>
        <v>-4.0000000000000036E-3</v>
      </c>
      <c r="E217" s="109">
        <f ca="1">IF(表2_36716262930389121314[[#This Row],[累计净值]]/MAX(INDIRECT("B21:B" &amp; ROW()))-1&lt;E216,表2_36716262930389121314[[#This Row],[累计净值]]/MAX(INDIRECT("B21:B" &amp; ROW()))-1,E216)</f>
        <v>-2.0583190394511175E-2</v>
      </c>
      <c r="F217" s="110">
        <f>表2_36716262930389121314[[#This Row],[累计净值]]-0.12</f>
        <v>1.0390000000000001</v>
      </c>
      <c r="G217" s="20">
        <f>表2_36716262930389121314[[#This Row],[累计净值]]/$B$21-1</f>
        <v>9.2365692742695682E-2</v>
      </c>
      <c r="H217" s="20">
        <f>表2_36716262930389121314[[#This Row],[累计净值]]/$B$51-1</f>
        <v>5.8447488584475016E-2</v>
      </c>
    </row>
    <row r="218" spans="1:8" x14ac:dyDescent="0.2">
      <c r="A218" s="15">
        <v>44147</v>
      </c>
      <c r="B218" s="112">
        <v>1.165</v>
      </c>
      <c r="C218" s="108">
        <f t="shared" ref="C218:C223" si="62">IFERROR(B218-B217,0)</f>
        <v>6.0000000000000053E-3</v>
      </c>
      <c r="D218" s="109" t="str">
        <f t="shared" ref="D218:D223" si="63">IF(C218&lt;0,C218,"/")</f>
        <v>/</v>
      </c>
      <c r="E218" s="109">
        <f ca="1">IF(表2_36716262930389121314[[#This Row],[累计净值]]/MAX(INDIRECT("B21:B" &amp; ROW()))-1&lt;E217,表2_36716262930389121314[[#This Row],[累计净值]]/MAX(INDIRECT("B21:B" &amp; ROW()))-1,E217)</f>
        <v>-2.0583190394511175E-2</v>
      </c>
      <c r="F218" s="110">
        <f>表2_36716262930389121314[[#This Row],[累计净值]]-0.12</f>
        <v>1.0449999999999999</v>
      </c>
      <c r="G218" s="20">
        <f>表2_36716262930389121314[[#This Row],[累计净值]]/$B$21-1</f>
        <v>9.8020735155513794E-2</v>
      </c>
      <c r="H218" s="20">
        <f>表2_36716262930389121314[[#This Row],[累计净值]]/$B$51-1</f>
        <v>6.3926940639269514E-2</v>
      </c>
    </row>
    <row r="219" spans="1:8" x14ac:dyDescent="0.2">
      <c r="A219" s="15">
        <v>44148</v>
      </c>
      <c r="B219" s="112">
        <v>1.1659999999999999</v>
      </c>
      <c r="C219" s="108">
        <f t="shared" si="62"/>
        <v>9.9999999999988987E-4</v>
      </c>
      <c r="D219" s="109" t="str">
        <f t="shared" si="63"/>
        <v>/</v>
      </c>
      <c r="E219" s="109">
        <f ca="1">IF(表2_36716262930389121314[[#This Row],[累计净值]]/MAX(INDIRECT("B21:B" &amp; ROW()))-1&lt;E218,表2_36716262930389121314[[#This Row],[累计净值]]/MAX(INDIRECT("B21:B" &amp; ROW()))-1,E218)</f>
        <v>-2.0583190394511175E-2</v>
      </c>
      <c r="F219" s="110">
        <f>表2_36716262930389121314[[#This Row],[累计净值]]-0.12</f>
        <v>1.0459999999999998</v>
      </c>
      <c r="G219" s="20">
        <f>表2_36716262930389121314[[#This Row],[累计净值]]/$B$21-1</f>
        <v>9.8963242224316739E-2</v>
      </c>
      <c r="H219" s="20">
        <f>表2_36716262930389121314[[#This Row],[累计净值]]/$B$51-1</f>
        <v>6.4840182648401745E-2</v>
      </c>
    </row>
    <row r="220" spans="1:8" x14ac:dyDescent="0.2">
      <c r="A220" s="15">
        <v>44151</v>
      </c>
      <c r="B220" s="112">
        <v>1.169</v>
      </c>
      <c r="C220" s="108">
        <f t="shared" si="62"/>
        <v>3.0000000000001137E-3</v>
      </c>
      <c r="D220" s="109" t="str">
        <f t="shared" si="63"/>
        <v>/</v>
      </c>
      <c r="E220" s="109">
        <f ca="1">IF(表2_36716262930389121314[[#This Row],[累计净值]]/MAX(INDIRECT("B21:B" &amp; ROW()))-1&lt;E219,表2_36716262930389121314[[#This Row],[累计净值]]/MAX(INDIRECT("B21:B" &amp; ROW()))-1,E219)</f>
        <v>-2.0583190394511175E-2</v>
      </c>
      <c r="F220" s="110">
        <f>表2_36716262930389121314[[#This Row],[累计净值]]-0.12</f>
        <v>1.0489999999999999</v>
      </c>
      <c r="G220" s="20">
        <f>表2_36716262930389121314[[#This Row],[累计净值]]/$B$21-1</f>
        <v>0.10179076343072579</v>
      </c>
      <c r="H220" s="20">
        <f>表2_36716262930389121314[[#This Row],[累计净值]]/$B$51-1</f>
        <v>6.7579908675799105E-2</v>
      </c>
    </row>
    <row r="221" spans="1:8" x14ac:dyDescent="0.2">
      <c r="A221" s="15">
        <v>44152</v>
      </c>
      <c r="B221" s="112">
        <v>1.17</v>
      </c>
      <c r="C221" s="108">
        <f t="shared" si="62"/>
        <v>9.9999999999988987E-4</v>
      </c>
      <c r="D221" s="109" t="str">
        <f t="shared" si="63"/>
        <v>/</v>
      </c>
      <c r="E221" s="109">
        <f ca="1">IF(表2_36716262930389121314[[#This Row],[累计净值]]/MAX(INDIRECT("B21:B" &amp; ROW()))-1&lt;E220,表2_36716262930389121314[[#This Row],[累计净值]]/MAX(INDIRECT("B21:B" &amp; ROW()))-1,E220)</f>
        <v>-2.0583190394511175E-2</v>
      </c>
      <c r="F221" s="110">
        <f>表2_36716262930389121314[[#This Row],[累计净值]]-0.12</f>
        <v>1.0499999999999998</v>
      </c>
      <c r="G221" s="20">
        <f>表2_36716262930389121314[[#This Row],[累计净值]]/$B$21-1</f>
        <v>0.10273327049952874</v>
      </c>
      <c r="H221" s="20">
        <f>表2_36716262930389121314[[#This Row],[累计净值]]/$B$51-1</f>
        <v>6.8493150684931559E-2</v>
      </c>
    </row>
    <row r="222" spans="1:8" x14ac:dyDescent="0.2">
      <c r="A222" s="15">
        <v>44153</v>
      </c>
      <c r="B222" s="112">
        <v>1.167</v>
      </c>
      <c r="C222" s="108">
        <f t="shared" si="62"/>
        <v>-2.9999999999998916E-3</v>
      </c>
      <c r="D222" s="109">
        <f t="shared" si="63"/>
        <v>-2.9999999999998916E-3</v>
      </c>
      <c r="E222" s="109">
        <f ca="1">IF(表2_36716262930389121314[[#This Row],[累计净值]]/MAX(INDIRECT("B21:B" &amp; ROW()))-1&lt;E221,表2_36716262930389121314[[#This Row],[累计净值]]/MAX(INDIRECT("B21:B" &amp; ROW()))-1,E221)</f>
        <v>-2.0583190394511175E-2</v>
      </c>
      <c r="F222" s="110">
        <f>表2_36716262930389121314[[#This Row],[累计净值]]-0.12</f>
        <v>1.0470000000000002</v>
      </c>
      <c r="G222" s="20">
        <f>表2_36716262930389121314[[#This Row],[累计净值]]/$B$21-1</f>
        <v>9.9905749293119683E-2</v>
      </c>
      <c r="H222" s="20">
        <f>表2_36716262930389121314[[#This Row],[累计净值]]/$B$51-1</f>
        <v>6.5753424657534199E-2</v>
      </c>
    </row>
    <row r="223" spans="1:8" x14ac:dyDescent="0.2">
      <c r="A223" s="15">
        <v>44154</v>
      </c>
      <c r="B223" s="112">
        <v>1.1639999999999999</v>
      </c>
      <c r="C223" s="108">
        <f t="shared" si="62"/>
        <v>-3.0000000000001137E-3</v>
      </c>
      <c r="D223" s="109">
        <f t="shared" si="63"/>
        <v>-3.0000000000001137E-3</v>
      </c>
      <c r="E223" s="109">
        <f ca="1">IF(表2_36716262930389121314[[#This Row],[累计净值]]/MAX(INDIRECT("B21:B" &amp; ROW()))-1&lt;E222,表2_36716262930389121314[[#This Row],[累计净值]]/MAX(INDIRECT("B21:B" &amp; ROW()))-1,E222)</f>
        <v>-2.0583190394511175E-2</v>
      </c>
      <c r="F223" s="110">
        <f>表2_36716262930389121314[[#This Row],[累计净值]]-0.12</f>
        <v>1.044</v>
      </c>
      <c r="G223" s="20">
        <f>表2_36716262930389121314[[#This Row],[累计净值]]/$B$21-1</f>
        <v>9.7078228086710627E-2</v>
      </c>
      <c r="H223" s="20">
        <f>表2_36716262930389121314[[#This Row],[累计净值]]/$B$51-1</f>
        <v>6.3013698630136838E-2</v>
      </c>
    </row>
    <row r="224" spans="1:8" x14ac:dyDescent="0.2">
      <c r="A224" s="15">
        <v>44155</v>
      </c>
      <c r="B224" s="112">
        <v>1.165</v>
      </c>
      <c r="C224" s="108">
        <f t="shared" ref="C224:C229" si="64">IFERROR(B224-B223,0)</f>
        <v>1.0000000000001119E-3</v>
      </c>
      <c r="D224" s="109" t="str">
        <f t="shared" ref="D224:D229" si="65">IF(C224&lt;0,C224,"/")</f>
        <v>/</v>
      </c>
      <c r="E224" s="109">
        <f ca="1">IF(表2_36716262930389121314[[#This Row],[累计净值]]/MAX(INDIRECT("B21:B" &amp; ROW()))-1&lt;E223,表2_36716262930389121314[[#This Row],[累计净值]]/MAX(INDIRECT("B21:B" &amp; ROW()))-1,E223)</f>
        <v>-2.0583190394511175E-2</v>
      </c>
      <c r="F224" s="110">
        <f>表2_36716262930389121314[[#This Row],[累计净值]]-0.12</f>
        <v>1.0449999999999999</v>
      </c>
      <c r="G224" s="20">
        <f>表2_36716262930389121314[[#This Row],[累计净值]]/$B$21-1</f>
        <v>9.8020735155513794E-2</v>
      </c>
      <c r="H224" s="20">
        <f>表2_36716262930389121314[[#This Row],[累计净值]]/$B$51-1</f>
        <v>6.3926940639269514E-2</v>
      </c>
    </row>
    <row r="225" spans="1:8" x14ac:dyDescent="0.2">
      <c r="A225" s="15">
        <v>44158</v>
      </c>
      <c r="B225" s="112">
        <v>1.163</v>
      </c>
      <c r="C225" s="108">
        <f t="shared" si="64"/>
        <v>-2.0000000000000018E-3</v>
      </c>
      <c r="D225" s="109">
        <f t="shared" si="65"/>
        <v>-2.0000000000000018E-3</v>
      </c>
      <c r="E225" s="109">
        <f ca="1">IF(表2_36716262930389121314[[#This Row],[累计净值]]/MAX(INDIRECT("B21:B" &amp; ROW()))-1&lt;E224,表2_36716262930389121314[[#This Row],[累计净值]]/MAX(INDIRECT("B21:B" &amp; ROW()))-1,E224)</f>
        <v>-2.0583190394511175E-2</v>
      </c>
      <c r="F225" s="110">
        <f>表2_36716262930389121314[[#This Row],[累计净值]]-0.12</f>
        <v>1.0430000000000001</v>
      </c>
      <c r="G225" s="20">
        <f>表2_36716262930389121314[[#This Row],[累计净值]]/$B$21-1</f>
        <v>9.6135721017907683E-2</v>
      </c>
      <c r="H225" s="20">
        <f>表2_36716262930389121314[[#This Row],[累计净值]]/$B$51-1</f>
        <v>6.2100456621004607E-2</v>
      </c>
    </row>
    <row r="226" spans="1:8" x14ac:dyDescent="0.2">
      <c r="A226" s="15">
        <v>44159</v>
      </c>
      <c r="B226" s="112">
        <v>1.155</v>
      </c>
      <c r="C226" s="108">
        <f t="shared" si="64"/>
        <v>-8.0000000000000071E-3</v>
      </c>
      <c r="D226" s="109">
        <f t="shared" si="65"/>
        <v>-8.0000000000000071E-3</v>
      </c>
      <c r="E226" s="109">
        <f ca="1">IF(表2_36716262930389121314[[#This Row],[累计净值]]/MAX(INDIRECT("B21:B" &amp; ROW()))-1&lt;E225,表2_36716262930389121314[[#This Row],[累计净值]]/MAX(INDIRECT("B21:B" &amp; ROW()))-1,E225)</f>
        <v>-2.0583190394511175E-2</v>
      </c>
      <c r="F226" s="110">
        <f>表2_36716262930389121314[[#This Row],[累计净值]]-0.12</f>
        <v>1.0350000000000001</v>
      </c>
      <c r="G226" s="20">
        <f>表2_36716262930389121314[[#This Row],[累计净值]]/$B$21-1</f>
        <v>8.8595664467483681E-2</v>
      </c>
      <c r="H226" s="20">
        <f>表2_36716262930389121314[[#This Row],[累计净值]]/$B$51-1</f>
        <v>5.4794520547945202E-2</v>
      </c>
    </row>
    <row r="227" spans="1:8" x14ac:dyDescent="0.2">
      <c r="A227" s="15">
        <v>44160</v>
      </c>
      <c r="B227" s="112">
        <v>1.1579999999999999</v>
      </c>
      <c r="C227" s="108">
        <f t="shared" si="64"/>
        <v>2.9999999999998916E-3</v>
      </c>
      <c r="D227" s="109" t="str">
        <f t="shared" si="65"/>
        <v>/</v>
      </c>
      <c r="E227" s="109">
        <f ca="1">IF(表2_36716262930389121314[[#This Row],[累计净值]]/MAX(INDIRECT("B21:B" &amp; ROW()))-1&lt;E226,表2_36716262930389121314[[#This Row],[累计净值]]/MAX(INDIRECT("B21:B" &amp; ROW()))-1,E226)</f>
        <v>-2.0583190394511175E-2</v>
      </c>
      <c r="F227" s="110">
        <f>表2_36716262930389121314[[#This Row],[累计净值]]-0.12</f>
        <v>1.0379999999999998</v>
      </c>
      <c r="G227" s="20">
        <f>表2_36716262930389121314[[#This Row],[累计净值]]/$B$21-1</f>
        <v>9.1423185673892515E-2</v>
      </c>
      <c r="H227" s="20">
        <f>表2_36716262930389121314[[#This Row],[累计净值]]/$B$51-1</f>
        <v>5.753424657534234E-2</v>
      </c>
    </row>
    <row r="228" spans="1:8" x14ac:dyDescent="0.2">
      <c r="A228" s="15">
        <v>44161</v>
      </c>
      <c r="B228" s="112">
        <v>1.17</v>
      </c>
      <c r="C228" s="108">
        <f t="shared" si="64"/>
        <v>1.2000000000000011E-2</v>
      </c>
      <c r="D228" s="109" t="str">
        <f t="shared" si="65"/>
        <v>/</v>
      </c>
      <c r="E228" s="109">
        <f ca="1">IF(表2_36716262930389121314[[#This Row],[累计净值]]/MAX(INDIRECT("B21:B" &amp; ROW()))-1&lt;E227,表2_36716262930389121314[[#This Row],[累计净值]]/MAX(INDIRECT("B21:B" &amp; ROW()))-1,E227)</f>
        <v>-2.0583190394511175E-2</v>
      </c>
      <c r="F228" s="110">
        <f>表2_36716262930389121314[[#This Row],[累计净值]]-0.12</f>
        <v>1.0499999999999998</v>
      </c>
      <c r="G228" s="20">
        <f>表2_36716262930389121314[[#This Row],[累计净值]]/$B$21-1</f>
        <v>0.10273327049952874</v>
      </c>
      <c r="H228" s="20">
        <f>表2_36716262930389121314[[#This Row],[累计净值]]/$B$51-1</f>
        <v>6.8493150684931559E-2</v>
      </c>
    </row>
    <row r="229" spans="1:8" x14ac:dyDescent="0.2">
      <c r="A229" s="15">
        <v>44162</v>
      </c>
      <c r="B229" s="112">
        <v>1.165</v>
      </c>
      <c r="C229" s="108">
        <f t="shared" si="64"/>
        <v>-4.9999999999998934E-3</v>
      </c>
      <c r="D229" s="109">
        <f t="shared" si="65"/>
        <v>-4.9999999999998934E-3</v>
      </c>
      <c r="E229" s="109">
        <f ca="1">IF(表2_36716262930389121314[[#This Row],[累计净值]]/MAX(INDIRECT("B21:B" &amp; ROW()))-1&lt;E228,表2_36716262930389121314[[#This Row],[累计净值]]/MAX(INDIRECT("B21:B" &amp; ROW()))-1,E228)</f>
        <v>-2.0583190394511175E-2</v>
      </c>
      <c r="F229" s="110">
        <f>表2_36716262930389121314[[#This Row],[累计净值]]</f>
        <v>1.165</v>
      </c>
      <c r="G229" s="20">
        <f>表2_36716262930389121314[[#This Row],[累计净值]]/$B$21-1</f>
        <v>9.8020735155513794E-2</v>
      </c>
      <c r="H229" s="20">
        <f>表2_36716262930389121314[[#This Row],[累计净值]]/$B$51-1</f>
        <v>6.3926940639269514E-2</v>
      </c>
    </row>
    <row r="230" spans="1:8" x14ac:dyDescent="0.2">
      <c r="A230" s="15">
        <v>44165</v>
      </c>
      <c r="B230" s="112">
        <v>1.163</v>
      </c>
      <c r="C230" s="108">
        <f t="shared" ref="C230:C235" si="66">IFERROR(B230-B229,0)</f>
        <v>-2.0000000000000018E-3</v>
      </c>
      <c r="D230" s="109">
        <f t="shared" ref="D230:D235" si="67">IF(C230&lt;0,C230,"/")</f>
        <v>-2.0000000000000018E-3</v>
      </c>
      <c r="E230" s="109">
        <f ca="1">IF(表2_36716262930389121314[[#This Row],[累计净值]]/MAX(INDIRECT("B21:B" &amp; ROW()))-1&lt;E229,表2_36716262930389121314[[#This Row],[累计净值]]/MAX(INDIRECT("B21:B" &amp; ROW()))-1,E229)</f>
        <v>-2.0583190394511175E-2</v>
      </c>
      <c r="F230" s="110">
        <f>表2_36716262930389121314[[#This Row],[累计净值]]</f>
        <v>1.163</v>
      </c>
      <c r="G230" s="20">
        <f>表2_36716262930389121314[[#This Row],[累计净值]]/$B$21-1</f>
        <v>9.6135721017907683E-2</v>
      </c>
      <c r="H230" s="20">
        <f>表2_36716262930389121314[[#This Row],[累计净值]]/$B$51-1</f>
        <v>6.2100456621004607E-2</v>
      </c>
    </row>
    <row r="231" spans="1:8" x14ac:dyDescent="0.2">
      <c r="A231" s="15">
        <v>44166</v>
      </c>
      <c r="B231" s="112">
        <v>1.163</v>
      </c>
      <c r="C231" s="108">
        <f t="shared" si="66"/>
        <v>0</v>
      </c>
      <c r="D231" s="109" t="str">
        <f t="shared" si="67"/>
        <v>/</v>
      </c>
      <c r="E231" s="109">
        <f ca="1">IF(表2_36716262930389121314[[#This Row],[累计净值]]/MAX(INDIRECT("B21:B" &amp; ROW()))-1&lt;E230,表2_36716262930389121314[[#This Row],[累计净值]]/MAX(INDIRECT("B21:B" &amp; ROW()))-1,E230)</f>
        <v>-2.0583190394511175E-2</v>
      </c>
      <c r="F231" s="110">
        <f>表2_36716262930389121314[[#This Row],[累计净值]]</f>
        <v>1.163</v>
      </c>
      <c r="G231" s="20">
        <f>表2_36716262930389121314[[#This Row],[累计净值]]/$B$21-1</f>
        <v>9.6135721017907683E-2</v>
      </c>
      <c r="H231" s="20">
        <f>表2_36716262930389121314[[#This Row],[累计净值]]/$B$51-1</f>
        <v>6.2100456621004607E-2</v>
      </c>
    </row>
    <row r="232" spans="1:8" x14ac:dyDescent="0.2">
      <c r="A232" s="15">
        <v>44167</v>
      </c>
      <c r="B232" s="112">
        <v>1.161</v>
      </c>
      <c r="C232" s="108">
        <f t="shared" si="66"/>
        <v>-2.0000000000000018E-3</v>
      </c>
      <c r="D232" s="109">
        <f t="shared" si="67"/>
        <v>-2.0000000000000018E-3</v>
      </c>
      <c r="E232" s="109">
        <f ca="1">IF(表2_36716262930389121314[[#This Row],[累计净值]]/MAX(INDIRECT("B21:B" &amp; ROW()))-1&lt;E231,表2_36716262930389121314[[#This Row],[累计净值]]/MAX(INDIRECT("B21:B" &amp; ROW()))-1,E231)</f>
        <v>-2.0583190394511175E-2</v>
      </c>
      <c r="F232" s="110">
        <f>表2_36716262930389121314[[#This Row],[累计净值]]</f>
        <v>1.161</v>
      </c>
      <c r="G232" s="20">
        <f>表2_36716262930389121314[[#This Row],[累计净值]]/$B$21-1</f>
        <v>9.4250706880301793E-2</v>
      </c>
      <c r="H232" s="20">
        <f>表2_36716262930389121314[[#This Row],[累计净值]]/$B$51-1</f>
        <v>6.02739726027397E-2</v>
      </c>
    </row>
    <row r="233" spans="1:8" x14ac:dyDescent="0.2">
      <c r="A233" s="15">
        <v>44168</v>
      </c>
      <c r="B233" s="112">
        <v>1.1639999999999999</v>
      </c>
      <c r="C233" s="108">
        <f t="shared" si="66"/>
        <v>2.9999999999998916E-3</v>
      </c>
      <c r="D233" s="109" t="str">
        <f t="shared" si="67"/>
        <v>/</v>
      </c>
      <c r="E233" s="109">
        <f ca="1">IF(表2_36716262930389121314[[#This Row],[累计净值]]/MAX(INDIRECT("B21:B" &amp; ROW()))-1&lt;E232,表2_36716262930389121314[[#This Row],[累计净值]]/MAX(INDIRECT("B21:B" &amp; ROW()))-1,E232)</f>
        <v>-2.0583190394511175E-2</v>
      </c>
      <c r="F233" s="110">
        <f>表2_36716262930389121314[[#This Row],[累计净值]]</f>
        <v>1.1639999999999999</v>
      </c>
      <c r="G233" s="20">
        <f>表2_36716262930389121314[[#This Row],[累计净值]]/$B$21-1</f>
        <v>9.7078228086710627E-2</v>
      </c>
      <c r="H233" s="20">
        <f>表2_36716262930389121314[[#This Row],[累计净值]]/$B$51-1</f>
        <v>6.3013698630136838E-2</v>
      </c>
    </row>
    <row r="234" spans="1:8" x14ac:dyDescent="0.2">
      <c r="A234" s="15">
        <v>44169</v>
      </c>
      <c r="B234" s="112">
        <v>1.165</v>
      </c>
      <c r="C234" s="108">
        <f t="shared" si="66"/>
        <v>1.0000000000001119E-3</v>
      </c>
      <c r="D234" s="109" t="str">
        <f t="shared" si="67"/>
        <v>/</v>
      </c>
      <c r="E234" s="109">
        <f ca="1">IF(表2_36716262930389121314[[#This Row],[累计净值]]/MAX(INDIRECT("B21:B" &amp; ROW()))-1&lt;E233,表2_36716262930389121314[[#This Row],[累计净值]]/MAX(INDIRECT("B21:B" &amp; ROW()))-1,E233)</f>
        <v>-2.0583190394511175E-2</v>
      </c>
      <c r="F234" s="110">
        <f>表2_36716262930389121314[[#This Row],[累计净值]]</f>
        <v>1.165</v>
      </c>
      <c r="G234" s="20">
        <f>表2_36716262930389121314[[#This Row],[累计净值]]/$B$21-1</f>
        <v>9.8020735155513794E-2</v>
      </c>
      <c r="H234" s="20">
        <f>表2_36716262930389121314[[#This Row],[累计净值]]/$B$51-1</f>
        <v>6.3926940639269514E-2</v>
      </c>
    </row>
    <row r="235" spans="1:8" x14ac:dyDescent="0.2">
      <c r="A235" s="15">
        <v>44172</v>
      </c>
      <c r="B235" s="112">
        <v>1.17</v>
      </c>
      <c r="C235" s="108">
        <f t="shared" si="66"/>
        <v>4.9999999999998934E-3</v>
      </c>
      <c r="D235" s="109" t="str">
        <f t="shared" si="67"/>
        <v>/</v>
      </c>
      <c r="E235" s="109">
        <f ca="1">IF(表2_36716262930389121314[[#This Row],[累计净值]]/MAX(INDIRECT("B21:B" &amp; ROW()))-1&lt;E234,表2_36716262930389121314[[#This Row],[累计净值]]/MAX(INDIRECT("B21:B" &amp; ROW()))-1,E234)</f>
        <v>-2.0583190394511175E-2</v>
      </c>
      <c r="F235" s="110">
        <f>表2_36716262930389121314[[#This Row],[累计净值]]</f>
        <v>1.17</v>
      </c>
      <c r="G235" s="20">
        <f>表2_36716262930389121314[[#This Row],[累计净值]]/$B$21-1</f>
        <v>0.10273327049952874</v>
      </c>
      <c r="H235" s="20">
        <f>表2_36716262930389121314[[#This Row],[累计净值]]/$B$51-1</f>
        <v>6.8493150684931559E-2</v>
      </c>
    </row>
    <row r="236" spans="1:8" x14ac:dyDescent="0.2">
      <c r="A236" s="15">
        <v>44173</v>
      </c>
      <c r="B236" s="112">
        <v>1.1659999999999999</v>
      </c>
      <c r="C236" s="108">
        <f t="shared" ref="C236:C241" si="68">IFERROR(B236-B235,0)</f>
        <v>-4.0000000000000036E-3</v>
      </c>
      <c r="D236" s="109">
        <f t="shared" ref="D236:D241" si="69">IF(C236&lt;0,C236,"/")</f>
        <v>-4.0000000000000036E-3</v>
      </c>
      <c r="E236" s="109">
        <f ca="1">IF(表2_36716262930389121314[[#This Row],[累计净值]]/MAX(INDIRECT("B21:B" &amp; ROW()))-1&lt;E235,表2_36716262930389121314[[#This Row],[累计净值]]/MAX(INDIRECT("B21:B" &amp; ROW()))-1,E235)</f>
        <v>-2.0583190394511175E-2</v>
      </c>
      <c r="F236" s="110">
        <f>表2_36716262930389121314[[#This Row],[累计净值]]</f>
        <v>1.1659999999999999</v>
      </c>
      <c r="G236" s="20">
        <f>表2_36716262930389121314[[#This Row],[累计净值]]/$B$21-1</f>
        <v>9.8963242224316739E-2</v>
      </c>
      <c r="H236" s="20">
        <f>表2_36716262930389121314[[#This Row],[累计净值]]/$B$51-1</f>
        <v>6.4840182648401745E-2</v>
      </c>
    </row>
    <row r="237" spans="1:8" x14ac:dyDescent="0.2">
      <c r="A237" s="15">
        <v>44174</v>
      </c>
      <c r="B237" s="112">
        <v>1.167</v>
      </c>
      <c r="C237" s="108">
        <f t="shared" si="68"/>
        <v>1.0000000000001119E-3</v>
      </c>
      <c r="D237" s="109" t="str">
        <f t="shared" si="69"/>
        <v>/</v>
      </c>
      <c r="E237" s="109">
        <f ca="1">IF(表2_36716262930389121314[[#This Row],[累计净值]]/MAX(INDIRECT("B21:B" &amp; ROW()))-1&lt;E236,表2_36716262930389121314[[#This Row],[累计净值]]/MAX(INDIRECT("B21:B" &amp; ROW()))-1,E236)</f>
        <v>-2.0583190394511175E-2</v>
      </c>
      <c r="F237" s="110">
        <f>表2_36716262930389121314[[#This Row],[累计净值]]</f>
        <v>1.167</v>
      </c>
      <c r="G237" s="20">
        <f>表2_36716262930389121314[[#This Row],[累计净值]]/$B$21-1</f>
        <v>9.9905749293119683E-2</v>
      </c>
      <c r="H237" s="20">
        <f>表2_36716262930389121314[[#This Row],[累计净值]]/$B$51-1</f>
        <v>6.5753424657534199E-2</v>
      </c>
    </row>
    <row r="238" spans="1:8" x14ac:dyDescent="0.2">
      <c r="A238" s="15">
        <v>44175</v>
      </c>
      <c r="B238" s="112">
        <v>1.169</v>
      </c>
      <c r="C238" s="108">
        <f t="shared" si="68"/>
        <v>2.0000000000000018E-3</v>
      </c>
      <c r="D238" s="109" t="str">
        <f t="shared" si="69"/>
        <v>/</v>
      </c>
      <c r="E238" s="109">
        <f ca="1">IF(表2_36716262930389121314[[#This Row],[累计净值]]/MAX(INDIRECT("B21:B" &amp; ROW()))-1&lt;E237,表2_36716262930389121314[[#This Row],[累计净值]]/MAX(INDIRECT("B21:B" &amp; ROW()))-1,E237)</f>
        <v>-2.0583190394511175E-2</v>
      </c>
      <c r="F238" s="110">
        <f>表2_36716262930389121314[[#This Row],[累计净值]]</f>
        <v>1.169</v>
      </c>
      <c r="G238" s="20">
        <f>表2_36716262930389121314[[#This Row],[累计净值]]/$B$21-1</f>
        <v>0.10179076343072579</v>
      </c>
      <c r="H238" s="20">
        <f>表2_36716262930389121314[[#This Row],[累计净值]]/$B$51-1</f>
        <v>6.7579908675799105E-2</v>
      </c>
    </row>
    <row r="239" spans="1:8" x14ac:dyDescent="0.2">
      <c r="A239" s="15">
        <v>44176</v>
      </c>
      <c r="B239" s="112">
        <v>1.17</v>
      </c>
      <c r="C239" s="108">
        <f t="shared" si="68"/>
        <v>9.9999999999988987E-4</v>
      </c>
      <c r="D239" s="109" t="str">
        <f t="shared" si="69"/>
        <v>/</v>
      </c>
      <c r="E239" s="109">
        <f ca="1">IF(表2_36716262930389121314[[#This Row],[累计净值]]/MAX(INDIRECT("B21:B" &amp; ROW()))-1&lt;E238,表2_36716262930389121314[[#This Row],[累计净值]]/MAX(INDIRECT("B21:B" &amp; ROW()))-1,E238)</f>
        <v>-2.0583190394511175E-2</v>
      </c>
      <c r="F239" s="110">
        <f>表2_36716262930389121314[[#This Row],[累计净值]]</f>
        <v>1.17</v>
      </c>
      <c r="G239" s="20">
        <f>表2_36716262930389121314[[#This Row],[累计净值]]/$B$21-1</f>
        <v>0.10273327049952874</v>
      </c>
      <c r="H239" s="20">
        <f>表2_36716262930389121314[[#This Row],[累计净值]]/$B$51-1</f>
        <v>6.8493150684931559E-2</v>
      </c>
    </row>
    <row r="240" spans="1:8" x14ac:dyDescent="0.2">
      <c r="A240" s="15">
        <v>44179</v>
      </c>
      <c r="B240" s="112">
        <v>1.1679999999999999</v>
      </c>
      <c r="C240" s="108">
        <f t="shared" si="68"/>
        <v>-2.0000000000000018E-3</v>
      </c>
      <c r="D240" s="109">
        <f t="shared" si="69"/>
        <v>-2.0000000000000018E-3</v>
      </c>
      <c r="E240" s="109">
        <f ca="1">IF(表2_36716262930389121314[[#This Row],[累计净值]]/MAX(INDIRECT("B21:B" &amp; ROW()))-1&lt;E239,表2_36716262930389121314[[#This Row],[累计净值]]/MAX(INDIRECT("B21:B" &amp; ROW()))-1,E239)</f>
        <v>-2.0583190394511175E-2</v>
      </c>
      <c r="F240" s="110">
        <f>表2_36716262930389121314[[#This Row],[累计净值]]</f>
        <v>1.1679999999999999</v>
      </c>
      <c r="G240" s="20">
        <f>表2_36716262930389121314[[#This Row],[累计净值]]/$B$21-1</f>
        <v>0.10084825636192263</v>
      </c>
      <c r="H240" s="20">
        <f>表2_36716262930389121314[[#This Row],[累计净值]]/$B$51-1</f>
        <v>6.6666666666666652E-2</v>
      </c>
    </row>
    <row r="241" spans="1:8" x14ac:dyDescent="0.2">
      <c r="A241" s="15">
        <v>44180</v>
      </c>
      <c r="B241" s="112">
        <v>1.169</v>
      </c>
      <c r="C241" s="108">
        <f t="shared" si="68"/>
        <v>1.0000000000001119E-3</v>
      </c>
      <c r="D241" s="109" t="str">
        <f t="shared" si="69"/>
        <v>/</v>
      </c>
      <c r="E241" s="109">
        <f ca="1">IF(表2_36716262930389121314[[#This Row],[累计净值]]/MAX(INDIRECT("B21:B" &amp; ROW()))-1&lt;E240,表2_36716262930389121314[[#This Row],[累计净值]]/MAX(INDIRECT("B21:B" &amp; ROW()))-1,E240)</f>
        <v>-2.0583190394511175E-2</v>
      </c>
      <c r="F241" s="110">
        <f>表2_36716262930389121314[[#This Row],[累计净值]]</f>
        <v>1.169</v>
      </c>
      <c r="G241" s="20">
        <f>表2_36716262930389121314[[#This Row],[累计净值]]/$B$21-1</f>
        <v>0.10179076343072579</v>
      </c>
      <c r="H241" s="20">
        <f>表2_36716262930389121314[[#This Row],[累计净值]]/$B$51-1</f>
        <v>6.7579908675799105E-2</v>
      </c>
    </row>
    <row r="242" spans="1:8" x14ac:dyDescent="0.2">
      <c r="A242" s="15">
        <v>44181</v>
      </c>
      <c r="B242" s="112">
        <v>1.1719999999999999</v>
      </c>
      <c r="C242" s="108">
        <f t="shared" ref="C242:C247" si="70">IFERROR(B242-B241,0)</f>
        <v>2.9999999999998916E-3</v>
      </c>
      <c r="D242" s="109" t="str">
        <f t="shared" ref="D242:D247" si="71">IF(C242&lt;0,C242,"/")</f>
        <v>/</v>
      </c>
      <c r="E242" s="109">
        <f ca="1">IF(表2_36716262930389121314[[#This Row],[累计净值]]/MAX(INDIRECT("B21:B" &amp; ROW()))-1&lt;E241,表2_36716262930389121314[[#This Row],[累计净值]]/MAX(INDIRECT("B21:B" &amp; ROW()))-1,E241)</f>
        <v>-2.0583190394511175E-2</v>
      </c>
      <c r="F242" s="110">
        <f>表2_36716262930389121314[[#This Row],[累计净值]]</f>
        <v>1.1719999999999999</v>
      </c>
      <c r="G242" s="20">
        <f>表2_36716262930389121314[[#This Row],[累计净值]]/$B$21-1</f>
        <v>0.10461828463713485</v>
      </c>
      <c r="H242" s="20">
        <f>表2_36716262930389121314[[#This Row],[累计净值]]/$B$51-1</f>
        <v>7.0319634703196243E-2</v>
      </c>
    </row>
    <row r="243" spans="1:8" x14ac:dyDescent="0.2">
      <c r="A243" s="15">
        <v>44182</v>
      </c>
      <c r="B243" s="112">
        <v>1.1719999999999999</v>
      </c>
      <c r="C243" s="108">
        <f t="shared" si="70"/>
        <v>0</v>
      </c>
      <c r="D243" s="109" t="str">
        <f t="shared" si="71"/>
        <v>/</v>
      </c>
      <c r="E243" s="109">
        <f ca="1">IF(表2_36716262930389121314[[#This Row],[累计净值]]/MAX(INDIRECT("B21:B" &amp; ROW()))-1&lt;E242,表2_36716262930389121314[[#This Row],[累计净值]]/MAX(INDIRECT("B21:B" &amp; ROW()))-1,E242)</f>
        <v>-2.0583190394511175E-2</v>
      </c>
      <c r="F243" s="110">
        <f>表2_36716262930389121314[[#This Row],[累计净值]]</f>
        <v>1.1719999999999999</v>
      </c>
      <c r="G243" s="20">
        <f>表2_36716262930389121314[[#This Row],[累计净值]]/$B$21-1</f>
        <v>0.10461828463713485</v>
      </c>
      <c r="H243" s="20">
        <f>表2_36716262930389121314[[#This Row],[累计净值]]/$B$51-1</f>
        <v>7.0319634703196243E-2</v>
      </c>
    </row>
    <row r="244" spans="1:8" x14ac:dyDescent="0.2">
      <c r="A244" s="15">
        <v>44183</v>
      </c>
      <c r="B244" s="112">
        <v>1.175</v>
      </c>
      <c r="C244" s="108">
        <f t="shared" si="70"/>
        <v>3.0000000000001137E-3</v>
      </c>
      <c r="D244" s="109" t="str">
        <f t="shared" si="71"/>
        <v>/</v>
      </c>
      <c r="E244" s="109">
        <f ca="1">IF(表2_36716262930389121314[[#This Row],[累计净值]]/MAX(INDIRECT("B21:B" &amp; ROW()))-1&lt;E243,表2_36716262930389121314[[#This Row],[累计净值]]/MAX(INDIRECT("B21:B" &amp; ROW()))-1,E243)</f>
        <v>-2.0583190394511175E-2</v>
      </c>
      <c r="F244" s="110">
        <f>表2_36716262930389121314[[#This Row],[累计净值]]</f>
        <v>1.175</v>
      </c>
      <c r="G244" s="20">
        <f>表2_36716262930389121314[[#This Row],[累计净值]]/$B$21-1</f>
        <v>0.10744580584354391</v>
      </c>
      <c r="H244" s="20">
        <f>表2_36716262930389121314[[#This Row],[累计净值]]/$B$51-1</f>
        <v>7.3059360730593603E-2</v>
      </c>
    </row>
    <row r="245" spans="1:8" x14ac:dyDescent="0.2">
      <c r="A245" s="15">
        <v>44186</v>
      </c>
      <c r="B245" s="112">
        <v>1.1759999999999999</v>
      </c>
      <c r="C245" s="108">
        <f t="shared" si="70"/>
        <v>9.9999999999988987E-4</v>
      </c>
      <c r="D245" s="109" t="str">
        <f t="shared" si="71"/>
        <v>/</v>
      </c>
      <c r="E245" s="109">
        <f ca="1">IF(表2_36716262930389121314[[#This Row],[累计净值]]/MAX(INDIRECT("B21:B" &amp; ROW()))-1&lt;E244,表2_36716262930389121314[[#This Row],[累计净值]]/MAX(INDIRECT("B21:B" &amp; ROW()))-1,E244)</f>
        <v>-2.0583190394511175E-2</v>
      </c>
      <c r="F245" s="110">
        <f>表2_36716262930389121314[[#This Row],[累计净值]]</f>
        <v>1.1759999999999999</v>
      </c>
      <c r="G245" s="20">
        <f>表2_36716262930389121314[[#This Row],[累计净值]]/$B$21-1</f>
        <v>0.10838831291234685</v>
      </c>
      <c r="H245" s="20">
        <f>表2_36716262930389121314[[#This Row],[累计净值]]/$B$51-1</f>
        <v>7.3972602739726057E-2</v>
      </c>
    </row>
    <row r="246" spans="1:8" x14ac:dyDescent="0.2">
      <c r="A246" s="15">
        <v>44187</v>
      </c>
      <c r="B246" s="112">
        <v>1.1819999999999999</v>
      </c>
      <c r="C246" s="108">
        <f t="shared" si="70"/>
        <v>6.0000000000000053E-3</v>
      </c>
      <c r="D246" s="109" t="str">
        <f t="shared" si="71"/>
        <v>/</v>
      </c>
      <c r="E246" s="109">
        <f ca="1">IF(表2_36716262930389121314[[#This Row],[累计净值]]/MAX(INDIRECT("B21:B" &amp; ROW()))-1&lt;E245,表2_36716262930389121314[[#This Row],[累计净值]]/MAX(INDIRECT("B21:B" &amp; ROW()))-1,E245)</f>
        <v>-2.0583190394511175E-2</v>
      </c>
      <c r="F246" s="110">
        <f>表2_36716262930389121314[[#This Row],[累计净值]]</f>
        <v>1.1819999999999999</v>
      </c>
      <c r="G246" s="20">
        <f>表2_36716262930389121314[[#This Row],[累计净值]]/$B$21-1</f>
        <v>0.11404335532516496</v>
      </c>
      <c r="H246" s="20">
        <f>表2_36716262930389121314[[#This Row],[累计净值]]/$B$51-1</f>
        <v>7.9452054794520555E-2</v>
      </c>
    </row>
    <row r="247" spans="1:8" x14ac:dyDescent="0.2">
      <c r="A247" s="15">
        <v>44188</v>
      </c>
      <c r="B247" s="112">
        <v>1.1850000000000001</v>
      </c>
      <c r="C247" s="108">
        <f t="shared" si="70"/>
        <v>3.0000000000001137E-3</v>
      </c>
      <c r="D247" s="109" t="str">
        <f t="shared" si="71"/>
        <v>/</v>
      </c>
      <c r="E247" s="109">
        <f ca="1">IF(表2_36716262930389121314[[#This Row],[累计净值]]/MAX(INDIRECT("B21:B" &amp; ROW()))-1&lt;E246,表2_36716262930389121314[[#This Row],[累计净值]]/MAX(INDIRECT("B21:B" &amp; ROW()))-1,E246)</f>
        <v>-2.0583190394511175E-2</v>
      </c>
      <c r="F247" s="110">
        <f>表2_36716262930389121314[[#This Row],[累计净值]]</f>
        <v>1.1850000000000001</v>
      </c>
      <c r="G247" s="20">
        <f>表2_36716262930389121314[[#This Row],[累计净值]]/$B$21-1</f>
        <v>0.11687087653157402</v>
      </c>
      <c r="H247" s="20">
        <f>表2_36716262930389121314[[#This Row],[累计净值]]/$B$51-1</f>
        <v>8.2191780821917915E-2</v>
      </c>
    </row>
    <row r="248" spans="1:8" x14ac:dyDescent="0.2">
      <c r="A248" s="15">
        <v>44189</v>
      </c>
      <c r="B248" s="112">
        <v>1.1850000000000001</v>
      </c>
      <c r="C248" s="108">
        <f t="shared" ref="C248:C253" si="72">IFERROR(B248-B247,0)</f>
        <v>0</v>
      </c>
      <c r="D248" s="109" t="str">
        <f t="shared" ref="D248:D253" si="73">IF(C248&lt;0,C248,"/")</f>
        <v>/</v>
      </c>
      <c r="E248" s="109">
        <f ca="1">IF(表2_36716262930389121314[[#This Row],[累计净值]]/MAX(INDIRECT("B21:B" &amp; ROW()))-1&lt;E247,表2_36716262930389121314[[#This Row],[累计净值]]/MAX(INDIRECT("B21:B" &amp; ROW()))-1,E247)</f>
        <v>-2.0583190394511175E-2</v>
      </c>
      <c r="F248" s="110">
        <f>表2_36716262930389121314[[#This Row],[累计净值]]</f>
        <v>1.1850000000000001</v>
      </c>
      <c r="G248" s="20">
        <f>表2_36716262930389121314[[#This Row],[累计净值]]/$B$21-1</f>
        <v>0.11687087653157402</v>
      </c>
      <c r="H248" s="20">
        <f>表2_36716262930389121314[[#This Row],[累计净值]]/$B$51-1</f>
        <v>8.2191780821917915E-2</v>
      </c>
    </row>
    <row r="249" spans="1:8" x14ac:dyDescent="0.2">
      <c r="A249" s="15">
        <v>44190</v>
      </c>
      <c r="B249" s="112">
        <v>1.181</v>
      </c>
      <c r="C249" s="108">
        <f t="shared" si="72"/>
        <v>-4.0000000000000036E-3</v>
      </c>
      <c r="D249" s="109">
        <f t="shared" si="73"/>
        <v>-4.0000000000000036E-3</v>
      </c>
      <c r="E249" s="109">
        <f ca="1">IF(表2_36716262930389121314[[#This Row],[累计净值]]/MAX(INDIRECT("B21:B" &amp; ROW()))-1&lt;E248,表2_36716262930389121314[[#This Row],[累计净值]]/MAX(INDIRECT("B21:B" &amp; ROW()))-1,E248)</f>
        <v>-2.0583190394511175E-2</v>
      </c>
      <c r="F249" s="110">
        <f>表2_36716262930389121314[[#This Row],[累计净值]]</f>
        <v>1.181</v>
      </c>
      <c r="G249" s="20">
        <f>表2_36716262930389121314[[#This Row],[累计净值]]/$B$21-1</f>
        <v>0.11310084825636202</v>
      </c>
      <c r="H249" s="20">
        <f>表2_36716262930389121314[[#This Row],[累计净值]]/$B$51-1</f>
        <v>7.8538812785388101E-2</v>
      </c>
    </row>
    <row r="250" spans="1:8" x14ac:dyDescent="0.2">
      <c r="A250" s="15">
        <v>44193</v>
      </c>
      <c r="B250" s="112">
        <v>1.175</v>
      </c>
      <c r="C250" s="108">
        <f t="shared" si="72"/>
        <v>-6.0000000000000053E-3</v>
      </c>
      <c r="D250" s="109">
        <f t="shared" si="73"/>
        <v>-6.0000000000000053E-3</v>
      </c>
      <c r="E250" s="109">
        <f ca="1">IF(表2_36716262930389121314[[#This Row],[累计净值]]/MAX(INDIRECT("B21:B" &amp; ROW()))-1&lt;E249,表2_36716262930389121314[[#This Row],[累计净值]]/MAX(INDIRECT("B21:B" &amp; ROW()))-1,E249)</f>
        <v>-2.0583190394511175E-2</v>
      </c>
      <c r="F250" s="110">
        <f>表2_36716262930389121314[[#This Row],[累计净值]]</f>
        <v>1.175</v>
      </c>
      <c r="G250" s="20">
        <f>表2_36716262930389121314[[#This Row],[累计净值]]/$B$21-1</f>
        <v>0.10744580584354391</v>
      </c>
      <c r="H250" s="20">
        <f>表2_36716262930389121314[[#This Row],[累计净值]]/$B$51-1</f>
        <v>7.3059360730593603E-2</v>
      </c>
    </row>
    <row r="251" spans="1:8" x14ac:dyDescent="0.2">
      <c r="A251" s="15">
        <v>44194</v>
      </c>
      <c r="B251" s="112">
        <v>1.177</v>
      </c>
      <c r="C251" s="108">
        <f t="shared" si="72"/>
        <v>2.0000000000000018E-3</v>
      </c>
      <c r="D251" s="109" t="str">
        <f t="shared" si="73"/>
        <v>/</v>
      </c>
      <c r="E251" s="109">
        <f ca="1">IF(表2_36716262930389121314[[#This Row],[累计净值]]/MAX(INDIRECT("B21:B" &amp; ROW()))-1&lt;E250,表2_36716262930389121314[[#This Row],[累计净值]]/MAX(INDIRECT("B21:B" &amp; ROW()))-1,E250)</f>
        <v>-2.0583190394511175E-2</v>
      </c>
      <c r="F251" s="110">
        <f>表2_36716262930389121314[[#This Row],[累计净值]]</f>
        <v>1.177</v>
      </c>
      <c r="G251" s="20">
        <f>表2_36716262930389121314[[#This Row],[累计净值]]/$B$21-1</f>
        <v>0.10933081998115002</v>
      </c>
      <c r="H251" s="20">
        <f>表2_36716262930389121314[[#This Row],[累计净值]]/$B$51-1</f>
        <v>7.488584474885851E-2</v>
      </c>
    </row>
    <row r="252" spans="1:8" x14ac:dyDescent="0.2">
      <c r="A252" s="15">
        <v>44195</v>
      </c>
      <c r="B252" s="112">
        <v>1.1830000000000001</v>
      </c>
      <c r="C252" s="108">
        <f t="shared" si="72"/>
        <v>6.0000000000000053E-3</v>
      </c>
      <c r="D252" s="109" t="str">
        <f t="shared" si="73"/>
        <v>/</v>
      </c>
      <c r="E252" s="109">
        <f ca="1">IF(表2_36716262930389121314[[#This Row],[累计净值]]/MAX(INDIRECT("B21:B" &amp; ROW()))-1&lt;E251,表2_36716262930389121314[[#This Row],[累计净值]]/MAX(INDIRECT("B21:B" &amp; ROW()))-1,E251)</f>
        <v>-2.0583190394511175E-2</v>
      </c>
      <c r="F252" s="110">
        <f>表2_36716262930389121314[[#This Row],[累计净值]]</f>
        <v>1.1830000000000001</v>
      </c>
      <c r="G252" s="20">
        <f>表2_36716262930389121314[[#This Row],[累计净值]]/$B$21-1</f>
        <v>0.11498586239396813</v>
      </c>
      <c r="H252" s="20">
        <f>表2_36716262930389121314[[#This Row],[累计净值]]/$B$51-1</f>
        <v>8.0365296803653008E-2</v>
      </c>
    </row>
    <row r="253" spans="1:8" x14ac:dyDescent="0.2">
      <c r="A253" s="15">
        <v>44196</v>
      </c>
      <c r="B253" s="112">
        <v>1.1819999999999999</v>
      </c>
      <c r="C253" s="108">
        <f t="shared" si="72"/>
        <v>-1.0000000000001119E-3</v>
      </c>
      <c r="D253" s="109">
        <f t="shared" si="73"/>
        <v>-1.0000000000001119E-3</v>
      </c>
      <c r="E253" s="109">
        <f ca="1">IF(表2_36716262930389121314[[#This Row],[累计净值]]/MAX(INDIRECT("B21:B" &amp; ROW()))-1&lt;E252,表2_36716262930389121314[[#This Row],[累计净值]]/MAX(INDIRECT("B21:B" &amp; ROW()))-1,E252)</f>
        <v>-2.0583190394511175E-2</v>
      </c>
      <c r="F253" s="110">
        <f>表2_36716262930389121314[[#This Row],[累计净值]]</f>
        <v>1.1819999999999999</v>
      </c>
      <c r="G253" s="20">
        <f>表2_36716262930389121314[[#This Row],[累计净值]]/$B$21-1</f>
        <v>0.11404335532516496</v>
      </c>
      <c r="H253" s="20">
        <f>表2_36716262930389121314[[#This Row],[累计净值]]/$B$51-1</f>
        <v>7.9452054794520555E-2</v>
      </c>
    </row>
    <row r="254" spans="1:8" x14ac:dyDescent="0.2">
      <c r="A254" s="15">
        <v>44200</v>
      </c>
      <c r="B254" s="112">
        <v>1.1779999999999999</v>
      </c>
      <c r="C254" s="108">
        <f>IFERROR(B254-B253,0)</f>
        <v>-4.0000000000000036E-3</v>
      </c>
      <c r="D254" s="109">
        <f>IF(C254&lt;0,C254,"/")</f>
        <v>-4.0000000000000036E-3</v>
      </c>
      <c r="E254" s="109">
        <f ca="1">IF(表2_36716262930389121314[[#This Row],[累计净值]]/MAX(INDIRECT("B21:B" &amp; ROW()))-1&lt;E253,表2_36716262930389121314[[#This Row],[累计净值]]/MAX(INDIRECT("B21:B" &amp; ROW()))-1,E253)</f>
        <v>-2.0583190394511175E-2</v>
      </c>
      <c r="F254" s="110">
        <f>表2_36716262930389121314[[#This Row],[累计净值]]</f>
        <v>1.1779999999999999</v>
      </c>
      <c r="G254" s="20">
        <f>表2_36716262930389121314[[#This Row],[累计净值]]/$B$21-1</f>
        <v>0.11027332704995296</v>
      </c>
      <c r="H254" s="20">
        <f>表2_36716262930389121314[[#This Row],[累计净值]]/$B$51-1</f>
        <v>7.5799086757990741E-2</v>
      </c>
    </row>
    <row r="255" spans="1:8" x14ac:dyDescent="0.2">
      <c r="A255" s="15">
        <v>44201</v>
      </c>
      <c r="B255" s="112">
        <v>1.1759999999999999</v>
      </c>
      <c r="C255" s="108">
        <f>IFERROR(B255-B254,0)</f>
        <v>-2.0000000000000018E-3</v>
      </c>
      <c r="D255" s="109">
        <f>IF(C255&lt;0,C255,"/")</f>
        <v>-2.0000000000000018E-3</v>
      </c>
      <c r="E255" s="109">
        <f ca="1">IF(表2_36716262930389121314[[#This Row],[累计净值]]/MAX(INDIRECT("B21:B" &amp; ROW()))-1&lt;E254,表2_36716262930389121314[[#This Row],[累计净值]]/MAX(INDIRECT("B21:B" &amp; ROW()))-1,E254)</f>
        <v>-2.0583190394511175E-2</v>
      </c>
      <c r="F255" s="110">
        <f>表2_36716262930389121314[[#This Row],[累计净值]]</f>
        <v>1.1759999999999999</v>
      </c>
      <c r="G255" s="20">
        <f>表2_36716262930389121314[[#This Row],[累计净值]]/$B$21-1</f>
        <v>0.10838831291234685</v>
      </c>
      <c r="H255" s="20">
        <f>表2_36716262930389121314[[#This Row],[累计净值]]/$B$51-1</f>
        <v>7.3972602739726057E-2</v>
      </c>
    </row>
    <row r="256" spans="1:8" x14ac:dyDescent="0.2">
      <c r="A256" s="15">
        <v>44202</v>
      </c>
      <c r="B256" s="112">
        <v>1.177</v>
      </c>
      <c r="C256" s="108">
        <f>IFERROR(B256-B255,0)</f>
        <v>1.0000000000001119E-3</v>
      </c>
      <c r="D256" s="109" t="str">
        <f>IF(C256&lt;0,C256,"/")</f>
        <v>/</v>
      </c>
      <c r="E256" s="109">
        <f ca="1">IF(表2_36716262930389121314[[#This Row],[累计净值]]/MAX(INDIRECT("B21:B" &amp; ROW()))-1&lt;E255,表2_36716262930389121314[[#This Row],[累计净值]]/MAX(INDIRECT("B21:B" &amp; ROW()))-1,E255)</f>
        <v>-2.0583190394511175E-2</v>
      </c>
      <c r="F256" s="110">
        <f>表2_36716262930389121314[[#This Row],[累计净值]]</f>
        <v>1.177</v>
      </c>
      <c r="G256" s="20">
        <f>表2_36716262930389121314[[#This Row],[累计净值]]/$B$21-1</f>
        <v>0.10933081998115002</v>
      </c>
      <c r="H256" s="20">
        <f>表2_36716262930389121314[[#This Row],[累计净值]]/$B$51-1</f>
        <v>7.488584474885851E-2</v>
      </c>
    </row>
    <row r="257" spans="1:8" x14ac:dyDescent="0.2">
      <c r="A257" s="15">
        <v>44203</v>
      </c>
      <c r="B257" s="112">
        <v>1.1639999999999999</v>
      </c>
      <c r="C257" s="108">
        <f t="shared" ref="C257:C258" si="74">IFERROR(B257-B256,0)</f>
        <v>-1.3000000000000123E-2</v>
      </c>
      <c r="D257" s="109">
        <f t="shared" ref="D257:D258" si="75">IF(C257&lt;0,C257,"/")</f>
        <v>-1.3000000000000123E-2</v>
      </c>
      <c r="E257" s="109">
        <f ca="1">IF(表2_36716262930389121314[[#This Row],[累计净值]]/MAX(INDIRECT("B21:B" &amp; ROW()))-1&lt;E256,表2_36716262930389121314[[#This Row],[累计净值]]/MAX(INDIRECT("B21:B" &amp; ROW()))-1,E256)</f>
        <v>-2.0583190394511175E-2</v>
      </c>
      <c r="F257" s="110">
        <f>表2_36716262930389121314[[#This Row],[累计净值]]</f>
        <v>1.1639999999999999</v>
      </c>
      <c r="G257" s="20">
        <f>表2_36716262930389121314[[#This Row],[累计净值]]/$B$21-1</f>
        <v>9.7078228086710627E-2</v>
      </c>
      <c r="H257" s="20">
        <f>表2_36716262930389121314[[#This Row],[累计净值]]/$B$51-1</f>
        <v>6.3013698630136838E-2</v>
      </c>
    </row>
    <row r="258" spans="1:8" x14ac:dyDescent="0.2">
      <c r="A258" s="15">
        <v>44204</v>
      </c>
      <c r="B258" s="112">
        <v>1.161</v>
      </c>
      <c r="C258" s="108">
        <f t="shared" si="74"/>
        <v>-2.9999999999998916E-3</v>
      </c>
      <c r="D258" s="109">
        <f t="shared" si="75"/>
        <v>-2.9999999999998916E-3</v>
      </c>
      <c r="E258" s="109">
        <f ca="1">IF(表2_36716262930389121314[[#This Row],[累计净值]]/MAX(INDIRECT("B21:B" &amp; ROW()))-1&lt;E257,表2_36716262930389121314[[#This Row],[累计净值]]/MAX(INDIRECT("B21:B" &amp; ROW()))-1,E257)</f>
        <v>-2.0583190394511175E-2</v>
      </c>
      <c r="F258" s="110">
        <f>表2_36716262930389121314[[#This Row],[累计净值]]</f>
        <v>1.161</v>
      </c>
      <c r="G258" s="20">
        <f>表2_36716262930389121314[[#This Row],[累计净值]]/$B$21-1</f>
        <v>9.4250706880301793E-2</v>
      </c>
      <c r="H258" s="20">
        <f>表2_36716262930389121314[[#This Row],[累计净值]]/$B$51-1</f>
        <v>6.02739726027397E-2</v>
      </c>
    </row>
    <row r="259" spans="1:8" x14ac:dyDescent="0.2">
      <c r="A259" s="15">
        <v>44207</v>
      </c>
      <c r="B259" s="112">
        <v>1.1719999999999999</v>
      </c>
      <c r="C259" s="108">
        <f t="shared" ref="C259:C264" si="76">IFERROR(B259-B258,0)</f>
        <v>1.0999999999999899E-2</v>
      </c>
      <c r="D259" s="109" t="str">
        <f t="shared" ref="D259:D264" si="77">IF(C259&lt;0,C259,"/")</f>
        <v>/</v>
      </c>
      <c r="E259" s="109">
        <f ca="1">IF(表2_36716262930389121314[[#This Row],[累计净值]]/MAX(INDIRECT("B21:B" &amp; ROW()))-1&lt;E258,表2_36716262930389121314[[#This Row],[累计净值]]/MAX(INDIRECT("B21:B" &amp; ROW()))-1,E258)</f>
        <v>-2.0583190394511175E-2</v>
      </c>
      <c r="F259" s="110">
        <f>表2_36716262930389121314[[#This Row],[累计净值]]</f>
        <v>1.1719999999999999</v>
      </c>
      <c r="G259" s="20">
        <f>表2_36716262930389121314[[#This Row],[累计净值]]/$B$21-1</f>
        <v>0.10461828463713485</v>
      </c>
      <c r="H259" s="20">
        <f>表2_36716262930389121314[[#This Row],[累计净值]]/$B$51-1</f>
        <v>7.0319634703196243E-2</v>
      </c>
    </row>
    <row r="260" spans="1:8" x14ac:dyDescent="0.2">
      <c r="A260" s="15">
        <v>44208</v>
      </c>
      <c r="B260" s="112">
        <v>1.1659999999999999</v>
      </c>
      <c r="C260" s="108">
        <f t="shared" si="76"/>
        <v>-6.0000000000000053E-3</v>
      </c>
      <c r="D260" s="109">
        <f t="shared" si="77"/>
        <v>-6.0000000000000053E-3</v>
      </c>
      <c r="E260" s="109">
        <f ca="1">IF(表2_36716262930389121314[[#This Row],[累计净值]]/MAX(INDIRECT("B21:B" &amp; ROW()))-1&lt;E259,表2_36716262930389121314[[#This Row],[累计净值]]/MAX(INDIRECT("B21:B" &amp; ROW()))-1,E259)</f>
        <v>-2.0583190394511175E-2</v>
      </c>
      <c r="F260" s="110">
        <f>表2_36716262930389121314[[#This Row],[累计净值]]</f>
        <v>1.1659999999999999</v>
      </c>
      <c r="G260" s="20">
        <f>表2_36716262930389121314[[#This Row],[累计净值]]/$B$21-1</f>
        <v>9.8963242224316739E-2</v>
      </c>
      <c r="H260" s="20">
        <f>表2_36716262930389121314[[#This Row],[累计净值]]/$B$51-1</f>
        <v>6.4840182648401745E-2</v>
      </c>
    </row>
    <row r="261" spans="1:8" x14ac:dyDescent="0.2">
      <c r="A261" s="15">
        <v>44209</v>
      </c>
      <c r="B261" s="112">
        <v>1.1639999999999999</v>
      </c>
      <c r="C261" s="108">
        <f t="shared" si="76"/>
        <v>-2.0000000000000018E-3</v>
      </c>
      <c r="D261" s="109">
        <f t="shared" si="77"/>
        <v>-2.0000000000000018E-3</v>
      </c>
      <c r="E261" s="109">
        <f ca="1">IF(表2_36716262930389121314[[#This Row],[累计净值]]/MAX(INDIRECT("B21:B" &amp; ROW()))-1&lt;E260,表2_36716262930389121314[[#This Row],[累计净值]]/MAX(INDIRECT("B21:B" &amp; ROW()))-1,E260)</f>
        <v>-2.0583190394511175E-2</v>
      </c>
      <c r="F261" s="110">
        <f>表2_36716262930389121314[[#This Row],[累计净值]]</f>
        <v>1.1639999999999999</v>
      </c>
      <c r="G261" s="20">
        <f>表2_36716262930389121314[[#This Row],[累计净值]]/$B$21-1</f>
        <v>9.7078228086710627E-2</v>
      </c>
      <c r="H261" s="20">
        <f>表2_36716262930389121314[[#This Row],[累计净值]]/$B$51-1</f>
        <v>6.3013698630136838E-2</v>
      </c>
    </row>
    <row r="262" spans="1:8" x14ac:dyDescent="0.2">
      <c r="A262" s="15">
        <v>44210</v>
      </c>
      <c r="B262" s="112">
        <v>1.1739999999999999</v>
      </c>
      <c r="C262" s="108">
        <f t="shared" si="76"/>
        <v>1.0000000000000009E-2</v>
      </c>
      <c r="D262" s="109" t="str">
        <f t="shared" si="77"/>
        <v>/</v>
      </c>
      <c r="E262" s="109">
        <f ca="1">IF(表2_36716262930389121314[[#This Row],[累计净值]]/MAX(INDIRECT("B21:B" &amp; ROW()))-1&lt;E261,表2_36716262930389121314[[#This Row],[累计净值]]/MAX(INDIRECT("B21:B" &amp; ROW()))-1,E261)</f>
        <v>-2.0583190394511175E-2</v>
      </c>
      <c r="F262" s="110">
        <f>表2_36716262930389121314[[#This Row],[累计净值]]</f>
        <v>1.1739999999999999</v>
      </c>
      <c r="G262" s="20">
        <f>表2_36716262930389121314[[#This Row],[累计净值]]/$B$21-1</f>
        <v>0.10650329877474074</v>
      </c>
      <c r="H262" s="20">
        <f>表2_36716262930389121314[[#This Row],[累计净值]]/$B$51-1</f>
        <v>7.214611872146115E-2</v>
      </c>
    </row>
    <row r="263" spans="1:8" x14ac:dyDescent="0.2">
      <c r="A263" s="15">
        <v>44211</v>
      </c>
      <c r="B263" s="112">
        <v>1.18</v>
      </c>
      <c r="C263" s="108">
        <f t="shared" si="76"/>
        <v>6.0000000000000053E-3</v>
      </c>
      <c r="D263" s="109" t="str">
        <f t="shared" si="77"/>
        <v>/</v>
      </c>
      <c r="E263" s="109">
        <f ca="1">IF(表2_36716262930389121314[[#This Row],[累计净值]]/MAX(INDIRECT("B21:B" &amp; ROW()))-1&lt;E262,表2_36716262930389121314[[#This Row],[累计净值]]/MAX(INDIRECT("B21:B" &amp; ROW()))-1,E262)</f>
        <v>-2.0583190394511175E-2</v>
      </c>
      <c r="F263" s="110">
        <f>表2_36716262930389121314[[#This Row],[累计净值]]</f>
        <v>1.18</v>
      </c>
      <c r="G263" s="20">
        <f>表2_36716262930389121314[[#This Row],[累计净值]]/$B$21-1</f>
        <v>0.11215834118755885</v>
      </c>
      <c r="H263" s="20">
        <f>表2_36716262930389121314[[#This Row],[累计净值]]/$B$51-1</f>
        <v>7.7625570776255648E-2</v>
      </c>
    </row>
    <row r="264" spans="1:8" x14ac:dyDescent="0.2">
      <c r="A264" s="15">
        <v>44214</v>
      </c>
      <c r="B264" s="112">
        <v>1.1830000000000001</v>
      </c>
      <c r="C264" s="108">
        <f t="shared" si="76"/>
        <v>3.0000000000001137E-3</v>
      </c>
      <c r="D264" s="109" t="str">
        <f t="shared" si="77"/>
        <v>/</v>
      </c>
      <c r="E264" s="109">
        <f ca="1">IF(表2_36716262930389121314[[#This Row],[累计净值]]/MAX(INDIRECT("B21:B" &amp; ROW()))-1&lt;E263,表2_36716262930389121314[[#This Row],[累计净值]]/MAX(INDIRECT("B21:B" &amp; ROW()))-1,E263)</f>
        <v>-2.0583190394511175E-2</v>
      </c>
      <c r="F264" s="110">
        <f>表2_36716262930389121314[[#This Row],[累计净值]]</f>
        <v>1.1830000000000001</v>
      </c>
      <c r="G264" s="20">
        <f>表2_36716262930389121314[[#This Row],[累计净值]]/$B$21-1</f>
        <v>0.11498586239396813</v>
      </c>
      <c r="H264" s="20">
        <f>表2_36716262930389121314[[#This Row],[累计净值]]/$B$51-1</f>
        <v>8.0365296803653008E-2</v>
      </c>
    </row>
    <row r="265" spans="1:8" x14ac:dyDescent="0.2">
      <c r="A265" s="15">
        <v>44215</v>
      </c>
      <c r="B265" s="112">
        <v>1.1890000000000001</v>
      </c>
      <c r="C265" s="108">
        <f t="shared" ref="C265:C271" si="78">IFERROR(B265-B264,0)</f>
        <v>6.0000000000000053E-3</v>
      </c>
      <c r="D265" s="109" t="str">
        <f t="shared" ref="D265:D271" si="79">IF(C265&lt;0,C265,"/")</f>
        <v>/</v>
      </c>
      <c r="E265" s="109">
        <f ca="1">IF(表2_36716262930389121314[[#This Row],[累计净值]]/MAX(INDIRECT("B21:B" &amp; ROW()))-1&lt;E264,表2_36716262930389121314[[#This Row],[累计净值]]/MAX(INDIRECT("B21:B" &amp; ROW()))-1,E264)</f>
        <v>-2.0583190394511175E-2</v>
      </c>
      <c r="F265" s="110">
        <f>表2_36716262930389121314[[#This Row],[累计净值]]</f>
        <v>1.1890000000000001</v>
      </c>
      <c r="G265" s="20">
        <f>表2_36716262930389121314[[#This Row],[累计净值]]/$B$21-1</f>
        <v>0.12064090480678624</v>
      </c>
      <c r="H265" s="20">
        <f>表2_36716262930389121314[[#This Row],[累计净值]]/$B$51-1</f>
        <v>8.5844748858447506E-2</v>
      </c>
    </row>
    <row r="266" spans="1:8" x14ac:dyDescent="0.2">
      <c r="A266" s="15">
        <v>44216</v>
      </c>
      <c r="B266" s="112">
        <v>1.2010000000000001</v>
      </c>
      <c r="C266" s="108">
        <f t="shared" si="78"/>
        <v>1.2000000000000011E-2</v>
      </c>
      <c r="D266" s="109" t="str">
        <f t="shared" si="79"/>
        <v>/</v>
      </c>
      <c r="E266" s="109">
        <f ca="1">IF(表2_36716262930389121314[[#This Row],[累计净值]]/MAX(INDIRECT("B21:B" &amp; ROW()))-1&lt;E265,表2_36716262930389121314[[#This Row],[累计净值]]/MAX(INDIRECT("B21:B" &amp; ROW()))-1,E265)</f>
        <v>-2.0583190394511175E-2</v>
      </c>
      <c r="F266" s="110">
        <f>表2_36716262930389121314[[#This Row],[累计净值]]</f>
        <v>1.2010000000000001</v>
      </c>
      <c r="G266" s="20">
        <f>表2_36716262930389121314[[#This Row],[累计净值]]/$B$21-1</f>
        <v>0.13195098963242247</v>
      </c>
      <c r="H266" s="20">
        <f>表2_36716262930389121314[[#This Row],[累计净值]]/$B$51-1</f>
        <v>9.6803652968036724E-2</v>
      </c>
    </row>
    <row r="267" spans="1:8" x14ac:dyDescent="0.2">
      <c r="A267" s="15">
        <v>44217</v>
      </c>
      <c r="B267" s="112">
        <v>1.1970000000000001</v>
      </c>
      <c r="C267" s="108">
        <f t="shared" si="78"/>
        <v>-4.0000000000000036E-3</v>
      </c>
      <c r="D267" s="109">
        <f t="shared" si="79"/>
        <v>-4.0000000000000036E-3</v>
      </c>
      <c r="E267" s="109">
        <f ca="1">IF(表2_36716262930389121314[[#This Row],[累计净值]]/MAX(INDIRECT("B21:B" &amp; ROW()))-1&lt;E266,表2_36716262930389121314[[#This Row],[累计净值]]/MAX(INDIRECT("B21:B" &amp; ROW()))-1,E266)</f>
        <v>-2.0583190394511175E-2</v>
      </c>
      <c r="F267" s="110">
        <f>表2_36716262930389121314[[#This Row],[累计净值]]</f>
        <v>1.1970000000000001</v>
      </c>
      <c r="G267" s="20">
        <f>表2_36716262930389121314[[#This Row],[累计净值]]/$B$21-1</f>
        <v>0.12818096135721024</v>
      </c>
      <c r="H267" s="20">
        <f>表2_36716262930389121314[[#This Row],[累计净值]]/$B$51-1</f>
        <v>9.3150684931506911E-2</v>
      </c>
    </row>
    <row r="268" spans="1:8" x14ac:dyDescent="0.2">
      <c r="A268" s="15">
        <v>44218</v>
      </c>
      <c r="B268" s="112">
        <v>1.204</v>
      </c>
      <c r="C268" s="108">
        <f t="shared" si="78"/>
        <v>6.9999999999998952E-3</v>
      </c>
      <c r="D268" s="109" t="str">
        <f t="shared" si="79"/>
        <v>/</v>
      </c>
      <c r="E268" s="109">
        <f ca="1">IF(表2_36716262930389121314[[#This Row],[累计净值]]/MAX(INDIRECT("B21:B" &amp; ROW()))-1&lt;E267,表2_36716262930389121314[[#This Row],[累计净值]]/MAX(INDIRECT("B21:B" &amp; ROW()))-1,E267)</f>
        <v>-2.0583190394511175E-2</v>
      </c>
      <c r="F268" s="110">
        <f>表2_36716262930389121314[[#This Row],[累计净值]]</f>
        <v>1.204</v>
      </c>
      <c r="G268" s="20">
        <f>表2_36716262930389121314[[#This Row],[累计净值]]/$B$21-1</f>
        <v>0.1347785108388313</v>
      </c>
      <c r="H268" s="20">
        <f>表2_36716262930389121314[[#This Row],[累计净值]]/$B$51-1</f>
        <v>9.9543378995433862E-2</v>
      </c>
    </row>
    <row r="269" spans="1:8" x14ac:dyDescent="0.2">
      <c r="A269" s="15">
        <v>44221</v>
      </c>
      <c r="B269" s="112">
        <v>1.22</v>
      </c>
      <c r="C269" s="108">
        <f t="shared" si="78"/>
        <v>1.6000000000000014E-2</v>
      </c>
      <c r="D269" s="109" t="str">
        <f t="shared" si="79"/>
        <v>/</v>
      </c>
      <c r="E269" s="109">
        <f ca="1">IF(表2_36716262930389121314[[#This Row],[累计净值]]/MAX(INDIRECT("B21:B" &amp; ROW()))-1&lt;E268,表2_36716262930389121314[[#This Row],[累计净值]]/MAX(INDIRECT("B21:B" &amp; ROW()))-1,E268)</f>
        <v>-2.0583190394511175E-2</v>
      </c>
      <c r="F269" s="110">
        <f>表2_36716262930389121314[[#This Row],[累计净值]]</f>
        <v>1.22</v>
      </c>
      <c r="G269" s="20">
        <f>表2_36716262930389121314[[#This Row],[累计净值]]/$B$21-1</f>
        <v>0.14985862393967952</v>
      </c>
      <c r="H269" s="20">
        <f>表2_36716262930389121314[[#This Row],[累计净值]]/$B$51-1</f>
        <v>0.11415525114155245</v>
      </c>
    </row>
    <row r="270" spans="1:8" x14ac:dyDescent="0.2">
      <c r="A270" s="15">
        <v>44222</v>
      </c>
      <c r="B270" s="112">
        <v>1.21</v>
      </c>
      <c r="C270" s="108">
        <f t="shared" si="78"/>
        <v>-1.0000000000000009E-2</v>
      </c>
      <c r="D270" s="109">
        <f t="shared" si="79"/>
        <v>-1.0000000000000009E-2</v>
      </c>
      <c r="E270" s="109">
        <f ca="1">IF(表2_36716262930389121314[[#This Row],[累计净值]]/MAX(INDIRECT("B21:B" &amp; ROW()))-1&lt;E269,表2_36716262930389121314[[#This Row],[累计净值]]/MAX(INDIRECT("B21:B" &amp; ROW()))-1,E269)</f>
        <v>-2.0583190394511175E-2</v>
      </c>
      <c r="F270" s="110">
        <f>表2_36716262930389121314[[#This Row],[累计净值]]</f>
        <v>1.21</v>
      </c>
      <c r="G270" s="20">
        <f>表2_36716262930389121314[[#This Row],[累计净值]]/$B$21-1</f>
        <v>0.14043355325164941</v>
      </c>
      <c r="H270" s="20">
        <f>表2_36716262930389121314[[#This Row],[累计净值]]/$B$51-1</f>
        <v>0.10502283105022836</v>
      </c>
    </row>
    <row r="271" spans="1:8" x14ac:dyDescent="0.2">
      <c r="A271" s="15">
        <v>44223</v>
      </c>
      <c r="B271" s="112">
        <v>1.2030000000000001</v>
      </c>
      <c r="C271" s="108">
        <f t="shared" si="78"/>
        <v>-6.9999999999998952E-3</v>
      </c>
      <c r="D271" s="109">
        <f t="shared" si="79"/>
        <v>-6.9999999999998952E-3</v>
      </c>
      <c r="E271" s="109">
        <f ca="1">IF(表2_36716262930389121314[[#This Row],[累计净值]]/MAX(INDIRECT("B21:B" &amp; ROW()))-1&lt;E270,表2_36716262930389121314[[#This Row],[累计净值]]/MAX(INDIRECT("B21:B" &amp; ROW()))-1,E270)</f>
        <v>-2.0583190394511175E-2</v>
      </c>
      <c r="F271" s="110">
        <f>表2_36716262930389121314[[#This Row],[累计净值]]</f>
        <v>1.2030000000000001</v>
      </c>
      <c r="G271" s="20">
        <f>表2_36716262930389121314[[#This Row],[累计净值]]/$B$21-1</f>
        <v>0.13383600377002836</v>
      </c>
      <c r="H271" s="20">
        <f>表2_36716262930389121314[[#This Row],[累计净值]]/$B$51-1</f>
        <v>9.8630136986301409E-2</v>
      </c>
    </row>
    <row r="272" spans="1:8" x14ac:dyDescent="0.2">
      <c r="A272" s="15">
        <v>44224</v>
      </c>
      <c r="B272" s="112">
        <v>1.202</v>
      </c>
      <c r="C272" s="108">
        <f t="shared" ref="C272:C277" si="80">IFERROR(B272-B271,0)</f>
        <v>-1.0000000000001119E-3</v>
      </c>
      <c r="D272" s="109">
        <f t="shared" ref="D272:D277" si="81">IF(C272&lt;0,C272,"/")</f>
        <v>-1.0000000000001119E-3</v>
      </c>
      <c r="E272" s="109">
        <f ca="1">IF(表2_36716262930389121314[[#This Row],[累计净值]]/MAX(INDIRECT("B21:B" &amp; ROW()))-1&lt;E271,表2_36716262930389121314[[#This Row],[累计净值]]/MAX(INDIRECT("B21:B" &amp; ROW()))-1,E271)</f>
        <v>-2.0583190394511175E-2</v>
      </c>
      <c r="F272" s="110">
        <f>表2_36716262930389121314[[#This Row],[累计净值]]</f>
        <v>1.202</v>
      </c>
      <c r="G272" s="20">
        <f>表2_36716262930389121314[[#This Row],[累计净值]]/$B$21-1</f>
        <v>0.13289349670122519</v>
      </c>
      <c r="H272" s="20">
        <f>表2_36716262930389121314[[#This Row],[累计净值]]/$B$51-1</f>
        <v>9.7716894977168955E-2</v>
      </c>
    </row>
    <row r="273" spans="1:8" x14ac:dyDescent="0.2">
      <c r="A273" s="15">
        <v>44225</v>
      </c>
      <c r="B273" s="112">
        <v>1.208</v>
      </c>
      <c r="C273" s="108">
        <f t="shared" si="80"/>
        <v>6.0000000000000053E-3</v>
      </c>
      <c r="D273" s="109" t="str">
        <f t="shared" si="81"/>
        <v>/</v>
      </c>
      <c r="E273" s="109">
        <f ca="1">IF(表2_36716262930389121314[[#This Row],[累计净值]]/MAX(INDIRECT("B21:B" &amp; ROW()))-1&lt;E272,表2_36716262930389121314[[#This Row],[累计净值]]/MAX(INDIRECT("B21:B" &amp; ROW()))-1,E272)</f>
        <v>-2.0583190394511175E-2</v>
      </c>
      <c r="F273" s="110">
        <f>表2_36716262930389121314[[#This Row],[累计净值]]</f>
        <v>1.208</v>
      </c>
      <c r="G273" s="20">
        <f>表2_36716262930389121314[[#This Row],[累计净值]]/$B$21-1</f>
        <v>0.1385485391140433</v>
      </c>
      <c r="H273" s="20">
        <f>表2_36716262930389121314[[#This Row],[累计净值]]/$B$51-1</f>
        <v>0.10319634703196345</v>
      </c>
    </row>
    <row r="274" spans="1:8" x14ac:dyDescent="0.2">
      <c r="A274" s="15">
        <v>44228</v>
      </c>
      <c r="B274" s="112">
        <v>1.2130000000000001</v>
      </c>
      <c r="C274" s="108">
        <f t="shared" si="80"/>
        <v>5.0000000000001155E-3</v>
      </c>
      <c r="D274" s="109" t="str">
        <f t="shared" si="81"/>
        <v>/</v>
      </c>
      <c r="E274" s="109">
        <f ca="1">IF(表2_36716262930389121314[[#This Row],[累计净值]]/MAX(INDIRECT("B21:B" &amp; ROW()))-1&lt;E273,表2_36716262930389121314[[#This Row],[累计净值]]/MAX(INDIRECT("B21:B" &amp; ROW()))-1,E273)</f>
        <v>-2.0583190394511175E-2</v>
      </c>
      <c r="F274" s="110">
        <f>表2_36716262930389121314[[#This Row],[累计净值]]</f>
        <v>1.2130000000000001</v>
      </c>
      <c r="G274" s="20">
        <f>表2_36716262930389121314[[#This Row],[累计净值]]/$B$21-1</f>
        <v>0.14326107445805847</v>
      </c>
      <c r="H274" s="20">
        <f>表2_36716262930389121314[[#This Row],[累计净值]]/$B$51-1</f>
        <v>0.10776255707762572</v>
      </c>
    </row>
    <row r="275" spans="1:8" x14ac:dyDescent="0.2">
      <c r="A275" s="15">
        <v>44229</v>
      </c>
      <c r="B275" s="112">
        <v>1.214</v>
      </c>
      <c r="C275" s="108">
        <f t="shared" si="80"/>
        <v>9.9999999999988987E-4</v>
      </c>
      <c r="D275" s="109" t="str">
        <f t="shared" si="81"/>
        <v>/</v>
      </c>
      <c r="E275" s="109">
        <f ca="1">IF(表2_36716262930389121314[[#This Row],[累计净值]]/MAX(INDIRECT("B21:B" &amp; ROW()))-1&lt;E274,表2_36716262930389121314[[#This Row],[累计净值]]/MAX(INDIRECT("B21:B" &amp; ROW()))-1,E274)</f>
        <v>-2.0583190394511175E-2</v>
      </c>
      <c r="F275" s="110">
        <f>表2_36716262930389121314[[#This Row],[累计净值]]</f>
        <v>1.214</v>
      </c>
      <c r="G275" s="20">
        <f>表2_36716262930389121314[[#This Row],[累计净值]]/$B$21-1</f>
        <v>0.14420358152686141</v>
      </c>
      <c r="H275" s="20">
        <f>表2_36716262930389121314[[#This Row],[累计净值]]/$B$51-1</f>
        <v>0.10867579908675795</v>
      </c>
    </row>
    <row r="276" spans="1:8" x14ac:dyDescent="0.2">
      <c r="A276" s="15">
        <v>44230</v>
      </c>
      <c r="B276" s="112">
        <v>1.2190000000000001</v>
      </c>
      <c r="C276" s="108">
        <f t="shared" si="80"/>
        <v>5.0000000000001155E-3</v>
      </c>
      <c r="D276" s="109" t="str">
        <f t="shared" si="81"/>
        <v>/</v>
      </c>
      <c r="E276" s="109">
        <f ca="1">IF(表2_36716262930389121314[[#This Row],[累计净值]]/MAX(INDIRECT("B21:B" &amp; ROW()))-1&lt;E275,表2_36716262930389121314[[#This Row],[累计净值]]/MAX(INDIRECT("B21:B" &amp; ROW()))-1,E275)</f>
        <v>-2.0583190394511175E-2</v>
      </c>
      <c r="F276" s="110">
        <f>表2_36716262930389121314[[#This Row],[累计净值]]</f>
        <v>1.2190000000000001</v>
      </c>
      <c r="G276" s="20">
        <f>表2_36716262930389121314[[#This Row],[累计净值]]/$B$21-1</f>
        <v>0.14891611687087658</v>
      </c>
      <c r="H276" s="20">
        <f>表2_36716262930389121314[[#This Row],[累计净值]]/$B$51-1</f>
        <v>0.11324200913242022</v>
      </c>
    </row>
    <row r="277" spans="1:8" x14ac:dyDescent="0.2">
      <c r="A277" s="15">
        <v>44231</v>
      </c>
      <c r="B277" s="112">
        <v>1.224</v>
      </c>
      <c r="C277" s="108">
        <f t="shared" si="80"/>
        <v>4.9999999999998934E-3</v>
      </c>
      <c r="D277" s="109" t="str">
        <f t="shared" si="81"/>
        <v>/</v>
      </c>
      <c r="E277" s="109">
        <f ca="1">IF(表2_36716262930389121314[[#This Row],[累计净值]]/MAX(INDIRECT("B21:B" &amp; ROW()))-1&lt;E276,表2_36716262930389121314[[#This Row],[累计净值]]/MAX(INDIRECT("B21:B" &amp; ROW()))-1,E276)</f>
        <v>-2.0583190394511175E-2</v>
      </c>
      <c r="F277" s="110">
        <f>表2_36716262930389121314[[#This Row],[累计净值]]</f>
        <v>1.224</v>
      </c>
      <c r="G277" s="20">
        <f>表2_36716262930389121314[[#This Row],[累计净值]]/$B$21-1</f>
        <v>0.15362865221489175</v>
      </c>
      <c r="H277" s="20">
        <f>表2_36716262930389121314[[#This Row],[累计净值]]/$B$51-1</f>
        <v>0.11780821917808226</v>
      </c>
    </row>
    <row r="278" spans="1:8" x14ac:dyDescent="0.2">
      <c r="A278" s="15">
        <v>44232</v>
      </c>
      <c r="B278" s="112">
        <v>1.2230000000000001</v>
      </c>
      <c r="C278" s="108">
        <f>IFERROR(B278-B277,0)</f>
        <v>-9.9999999999988987E-4</v>
      </c>
      <c r="D278" s="109">
        <f>IF(C278&lt;0,C278,"/")</f>
        <v>-9.9999999999988987E-4</v>
      </c>
      <c r="E278" s="109">
        <f ca="1">IF(表2_36716262930389121314[[#This Row],[累计净值]]/MAX(INDIRECT("B21:B" &amp; ROW()))-1&lt;E277,表2_36716262930389121314[[#This Row],[累计净值]]/MAX(INDIRECT("B21:B" &amp; ROW()))-1,E277)</f>
        <v>-2.0583190394511175E-2</v>
      </c>
      <c r="F278" s="110">
        <f>表2_36716262930389121314[[#This Row],[累计净值]]</f>
        <v>1.2230000000000001</v>
      </c>
      <c r="G278" s="20">
        <f>表2_36716262930389121314[[#This Row],[累计净值]]/$B$21-1</f>
        <v>0.1526861451460888</v>
      </c>
      <c r="H278" s="20">
        <f>表2_36716262930389121314[[#This Row],[累计净值]]/$B$51-1</f>
        <v>0.11689497716894981</v>
      </c>
    </row>
    <row r="279" spans="1:8" x14ac:dyDescent="0.2">
      <c r="A279" s="15">
        <v>44235</v>
      </c>
      <c r="B279" s="112">
        <v>1.2250000000000001</v>
      </c>
      <c r="C279" s="108">
        <f>IFERROR(B279-B278,0)</f>
        <v>2.0000000000000018E-3</v>
      </c>
      <c r="D279" s="109" t="str">
        <f>IF(C279&lt;0,C279,"/")</f>
        <v>/</v>
      </c>
      <c r="E279" s="109">
        <f ca="1">IF(表2_36716262930389121314[[#This Row],[累计净值]]/MAX(INDIRECT("B21:B" &amp; ROW()))-1&lt;E278,表2_36716262930389121314[[#This Row],[累计净值]]/MAX(INDIRECT("B21:B" &amp; ROW()))-1,E278)</f>
        <v>-2.0583190394511175E-2</v>
      </c>
      <c r="F279" s="110">
        <f>表2_36716262930389121314[[#This Row],[累计净值]]</f>
        <v>1.2250000000000001</v>
      </c>
      <c r="G279" s="20">
        <f>表2_36716262930389121314[[#This Row],[累计净值]]/$B$21-1</f>
        <v>0.15457115928369469</v>
      </c>
      <c r="H279" s="20">
        <f>表2_36716262930389121314[[#This Row],[累计净值]]/$B$51-1</f>
        <v>0.11872146118721472</v>
      </c>
    </row>
    <row r="280" spans="1:8" x14ac:dyDescent="0.2">
      <c r="A280" s="15">
        <v>44236</v>
      </c>
      <c r="B280" s="112">
        <v>1.2190000000000001</v>
      </c>
      <c r="C280" s="108">
        <f>IFERROR(B280-B279,0)</f>
        <v>-6.0000000000000053E-3</v>
      </c>
      <c r="D280" s="109">
        <f>IF(C280&lt;0,C280,"/")</f>
        <v>-6.0000000000000053E-3</v>
      </c>
      <c r="E280" s="109">
        <f ca="1">IF(表2_36716262930389121314[[#This Row],[累计净值]]/MAX(INDIRECT("B21:B" &amp; ROW()))-1&lt;E279,表2_36716262930389121314[[#This Row],[累计净值]]/MAX(INDIRECT("B21:B" &amp; ROW()))-1,E279)</f>
        <v>-2.0583190394511175E-2</v>
      </c>
      <c r="F280" s="110">
        <f>表2_36716262930389121314[[#This Row],[累计净值]]</f>
        <v>1.2190000000000001</v>
      </c>
      <c r="G280" s="20">
        <f>表2_36716262930389121314[[#This Row],[累计净值]]/$B$21-1</f>
        <v>0.14891611687087658</v>
      </c>
      <c r="H280" s="20">
        <f>表2_36716262930389121314[[#This Row],[累计净值]]/$B$51-1</f>
        <v>0.11324200913242022</v>
      </c>
    </row>
    <row r="281" spans="1:8" x14ac:dyDescent="0.2">
      <c r="A281" s="15">
        <v>44237</v>
      </c>
      <c r="B281" s="112">
        <v>1.2230000000000001</v>
      </c>
      <c r="C281" s="108">
        <f t="shared" ref="C281:C282" si="82">IFERROR(B281-B280,0)</f>
        <v>4.0000000000000036E-3</v>
      </c>
      <c r="D281" s="109" t="str">
        <f t="shared" ref="D281:D282" si="83">IF(C281&lt;0,C281,"/")</f>
        <v>/</v>
      </c>
      <c r="E281" s="109">
        <f ca="1">IF(表2_36716262930389121314[[#This Row],[累计净值]]/MAX(INDIRECT("B21:B" &amp; ROW()))-1&lt;E280,表2_36716262930389121314[[#This Row],[累计净值]]/MAX(INDIRECT("B21:B" &amp; ROW()))-1,E280)</f>
        <v>-2.0583190394511175E-2</v>
      </c>
      <c r="F281" s="110">
        <f>表2_36716262930389121314[[#This Row],[累计净值]]</f>
        <v>1.2230000000000001</v>
      </c>
      <c r="G281" s="20">
        <f>表2_36716262930389121314[[#This Row],[累计净值]]/$B$21-1</f>
        <v>0.1526861451460888</v>
      </c>
      <c r="H281" s="20">
        <f>表2_36716262930389121314[[#This Row],[累计净值]]/$B$51-1</f>
        <v>0.11689497716894981</v>
      </c>
    </row>
    <row r="282" spans="1:8" x14ac:dyDescent="0.2">
      <c r="A282" s="15">
        <v>44245</v>
      </c>
      <c r="B282" s="112">
        <v>1.2210000000000001</v>
      </c>
      <c r="C282" s="108">
        <f t="shared" si="82"/>
        <v>-2.0000000000000018E-3</v>
      </c>
      <c r="D282" s="109">
        <f t="shared" si="83"/>
        <v>-2.0000000000000018E-3</v>
      </c>
      <c r="E282" s="109">
        <f ca="1">IF(表2_36716262930389121314[[#This Row],[累计净值]]/MAX(INDIRECT("B21:B" &amp; ROW()))-1&lt;E281,表2_36716262930389121314[[#This Row],[累计净值]]/MAX(INDIRECT("B21:B" &amp; ROW()))-1,E281)</f>
        <v>-2.0583190394511175E-2</v>
      </c>
      <c r="F282" s="110">
        <f>表2_36716262930389121314[[#This Row],[累计净值]]</f>
        <v>1.2210000000000001</v>
      </c>
      <c r="G282" s="20">
        <f>表2_36716262930389121314[[#This Row],[累计净值]]/$B$21-1</f>
        <v>0.15080113100848269</v>
      </c>
      <c r="H282" s="20">
        <f>表2_36716262930389121314[[#This Row],[累计净值]]/$B$51-1</f>
        <v>0.11506849315068512</v>
      </c>
    </row>
    <row r="283" spans="1:8" x14ac:dyDescent="0.2">
      <c r="A283" s="15">
        <v>44246</v>
      </c>
      <c r="B283" s="112">
        <v>1.2230000000000001</v>
      </c>
      <c r="C283" s="108">
        <f t="shared" ref="C283:C288" si="84">IFERROR(B283-B282,0)</f>
        <v>2.0000000000000018E-3</v>
      </c>
      <c r="D283" s="109" t="str">
        <f t="shared" ref="D283:D288" si="85">IF(C283&lt;0,C283,"/")</f>
        <v>/</v>
      </c>
      <c r="E283" s="109">
        <f ca="1">IF(表2_36716262930389121314[[#This Row],[累计净值]]/MAX(INDIRECT("B21:B" &amp; ROW()))-1&lt;E282,表2_36716262930389121314[[#This Row],[累计净值]]/MAX(INDIRECT("B21:B" &amp; ROW()))-1,E282)</f>
        <v>-2.0583190394511175E-2</v>
      </c>
      <c r="F283" s="110">
        <f>表2_36716262930389121314[[#This Row],[累计净值]]</f>
        <v>1.2230000000000001</v>
      </c>
      <c r="G283" s="20">
        <f>表2_36716262930389121314[[#This Row],[累计净值]]/$B$21-1</f>
        <v>0.1526861451460888</v>
      </c>
      <c r="H283" s="20">
        <f>表2_36716262930389121314[[#This Row],[累计净值]]/$B$51-1</f>
        <v>0.11689497716894981</v>
      </c>
    </row>
    <row r="284" spans="1:8" x14ac:dyDescent="0.2">
      <c r="A284" s="15">
        <v>44249</v>
      </c>
      <c r="B284" s="112">
        <v>1.2130000000000001</v>
      </c>
      <c r="C284" s="108">
        <f t="shared" si="84"/>
        <v>-1.0000000000000009E-2</v>
      </c>
      <c r="D284" s="109">
        <f t="shared" si="85"/>
        <v>-1.0000000000000009E-2</v>
      </c>
      <c r="E284" s="109">
        <f ca="1">IF(表2_36716262930389121314[[#This Row],[累计净值]]/MAX(INDIRECT("B21:B" &amp; ROW()))-1&lt;E283,表2_36716262930389121314[[#This Row],[累计净值]]/MAX(INDIRECT("B21:B" &amp; ROW()))-1,E283)</f>
        <v>-2.0583190394511175E-2</v>
      </c>
      <c r="F284" s="110">
        <f>表2_36716262930389121314[[#This Row],[累计净值]]</f>
        <v>1.2130000000000001</v>
      </c>
      <c r="G284" s="20">
        <f>表2_36716262930389121314[[#This Row],[累计净值]]/$B$21-1</f>
        <v>0.14326107445805847</v>
      </c>
      <c r="H284" s="20">
        <f>表2_36716262930389121314[[#This Row],[累计净值]]/$B$51-1</f>
        <v>0.10776255707762572</v>
      </c>
    </row>
    <row r="285" spans="1:8" x14ac:dyDescent="0.2">
      <c r="A285" s="15">
        <v>44250</v>
      </c>
      <c r="B285" s="112">
        <v>1.2190000000000001</v>
      </c>
      <c r="C285" s="108">
        <f t="shared" si="84"/>
        <v>6.0000000000000053E-3</v>
      </c>
      <c r="D285" s="109" t="str">
        <f t="shared" si="85"/>
        <v>/</v>
      </c>
      <c r="E285" s="109">
        <f ca="1">IF(表2_36716262930389121314[[#This Row],[累计净值]]/MAX(INDIRECT("B21:B" &amp; ROW()))-1&lt;E284,表2_36716262930389121314[[#This Row],[累计净值]]/MAX(INDIRECT("B21:B" &amp; ROW()))-1,E284)</f>
        <v>-2.0583190394511175E-2</v>
      </c>
      <c r="F285" s="110">
        <f>表2_36716262930389121314[[#This Row],[累计净值]]</f>
        <v>1.2190000000000001</v>
      </c>
      <c r="G285" s="20">
        <f>表2_36716262930389121314[[#This Row],[累计净值]]/$B$21-1</f>
        <v>0.14891611687087658</v>
      </c>
      <c r="H285" s="20">
        <f>表2_36716262930389121314[[#This Row],[累计净值]]/$B$51-1</f>
        <v>0.11324200913242022</v>
      </c>
    </row>
    <row r="286" spans="1:8" x14ac:dyDescent="0.2">
      <c r="A286" s="15">
        <v>44251</v>
      </c>
      <c r="B286" s="112">
        <v>1.2170000000000001</v>
      </c>
      <c r="C286" s="108">
        <f t="shared" si="84"/>
        <v>-2.0000000000000018E-3</v>
      </c>
      <c r="D286" s="109">
        <f t="shared" si="85"/>
        <v>-2.0000000000000018E-3</v>
      </c>
      <c r="E286" s="109">
        <f ca="1">IF(表2_36716262930389121314[[#This Row],[累计净值]]/MAX(INDIRECT("B21:B" &amp; ROW()))-1&lt;E285,表2_36716262930389121314[[#This Row],[累计净值]]/MAX(INDIRECT("B21:B" &amp; ROW()))-1,E285)</f>
        <v>-2.0583190394511175E-2</v>
      </c>
      <c r="F286" s="110">
        <f>表2_36716262930389121314[[#This Row],[累计净值]]</f>
        <v>1.2170000000000001</v>
      </c>
      <c r="G286" s="20">
        <f>表2_36716262930389121314[[#This Row],[累计净值]]/$B$21-1</f>
        <v>0.14703110273327069</v>
      </c>
      <c r="H286" s="20">
        <f>表2_36716262930389121314[[#This Row],[累计净值]]/$B$51-1</f>
        <v>0.11141552511415531</v>
      </c>
    </row>
    <row r="287" spans="1:8" x14ac:dyDescent="0.2">
      <c r="A287" s="15">
        <v>44252</v>
      </c>
      <c r="B287" s="112">
        <v>1.2190000000000001</v>
      </c>
      <c r="C287" s="108">
        <f t="shared" si="84"/>
        <v>2.0000000000000018E-3</v>
      </c>
      <c r="D287" s="109" t="str">
        <f t="shared" si="85"/>
        <v>/</v>
      </c>
      <c r="E287" s="109">
        <f ca="1">IF(表2_36716262930389121314[[#This Row],[累计净值]]/MAX(INDIRECT("B21:B" &amp; ROW()))-1&lt;E286,表2_36716262930389121314[[#This Row],[累计净值]]/MAX(INDIRECT("B21:B" &amp; ROW()))-1,E286)</f>
        <v>-2.0583190394511175E-2</v>
      </c>
      <c r="F287" s="110">
        <f>表2_36716262930389121314[[#This Row],[累计净值]]</f>
        <v>1.2190000000000001</v>
      </c>
      <c r="G287" s="20">
        <f>表2_36716262930389121314[[#This Row],[累计净值]]/$B$21-1</f>
        <v>0.14891611687087658</v>
      </c>
      <c r="H287" s="20">
        <f>表2_36716262930389121314[[#This Row],[累计净值]]/$B$51-1</f>
        <v>0.11324200913242022</v>
      </c>
    </row>
    <row r="288" spans="1:8" x14ac:dyDescent="0.2">
      <c r="A288" s="15">
        <v>44253</v>
      </c>
      <c r="B288" s="112">
        <v>1.214</v>
      </c>
      <c r="C288" s="108">
        <f t="shared" si="84"/>
        <v>-5.0000000000001155E-3</v>
      </c>
      <c r="D288" s="109">
        <f t="shared" si="85"/>
        <v>-5.0000000000001155E-3</v>
      </c>
      <c r="E288" s="109">
        <f ca="1">IF(表2_36716262930389121314[[#This Row],[累计净值]]/MAX(INDIRECT("B21:B" &amp; ROW()))-1&lt;E287,表2_36716262930389121314[[#This Row],[累计净值]]/MAX(INDIRECT("B21:B" &amp; ROW()))-1,E287)</f>
        <v>-2.0583190394511175E-2</v>
      </c>
      <c r="F288" s="110">
        <f>表2_36716262930389121314[[#This Row],[累计净值]]</f>
        <v>1.214</v>
      </c>
      <c r="G288" s="20">
        <f>表2_36716262930389121314[[#This Row],[累计净值]]/$B$21-1</f>
        <v>0.14420358152686141</v>
      </c>
      <c r="H288" s="20">
        <f>表2_36716262930389121314[[#This Row],[累计净值]]/$B$51-1</f>
        <v>0.10867579908675795</v>
      </c>
    </row>
    <row r="289" spans="1:8" x14ac:dyDescent="0.2">
      <c r="A289" s="15">
        <v>44256</v>
      </c>
      <c r="B289" s="112">
        <v>1.222</v>
      </c>
      <c r="C289" s="108">
        <f>IFERROR(B289-B288,0)</f>
        <v>8.0000000000000071E-3</v>
      </c>
      <c r="D289" s="109" t="str">
        <f>IF(C289&lt;0,C289,"/")</f>
        <v>/</v>
      </c>
      <c r="E289" s="109">
        <f ca="1">IF(表2_36716262930389121314[[#This Row],[累计净值]]/MAX(INDIRECT("B21:B" &amp; ROW()))-1&lt;E288,表2_36716262930389121314[[#This Row],[累计净值]]/MAX(INDIRECT("B21:B" &amp; ROW()))-1,E288)</f>
        <v>-2.0583190394511175E-2</v>
      </c>
      <c r="F289" s="110">
        <f>表2_36716262930389121314[[#This Row],[累计净值]]</f>
        <v>1.222</v>
      </c>
      <c r="G289" s="20">
        <f>表2_36716262930389121314[[#This Row],[累计净值]]/$B$21-1</f>
        <v>0.15174363807728564</v>
      </c>
      <c r="H289" s="20">
        <f>表2_36716262930389121314[[#This Row],[累计净值]]/$B$51-1</f>
        <v>0.11598173515981736</v>
      </c>
    </row>
    <row r="290" spans="1:8" x14ac:dyDescent="0.2">
      <c r="A290" s="15">
        <v>44257</v>
      </c>
      <c r="B290" s="112">
        <v>1.222</v>
      </c>
      <c r="C290" s="108">
        <f t="shared" ref="C290" si="86">IFERROR(B290-B289,0)</f>
        <v>0</v>
      </c>
      <c r="D290" s="109" t="str">
        <f t="shared" ref="D290" si="87">IF(C290&lt;0,C290,"/")</f>
        <v>/</v>
      </c>
      <c r="E290" s="109">
        <f ca="1">IF(表2_36716262930389121314[[#This Row],[累计净值]]/MAX(INDIRECT("B21:B" &amp; ROW()))-1&lt;E289,表2_36716262930389121314[[#This Row],[累计净值]]/MAX(INDIRECT("B21:B" &amp; ROW()))-1,E289)</f>
        <v>-2.0583190394511175E-2</v>
      </c>
      <c r="F290" s="110">
        <f>表2_36716262930389121314[[#This Row],[累计净值]]</f>
        <v>1.222</v>
      </c>
      <c r="G290" s="20">
        <f>表2_36716262930389121314[[#This Row],[累计净值]]/$B$21-1</f>
        <v>0.15174363807728564</v>
      </c>
      <c r="H290" s="20">
        <f>表2_36716262930389121314[[#This Row],[累计净值]]/$B$51-1</f>
        <v>0.11598173515981736</v>
      </c>
    </row>
    <row r="291" spans="1:8" x14ac:dyDescent="0.2">
      <c r="A291" s="15">
        <v>44258</v>
      </c>
      <c r="B291" s="112">
        <v>1.2270000000000001</v>
      </c>
      <c r="C291" s="108">
        <f t="shared" ref="C291:C292" si="88">IFERROR(B291-B290,0)</f>
        <v>5.0000000000001155E-3</v>
      </c>
      <c r="D291" s="109" t="str">
        <f t="shared" ref="D291:D292" si="89">IF(C291&lt;0,C291,"/")</f>
        <v>/</v>
      </c>
      <c r="E291" s="109">
        <f ca="1">IF(表2_36716262930389121314[[#This Row],[累计净值]]/MAX(INDIRECT("B21:B" &amp; ROW()))-1&lt;E290,表2_36716262930389121314[[#This Row],[累计净值]]/MAX(INDIRECT("B21:B" &amp; ROW()))-1,E290)</f>
        <v>-2.0583190394511175E-2</v>
      </c>
      <c r="F291" s="110">
        <f>表2_36716262930389121314[[#This Row],[累计净值]]</f>
        <v>1.2270000000000001</v>
      </c>
      <c r="G291" s="20">
        <f>表2_36716262930389121314[[#This Row],[累计净值]]/$B$21-1</f>
        <v>0.1564561734213008</v>
      </c>
      <c r="H291" s="20">
        <f>表2_36716262930389121314[[#This Row],[累计净值]]/$B$51-1</f>
        <v>0.12054794520547962</v>
      </c>
    </row>
    <row r="292" spans="1:8" x14ac:dyDescent="0.2">
      <c r="A292" s="15">
        <v>44259</v>
      </c>
      <c r="B292" s="112">
        <v>1.224</v>
      </c>
      <c r="C292" s="108">
        <f t="shared" si="88"/>
        <v>-3.0000000000001137E-3</v>
      </c>
      <c r="D292" s="109">
        <f t="shared" si="89"/>
        <v>-3.0000000000001137E-3</v>
      </c>
      <c r="E292" s="109">
        <f ca="1">IF(表2_36716262930389121314[[#This Row],[累计净值]]/MAX(INDIRECT("B21:B" &amp; ROW()))-1&lt;E291,表2_36716262930389121314[[#This Row],[累计净值]]/MAX(INDIRECT("B21:B" &amp; ROW()))-1,E291)</f>
        <v>-2.0583190394511175E-2</v>
      </c>
      <c r="F292" s="110">
        <f>表2_36716262930389121314[[#This Row],[累计净值]]</f>
        <v>1.224</v>
      </c>
      <c r="G292" s="20">
        <f>表2_36716262930389121314[[#This Row],[累计净值]]/$B$21-1</f>
        <v>0.15362865221489175</v>
      </c>
      <c r="H292" s="20">
        <f>表2_36716262930389121314[[#This Row],[累计净值]]/$B$51-1</f>
        <v>0.11780821917808226</v>
      </c>
    </row>
    <row r="293" spans="1:8" x14ac:dyDescent="0.2">
      <c r="A293" s="15">
        <v>44260</v>
      </c>
      <c r="B293" s="112">
        <v>1.218</v>
      </c>
      <c r="C293" s="108">
        <f t="shared" ref="C293:C295" si="90">IFERROR(B293-B292,0)</f>
        <v>-6.0000000000000053E-3</v>
      </c>
      <c r="D293" s="109">
        <f t="shared" ref="D293:D295" si="91">IF(C293&lt;0,C293,"/")</f>
        <v>-6.0000000000000053E-3</v>
      </c>
      <c r="E293" s="109">
        <f ca="1">IF(表2_36716262930389121314[[#This Row],[累计净值]]/MAX(INDIRECT("B21:B" &amp; ROW()))-1&lt;E292,表2_36716262930389121314[[#This Row],[累计净值]]/MAX(INDIRECT("B21:B" &amp; ROW()))-1,E292)</f>
        <v>-2.0583190394511175E-2</v>
      </c>
      <c r="F293" s="110">
        <f>表2_36716262930389121314[[#This Row],[累计净值]]</f>
        <v>1.218</v>
      </c>
      <c r="G293" s="20">
        <f>表2_36716262930389121314[[#This Row],[累计净值]]/$B$21-1</f>
        <v>0.14797360980207364</v>
      </c>
      <c r="H293" s="20">
        <f>表2_36716262930389121314[[#This Row],[累计净值]]/$B$51-1</f>
        <v>0.11232876712328776</v>
      </c>
    </row>
    <row r="294" spans="1:8" x14ac:dyDescent="0.2">
      <c r="A294" s="15">
        <v>44263</v>
      </c>
      <c r="B294" s="112">
        <v>1.2190000000000001</v>
      </c>
      <c r="C294" s="108">
        <f t="shared" si="90"/>
        <v>1.0000000000001119E-3</v>
      </c>
      <c r="D294" s="109" t="str">
        <f t="shared" si="91"/>
        <v>/</v>
      </c>
      <c r="E294" s="109">
        <f ca="1">IF(表2_36716262930389121314[[#This Row],[累计净值]]/MAX(INDIRECT("B21:B" &amp; ROW()))-1&lt;E293,表2_36716262930389121314[[#This Row],[累计净值]]/MAX(INDIRECT("B21:B" &amp; ROW()))-1,E293)</f>
        <v>-2.0583190394511175E-2</v>
      </c>
      <c r="F294" s="110">
        <f>表2_36716262930389121314[[#This Row],[累计净值]]</f>
        <v>1.2190000000000001</v>
      </c>
      <c r="G294" s="20">
        <f>表2_36716262930389121314[[#This Row],[累计净值]]/$B$21-1</f>
        <v>0.14891611687087658</v>
      </c>
      <c r="H294" s="20">
        <f>表2_36716262930389121314[[#This Row],[累计净值]]/$B$51-1</f>
        <v>0.11324200913242022</v>
      </c>
    </row>
    <row r="295" spans="1:8" x14ac:dyDescent="0.2">
      <c r="A295" s="15">
        <v>44264</v>
      </c>
      <c r="B295" s="112">
        <v>1.2290000000000001</v>
      </c>
      <c r="C295" s="108">
        <f t="shared" si="90"/>
        <v>1.0000000000000009E-2</v>
      </c>
      <c r="D295" s="109" t="str">
        <f t="shared" si="91"/>
        <v>/</v>
      </c>
      <c r="E295" s="109">
        <f ca="1">IF(表2_36716262930389121314[[#This Row],[累计净值]]/MAX(INDIRECT("B21:B" &amp; ROW()))-1&lt;E294,表2_36716262930389121314[[#This Row],[累计净值]]/MAX(INDIRECT("B21:B" &amp; ROW()))-1,E294)</f>
        <v>-2.0583190394511175E-2</v>
      </c>
      <c r="F295" s="110">
        <f>表2_36716262930389121314[[#This Row],[累计净值]]</f>
        <v>1.2290000000000001</v>
      </c>
      <c r="G295" s="20">
        <f>表2_36716262930389121314[[#This Row],[累计净值]]/$B$21-1</f>
        <v>0.15834118755890692</v>
      </c>
      <c r="H295" s="20">
        <f>表2_36716262930389121314[[#This Row],[累计净值]]/$B$51-1</f>
        <v>0.12237442922374431</v>
      </c>
    </row>
    <row r="296" spans="1:8" x14ac:dyDescent="0.2">
      <c r="A296" s="15">
        <v>44265</v>
      </c>
      <c r="B296" s="112">
        <v>1.2310000000000001</v>
      </c>
      <c r="C296" s="108">
        <f t="shared" ref="C296:C301" si="92">IFERROR(B296-B295,0)</f>
        <v>2.0000000000000018E-3</v>
      </c>
      <c r="D296" s="109" t="str">
        <f t="shared" ref="D296:D301" si="93">IF(C296&lt;0,C296,"/")</f>
        <v>/</v>
      </c>
      <c r="E296" s="109">
        <f ca="1">IF(表2_36716262930389121314[[#This Row],[累计净值]]/MAX(INDIRECT("B21:B" &amp; ROW()))-1&lt;E295,表2_36716262930389121314[[#This Row],[累计净值]]/MAX(INDIRECT("B21:B" &amp; ROW()))-1,E295)</f>
        <v>-2.0583190394511175E-2</v>
      </c>
      <c r="F296" s="110">
        <f>表2_36716262930389121314[[#This Row],[累计净值]]</f>
        <v>1.2310000000000001</v>
      </c>
      <c r="G296" s="20">
        <f>表2_36716262930389121314[[#This Row],[累计净值]]/$B$21-1</f>
        <v>0.1602262016965128</v>
      </c>
      <c r="H296" s="20">
        <f>表2_36716262930389121314[[#This Row],[累计净值]]/$B$51-1</f>
        <v>0.12420091324200921</v>
      </c>
    </row>
    <row r="297" spans="1:8" x14ac:dyDescent="0.2">
      <c r="A297" s="15">
        <v>44266</v>
      </c>
      <c r="B297" s="112">
        <v>1.2350000000000001</v>
      </c>
      <c r="C297" s="108">
        <f t="shared" si="92"/>
        <v>4.0000000000000036E-3</v>
      </c>
      <c r="D297" s="109" t="str">
        <f t="shared" si="93"/>
        <v>/</v>
      </c>
      <c r="E297" s="109">
        <f ca="1">IF(表2_36716262930389121314[[#This Row],[累计净值]]/MAX(INDIRECT("B21:B" &amp; ROW()))-1&lt;E296,表2_36716262930389121314[[#This Row],[累计净值]]/MAX(INDIRECT("B21:B" &amp; ROW()))-1,E296)</f>
        <v>-2.0583190394511175E-2</v>
      </c>
      <c r="F297" s="110">
        <f>表2_36716262930389121314[[#This Row],[累计净值]]</f>
        <v>1.2350000000000001</v>
      </c>
      <c r="G297" s="20">
        <f>表2_36716262930389121314[[#This Row],[累计净值]]/$B$21-1</f>
        <v>0.16399622997172503</v>
      </c>
      <c r="H297" s="20">
        <f>表2_36716262930389121314[[#This Row],[累计净值]]/$B$51-1</f>
        <v>0.12785388127853903</v>
      </c>
    </row>
    <row r="298" spans="1:8" x14ac:dyDescent="0.2">
      <c r="A298" s="15">
        <v>44267</v>
      </c>
      <c r="B298" s="112">
        <v>1.2310000000000001</v>
      </c>
      <c r="C298" s="108">
        <f t="shared" si="92"/>
        <v>-4.0000000000000036E-3</v>
      </c>
      <c r="D298" s="109">
        <f t="shared" si="93"/>
        <v>-4.0000000000000036E-3</v>
      </c>
      <c r="E298" s="109">
        <f ca="1">IF(表2_36716262930389121314[[#This Row],[累计净值]]/MAX(INDIRECT("B21:B" &amp; ROW()))-1&lt;E297,表2_36716262930389121314[[#This Row],[累计净值]]/MAX(INDIRECT("B21:B" &amp; ROW()))-1,E297)</f>
        <v>-2.0583190394511175E-2</v>
      </c>
      <c r="F298" s="110">
        <f>表2_36716262930389121314[[#This Row],[累计净值]]</f>
        <v>1.2310000000000001</v>
      </c>
      <c r="G298" s="20">
        <f>表2_36716262930389121314[[#This Row],[累计净值]]/$B$21-1</f>
        <v>0.1602262016965128</v>
      </c>
      <c r="H298" s="20">
        <f>表2_36716262930389121314[[#This Row],[累计净值]]/$B$51-1</f>
        <v>0.12420091324200921</v>
      </c>
    </row>
    <row r="299" spans="1:8" x14ac:dyDescent="0.2">
      <c r="A299" s="15">
        <v>44270</v>
      </c>
      <c r="B299" s="112">
        <v>1.232</v>
      </c>
      <c r="C299" s="108">
        <f t="shared" si="92"/>
        <v>9.9999999999988987E-4</v>
      </c>
      <c r="D299" s="109" t="str">
        <f t="shared" si="93"/>
        <v>/</v>
      </c>
      <c r="E299" s="109">
        <f ca="1">IF(表2_36716262930389121314[[#This Row],[累计净值]]/MAX(INDIRECT("B21:B" &amp; ROW()))-1&lt;E298,表2_36716262930389121314[[#This Row],[累计净值]]/MAX(INDIRECT("B21:B" &amp; ROW()))-1,E298)</f>
        <v>-2.0583190394511175E-2</v>
      </c>
      <c r="F299" s="110">
        <f>表2_36716262930389121314[[#This Row],[累计净值]]</f>
        <v>1.232</v>
      </c>
      <c r="G299" s="20">
        <f>表2_36716262930389121314[[#This Row],[累计净值]]/$B$21-1</f>
        <v>0.16116870876531575</v>
      </c>
      <c r="H299" s="20">
        <f>表2_36716262930389121314[[#This Row],[累计净值]]/$B$51-1</f>
        <v>0.12511415525114167</v>
      </c>
    </row>
    <row r="300" spans="1:8" x14ac:dyDescent="0.2">
      <c r="A300" s="15">
        <v>44271</v>
      </c>
      <c r="B300" s="112">
        <v>1.234</v>
      </c>
      <c r="C300" s="108">
        <f t="shared" si="92"/>
        <v>2.0000000000000018E-3</v>
      </c>
      <c r="D300" s="109" t="str">
        <f t="shared" si="93"/>
        <v>/</v>
      </c>
      <c r="E300" s="109">
        <f ca="1">IF(表2_36716262930389121314[[#This Row],[累计净值]]/MAX(INDIRECT("B21:B" &amp; ROW()))-1&lt;E299,表2_36716262930389121314[[#This Row],[累计净值]]/MAX(INDIRECT("B21:B" &amp; ROW()))-1,E299)</f>
        <v>-2.0583190394511175E-2</v>
      </c>
      <c r="F300" s="110">
        <f>表2_36716262930389121314[[#This Row],[累计净值]]</f>
        <v>1.234</v>
      </c>
      <c r="G300" s="20">
        <f>表2_36716262930389121314[[#This Row],[累计净值]]/$B$21-1</f>
        <v>0.16305372290292186</v>
      </c>
      <c r="H300" s="20">
        <f>表2_36716262930389121314[[#This Row],[累计净值]]/$B$51-1</f>
        <v>0.12694063926940635</v>
      </c>
    </row>
    <row r="301" spans="1:8" x14ac:dyDescent="0.2">
      <c r="A301" s="15">
        <v>44272</v>
      </c>
      <c r="B301" s="112">
        <v>1.2330000000000001</v>
      </c>
      <c r="C301" s="108">
        <f t="shared" si="92"/>
        <v>-9.9999999999988987E-4</v>
      </c>
      <c r="D301" s="109">
        <f t="shared" si="93"/>
        <v>-9.9999999999988987E-4</v>
      </c>
      <c r="E301" s="109">
        <f ca="1">IF(表2_36716262930389121314[[#This Row],[累计净值]]/MAX(INDIRECT("B21:B" &amp; ROW()))-1&lt;E300,表2_36716262930389121314[[#This Row],[累计净值]]/MAX(INDIRECT("B21:B" &amp; ROW()))-1,E300)</f>
        <v>-2.0583190394511175E-2</v>
      </c>
      <c r="F301" s="110">
        <f>表2_36716262930389121314[[#This Row],[累计净值]]</f>
        <v>1.2330000000000001</v>
      </c>
      <c r="G301" s="20">
        <f>表2_36716262930389121314[[#This Row],[累计净值]]/$B$21-1</f>
        <v>0.16211121583411892</v>
      </c>
      <c r="H301" s="20">
        <f>表2_36716262930389121314[[#This Row],[累计净值]]/$B$51-1</f>
        <v>0.12602739726027412</v>
      </c>
    </row>
    <row r="302" spans="1:8" x14ac:dyDescent="0.2">
      <c r="A302" s="15">
        <v>44273</v>
      </c>
      <c r="B302" s="112">
        <v>1.2350000000000001</v>
      </c>
      <c r="C302" s="108">
        <f>IFERROR(B302-B301,0)</f>
        <v>2.0000000000000018E-3</v>
      </c>
      <c r="D302" s="109" t="str">
        <f>IF(C302&lt;0,C302,"/")</f>
        <v>/</v>
      </c>
      <c r="E302" s="109">
        <f ca="1">IF(表2_36716262930389121314[[#This Row],[累计净值]]/MAX(INDIRECT("B21:B" &amp; ROW()))-1&lt;E301,表2_36716262930389121314[[#This Row],[累计净值]]/MAX(INDIRECT("B21:B" &amp; ROW()))-1,E301)</f>
        <v>-2.0583190394511175E-2</v>
      </c>
      <c r="F302" s="110">
        <f>表2_36716262930389121314[[#This Row],[累计净值]]</f>
        <v>1.2350000000000001</v>
      </c>
      <c r="G302" s="20">
        <f>表2_36716262930389121314[[#This Row],[累计净值]]/$B$21-1</f>
        <v>0.16399622997172503</v>
      </c>
      <c r="H302" s="20">
        <f>表2_36716262930389121314[[#This Row],[累计净值]]/$B$51-1</f>
        <v>0.12785388127853903</v>
      </c>
    </row>
    <row r="303" spans="1:8" x14ac:dyDescent="0.2">
      <c r="A303" s="15">
        <v>44274</v>
      </c>
      <c r="B303" s="112">
        <v>1.236</v>
      </c>
      <c r="C303" s="108">
        <f>IFERROR(B303-B302,0)</f>
        <v>9.9999999999988987E-4</v>
      </c>
      <c r="D303" s="109" t="str">
        <f>IF(C303&lt;0,C303,"/")</f>
        <v>/</v>
      </c>
      <c r="E303" s="109">
        <f ca="1">IF(表2_36716262930389121314[[#This Row],[累计净值]]/MAX(INDIRECT("B21:B" &amp; ROW()))-1&lt;E302,表2_36716262930389121314[[#This Row],[累计净值]]/MAX(INDIRECT("B21:B" &amp; ROW()))-1,E302)</f>
        <v>-2.0583190394511175E-2</v>
      </c>
      <c r="F303" s="110">
        <f>表2_36716262930389121314[[#This Row],[累计净值]]</f>
        <v>1.236</v>
      </c>
      <c r="G303" s="20">
        <f>表2_36716262930389121314[[#This Row],[累计净值]]/$B$21-1</f>
        <v>0.16493873704052775</v>
      </c>
      <c r="H303" s="20">
        <f>表2_36716262930389121314[[#This Row],[累计净值]]/$B$51-1</f>
        <v>0.12876712328767126</v>
      </c>
    </row>
    <row r="304" spans="1:8" x14ac:dyDescent="0.2">
      <c r="A304" s="15">
        <v>44277</v>
      </c>
      <c r="B304" s="112">
        <v>1.232</v>
      </c>
      <c r="C304" s="108">
        <f>IFERROR(B304-B303,0)</f>
        <v>-4.0000000000000036E-3</v>
      </c>
      <c r="D304" s="109">
        <f>IF(C304&lt;0,C304,"/")</f>
        <v>-4.0000000000000036E-3</v>
      </c>
      <c r="E304" s="109">
        <f ca="1">IF(表2_36716262930389121314[[#This Row],[累计净值]]/MAX(INDIRECT("B21:B" &amp; ROW()))-1&lt;E303,表2_36716262930389121314[[#This Row],[累计净值]]/MAX(INDIRECT("B21:B" &amp; ROW()))-1,E303)</f>
        <v>-2.0583190394511175E-2</v>
      </c>
      <c r="F304" s="110">
        <f>表2_36716262930389121314[[#This Row],[累计净值]]</f>
        <v>1.232</v>
      </c>
      <c r="G304" s="20">
        <f>表2_36716262930389121314[[#This Row],[累计净值]]/$B$21-1</f>
        <v>0.16116870876531575</v>
      </c>
      <c r="H304" s="20">
        <f>表2_36716262930389121314[[#This Row],[累计净值]]/$B$51-1</f>
        <v>0.12511415525114167</v>
      </c>
    </row>
    <row r="305" spans="1:8" x14ac:dyDescent="0.2">
      <c r="A305" s="15">
        <v>44278</v>
      </c>
      <c r="B305" s="112">
        <v>1.2250000000000001</v>
      </c>
      <c r="C305" s="108">
        <f t="shared" ref="C305:C308" si="94">IFERROR(B305-B304,0)</f>
        <v>-6.9999999999998952E-3</v>
      </c>
      <c r="D305" s="109">
        <f t="shared" ref="D305:D308" si="95">IF(C305&lt;0,C305,"/")</f>
        <v>-6.9999999999998952E-3</v>
      </c>
      <c r="E305" s="109">
        <f ca="1">IF(表2_36716262930389121314[[#This Row],[累计净值]]/MAX(INDIRECT("B21:B" &amp; ROW()))-1&lt;E304,表2_36716262930389121314[[#This Row],[累计净值]]/MAX(INDIRECT("B21:B" &amp; ROW()))-1,E304)</f>
        <v>-2.0583190394511175E-2</v>
      </c>
      <c r="F305" s="110">
        <f>表2_36716262930389121314[[#This Row],[累计净值]]</f>
        <v>1.2250000000000001</v>
      </c>
      <c r="G305" s="20">
        <f>表2_36716262930389121314[[#This Row],[累计净值]]/$B$21-1</f>
        <v>0.15457115928369469</v>
      </c>
      <c r="H305" s="20">
        <f>表2_36716262930389121314[[#This Row],[累计净值]]/$B$51-1</f>
        <v>0.11872146118721472</v>
      </c>
    </row>
    <row r="306" spans="1:8" x14ac:dyDescent="0.2">
      <c r="A306" s="15">
        <v>44279</v>
      </c>
      <c r="B306" s="112">
        <v>1.224</v>
      </c>
      <c r="C306" s="108">
        <f t="shared" si="94"/>
        <v>-1.0000000000001119E-3</v>
      </c>
      <c r="D306" s="109">
        <f t="shared" si="95"/>
        <v>-1.0000000000001119E-3</v>
      </c>
      <c r="E306" s="109">
        <f ca="1">IF(表2_36716262930389121314[[#This Row],[累计净值]]/MAX(INDIRECT("B21:B" &amp; ROW()))-1&lt;E305,表2_36716262930389121314[[#This Row],[累计净值]]/MAX(INDIRECT("B21:B" &amp; ROW()))-1,E305)</f>
        <v>-2.0583190394511175E-2</v>
      </c>
      <c r="F306" s="110">
        <f>表2_36716262930389121314[[#This Row],[累计净值]]</f>
        <v>1.224</v>
      </c>
      <c r="G306" s="20">
        <f>表2_36716262930389121314[[#This Row],[累计净值]]/$B$21-1</f>
        <v>0.15362865221489175</v>
      </c>
      <c r="H306" s="20">
        <f>表2_36716262930389121314[[#This Row],[累计净值]]/$B$51-1</f>
        <v>0.11780821917808226</v>
      </c>
    </row>
    <row r="307" spans="1:8" x14ac:dyDescent="0.2">
      <c r="A307" s="15">
        <v>44280</v>
      </c>
      <c r="B307" s="112">
        <v>1.226</v>
      </c>
      <c r="C307" s="108">
        <f t="shared" si="94"/>
        <v>2.0000000000000018E-3</v>
      </c>
      <c r="D307" s="109" t="str">
        <f t="shared" si="95"/>
        <v>/</v>
      </c>
      <c r="E307" s="109">
        <f ca="1">IF(表2_36716262930389121314[[#This Row],[累计净值]]/MAX(INDIRECT("B21:B" &amp; ROW()))-1&lt;E306,表2_36716262930389121314[[#This Row],[累计净值]]/MAX(INDIRECT("B21:B" &amp; ROW()))-1,E306)</f>
        <v>-2.0583190394511175E-2</v>
      </c>
      <c r="F307" s="110">
        <f>表2_36716262930389121314[[#This Row],[累计净值]]</f>
        <v>1.226</v>
      </c>
      <c r="G307" s="20">
        <f>表2_36716262930389121314[[#This Row],[累计净值]]/$B$21-1</f>
        <v>0.15551366635249764</v>
      </c>
      <c r="H307" s="20">
        <f>表2_36716262930389121314[[#This Row],[累计净值]]/$B$51-1</f>
        <v>0.11963470319634695</v>
      </c>
    </row>
    <row r="308" spans="1:8" x14ac:dyDescent="0.2">
      <c r="A308" s="15">
        <v>44281</v>
      </c>
      <c r="B308" s="112">
        <v>1.2270000000000001</v>
      </c>
      <c r="C308" s="108">
        <f t="shared" si="94"/>
        <v>1.0000000000001119E-3</v>
      </c>
      <c r="D308" s="109" t="str">
        <f t="shared" si="95"/>
        <v>/</v>
      </c>
      <c r="E308" s="109">
        <f ca="1">IF(表2_36716262930389121314[[#This Row],[累计净值]]/MAX(INDIRECT("B21:B" &amp; ROW()))-1&lt;E307,表2_36716262930389121314[[#This Row],[累计净值]]/MAX(INDIRECT("B21:B" &amp; ROW()))-1,E307)</f>
        <v>-2.0583190394511175E-2</v>
      </c>
      <c r="F308" s="110">
        <f>表2_36716262930389121314[[#This Row],[累计净值]]</f>
        <v>1.2270000000000001</v>
      </c>
      <c r="G308" s="20">
        <f>表2_36716262930389121314[[#This Row],[累计净值]]/$B$21-1</f>
        <v>0.1564561734213008</v>
      </c>
      <c r="H308" s="20">
        <f>表2_36716262930389121314[[#This Row],[累计净值]]/$B$51-1</f>
        <v>0.12054794520547962</v>
      </c>
    </row>
    <row r="309" spans="1:8" x14ac:dyDescent="0.2">
      <c r="A309" s="15">
        <v>44284</v>
      </c>
      <c r="B309" s="112">
        <v>1.2270000000000001</v>
      </c>
      <c r="C309" s="108">
        <f t="shared" ref="C309:C314" si="96">IFERROR(B309-B308,0)</f>
        <v>0</v>
      </c>
      <c r="D309" s="109" t="str">
        <f t="shared" ref="D309:D314" si="97">IF(C309&lt;0,C309,"/")</f>
        <v>/</v>
      </c>
      <c r="E309" s="109">
        <f ca="1">IF(表2_36716262930389121314[[#This Row],[累计净值]]/MAX(INDIRECT("B21:B" &amp; ROW()))-1&lt;E308,表2_36716262930389121314[[#This Row],[累计净值]]/MAX(INDIRECT("B21:B" &amp; ROW()))-1,E308)</f>
        <v>-2.0583190394511175E-2</v>
      </c>
      <c r="F309" s="110">
        <f>表2_36716262930389121314[[#This Row],[累计净值]]</f>
        <v>1.2270000000000001</v>
      </c>
      <c r="G309" s="20">
        <f>表2_36716262930389121314[[#This Row],[累计净值]]/$B$21-1</f>
        <v>0.1564561734213008</v>
      </c>
      <c r="H309" s="20">
        <f>表2_36716262930389121314[[#This Row],[累计净值]]/$B$51-1</f>
        <v>0.12054794520547962</v>
      </c>
    </row>
    <row r="310" spans="1:8" x14ac:dyDescent="0.2">
      <c r="A310" s="15">
        <v>44285</v>
      </c>
      <c r="B310" s="112">
        <v>1.23</v>
      </c>
      <c r="C310" s="108">
        <f t="shared" si="96"/>
        <v>2.9999999999998916E-3</v>
      </c>
      <c r="D310" s="109" t="str">
        <f t="shared" si="97"/>
        <v>/</v>
      </c>
      <c r="E310" s="109">
        <f ca="1">IF(表2_36716262930389121314[[#This Row],[累计净值]]/MAX(INDIRECT("B21:B" &amp; ROW()))-1&lt;E309,表2_36716262930389121314[[#This Row],[累计净值]]/MAX(INDIRECT("B21:B" &amp; ROW()))-1,E309)</f>
        <v>-2.0583190394511175E-2</v>
      </c>
      <c r="F310" s="110">
        <f>表2_36716262930389121314[[#This Row],[累计净值]]</f>
        <v>1.23</v>
      </c>
      <c r="G310" s="20">
        <f>表2_36716262930389121314[[#This Row],[累计净值]]/$B$21-1</f>
        <v>0.15928369462770986</v>
      </c>
      <c r="H310" s="20">
        <f>表2_36716262930389121314[[#This Row],[累计净值]]/$B$51-1</f>
        <v>0.12328767123287676</v>
      </c>
    </row>
    <row r="311" spans="1:8" x14ac:dyDescent="0.2">
      <c r="A311" s="15">
        <v>44286</v>
      </c>
      <c r="B311" s="112">
        <v>1.23</v>
      </c>
      <c r="C311" s="108">
        <f t="shared" si="96"/>
        <v>0</v>
      </c>
      <c r="D311" s="109" t="str">
        <f t="shared" si="97"/>
        <v>/</v>
      </c>
      <c r="E311" s="109">
        <f ca="1">IF(表2_36716262930389121314[[#This Row],[累计净值]]/MAX(INDIRECT("B21:B" &amp; ROW()))-1&lt;E310,表2_36716262930389121314[[#This Row],[累计净值]]/MAX(INDIRECT("B21:B" &amp; ROW()))-1,E310)</f>
        <v>-2.0583190394511175E-2</v>
      </c>
      <c r="F311" s="110">
        <f>表2_36716262930389121314[[#This Row],[累计净值]]</f>
        <v>1.23</v>
      </c>
      <c r="G311" s="20">
        <f>表2_36716262930389121314[[#This Row],[累计净值]]/$B$21-1</f>
        <v>0.15928369462770986</v>
      </c>
      <c r="H311" s="20">
        <f>表2_36716262930389121314[[#This Row],[累计净值]]/$B$51-1</f>
        <v>0.12328767123287676</v>
      </c>
    </row>
    <row r="312" spans="1:8" x14ac:dyDescent="0.2">
      <c r="A312" s="15">
        <v>44287</v>
      </c>
      <c r="B312" s="112">
        <v>1.238</v>
      </c>
      <c r="C312" s="108">
        <f t="shared" si="96"/>
        <v>8.0000000000000071E-3</v>
      </c>
      <c r="D312" s="109" t="str">
        <f t="shared" si="97"/>
        <v>/</v>
      </c>
      <c r="E312" s="109">
        <f ca="1">IF(表2_36716262930389121314[[#This Row],[累计净值]]/MAX(INDIRECT("B21:B" &amp; ROW()))-1&lt;E311,表2_36716262930389121314[[#This Row],[累计净值]]/MAX(INDIRECT("B21:B" &amp; ROW()))-1,E311)</f>
        <v>-2.0583190394511175E-2</v>
      </c>
      <c r="F312" s="110">
        <f>表2_36716262930389121314[[#This Row],[累计净值]]</f>
        <v>1.238</v>
      </c>
      <c r="G312" s="20">
        <f>表2_36716262930389121314[[#This Row],[累计净值]]/$B$21-1</f>
        <v>0.16682375117813386</v>
      </c>
      <c r="H312" s="20">
        <f>表2_36716262930389121314[[#This Row],[累计净值]]/$B$51-1</f>
        <v>0.13059360730593617</v>
      </c>
    </row>
    <row r="313" spans="1:8" x14ac:dyDescent="0.2">
      <c r="A313" s="15">
        <v>44288</v>
      </c>
      <c r="B313" s="117">
        <v>1.242</v>
      </c>
      <c r="C313" s="108">
        <f t="shared" si="96"/>
        <v>4.0000000000000036E-3</v>
      </c>
      <c r="D313" s="109" t="str">
        <f t="shared" si="97"/>
        <v>/</v>
      </c>
      <c r="E313" s="109">
        <f ca="1">IF(表2_36716262930389121314[[#This Row],[累计净值]]/MAX(INDIRECT("B21:B" &amp; ROW()))-1&lt;E312,表2_36716262930389121314[[#This Row],[累计净值]]/MAX(INDIRECT("B21:B" &amp; ROW()))-1,E312)</f>
        <v>-2.0583190394511175E-2</v>
      </c>
      <c r="F313" s="110">
        <f>表2_36716262930389121314[[#This Row],[累计净值]]</f>
        <v>1.242</v>
      </c>
      <c r="G313" s="20">
        <f>表2_36716262930389121314[[#This Row],[累计净值]]/$B$21-1</f>
        <v>0.17059377945334586</v>
      </c>
      <c r="H313" s="20">
        <f>表2_36716262930389121314[[#This Row],[累计净值]]/$B$51-1</f>
        <v>0.13424657534246576</v>
      </c>
    </row>
    <row r="314" spans="1:8" x14ac:dyDescent="0.2">
      <c r="A314" s="15">
        <v>44292</v>
      </c>
      <c r="B314" s="112">
        <v>1.2390000000000001</v>
      </c>
      <c r="C314" s="108">
        <f t="shared" si="96"/>
        <v>-2.9999999999998916E-3</v>
      </c>
      <c r="D314" s="109">
        <f t="shared" si="97"/>
        <v>-2.9999999999998916E-3</v>
      </c>
      <c r="E314" s="109">
        <f ca="1">IF(表2_36716262930389121314[[#This Row],[累计净值]]/MAX(INDIRECT("B21:B" &amp; ROW()))-1&lt;E313,表2_36716262930389121314[[#This Row],[累计净值]]/MAX(INDIRECT("B21:B" &amp; ROW()))-1,E313)</f>
        <v>-2.0583190394511175E-2</v>
      </c>
      <c r="F314" s="110">
        <f>表2_36716262930389121314[[#This Row],[累计净值]]</f>
        <v>1.2390000000000001</v>
      </c>
      <c r="G314" s="20">
        <f>表2_36716262930389121314[[#This Row],[累计净值]]/$B$21-1</f>
        <v>0.16776625824693703</v>
      </c>
      <c r="H314" s="20">
        <f>表2_36716262930389121314[[#This Row],[累计净值]]/$B$51-1</f>
        <v>0.13150684931506862</v>
      </c>
    </row>
    <row r="315" spans="1:8" x14ac:dyDescent="0.2">
      <c r="A315" s="15">
        <v>44293</v>
      </c>
      <c r="B315" s="112">
        <v>1.232</v>
      </c>
      <c r="C315" s="108">
        <f t="shared" ref="C315:C320" si="98">IFERROR(B315-B314,0)</f>
        <v>-7.0000000000001172E-3</v>
      </c>
      <c r="D315" s="109">
        <f t="shared" ref="D315:D320" si="99">IF(C315&lt;0,C315,"/")</f>
        <v>-7.0000000000001172E-3</v>
      </c>
      <c r="E315" s="109">
        <f ca="1">IF(表2_36716262930389121314[[#This Row],[累计净值]]/MAX(INDIRECT("B21:B" &amp; ROW()))-1&lt;E314,表2_36716262930389121314[[#This Row],[累计净值]]/MAX(INDIRECT("B21:B" &amp; ROW()))-1,E314)</f>
        <v>-2.0583190394511175E-2</v>
      </c>
      <c r="F315" s="110">
        <f>表2_36716262930389121314[[#This Row],[累计净值]]</f>
        <v>1.232</v>
      </c>
      <c r="G315" s="20">
        <f>表2_36716262930389121314[[#This Row],[累计净值]]/$B$21-1</f>
        <v>0.16116870876531575</v>
      </c>
      <c r="H315" s="20">
        <f>表2_36716262930389121314[[#This Row],[累计净值]]/$B$51-1</f>
        <v>0.12511415525114167</v>
      </c>
    </row>
    <row r="316" spans="1:8" x14ac:dyDescent="0.2">
      <c r="A316" s="15">
        <v>44294</v>
      </c>
      <c r="B316" s="112">
        <v>1.2310000000000001</v>
      </c>
      <c r="C316" s="108">
        <f t="shared" si="98"/>
        <v>-9.9999999999988987E-4</v>
      </c>
      <c r="D316" s="109">
        <f t="shared" si="99"/>
        <v>-9.9999999999988987E-4</v>
      </c>
      <c r="E316" s="109">
        <f ca="1">IF(表2_36716262930389121314[[#This Row],[累计净值]]/MAX(INDIRECT("B21:B" &amp; ROW()))-1&lt;E315,表2_36716262930389121314[[#This Row],[累计净值]]/MAX(INDIRECT("B21:B" &amp; ROW()))-1,E315)</f>
        <v>-2.0583190394511175E-2</v>
      </c>
      <c r="F316" s="110">
        <f>表2_36716262930389121314[[#This Row],[累计净值]]</f>
        <v>1.2310000000000001</v>
      </c>
      <c r="G316" s="20">
        <f>表2_36716262930389121314[[#This Row],[累计净值]]/$B$21-1</f>
        <v>0.1602262016965128</v>
      </c>
      <c r="H316" s="20">
        <f>表2_36716262930389121314[[#This Row],[累计净值]]/$B$51-1</f>
        <v>0.12420091324200921</v>
      </c>
    </row>
    <row r="317" spans="1:8" x14ac:dyDescent="0.2">
      <c r="A317" s="15">
        <v>44295</v>
      </c>
      <c r="B317" s="112">
        <v>1.232</v>
      </c>
      <c r="C317" s="108">
        <f t="shared" si="98"/>
        <v>9.9999999999988987E-4</v>
      </c>
      <c r="D317" s="109" t="str">
        <f t="shared" si="99"/>
        <v>/</v>
      </c>
      <c r="E317" s="109">
        <f ca="1">IF(表2_36716262930389121314[[#This Row],[累计净值]]/MAX(INDIRECT("B21:B" &amp; ROW()))-1&lt;E316,表2_36716262930389121314[[#This Row],[累计净值]]/MAX(INDIRECT("B21:B" &amp; ROW()))-1,E316)</f>
        <v>-2.0583190394511175E-2</v>
      </c>
      <c r="F317" s="110">
        <f>表2_36716262930389121314[[#This Row],[累计净值]]</f>
        <v>1.232</v>
      </c>
      <c r="G317" s="20">
        <f>表2_36716262930389121314[[#This Row],[累计净值]]/$B$21-1</f>
        <v>0.16116870876531575</v>
      </c>
      <c r="H317" s="20">
        <f>表2_36716262930389121314[[#This Row],[累计净值]]/$B$51-1</f>
        <v>0.12511415525114167</v>
      </c>
    </row>
    <row r="318" spans="1:8" x14ac:dyDescent="0.2">
      <c r="A318" s="15">
        <v>44298</v>
      </c>
      <c r="B318" s="112">
        <v>1.234</v>
      </c>
      <c r="C318" s="108">
        <f t="shared" si="98"/>
        <v>2.0000000000000018E-3</v>
      </c>
      <c r="D318" s="109" t="str">
        <f t="shared" si="99"/>
        <v>/</v>
      </c>
      <c r="E318" s="109">
        <f ca="1">IF(表2_36716262930389121314[[#This Row],[累计净值]]/MAX(INDIRECT("B21:B" &amp; ROW()))-1&lt;E317,表2_36716262930389121314[[#This Row],[累计净值]]/MAX(INDIRECT("B21:B" &amp; ROW()))-1,E317)</f>
        <v>-2.0583190394511175E-2</v>
      </c>
      <c r="F318" s="110">
        <f>表2_36716262930389121314[[#This Row],[累计净值]]</f>
        <v>1.234</v>
      </c>
      <c r="G318" s="20">
        <f>表2_36716262930389121314[[#This Row],[累计净值]]/$B$21-1</f>
        <v>0.16305372290292186</v>
      </c>
      <c r="H318" s="20">
        <f>表2_36716262930389121314[[#This Row],[累计净值]]/$B$51-1</f>
        <v>0.12694063926940635</v>
      </c>
    </row>
    <row r="319" spans="1:8" x14ac:dyDescent="0.2">
      <c r="A319" s="15">
        <v>44299</v>
      </c>
      <c r="B319" s="112">
        <v>1.2310000000000001</v>
      </c>
      <c r="C319" s="108">
        <f t="shared" si="98"/>
        <v>-2.9999999999998916E-3</v>
      </c>
      <c r="D319" s="109">
        <f t="shared" si="99"/>
        <v>-2.9999999999998916E-3</v>
      </c>
      <c r="E319" s="109">
        <f ca="1">IF(表2_36716262930389121314[[#This Row],[累计净值]]/MAX(INDIRECT("B21:B" &amp; ROW()))-1&lt;E318,表2_36716262930389121314[[#This Row],[累计净值]]/MAX(INDIRECT("B21:B" &amp; ROW()))-1,E318)</f>
        <v>-2.0583190394511175E-2</v>
      </c>
      <c r="F319" s="110">
        <f>表2_36716262930389121314[[#This Row],[累计净值]]</f>
        <v>1.2310000000000001</v>
      </c>
      <c r="G319" s="20">
        <f>表2_36716262930389121314[[#This Row],[累计净值]]/$B$21-1</f>
        <v>0.1602262016965128</v>
      </c>
      <c r="H319" s="20">
        <f>表2_36716262930389121314[[#This Row],[累计净值]]/$B$51-1</f>
        <v>0.12420091324200921</v>
      </c>
    </row>
    <row r="320" spans="1:8" x14ac:dyDescent="0.2">
      <c r="A320" s="15">
        <v>44300</v>
      </c>
      <c r="B320" s="112">
        <v>1.2310000000000001</v>
      </c>
      <c r="C320" s="108">
        <f t="shared" si="98"/>
        <v>0</v>
      </c>
      <c r="D320" s="109" t="str">
        <f t="shared" si="99"/>
        <v>/</v>
      </c>
      <c r="E320" s="109">
        <f ca="1">IF(表2_36716262930389121314[[#This Row],[累计净值]]/MAX(INDIRECT("B21:B" &amp; ROW()))-1&lt;E319,表2_36716262930389121314[[#This Row],[累计净值]]/MAX(INDIRECT("B21:B" &amp; ROW()))-1,E319)</f>
        <v>-2.0583190394511175E-2</v>
      </c>
      <c r="F320" s="110">
        <f>表2_36716262930389121314[[#This Row],[累计净值]]</f>
        <v>1.2310000000000001</v>
      </c>
      <c r="G320" s="20">
        <f>表2_36716262930389121314[[#This Row],[累计净值]]/$B$21-1</f>
        <v>0.1602262016965128</v>
      </c>
      <c r="H320" s="20">
        <f>表2_36716262930389121314[[#This Row],[累计净值]]/$B$51-1</f>
        <v>0.12420091324200921</v>
      </c>
    </row>
    <row r="321" spans="1:8" x14ac:dyDescent="0.2">
      <c r="A321" s="15">
        <v>44301</v>
      </c>
      <c r="B321" s="112">
        <v>1.2330000000000001</v>
      </c>
      <c r="C321" s="108">
        <f t="shared" ref="C321:C326" si="100">IFERROR(B321-B320,0)</f>
        <v>2.0000000000000018E-3</v>
      </c>
      <c r="D321" s="109" t="str">
        <f t="shared" ref="D321:D326" si="101">IF(C321&lt;0,C321,"/")</f>
        <v>/</v>
      </c>
      <c r="E321" s="109">
        <f ca="1">IF(表2_36716262930389121314[[#This Row],[累计净值]]/MAX(INDIRECT("B21:B" &amp; ROW()))-1&lt;E320,表2_36716262930389121314[[#This Row],[累计净值]]/MAX(INDIRECT("B21:B" &amp; ROW()))-1,E320)</f>
        <v>-2.0583190394511175E-2</v>
      </c>
      <c r="F321" s="110">
        <f>表2_36716262930389121314[[#This Row],[累计净值]]</f>
        <v>1.2330000000000001</v>
      </c>
      <c r="G321" s="20">
        <f>表2_36716262930389121314[[#This Row],[累计净值]]/$B$21-1</f>
        <v>0.16211121583411892</v>
      </c>
      <c r="H321" s="20">
        <f>表2_36716262930389121314[[#This Row],[累计净值]]/$B$51-1</f>
        <v>0.12602739726027412</v>
      </c>
    </row>
    <row r="322" spans="1:8" x14ac:dyDescent="0.2">
      <c r="A322" s="15">
        <v>44302</v>
      </c>
      <c r="B322" s="112">
        <v>1.2350000000000001</v>
      </c>
      <c r="C322" s="108">
        <f t="shared" si="100"/>
        <v>2.0000000000000018E-3</v>
      </c>
      <c r="D322" s="109" t="str">
        <f t="shared" si="101"/>
        <v>/</v>
      </c>
      <c r="E322" s="109">
        <f ca="1">IF(表2_36716262930389121314[[#This Row],[累计净值]]/MAX(INDIRECT("B21:B" &amp; ROW()))-1&lt;E321,表2_36716262930389121314[[#This Row],[累计净值]]/MAX(INDIRECT("B21:B" &amp; ROW()))-1,E321)</f>
        <v>-2.0583190394511175E-2</v>
      </c>
      <c r="F322" s="110">
        <f>表2_36716262930389121314[[#This Row],[累计净值]]</f>
        <v>1.2350000000000001</v>
      </c>
      <c r="G322" s="20">
        <f>表2_36716262930389121314[[#This Row],[累计净值]]/$B$21-1</f>
        <v>0.16399622997172503</v>
      </c>
      <c r="H322" s="20">
        <f>表2_36716262930389121314[[#This Row],[累计净值]]/$B$51-1</f>
        <v>0.12785388127853903</v>
      </c>
    </row>
    <row r="323" spans="1:8" x14ac:dyDescent="0.2">
      <c r="A323" s="15">
        <v>44305</v>
      </c>
      <c r="B323" s="112">
        <v>1.2330000000000001</v>
      </c>
      <c r="C323" s="108">
        <f t="shared" si="100"/>
        <v>-2.0000000000000018E-3</v>
      </c>
      <c r="D323" s="109">
        <f t="shared" si="101"/>
        <v>-2.0000000000000018E-3</v>
      </c>
      <c r="E323" s="109">
        <f ca="1">IF(表2_36716262930389121314[[#This Row],[累计净值]]/MAX(INDIRECT("B21:B" &amp; ROW()))-1&lt;E322,表2_36716262930389121314[[#This Row],[累计净值]]/MAX(INDIRECT("B21:B" &amp; ROW()))-1,E322)</f>
        <v>-2.0583190394511175E-2</v>
      </c>
      <c r="F323" s="110">
        <f>表2_36716262930389121314[[#This Row],[累计净值]]</f>
        <v>1.2330000000000001</v>
      </c>
      <c r="G323" s="20">
        <f>表2_36716262930389121314[[#This Row],[累计净值]]/$B$21-1</f>
        <v>0.16211121583411892</v>
      </c>
      <c r="H323" s="20">
        <f>表2_36716262930389121314[[#This Row],[累计净值]]/$B$51-1</f>
        <v>0.12602739726027412</v>
      </c>
    </row>
    <row r="324" spans="1:8" x14ac:dyDescent="0.2">
      <c r="A324" s="15">
        <v>44306</v>
      </c>
      <c r="B324" s="112">
        <v>1.2350000000000001</v>
      </c>
      <c r="C324" s="108">
        <f t="shared" si="100"/>
        <v>2.0000000000000018E-3</v>
      </c>
      <c r="D324" s="109" t="str">
        <f t="shared" si="101"/>
        <v>/</v>
      </c>
      <c r="E324" s="109">
        <f ca="1">IF(表2_36716262930389121314[[#This Row],[累计净值]]/MAX(INDIRECT("B21:B" &amp; ROW()))-1&lt;E323,表2_36716262930389121314[[#This Row],[累计净值]]/MAX(INDIRECT("B21:B" &amp; ROW()))-1,E323)</f>
        <v>-2.0583190394511175E-2</v>
      </c>
      <c r="F324" s="110">
        <f>表2_36716262930389121314[[#This Row],[累计净值]]</f>
        <v>1.2350000000000001</v>
      </c>
      <c r="G324" s="20">
        <f>表2_36716262930389121314[[#This Row],[累计净值]]/$B$21-1</f>
        <v>0.16399622997172503</v>
      </c>
      <c r="H324" s="20">
        <f>表2_36716262930389121314[[#This Row],[累计净值]]/$B$51-1</f>
        <v>0.12785388127853903</v>
      </c>
    </row>
    <row r="325" spans="1:8" x14ac:dyDescent="0.2">
      <c r="A325" s="15">
        <v>44307</v>
      </c>
      <c r="B325" s="112">
        <v>1.232</v>
      </c>
      <c r="C325" s="108">
        <f t="shared" si="100"/>
        <v>-3.0000000000001137E-3</v>
      </c>
      <c r="D325" s="109">
        <f t="shared" si="101"/>
        <v>-3.0000000000001137E-3</v>
      </c>
      <c r="E325" s="109">
        <f ca="1">IF(表2_36716262930389121314[[#This Row],[累计净值]]/MAX(INDIRECT("B21:B" &amp; ROW()))-1&lt;E324,表2_36716262930389121314[[#This Row],[累计净值]]/MAX(INDIRECT("B21:B" &amp; ROW()))-1,E324)</f>
        <v>-2.0583190394511175E-2</v>
      </c>
      <c r="F325" s="110">
        <f>表2_36716262930389121314[[#This Row],[累计净值]]</f>
        <v>1.232</v>
      </c>
      <c r="G325" s="20">
        <f>表2_36716262930389121314[[#This Row],[累计净值]]/$B$21-1</f>
        <v>0.16116870876531575</v>
      </c>
      <c r="H325" s="20">
        <f>表2_36716262930389121314[[#This Row],[累计净值]]/$B$51-1</f>
        <v>0.12511415525114167</v>
      </c>
    </row>
    <row r="326" spans="1:8" x14ac:dyDescent="0.2">
      <c r="A326" s="15">
        <v>44308</v>
      </c>
      <c r="B326" s="112">
        <v>1.2350000000000001</v>
      </c>
      <c r="C326" s="108">
        <f t="shared" si="100"/>
        <v>3.0000000000001137E-3</v>
      </c>
      <c r="D326" s="109" t="str">
        <f t="shared" si="101"/>
        <v>/</v>
      </c>
      <c r="E326" s="109">
        <f ca="1">IF(表2_36716262930389121314[[#This Row],[累计净值]]/MAX(INDIRECT("B21:B" &amp; ROW()))-1&lt;E325,表2_36716262930389121314[[#This Row],[累计净值]]/MAX(INDIRECT("B21:B" &amp; ROW()))-1,E325)</f>
        <v>-2.0583190394511175E-2</v>
      </c>
      <c r="F326" s="110">
        <f>表2_36716262930389121314[[#This Row],[累计净值]]</f>
        <v>1.2350000000000001</v>
      </c>
      <c r="G326" s="20">
        <f>表2_36716262930389121314[[#This Row],[累计净值]]/$B$21-1</f>
        <v>0.16399622997172503</v>
      </c>
      <c r="H326" s="20">
        <f>表2_36716262930389121314[[#This Row],[累计净值]]/$B$51-1</f>
        <v>0.12785388127853903</v>
      </c>
    </row>
    <row r="327" spans="1:8" x14ac:dyDescent="0.2">
      <c r="A327" s="15">
        <v>44309</v>
      </c>
      <c r="B327" s="112">
        <v>1.236</v>
      </c>
      <c r="C327" s="108">
        <f>IFERROR(B327-B326,0)</f>
        <v>9.9999999999988987E-4</v>
      </c>
      <c r="D327" s="109" t="str">
        <f>IF(C327&lt;0,C327,"/")</f>
        <v>/</v>
      </c>
      <c r="E327" s="109">
        <f ca="1">IF(表2_36716262930389121314[[#This Row],[累计净值]]/MAX(INDIRECT("B21:B" &amp; ROW()))-1&lt;E326,表2_36716262930389121314[[#This Row],[累计净值]]/MAX(INDIRECT("B21:B" &amp; ROW()))-1,E326)</f>
        <v>-2.0583190394511175E-2</v>
      </c>
      <c r="F327" s="110">
        <f>表2_36716262930389121314[[#This Row],[累计净值]]</f>
        <v>1.236</v>
      </c>
      <c r="G327" s="20">
        <f>表2_36716262930389121314[[#This Row],[累计净值]]/$B$21-1</f>
        <v>0.16493873704052775</v>
      </c>
      <c r="H327" s="20">
        <f>表2_36716262930389121314[[#This Row],[累计净值]]/$B$51-1</f>
        <v>0.12876712328767126</v>
      </c>
    </row>
    <row r="328" spans="1:8" x14ac:dyDescent="0.2">
      <c r="A328" s="15">
        <v>44312</v>
      </c>
      <c r="B328" s="112">
        <v>1.236</v>
      </c>
      <c r="C328" s="108">
        <f>IFERROR(B328-B327,0)</f>
        <v>0</v>
      </c>
      <c r="D328" s="109" t="str">
        <f>IF(C328&lt;0,C328,"/")</f>
        <v>/</v>
      </c>
      <c r="E328" s="109">
        <f ca="1">IF(表2_36716262930389121314[[#This Row],[累计净值]]/MAX(INDIRECT("B21:B" &amp; ROW()))-1&lt;E327,表2_36716262930389121314[[#This Row],[累计净值]]/MAX(INDIRECT("B21:B" &amp; ROW()))-1,E327)</f>
        <v>-2.0583190394511175E-2</v>
      </c>
      <c r="F328" s="110">
        <f>表2_36716262930389121314[[#This Row],[累计净值]]</f>
        <v>1.236</v>
      </c>
      <c r="G328" s="20">
        <f>表2_36716262930389121314[[#This Row],[累计净值]]/$B$21-1</f>
        <v>0.16493873704052775</v>
      </c>
      <c r="H328" s="20">
        <f>表2_36716262930389121314[[#This Row],[累计净值]]/$B$51-1</f>
        <v>0.12876712328767126</v>
      </c>
    </row>
    <row r="329" spans="1:8" x14ac:dyDescent="0.2">
      <c r="A329" s="15">
        <v>44313</v>
      </c>
      <c r="B329" s="112">
        <v>1.232</v>
      </c>
      <c r="C329" s="108">
        <f t="shared" ref="C329:C330" si="102">IFERROR(B329-B328,0)</f>
        <v>-4.0000000000000036E-3</v>
      </c>
      <c r="D329" s="109">
        <f t="shared" ref="D329:D330" si="103">IF(C329&lt;0,C329,"/")</f>
        <v>-4.0000000000000036E-3</v>
      </c>
      <c r="E329" s="109">
        <f ca="1">IF(表2_36716262930389121314[[#This Row],[累计净值]]/MAX(INDIRECT("B21:B" &amp; ROW()))-1&lt;E328,表2_36716262930389121314[[#This Row],[累计净值]]/MAX(INDIRECT("B21:B" &amp; ROW()))-1,E328)</f>
        <v>-2.0583190394511175E-2</v>
      </c>
      <c r="F329" s="110">
        <f>表2_36716262930389121314[[#This Row],[累计净值]]</f>
        <v>1.232</v>
      </c>
      <c r="G329" s="20">
        <f>表2_36716262930389121314[[#This Row],[累计净值]]/$B$21-1</f>
        <v>0.16116870876531575</v>
      </c>
      <c r="H329" s="20">
        <f>表2_36716262930389121314[[#This Row],[累计净值]]/$B$51-1</f>
        <v>0.12511415525114167</v>
      </c>
    </row>
    <row r="330" spans="1:8" x14ac:dyDescent="0.2">
      <c r="A330" s="15">
        <v>44314</v>
      </c>
      <c r="B330" s="112">
        <v>1.2350000000000001</v>
      </c>
      <c r="C330" s="108">
        <f t="shared" si="102"/>
        <v>3.0000000000001137E-3</v>
      </c>
      <c r="D330" s="109" t="str">
        <f t="shared" si="103"/>
        <v>/</v>
      </c>
      <c r="E330" s="109">
        <f ca="1">IF(表2_36716262930389121314[[#This Row],[累计净值]]/MAX(INDIRECT("B21:B" &amp; ROW()))-1&lt;E329,表2_36716262930389121314[[#This Row],[累计净值]]/MAX(INDIRECT("B21:B" &amp; ROW()))-1,E329)</f>
        <v>-2.0583190394511175E-2</v>
      </c>
      <c r="F330" s="110">
        <f>表2_36716262930389121314[[#This Row],[累计净值]]</f>
        <v>1.2350000000000001</v>
      </c>
      <c r="G330" s="20">
        <f>表2_36716262930389121314[[#This Row],[累计净值]]/$B$21-1</f>
        <v>0.16399622997172503</v>
      </c>
      <c r="H330" s="20">
        <f>表2_36716262930389121314[[#This Row],[累计净值]]/$B$51-1</f>
        <v>0.12785388127853903</v>
      </c>
    </row>
    <row r="331" spans="1:8" x14ac:dyDescent="0.2">
      <c r="A331" s="15">
        <v>44315</v>
      </c>
      <c r="B331" s="112">
        <v>1.234</v>
      </c>
      <c r="C331" s="108">
        <f>IFERROR(B331-B330,0)</f>
        <v>-1.0000000000001119E-3</v>
      </c>
      <c r="D331" s="109">
        <f>IF(C331&lt;0,C331,"/")</f>
        <v>-1.0000000000001119E-3</v>
      </c>
      <c r="E331" s="109">
        <f ca="1">IF(表2_36716262930389121314[[#This Row],[累计净值]]/MAX(INDIRECT("B21:B" &amp; ROW()))-1&lt;E330,表2_36716262930389121314[[#This Row],[累计净值]]/MAX(INDIRECT("B21:B" &amp; ROW()))-1,E330)</f>
        <v>-2.0583190394511175E-2</v>
      </c>
      <c r="F331" s="110">
        <f>表2_36716262930389121314[[#This Row],[累计净值]]</f>
        <v>1.234</v>
      </c>
      <c r="G331" s="20">
        <f>表2_36716262930389121314[[#This Row],[累计净值]]/$B$21-1</f>
        <v>0.16305372290292186</v>
      </c>
      <c r="H331" s="20">
        <f>表2_36716262930389121314[[#This Row],[累计净值]]/$B$51-1</f>
        <v>0.12694063926940635</v>
      </c>
    </row>
    <row r="332" spans="1:8" x14ac:dyDescent="0.2">
      <c r="A332" s="15">
        <v>44316</v>
      </c>
      <c r="B332" s="112">
        <v>1.2290000000000001</v>
      </c>
      <c r="C332" s="108">
        <f t="shared" ref="C332:C333" si="104">IFERROR(B332-B331,0)</f>
        <v>-4.9999999999998934E-3</v>
      </c>
      <c r="D332" s="109">
        <f t="shared" ref="D332:D333" si="105">IF(C332&lt;0,C332,"/")</f>
        <v>-4.9999999999998934E-3</v>
      </c>
      <c r="E332" s="109">
        <f ca="1">IF(表2_36716262930389121314[[#This Row],[累计净值]]/MAX(INDIRECT("B21:B" &amp; ROW()))-1&lt;E331,表2_36716262930389121314[[#This Row],[累计净值]]/MAX(INDIRECT("B21:B" &amp; ROW()))-1,E331)</f>
        <v>-2.0583190394511175E-2</v>
      </c>
      <c r="F332" s="110">
        <f>表2_36716262930389121314[[#This Row],[累计净值]]</f>
        <v>1.2290000000000001</v>
      </c>
      <c r="G332" s="20">
        <f>表2_36716262930389121314[[#This Row],[累计净值]]/$B$21-1</f>
        <v>0.15834118755890692</v>
      </c>
      <c r="H332" s="20">
        <f>表2_36716262930389121314[[#This Row],[累计净值]]/$B$51-1</f>
        <v>0.12237442922374431</v>
      </c>
    </row>
    <row r="333" spans="1:8" x14ac:dyDescent="0.2">
      <c r="A333" s="15">
        <v>44322</v>
      </c>
      <c r="B333" s="112">
        <v>1.2270000000000001</v>
      </c>
      <c r="C333" s="108">
        <f t="shared" si="104"/>
        <v>-2.0000000000000018E-3</v>
      </c>
      <c r="D333" s="109">
        <f t="shared" si="105"/>
        <v>-2.0000000000000018E-3</v>
      </c>
      <c r="E333" s="109">
        <f ca="1">IF(表2_36716262930389121314[[#This Row],[累计净值]]/MAX(INDIRECT("B21:B" &amp; ROW()))-1&lt;E332,表2_36716262930389121314[[#This Row],[累计净值]]/MAX(INDIRECT("B21:B" &amp; ROW()))-1,E332)</f>
        <v>-2.0583190394511175E-2</v>
      </c>
      <c r="F333" s="110">
        <f>表2_36716262930389121314[[#This Row],[累计净值]]</f>
        <v>1.2270000000000001</v>
      </c>
      <c r="G333" s="20">
        <f>表2_36716262930389121314[[#This Row],[累计净值]]/$B$21-1</f>
        <v>0.1564561734213008</v>
      </c>
      <c r="H333" s="20">
        <f>表2_36716262930389121314[[#This Row],[累计净值]]/$B$51-1</f>
        <v>0.12054794520547962</v>
      </c>
    </row>
    <row r="334" spans="1:8" x14ac:dyDescent="0.2">
      <c r="A334" s="15">
        <v>44323</v>
      </c>
      <c r="B334" s="112">
        <v>1.226</v>
      </c>
      <c r="C334" s="108">
        <f t="shared" ref="C334:C339" si="106">IFERROR(B334-B333,0)</f>
        <v>-1.0000000000001119E-3</v>
      </c>
      <c r="D334" s="109">
        <f t="shared" ref="D334:D339" si="107">IF(C334&lt;0,C334,"/")</f>
        <v>-1.0000000000001119E-3</v>
      </c>
      <c r="E334" s="109">
        <f ca="1">IF(表2_36716262930389121314[[#This Row],[累计净值]]/MAX(INDIRECT("B21:B" &amp; ROW()))-1&lt;E333,表2_36716262930389121314[[#This Row],[累计净值]]/MAX(INDIRECT("B21:B" &amp; ROW()))-1,E333)</f>
        <v>-2.0583190394511175E-2</v>
      </c>
      <c r="F334" s="110">
        <f>表2_36716262930389121314[[#This Row],[累计净值]]</f>
        <v>1.226</v>
      </c>
      <c r="G334" s="20">
        <f>表2_36716262930389121314[[#This Row],[累计净值]]/$B$21-1</f>
        <v>0.15551366635249764</v>
      </c>
      <c r="H334" s="20">
        <f>表2_36716262930389121314[[#This Row],[累计净值]]/$B$51-1</f>
        <v>0.11963470319634695</v>
      </c>
    </row>
    <row r="335" spans="1:8" x14ac:dyDescent="0.2">
      <c r="A335" s="15">
        <v>44326</v>
      </c>
      <c r="B335" s="112">
        <v>1.222</v>
      </c>
      <c r="C335" s="108">
        <f t="shared" si="106"/>
        <v>-4.0000000000000036E-3</v>
      </c>
      <c r="D335" s="109">
        <f t="shared" si="107"/>
        <v>-4.0000000000000036E-3</v>
      </c>
      <c r="E335" s="109">
        <f ca="1">IF(表2_36716262930389121314[[#This Row],[累计净值]]/MAX(INDIRECT("B21:B" &amp; ROW()))-1&lt;E334,表2_36716262930389121314[[#This Row],[累计净值]]/MAX(INDIRECT("B21:B" &amp; ROW()))-1,E334)</f>
        <v>-2.0583190394511175E-2</v>
      </c>
      <c r="F335" s="110">
        <f>表2_36716262930389121314[[#This Row],[累计净值]]</f>
        <v>1.222</v>
      </c>
      <c r="G335" s="20">
        <f>表2_36716262930389121314[[#This Row],[累计净值]]/$B$21-1</f>
        <v>0.15174363807728564</v>
      </c>
      <c r="H335" s="20">
        <f>表2_36716262930389121314[[#This Row],[累计净值]]/$B$51-1</f>
        <v>0.11598173515981736</v>
      </c>
    </row>
    <row r="336" spans="1:8" x14ac:dyDescent="0.2">
      <c r="A336" s="15">
        <v>44327</v>
      </c>
      <c r="B336" s="112">
        <v>1.2190000000000001</v>
      </c>
      <c r="C336" s="108">
        <f t="shared" si="106"/>
        <v>-2.9999999999998916E-3</v>
      </c>
      <c r="D336" s="109">
        <f t="shared" si="107"/>
        <v>-2.9999999999998916E-3</v>
      </c>
      <c r="E336" s="109">
        <f ca="1">IF(表2_36716262930389121314[[#This Row],[累计净值]]/MAX(INDIRECT("B21:B" &amp; ROW()))-1&lt;E335,表2_36716262930389121314[[#This Row],[累计净值]]/MAX(INDIRECT("B21:B" &amp; ROW()))-1,E335)</f>
        <v>-2.0583190394511175E-2</v>
      </c>
      <c r="F336" s="110">
        <f>表2_36716262930389121314[[#This Row],[累计净值]]</f>
        <v>1.2190000000000001</v>
      </c>
      <c r="G336" s="20">
        <f>表2_36716262930389121314[[#This Row],[累计净值]]/$B$21-1</f>
        <v>0.14891611687087658</v>
      </c>
      <c r="H336" s="20">
        <f>表2_36716262930389121314[[#This Row],[累计净值]]/$B$51-1</f>
        <v>0.11324200913242022</v>
      </c>
    </row>
    <row r="337" spans="1:8" x14ac:dyDescent="0.2">
      <c r="A337" s="15">
        <v>44328</v>
      </c>
      <c r="B337" s="112">
        <v>1.222</v>
      </c>
      <c r="C337" s="108">
        <f t="shared" si="106"/>
        <v>2.9999999999998916E-3</v>
      </c>
      <c r="D337" s="109" t="str">
        <f t="shared" si="107"/>
        <v>/</v>
      </c>
      <c r="E337" s="109">
        <f ca="1">IF(表2_36716262930389121314[[#This Row],[累计净值]]/MAX(INDIRECT("B21:B" &amp; ROW()))-1&lt;E336,表2_36716262930389121314[[#This Row],[累计净值]]/MAX(INDIRECT("B21:B" &amp; ROW()))-1,E336)</f>
        <v>-2.0583190394511175E-2</v>
      </c>
      <c r="F337" s="110">
        <f>表2_36716262930389121314[[#This Row],[累计净值]]</f>
        <v>1.222</v>
      </c>
      <c r="G337" s="20">
        <f>表2_36716262930389121314[[#This Row],[累计净值]]/$B$21-1</f>
        <v>0.15174363807728564</v>
      </c>
      <c r="H337" s="20">
        <f>表2_36716262930389121314[[#This Row],[累计净值]]/$B$51-1</f>
        <v>0.11598173515981736</v>
      </c>
    </row>
    <row r="338" spans="1:8" x14ac:dyDescent="0.2">
      <c r="A338" s="15">
        <v>44329</v>
      </c>
      <c r="B338" s="112">
        <v>1.22</v>
      </c>
      <c r="C338" s="108">
        <f t="shared" si="106"/>
        <v>-2.0000000000000018E-3</v>
      </c>
      <c r="D338" s="109">
        <f t="shared" si="107"/>
        <v>-2.0000000000000018E-3</v>
      </c>
      <c r="E338" s="109">
        <f ca="1">IF(表2_36716262930389121314[[#This Row],[累计净值]]/MAX(INDIRECT("B21:B" &amp; ROW()))-1&lt;E337,表2_36716262930389121314[[#This Row],[累计净值]]/MAX(INDIRECT("B21:B" &amp; ROW()))-1,E337)</f>
        <v>-2.0583190394511175E-2</v>
      </c>
      <c r="F338" s="110">
        <f>表2_36716262930389121314[[#This Row],[累计净值]]</f>
        <v>1.22</v>
      </c>
      <c r="G338" s="20">
        <f>表2_36716262930389121314[[#This Row],[累计净值]]/$B$21-1</f>
        <v>0.14985862393967952</v>
      </c>
      <c r="H338" s="20">
        <f>表2_36716262930389121314[[#This Row],[累计净值]]/$B$51-1</f>
        <v>0.11415525114155245</v>
      </c>
    </row>
    <row r="339" spans="1:8" x14ac:dyDescent="0.2">
      <c r="A339" s="15">
        <v>44330</v>
      </c>
      <c r="B339" s="112">
        <v>1.2190000000000001</v>
      </c>
      <c r="C339" s="108">
        <f t="shared" si="106"/>
        <v>-9.9999999999988987E-4</v>
      </c>
      <c r="D339" s="109">
        <f t="shared" si="107"/>
        <v>-9.9999999999988987E-4</v>
      </c>
      <c r="E339" s="109">
        <f ca="1">IF(表2_36716262930389121314[[#This Row],[累计净值]]/MAX(INDIRECT("B21:B" &amp; ROW()))-1&lt;E338,表2_36716262930389121314[[#This Row],[累计净值]]/MAX(INDIRECT("B21:B" &amp; ROW()))-1,E338)</f>
        <v>-2.0583190394511175E-2</v>
      </c>
      <c r="F339" s="110">
        <f>表2_36716262930389121314[[#This Row],[累计净值]]</f>
        <v>1.2190000000000001</v>
      </c>
      <c r="G339" s="20">
        <f>表2_36716262930389121314[[#This Row],[累计净值]]/$B$21-1</f>
        <v>0.14891611687087658</v>
      </c>
      <c r="H339" s="20">
        <f>表2_36716262930389121314[[#This Row],[累计净值]]/$B$51-1</f>
        <v>0.11324200913242022</v>
      </c>
    </row>
    <row r="340" spans="1:8" x14ac:dyDescent="0.2">
      <c r="A340" s="15">
        <v>44333</v>
      </c>
      <c r="B340" s="112">
        <v>1.2210000000000001</v>
      </c>
      <c r="C340" s="108">
        <f>IFERROR(B340-B339,0)</f>
        <v>2.0000000000000018E-3</v>
      </c>
      <c r="D340" s="109" t="str">
        <f>IF(C340&lt;0,C340,"/")</f>
        <v>/</v>
      </c>
      <c r="E340" s="109">
        <f ca="1">IF(表2_36716262930389121314[[#This Row],[累计净值]]/MAX(INDIRECT("B21:B" &amp; ROW()))-1&lt;E339,表2_36716262930389121314[[#This Row],[累计净值]]/MAX(INDIRECT("B21:B" &amp; ROW()))-1,E339)</f>
        <v>-2.0583190394511175E-2</v>
      </c>
      <c r="F340" s="110">
        <f>表2_36716262930389121314[[#This Row],[累计净值]]</f>
        <v>1.2210000000000001</v>
      </c>
      <c r="G340" s="20">
        <f>表2_36716262930389121314[[#This Row],[累计净值]]/$B$21-1</f>
        <v>0.15080113100848269</v>
      </c>
      <c r="H340" s="20">
        <f>表2_36716262930389121314[[#This Row],[累计净值]]/$B$51-1</f>
        <v>0.11506849315068512</v>
      </c>
    </row>
  </sheetData>
  <mergeCells count="1">
    <mergeCell ref="G2:G3"/>
  </mergeCells>
  <phoneticPr fontId="24" type="noConversion"/>
  <pageMargins left="0.7" right="0.7" top="0.75" bottom="0.75" header="0.3" footer="0.3"/>
  <pageSetup paperSize="9" orientation="portrait" horizontalDpi="200" verticalDpi="200" r:id="rId1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J224"/>
  <sheetViews>
    <sheetView workbookViewId="0">
      <pane xSplit="1" ySplit="20" topLeftCell="B207" activePane="bottomRight" state="frozen"/>
      <selection pane="topRight" activeCell="B1" sqref="B1"/>
      <selection pane="bottomLeft" activeCell="A21" sqref="A21"/>
      <selection pane="bottomRight" activeCell="L219" sqref="L219"/>
    </sheetView>
  </sheetViews>
  <sheetFormatPr defaultColWidth="9" defaultRowHeight="14.25" x14ac:dyDescent="0.2"/>
  <cols>
    <col min="1" max="1" width="11.625" style="1" bestFit="1" customWidth="1"/>
    <col min="2" max="2" width="13" style="1" customWidth="1"/>
    <col min="3" max="4" width="13.5" style="1" bestFit="1" customWidth="1"/>
    <col min="5" max="5" width="10.75" style="1" customWidth="1"/>
    <col min="6" max="6" width="11.125" style="1" customWidth="1"/>
    <col min="7" max="7" width="18.875" style="2" customWidth="1"/>
    <col min="8" max="8" width="14.25" style="1" customWidth="1"/>
    <col min="9" max="9" width="12" style="1" bestFit="1" customWidth="1"/>
    <col min="10" max="16384" width="9" style="1"/>
  </cols>
  <sheetData>
    <row r="1" spans="1:7" ht="15" thickBot="1" x14ac:dyDescent="0.25"/>
    <row r="2" spans="1:7" ht="15" thickBot="1" x14ac:dyDescent="0.25">
      <c r="A2" s="23" t="s">
        <v>0</v>
      </c>
      <c r="B2" s="24">
        <f>COUNT(表2_367162629303891213141523[每日盈亏])</f>
        <v>204</v>
      </c>
      <c r="C2" s="27"/>
      <c r="D2" s="3" t="s">
        <v>1</v>
      </c>
      <c r="E2" s="28"/>
      <c r="F2" s="1" t="s">
        <v>2</v>
      </c>
      <c r="G2" s="394" t="s">
        <v>3</v>
      </c>
    </row>
    <row r="3" spans="1:7" x14ac:dyDescent="0.2">
      <c r="A3" s="25" t="s">
        <v>4</v>
      </c>
      <c r="B3" s="26">
        <f>COUNTIF(表2_367162629303891213141523[每日盈亏],"&gt;0")</f>
        <v>97</v>
      </c>
      <c r="C3" s="29"/>
      <c r="D3" s="30" t="s">
        <v>5</v>
      </c>
      <c r="E3" s="31">
        <f>245^0.5*(B10-0.025/365)/E10</f>
        <v>-0.5420283268439906</v>
      </c>
      <c r="G3" s="394"/>
    </row>
    <row r="4" spans="1:7" x14ac:dyDescent="0.2">
      <c r="A4" s="25" t="s">
        <v>6</v>
      </c>
      <c r="B4" s="26">
        <f>COUNTIF(表2_367162629303891213141523[每日盈亏],"&lt;0")</f>
        <v>100</v>
      </c>
      <c r="C4" s="29"/>
      <c r="D4" s="32" t="s">
        <v>7</v>
      </c>
      <c r="E4" s="31">
        <f ca="1">-B9/E8</f>
        <v>-7.1586375579301448E-2</v>
      </c>
      <c r="G4" s="2">
        <f>LOOKUP(999^10,表2_367162629303891213141523[累计净值])</f>
        <v>1.0199</v>
      </c>
    </row>
    <row r="5" spans="1:7" x14ac:dyDescent="0.2">
      <c r="A5" s="25" t="s">
        <v>8</v>
      </c>
      <c r="B5" s="26">
        <f>B2-B3-B4</f>
        <v>7</v>
      </c>
      <c r="C5" s="29"/>
      <c r="D5" s="33" t="s">
        <v>9</v>
      </c>
      <c r="E5" s="4">
        <f>245^0.5*(B10-0.025/365)/E9</f>
        <v>-0.87019795132845901</v>
      </c>
    </row>
    <row r="6" spans="1:7" ht="15" thickBot="1" x14ac:dyDescent="0.25">
      <c r="A6" s="34"/>
      <c r="B6" s="35"/>
      <c r="C6" s="35"/>
      <c r="D6" s="35"/>
      <c r="E6" s="36"/>
    </row>
    <row r="7" spans="1:7" ht="15" thickBot="1" x14ac:dyDescent="0.25">
      <c r="A7" s="5" t="s">
        <v>10</v>
      </c>
      <c r="B7" s="35"/>
      <c r="C7" s="35"/>
      <c r="D7" s="3" t="s">
        <v>11</v>
      </c>
      <c r="E7" s="37"/>
    </row>
    <row r="8" spans="1:7" x14ac:dyDescent="0.2">
      <c r="A8" s="38" t="s">
        <v>12</v>
      </c>
      <c r="B8" s="39">
        <f>LOOKUP(999^10,表2_367162629303891213141523[累计净值])/$B$21-1</f>
        <v>-1.6640563821457288E-3</v>
      </c>
      <c r="C8" s="40"/>
      <c r="D8" s="30" t="s">
        <v>13</v>
      </c>
      <c r="E8" s="41">
        <f ca="1">MIN(表2_367162629303891213141523[最大回撤])</f>
        <v>-2.7917310664605788E-2</v>
      </c>
    </row>
    <row r="9" spans="1:7" x14ac:dyDescent="0.2">
      <c r="A9" s="25" t="s">
        <v>14</v>
      </c>
      <c r="B9" s="32">
        <f>B8*245/B2</f>
        <v>-1.9984990864005078E-3</v>
      </c>
      <c r="C9" s="40"/>
      <c r="D9" s="33" t="s">
        <v>15</v>
      </c>
      <c r="E9" s="6">
        <f>STDEV(表2_367162629303891213141523[下跌幅度])</f>
        <v>1.4524361283962581E-3</v>
      </c>
    </row>
    <row r="10" spans="1:7" x14ac:dyDescent="0.2">
      <c r="A10" s="42" t="s">
        <v>16</v>
      </c>
      <c r="B10" s="43">
        <f>AVERAGE(表2_367162629303891213141523[每日盈亏])</f>
        <v>-1.2254901960784052E-5</v>
      </c>
      <c r="C10" s="44"/>
      <c r="D10" s="33" t="s">
        <v>17</v>
      </c>
      <c r="E10" s="6">
        <f>STDEV(表2_367162629303891213141523[每日盈亏])</f>
        <v>2.3318097611707417E-3</v>
      </c>
    </row>
    <row r="11" spans="1:7" x14ac:dyDescent="0.2">
      <c r="A11" s="7" t="s">
        <v>18</v>
      </c>
      <c r="B11" s="32">
        <f>B3/B2</f>
        <v>0.47549019607843135</v>
      </c>
      <c r="C11" s="40"/>
      <c r="D11" s="32" t="s">
        <v>19</v>
      </c>
      <c r="E11" s="41">
        <f>245^0.5*E10</f>
        <v>3.6498595956027301E-2</v>
      </c>
    </row>
    <row r="12" spans="1:7" ht="15" thickBot="1" x14ac:dyDescent="0.25">
      <c r="A12" s="45" t="s">
        <v>20</v>
      </c>
      <c r="B12" s="46">
        <f>-(SUMIF(表2_367162629303891213141523[每日盈亏],"&gt;=0")/B3)/(SUMIF(表2_367162629303891213141523[每日盈亏],"&lt;0")/B4)</f>
        <v>1.0170339289187766</v>
      </c>
      <c r="C12" s="47"/>
      <c r="D12" s="48"/>
      <c r="E12" s="49"/>
    </row>
    <row r="14" spans="1:7" ht="28.5" x14ac:dyDescent="0.2">
      <c r="A14" s="50" t="s">
        <v>21</v>
      </c>
      <c r="B14" s="50" t="s">
        <v>14</v>
      </c>
      <c r="C14" s="51" t="s">
        <v>19</v>
      </c>
      <c r="D14" s="51" t="s">
        <v>13</v>
      </c>
      <c r="E14" s="51" t="s">
        <v>5</v>
      </c>
      <c r="F14" s="51" t="s">
        <v>7</v>
      </c>
    </row>
    <row r="15" spans="1:7" x14ac:dyDescent="0.2">
      <c r="A15" s="78">
        <f>B2</f>
        <v>204</v>
      </c>
      <c r="B15" s="53">
        <f>B9</f>
        <v>-1.9984990864005078E-3</v>
      </c>
      <c r="C15" s="53">
        <f>E11</f>
        <v>3.6498595956027301E-2</v>
      </c>
      <c r="D15" s="53">
        <f ca="1">E8</f>
        <v>-2.7917310664605788E-2</v>
      </c>
      <c r="E15" s="54">
        <f>E3</f>
        <v>-0.5420283268439906</v>
      </c>
      <c r="F15" s="54">
        <f ca="1">E4</f>
        <v>-7.1586375579301448E-2</v>
      </c>
    </row>
    <row r="19" spans="1:7" x14ac:dyDescent="0.2">
      <c r="A19" s="8"/>
      <c r="B19" s="1" t="s">
        <v>22</v>
      </c>
    </row>
    <row r="20" spans="1:7" ht="15.75" x14ac:dyDescent="0.2">
      <c r="A20" s="22" t="s">
        <v>23</v>
      </c>
      <c r="B20" s="22" t="s">
        <v>24</v>
      </c>
      <c r="C20" s="22" t="s">
        <v>25</v>
      </c>
      <c r="D20" s="22" t="s">
        <v>26</v>
      </c>
      <c r="E20" s="22" t="s">
        <v>27</v>
      </c>
      <c r="F20" s="22" t="s">
        <v>28</v>
      </c>
      <c r="G20" s="22" t="s">
        <v>29</v>
      </c>
    </row>
    <row r="21" spans="1:7" x14ac:dyDescent="0.2">
      <c r="A21" s="15">
        <v>44026</v>
      </c>
      <c r="B21" s="16">
        <v>1.0216000000000001</v>
      </c>
      <c r="C21" s="11">
        <f t="shared" ref="C21:C29" si="0">IFERROR(B21-B20,0)</f>
        <v>0</v>
      </c>
      <c r="D21" s="12" t="str">
        <f t="shared" ref="D21:D29" si="1">IF(C21&lt;0,C21,"/")</f>
        <v>/</v>
      </c>
      <c r="E21" s="12">
        <f ca="1">IF(表2_367162629303891213141523[[#This Row],[累计净值]]/MAX(INDIRECT("B21:B" &amp; ROW()))-1&lt;E20,表2_367162629303891213141523[[#This Row],[累计净值]]/MAX(INDIRECT("B21:B" &amp; ROW()))-1,E20)</f>
        <v>0</v>
      </c>
      <c r="F21" s="13">
        <f>表2_367162629303891213141523[[#This Row],[累计净值]]</f>
        <v>1.0216000000000001</v>
      </c>
      <c r="G21" s="194" t="s">
        <v>30</v>
      </c>
    </row>
    <row r="22" spans="1:7" x14ac:dyDescent="0.2">
      <c r="A22" s="15">
        <v>44027</v>
      </c>
      <c r="B22" s="16">
        <v>1.0165</v>
      </c>
      <c r="C22" s="17">
        <f t="shared" si="0"/>
        <v>-5.1000000000001044E-3</v>
      </c>
      <c r="D22" s="18">
        <f t="shared" si="1"/>
        <v>-5.1000000000001044E-3</v>
      </c>
      <c r="E22" s="18">
        <f ca="1">IF(表2_367162629303891213141523[[#This Row],[累计净值]]/MAX(INDIRECT("B21:B" &amp; ROW()))-1&lt;E21,表2_367162629303891213141523[[#This Row],[累计净值]]/MAX(INDIRECT("B21:B" &amp; ROW()))-1,E21)</f>
        <v>-4.9921691464370754E-3</v>
      </c>
      <c r="F22" s="19">
        <f>表2_367162629303891213141523[[#This Row],[累计净值]]</f>
        <v>1.0165</v>
      </c>
      <c r="G22" s="20">
        <f>表2_367162629303891213141523[[#This Row],[累计净值]]/$B$21-1</f>
        <v>-4.9921691464370754E-3</v>
      </c>
    </row>
    <row r="23" spans="1:7" x14ac:dyDescent="0.2">
      <c r="A23" s="15">
        <v>44028</v>
      </c>
      <c r="B23" s="16">
        <v>1.0127999999999999</v>
      </c>
      <c r="C23" s="73">
        <f t="shared" si="0"/>
        <v>-3.7000000000000366E-3</v>
      </c>
      <c r="D23" s="18">
        <f t="shared" si="1"/>
        <v>-3.7000000000000366E-3</v>
      </c>
      <c r="E23" s="18">
        <f ca="1">IF(表2_367162629303891213141523[[#This Row],[累计净值]]/MAX(INDIRECT("B21:B" &amp; ROW()))-1&lt;E22,表2_367162629303891213141523[[#This Row],[累计净值]]/MAX(INDIRECT("B21:B" &amp; ROW()))-1,E22)</f>
        <v>-8.6139389193423677E-3</v>
      </c>
      <c r="F23" s="62">
        <f>表2_367162629303891213141523[[#This Row],[累计净值]]</f>
        <v>1.0127999999999999</v>
      </c>
      <c r="G23" s="20">
        <f>表2_367162629303891213141523[[#This Row],[累计净值]]/$B$21-1</f>
        <v>-8.6139389193423677E-3</v>
      </c>
    </row>
    <row r="24" spans="1:7" x14ac:dyDescent="0.2">
      <c r="A24" s="15">
        <v>44029</v>
      </c>
      <c r="B24" s="16">
        <v>1.0152000000000001</v>
      </c>
      <c r="C24" s="73">
        <f t="shared" si="0"/>
        <v>2.4000000000001798E-3</v>
      </c>
      <c r="D24" s="18" t="str">
        <f t="shared" si="1"/>
        <v>/</v>
      </c>
      <c r="E24" s="18">
        <f ca="1">IF(表2_367162629303891213141523[[#This Row],[累计净值]]/MAX(INDIRECT("B21:B" &amp; ROW()))-1&lt;E23,表2_367162629303891213141523[[#This Row],[累计净值]]/MAX(INDIRECT("B21:B" &amp; ROW()))-1,E23)</f>
        <v>-8.6139389193423677E-3</v>
      </c>
      <c r="F24" s="62">
        <f>表2_367162629303891213141523[[#This Row],[累计净值]]</f>
        <v>1.0152000000000001</v>
      </c>
      <c r="G24" s="20">
        <f>表2_367162629303891213141523[[#This Row],[累计净值]]/$B$21-1</f>
        <v>-6.2646828504306917E-3</v>
      </c>
    </row>
    <row r="25" spans="1:7" x14ac:dyDescent="0.2">
      <c r="A25" s="15">
        <v>44032</v>
      </c>
      <c r="B25" s="112">
        <v>1.0181</v>
      </c>
      <c r="C25" s="108">
        <f t="shared" si="0"/>
        <v>2.8999999999999027E-3</v>
      </c>
      <c r="D25" s="109" t="str">
        <f t="shared" si="1"/>
        <v>/</v>
      </c>
      <c r="E25" s="109">
        <f ca="1">IF(表2_367162629303891213141523[[#This Row],[累计净值]]/MAX(INDIRECT("B21:B" &amp; ROW()))-1&lt;E24,表2_367162629303891213141523[[#This Row],[累计净值]]/MAX(INDIRECT("B21:B" &amp; ROW()))-1,E24)</f>
        <v>-8.6139389193423677E-3</v>
      </c>
      <c r="F25" s="110">
        <f>表2_367162629303891213141523[[#This Row],[累计净值]]</f>
        <v>1.0181</v>
      </c>
      <c r="G25" s="20">
        <f>表2_367162629303891213141523[[#This Row],[累计净值]]/$B$21-1</f>
        <v>-3.4259984338292915E-3</v>
      </c>
    </row>
    <row r="26" spans="1:7" x14ac:dyDescent="0.2">
      <c r="A26" s="15">
        <v>44033</v>
      </c>
      <c r="B26" s="112">
        <v>1.0203</v>
      </c>
      <c r="C26" s="108">
        <f t="shared" si="0"/>
        <v>2.1999999999999797E-3</v>
      </c>
      <c r="D26" s="109" t="str">
        <f t="shared" si="1"/>
        <v>/</v>
      </c>
      <c r="E26" s="109">
        <f ca="1">IF(表2_367162629303891213141523[[#This Row],[累计净值]]/MAX(INDIRECT("B21:B" &amp; ROW()))-1&lt;E25,表2_367162629303891213141523[[#This Row],[累计净值]]/MAX(INDIRECT("B21:B" &amp; ROW()))-1,E25)</f>
        <v>-8.6139389193423677E-3</v>
      </c>
      <c r="F26" s="110">
        <f>表2_367162629303891213141523[[#This Row],[累计净值]]</f>
        <v>1.0203</v>
      </c>
      <c r="G26" s="20">
        <f>表2_367162629303891213141523[[#This Row],[累计净值]]/$B$21-1</f>
        <v>-1.2725137039938383E-3</v>
      </c>
    </row>
    <row r="27" spans="1:7" x14ac:dyDescent="0.2">
      <c r="A27" s="15">
        <v>44034</v>
      </c>
      <c r="B27" s="112">
        <v>1.0206999999999999</v>
      </c>
      <c r="C27" s="108">
        <f t="shared" si="0"/>
        <v>3.9999999999995595E-4</v>
      </c>
      <c r="D27" s="109" t="str">
        <f t="shared" si="1"/>
        <v>/</v>
      </c>
      <c r="E27" s="109">
        <f ca="1">IF(表2_367162629303891213141523[[#This Row],[累计净值]]/MAX(INDIRECT("B21:B" &amp; ROW()))-1&lt;E26,表2_367162629303891213141523[[#This Row],[累计净值]]/MAX(INDIRECT("B21:B" &amp; ROW()))-1,E26)</f>
        <v>-8.6139389193423677E-3</v>
      </c>
      <c r="F27" s="110">
        <f>表2_367162629303891213141523[[#This Row],[累计净值]]</f>
        <v>1.0206999999999999</v>
      </c>
      <c r="G27" s="20">
        <f>表2_367162629303891213141523[[#This Row],[累计净值]]/$B$21-1</f>
        <v>-8.8097102584194786E-4</v>
      </c>
    </row>
    <row r="28" spans="1:7" x14ac:dyDescent="0.2">
      <c r="A28" s="15">
        <v>44035</v>
      </c>
      <c r="B28" s="112">
        <v>1.0203</v>
      </c>
      <c r="C28" s="108">
        <f t="shared" si="0"/>
        <v>-3.9999999999995595E-4</v>
      </c>
      <c r="D28" s="109">
        <f t="shared" si="1"/>
        <v>-3.9999999999995595E-4</v>
      </c>
      <c r="E28" s="109">
        <f ca="1">IF(表2_367162629303891213141523[[#This Row],[累计净值]]/MAX(INDIRECT("B21:B" &amp; ROW()))-1&lt;E27,表2_367162629303891213141523[[#This Row],[累计净值]]/MAX(INDIRECT("B21:B" &amp; ROW()))-1,E27)</f>
        <v>-8.6139389193423677E-3</v>
      </c>
      <c r="F28" s="110">
        <f>表2_367162629303891213141523[[#This Row],[累计净值]]</f>
        <v>1.0203</v>
      </c>
      <c r="G28" s="20">
        <f>表2_367162629303891213141523[[#This Row],[累计净值]]/$B$21-1</f>
        <v>-1.2725137039938383E-3</v>
      </c>
    </row>
    <row r="29" spans="1:7" x14ac:dyDescent="0.2">
      <c r="A29" s="15">
        <v>44036</v>
      </c>
      <c r="B29" s="112">
        <v>1.0175000000000001</v>
      </c>
      <c r="C29" s="108">
        <f t="shared" si="0"/>
        <v>-2.7999999999999137E-3</v>
      </c>
      <c r="D29" s="109">
        <f t="shared" si="1"/>
        <v>-2.7999999999999137E-3</v>
      </c>
      <c r="E29" s="109">
        <f ca="1">IF(表2_367162629303891213141523[[#This Row],[累计净值]]/MAX(INDIRECT("B21:B" &amp; ROW()))-1&lt;E28,表2_367162629303891213141523[[#This Row],[累计净值]]/MAX(INDIRECT("B21:B" &amp; ROW()))-1,E28)</f>
        <v>-8.6139389193423677E-3</v>
      </c>
      <c r="F29" s="110">
        <f>表2_367162629303891213141523[[#This Row],[累计净值]]</f>
        <v>1.0175000000000001</v>
      </c>
      <c r="G29" s="20">
        <f>表2_367162629303891213141523[[#This Row],[累计净值]]/$B$21-1</f>
        <v>-4.0133124510571827E-3</v>
      </c>
    </row>
    <row r="30" spans="1:7" x14ac:dyDescent="0.2">
      <c r="A30" s="15">
        <v>44039</v>
      </c>
      <c r="B30" s="112">
        <v>1.0199</v>
      </c>
      <c r="C30" s="108">
        <f t="shared" ref="C30:C35" si="2">IFERROR(B30-B29,0)</f>
        <v>2.3999999999999577E-3</v>
      </c>
      <c r="D30" s="109" t="str">
        <f t="shared" ref="D30:D35" si="3">IF(C30&lt;0,C30,"/")</f>
        <v>/</v>
      </c>
      <c r="E30" s="109">
        <f ca="1">IF(表2_367162629303891213141523[[#This Row],[累计净值]]/MAX(INDIRECT("B21:B" &amp; ROW()))-1&lt;E29,表2_367162629303891213141523[[#This Row],[累计净值]]/MAX(INDIRECT("B21:B" &amp; ROW()))-1,E29)</f>
        <v>-8.6139389193423677E-3</v>
      </c>
      <c r="F30" s="110">
        <f>表2_367162629303891213141523[[#This Row],[累计净值]]</f>
        <v>1.0199</v>
      </c>
      <c r="G30" s="20">
        <f>表2_367162629303891213141523[[#This Row],[累计净值]]/$B$21-1</f>
        <v>-1.6640563821457288E-3</v>
      </c>
    </row>
    <row r="31" spans="1:7" x14ac:dyDescent="0.2">
      <c r="A31" s="15">
        <v>44040</v>
      </c>
      <c r="B31" s="112">
        <v>1.0215000000000001</v>
      </c>
      <c r="C31" s="108">
        <f t="shared" si="2"/>
        <v>1.6000000000000458E-3</v>
      </c>
      <c r="D31" s="109" t="str">
        <f t="shared" si="3"/>
        <v>/</v>
      </c>
      <c r="E31" s="109">
        <f ca="1">IF(表2_367162629303891213141523[[#This Row],[累计净值]]/MAX(INDIRECT("B21:B" &amp; ROW()))-1&lt;E30,表2_367162629303891213141523[[#This Row],[累计净值]]/MAX(INDIRECT("B21:B" &amp; ROW()))-1,E30)</f>
        <v>-8.6139389193423677E-3</v>
      </c>
      <c r="F31" s="110">
        <f>表2_367162629303891213141523[[#This Row],[累计净值]]</f>
        <v>1.0215000000000001</v>
      </c>
      <c r="G31" s="20">
        <f>表2_367162629303891213141523[[#This Row],[累计净值]]/$B$21-1</f>
        <v>-9.7885669537944864E-5</v>
      </c>
    </row>
    <row r="32" spans="1:7" x14ac:dyDescent="0.2">
      <c r="A32" s="15">
        <v>44041</v>
      </c>
      <c r="B32" s="112">
        <v>1.0206999999999999</v>
      </c>
      <c r="C32" s="108">
        <f t="shared" si="2"/>
        <v>-8.0000000000013394E-4</v>
      </c>
      <c r="D32" s="109">
        <f t="shared" si="3"/>
        <v>-8.0000000000013394E-4</v>
      </c>
      <c r="E32" s="109">
        <f ca="1">IF(表2_367162629303891213141523[[#This Row],[累计净值]]/MAX(INDIRECT("B21:B" &amp; ROW()))-1&lt;E31,表2_367162629303891213141523[[#This Row],[累计净值]]/MAX(INDIRECT("B21:B" &amp; ROW()))-1,E31)</f>
        <v>-8.6139389193423677E-3</v>
      </c>
      <c r="F32" s="110">
        <f>表2_367162629303891213141523[[#This Row],[累计净值]]</f>
        <v>1.0206999999999999</v>
      </c>
      <c r="G32" s="20">
        <f>表2_367162629303891213141523[[#This Row],[累计净值]]/$B$21-1</f>
        <v>-8.8097102584194786E-4</v>
      </c>
    </row>
    <row r="33" spans="1:7" x14ac:dyDescent="0.2">
      <c r="A33" s="15">
        <v>44042</v>
      </c>
      <c r="B33" s="112">
        <v>1.0217000000000001</v>
      </c>
      <c r="C33" s="108">
        <f t="shared" si="2"/>
        <v>1.0000000000001119E-3</v>
      </c>
      <c r="D33" s="109" t="str">
        <f t="shared" si="3"/>
        <v>/</v>
      </c>
      <c r="E33" s="109">
        <f ca="1">IF(表2_367162629303891213141523[[#This Row],[累计净值]]/MAX(INDIRECT("B21:B" &amp; ROW()))-1&lt;E32,表2_367162629303891213141523[[#This Row],[累计净值]]/MAX(INDIRECT("B21:B" &amp; ROW()))-1,E32)</f>
        <v>-8.6139389193423677E-3</v>
      </c>
      <c r="F33" s="110">
        <f>表2_367162629303891213141523[[#This Row],[累计净值]]</f>
        <v>1.0217000000000001</v>
      </c>
      <c r="G33" s="20">
        <f>表2_367162629303891213141523[[#This Row],[累计净值]]/$B$21-1</f>
        <v>9.7885669537944864E-5</v>
      </c>
    </row>
    <row r="34" spans="1:7" x14ac:dyDescent="0.2">
      <c r="A34" s="15">
        <v>44043</v>
      </c>
      <c r="B34" s="112">
        <v>1.0248999999999999</v>
      </c>
      <c r="C34" s="108">
        <f t="shared" si="2"/>
        <v>3.1999999999998696E-3</v>
      </c>
      <c r="D34" s="109" t="str">
        <f t="shared" si="3"/>
        <v>/</v>
      </c>
      <c r="E34" s="109">
        <f ca="1">IF(表2_367162629303891213141523[[#This Row],[累计净值]]/MAX(INDIRECT("B21:B" &amp; ROW()))-1&lt;E33,表2_367162629303891213141523[[#This Row],[累计净值]]/MAX(INDIRECT("B21:B" &amp; ROW()))-1,E33)</f>
        <v>-8.6139389193423677E-3</v>
      </c>
      <c r="F34" s="110">
        <f>表2_367162629303891213141523[[#This Row],[累计净值]]</f>
        <v>1.0248999999999999</v>
      </c>
      <c r="G34" s="20">
        <f>表2_367162629303891213141523[[#This Row],[累计净值]]/$B$21-1</f>
        <v>3.2302270947532907E-3</v>
      </c>
    </row>
    <row r="35" spans="1:7" x14ac:dyDescent="0.2">
      <c r="A35" s="15">
        <v>44046</v>
      </c>
      <c r="B35" s="112">
        <v>1.0266999999999999</v>
      </c>
      <c r="C35" s="108">
        <f t="shared" si="2"/>
        <v>1.8000000000000238E-3</v>
      </c>
      <c r="D35" s="109" t="str">
        <f t="shared" si="3"/>
        <v>/</v>
      </c>
      <c r="E35" s="109">
        <f ca="1">IF(表2_367162629303891213141523[[#This Row],[累计净值]]/MAX(INDIRECT("B21:B" &amp; ROW()))-1&lt;E34,表2_367162629303891213141523[[#This Row],[累计净值]]/MAX(INDIRECT("B21:B" &amp; ROW()))-1,E34)</f>
        <v>-8.6139389193423677E-3</v>
      </c>
      <c r="F35" s="110">
        <f>表2_367162629303891213141523[[#This Row],[累计净值]]</f>
        <v>1.0266999999999999</v>
      </c>
      <c r="G35" s="20">
        <f>表2_367162629303891213141523[[#This Row],[累计净值]]/$B$21-1</f>
        <v>4.9921691464367424E-3</v>
      </c>
    </row>
    <row r="36" spans="1:7" x14ac:dyDescent="0.2">
      <c r="A36" s="15">
        <v>44047</v>
      </c>
      <c r="B36" s="112">
        <v>1.0258</v>
      </c>
      <c r="C36" s="108">
        <f>IFERROR(B36-B35,0)</f>
        <v>-8.9999999999990088E-4</v>
      </c>
      <c r="D36" s="109">
        <f>IF(C36&lt;0,C36,"/")</f>
        <v>-8.9999999999990088E-4</v>
      </c>
      <c r="E36" s="109">
        <f ca="1">IF(表2_367162629303891213141523[[#This Row],[累计净值]]/MAX(INDIRECT("B21:B" &amp; ROW()))-1&lt;E35,表2_367162629303891213141523[[#This Row],[累计净值]]/MAX(INDIRECT("B21:B" &amp; ROW()))-1,E35)</f>
        <v>-8.6139389193423677E-3</v>
      </c>
      <c r="F36" s="110">
        <f>表2_367162629303891213141523[[#This Row],[累计净值]]</f>
        <v>1.0258</v>
      </c>
      <c r="G36" s="20">
        <f>表2_367162629303891213141523[[#This Row],[累计净值]]/$B$21-1</f>
        <v>4.1111981205950165E-3</v>
      </c>
    </row>
    <row r="37" spans="1:7" x14ac:dyDescent="0.2">
      <c r="A37" s="15">
        <v>44048</v>
      </c>
      <c r="B37" s="112">
        <v>1.0309999999999999</v>
      </c>
      <c r="C37" s="108">
        <f>IFERROR(B37-B36,0)</f>
        <v>5.1999999999998714E-3</v>
      </c>
      <c r="D37" s="109" t="str">
        <f>IF(C37&lt;0,C37,"/")</f>
        <v>/</v>
      </c>
      <c r="E37" s="109">
        <f ca="1">IF(表2_367162629303891213141523[[#This Row],[累计净值]]/MAX(INDIRECT("B21:B" &amp; ROW()))-1&lt;E36,表2_367162629303891213141523[[#This Row],[累计净值]]/MAX(INDIRECT("B21:B" &amp; ROW()))-1,E36)</f>
        <v>-8.6139389193423677E-3</v>
      </c>
      <c r="F37" s="110">
        <f>表2_367162629303891213141523[[#This Row],[累计净值]]</f>
        <v>1.0309999999999999</v>
      </c>
      <c r="G37" s="20">
        <f>表2_367162629303891213141523[[#This Row],[累计净值]]/$B$21-1</f>
        <v>9.2012529365699258E-3</v>
      </c>
    </row>
    <row r="38" spans="1:7" x14ac:dyDescent="0.2">
      <c r="A38" s="15">
        <v>44049</v>
      </c>
      <c r="B38" s="112">
        <v>1.0314000000000001</v>
      </c>
      <c r="C38" s="108">
        <f>IFERROR(B38-B37,0)</f>
        <v>4.0000000000017799E-4</v>
      </c>
      <c r="D38" s="109" t="str">
        <f>IF(C38&lt;0,C38,"/")</f>
        <v>/</v>
      </c>
      <c r="E38" s="109">
        <f ca="1">IF(表2_367162629303891213141523[[#This Row],[累计净值]]/MAX(INDIRECT("B21:B" &amp; ROW()))-1&lt;E37,表2_367162629303891213141523[[#This Row],[累计净值]]/MAX(INDIRECT("B21:B" &amp; ROW()))-1,E37)</f>
        <v>-8.6139389193423677E-3</v>
      </c>
      <c r="F38" s="110">
        <f>表2_367162629303891213141523[[#This Row],[累计净值]]</f>
        <v>1.0314000000000001</v>
      </c>
      <c r="G38" s="20">
        <f>表2_367162629303891213141523[[#This Row],[累计净值]]/$B$21-1</f>
        <v>9.5927956147219273E-3</v>
      </c>
    </row>
    <row r="39" spans="1:7" x14ac:dyDescent="0.2">
      <c r="A39" s="15">
        <v>44050</v>
      </c>
      <c r="B39" s="112">
        <v>1.0310999999999999</v>
      </c>
      <c r="C39" s="108">
        <f>IFERROR(B39-B38,0)</f>
        <v>-3.00000000000189E-4</v>
      </c>
      <c r="D39" s="109">
        <f>IF(C39&lt;0,C39,"/")</f>
        <v>-3.00000000000189E-4</v>
      </c>
      <c r="E39" s="109">
        <f ca="1">IF(表2_367162629303891213141523[[#This Row],[累计净值]]/MAX(INDIRECT("B21:B" &amp; ROW()))-1&lt;E38,表2_367162629303891213141523[[#This Row],[累计净值]]/MAX(INDIRECT("B21:B" &amp; ROW()))-1,E38)</f>
        <v>-8.6139389193423677E-3</v>
      </c>
      <c r="F39" s="110">
        <f>表2_367162629303891213141523[[#This Row],[累计净值]]</f>
        <v>1.0310999999999999</v>
      </c>
      <c r="G39" s="20">
        <f>表2_367162629303891213141523[[#This Row],[累计净值]]/$B$21-1</f>
        <v>9.2991386061078707E-3</v>
      </c>
    </row>
    <row r="40" spans="1:7" x14ac:dyDescent="0.2">
      <c r="A40" s="15">
        <v>44053</v>
      </c>
      <c r="B40" s="112">
        <v>1.0303</v>
      </c>
      <c r="C40" s="108">
        <f>IFERROR(B40-B39,0)</f>
        <v>-7.9999999999991189E-4</v>
      </c>
      <c r="D40" s="109">
        <f>IF(C40&lt;0,C40,"/")</f>
        <v>-7.9999999999991189E-4</v>
      </c>
      <c r="E40" s="109">
        <f ca="1">IF(表2_367162629303891213141523[[#This Row],[累计净值]]/MAX(INDIRECT("B21:B" &amp; ROW()))-1&lt;E39,表2_367162629303891213141523[[#This Row],[累计净值]]/MAX(INDIRECT("B21:B" &amp; ROW()))-1,E39)</f>
        <v>-8.6139389193423677E-3</v>
      </c>
      <c r="F40" s="110">
        <f>表2_367162629303891213141523[[#This Row],[累计净值]]</f>
        <v>1.0303</v>
      </c>
      <c r="G40" s="20">
        <f>表2_367162629303891213141523[[#This Row],[累计净值]]/$B$21-1</f>
        <v>8.5160532498040897E-3</v>
      </c>
    </row>
    <row r="41" spans="1:7" x14ac:dyDescent="0.2">
      <c r="A41" s="15">
        <v>44054</v>
      </c>
      <c r="B41" s="112">
        <v>1.0253000000000001</v>
      </c>
      <c r="C41" s="108">
        <f t="shared" ref="C41:C46" si="4">IFERROR(B41-B40,0)</f>
        <v>-4.9999999999998934E-3</v>
      </c>
      <c r="D41" s="109">
        <f t="shared" ref="D41:D46" si="5">IF(C41&lt;0,C41,"/")</f>
        <v>-4.9999999999998934E-3</v>
      </c>
      <c r="E41" s="109">
        <f ca="1">IF(表2_367162629303891213141523[[#This Row],[累计净值]]/MAX(INDIRECT("B21:B" &amp; ROW()))-1&lt;E40,表2_367162629303891213141523[[#This Row],[累计净值]]/MAX(INDIRECT("B21:B" &amp; ROW()))-1,E40)</f>
        <v>-8.6139389193423677E-3</v>
      </c>
      <c r="F41" s="110">
        <f>表2_367162629303891213141523[[#This Row],[累计净值]]</f>
        <v>1.0253000000000001</v>
      </c>
      <c r="G41" s="20">
        <f>表2_367162629303891213141523[[#This Row],[累计净值]]/$B$21-1</f>
        <v>3.6217697729052922E-3</v>
      </c>
    </row>
    <row r="42" spans="1:7" x14ac:dyDescent="0.2">
      <c r="A42" s="15">
        <v>44055</v>
      </c>
      <c r="B42" s="113">
        <v>1.0279</v>
      </c>
      <c r="C42" s="108">
        <f t="shared" si="4"/>
        <v>2.5999999999999357E-3</v>
      </c>
      <c r="D42" s="109" t="str">
        <f t="shared" si="5"/>
        <v>/</v>
      </c>
      <c r="E42" s="109">
        <f ca="1">IF(表2_367162629303891213141523[[#This Row],[累计净值]]/MAX(INDIRECT("B21:B" &amp; ROW()))-1&lt;E41,表2_367162629303891213141523[[#This Row],[累计净值]]/MAX(INDIRECT("B21:B" &amp; ROW()))-1,E41)</f>
        <v>-8.6139389193423677E-3</v>
      </c>
      <c r="F42" s="110">
        <f>表2_367162629303891213141523[[#This Row],[累计净值]]</f>
        <v>1.0279</v>
      </c>
      <c r="G42" s="20">
        <f>表2_367162629303891213141523[[#This Row],[累计净值]]/$B$21-1</f>
        <v>6.1667971808927469E-3</v>
      </c>
    </row>
    <row r="43" spans="1:7" x14ac:dyDescent="0.2">
      <c r="A43" s="15">
        <v>44056</v>
      </c>
      <c r="B43" s="112">
        <v>1.0254000000000001</v>
      </c>
      <c r="C43" s="108">
        <f t="shared" si="4"/>
        <v>-2.4999999999999467E-3</v>
      </c>
      <c r="D43" s="109">
        <f t="shared" si="5"/>
        <v>-2.4999999999999467E-3</v>
      </c>
      <c r="E43" s="109">
        <f ca="1">IF(表2_367162629303891213141523[[#This Row],[累计净值]]/MAX(INDIRECT("B21:B" &amp; ROW()))-1&lt;E42,表2_367162629303891213141523[[#This Row],[累计净值]]/MAX(INDIRECT("B21:B" &amp; ROW()))-1,E42)</f>
        <v>-8.6139389193423677E-3</v>
      </c>
      <c r="F43" s="110">
        <f>表2_367162629303891213141523[[#This Row],[累计净值]]</f>
        <v>1.0254000000000001</v>
      </c>
      <c r="G43" s="20">
        <f>表2_367162629303891213141523[[#This Row],[累计净值]]/$B$21-1</f>
        <v>3.7196554424432371E-3</v>
      </c>
    </row>
    <row r="44" spans="1:7" x14ac:dyDescent="0.2">
      <c r="A44" s="15">
        <v>44057</v>
      </c>
      <c r="B44" s="112">
        <v>1.0294000000000001</v>
      </c>
      <c r="C44" s="108">
        <f t="shared" si="4"/>
        <v>4.0000000000000036E-3</v>
      </c>
      <c r="D44" s="109" t="str">
        <f t="shared" si="5"/>
        <v>/</v>
      </c>
      <c r="E44" s="109">
        <f ca="1">IF(表2_367162629303891213141523[[#This Row],[累计净值]]/MAX(INDIRECT("B21:B" &amp; ROW()))-1&lt;E43,表2_367162629303891213141523[[#This Row],[累计净值]]/MAX(INDIRECT("B21:B" &amp; ROW()))-1,E43)</f>
        <v>-8.6139389193423677E-3</v>
      </c>
      <c r="F44" s="110">
        <f>表2_367162629303891213141523[[#This Row],[累计净值]]</f>
        <v>1.0294000000000001</v>
      </c>
      <c r="G44" s="20">
        <f>表2_367162629303891213141523[[#This Row],[累计净值]]/$B$21-1</f>
        <v>7.6350822239623639E-3</v>
      </c>
    </row>
    <row r="45" spans="1:7" x14ac:dyDescent="0.2">
      <c r="A45" s="15">
        <v>44060</v>
      </c>
      <c r="B45" s="112">
        <v>1.0271999999999999</v>
      </c>
      <c r="C45" s="108">
        <f t="shared" si="4"/>
        <v>-2.2000000000002018E-3</v>
      </c>
      <c r="D45" s="109">
        <f t="shared" si="5"/>
        <v>-2.2000000000002018E-3</v>
      </c>
      <c r="E45" s="109">
        <f ca="1">IF(表2_367162629303891213141523[[#This Row],[累计净值]]/MAX(INDIRECT("B21:B" &amp; ROW()))-1&lt;E44,表2_367162629303891213141523[[#This Row],[累计净值]]/MAX(INDIRECT("B21:B" &amp; ROW()))-1,E44)</f>
        <v>-8.6139389193423677E-3</v>
      </c>
      <c r="F45" s="110">
        <f>表2_367162629303891213141523[[#This Row],[累计净值]]</f>
        <v>1.0271999999999999</v>
      </c>
      <c r="G45" s="20">
        <f>表2_367162629303891213141523[[#This Row],[累计净值]]/$B$21-1</f>
        <v>5.4815974941266887E-3</v>
      </c>
    </row>
    <row r="46" spans="1:7" x14ac:dyDescent="0.2">
      <c r="A46" s="15">
        <v>44061</v>
      </c>
      <c r="B46" s="112">
        <v>1.0290999999999999</v>
      </c>
      <c r="C46" s="108">
        <f t="shared" si="4"/>
        <v>1.9000000000000128E-3</v>
      </c>
      <c r="D46" s="109" t="str">
        <f t="shared" si="5"/>
        <v>/</v>
      </c>
      <c r="E46" s="109">
        <f ca="1">IF(表2_367162629303891213141523[[#This Row],[累计净值]]/MAX(INDIRECT("B21:B" &amp; ROW()))-1&lt;E45,表2_367162629303891213141523[[#This Row],[累计净值]]/MAX(INDIRECT("B21:B" &amp; ROW()))-1,E45)</f>
        <v>-8.6139389193423677E-3</v>
      </c>
      <c r="F46" s="110">
        <f>表2_367162629303891213141523[[#This Row],[累计净值]]</f>
        <v>1.0290999999999999</v>
      </c>
      <c r="G46" s="20">
        <f>表2_367162629303891213141523[[#This Row],[累计净值]]/$B$21-1</f>
        <v>7.3414252153483073E-3</v>
      </c>
    </row>
    <row r="47" spans="1:7" x14ac:dyDescent="0.2">
      <c r="A47" s="15">
        <v>44062</v>
      </c>
      <c r="B47" s="112">
        <v>1.0314000000000001</v>
      </c>
      <c r="C47" s="108">
        <f t="shared" ref="C47:C52" si="6">IFERROR(B47-B46,0)</f>
        <v>2.3000000000001908E-3</v>
      </c>
      <c r="D47" s="109" t="str">
        <f t="shared" ref="D47:D52" si="7">IF(C47&lt;0,C47,"/")</f>
        <v>/</v>
      </c>
      <c r="E47" s="109">
        <f ca="1">IF(表2_367162629303891213141523[[#This Row],[累计净值]]/MAX(INDIRECT("B21:B" &amp; ROW()))-1&lt;E46,表2_367162629303891213141523[[#This Row],[累计净值]]/MAX(INDIRECT("B21:B" &amp; ROW()))-1,E46)</f>
        <v>-8.6139389193423677E-3</v>
      </c>
      <c r="F47" s="110">
        <f>表2_367162629303891213141523[[#This Row],[累计净值]]</f>
        <v>1.0314000000000001</v>
      </c>
      <c r="G47" s="20">
        <f>表2_367162629303891213141523[[#This Row],[累计净值]]/$B$21-1</f>
        <v>9.5927956147219273E-3</v>
      </c>
    </row>
    <row r="48" spans="1:7" x14ac:dyDescent="0.2">
      <c r="A48" s="15">
        <v>44063</v>
      </c>
      <c r="B48" s="112">
        <v>1.0291999999999999</v>
      </c>
      <c r="C48" s="108">
        <f t="shared" si="6"/>
        <v>-2.2000000000002018E-3</v>
      </c>
      <c r="D48" s="109">
        <f t="shared" si="7"/>
        <v>-2.2000000000002018E-3</v>
      </c>
      <c r="E48" s="109">
        <f ca="1">IF(表2_367162629303891213141523[[#This Row],[累计净值]]/MAX(INDIRECT("B21:B" &amp; ROW()))-1&lt;E47,表2_367162629303891213141523[[#This Row],[累计净值]]/MAX(INDIRECT("B21:B" &amp; ROW()))-1,E47)</f>
        <v>-8.6139389193423677E-3</v>
      </c>
      <c r="F48" s="110">
        <f>表2_367162629303891213141523[[#This Row],[累计净值]]</f>
        <v>1.0291999999999999</v>
      </c>
      <c r="G48" s="20">
        <f>表2_367162629303891213141523[[#This Row],[累计净值]]/$B$21-1</f>
        <v>7.4393108848862521E-3</v>
      </c>
    </row>
    <row r="49" spans="1:10" x14ac:dyDescent="0.2">
      <c r="A49" s="15">
        <v>44064</v>
      </c>
      <c r="B49" s="112">
        <v>1.0336000000000001</v>
      </c>
      <c r="C49" s="108">
        <f t="shared" si="6"/>
        <v>4.4000000000001815E-3</v>
      </c>
      <c r="D49" s="109" t="str">
        <f t="shared" si="7"/>
        <v>/</v>
      </c>
      <c r="E49" s="109">
        <f ca="1">IF(表2_367162629303891213141523[[#This Row],[累计净值]]/MAX(INDIRECT("B21:B" &amp; ROW()))-1&lt;E48,表2_367162629303891213141523[[#This Row],[累计净值]]/MAX(INDIRECT("B21:B" &amp; ROW()))-1,E48)</f>
        <v>-8.6139389193423677E-3</v>
      </c>
      <c r="F49" s="110">
        <f>表2_367162629303891213141523[[#This Row],[累计净值]]</f>
        <v>1.0336000000000001</v>
      </c>
      <c r="G49" s="20">
        <f>表2_367162629303891213141523[[#This Row],[累计净值]]/$B$21-1</f>
        <v>1.1746280344557603E-2</v>
      </c>
    </row>
    <row r="50" spans="1:10" x14ac:dyDescent="0.2">
      <c r="A50" s="15">
        <v>44067</v>
      </c>
      <c r="B50" s="112">
        <v>1.0310999999999999</v>
      </c>
      <c r="C50" s="108">
        <f t="shared" si="6"/>
        <v>-2.5000000000001688E-3</v>
      </c>
      <c r="D50" s="109">
        <f t="shared" si="7"/>
        <v>-2.5000000000001688E-3</v>
      </c>
      <c r="E50" s="109">
        <f ca="1">IF(表2_367162629303891213141523[[#This Row],[累计净值]]/MAX(INDIRECT("B21:B" &amp; ROW()))-1&lt;E49,表2_367162629303891213141523[[#This Row],[累计净值]]/MAX(INDIRECT("B21:B" &amp; ROW()))-1,E49)</f>
        <v>-8.6139389193423677E-3</v>
      </c>
      <c r="F50" s="110">
        <f>表2_367162629303891213141523[[#This Row],[累计净值]]</f>
        <v>1.0310999999999999</v>
      </c>
      <c r="G50" s="20">
        <f>表2_367162629303891213141523[[#This Row],[累计净值]]/$B$21-1</f>
        <v>9.2991386061078707E-3</v>
      </c>
    </row>
    <row r="51" spans="1:10" x14ac:dyDescent="0.2">
      <c r="A51" s="15">
        <v>44068</v>
      </c>
      <c r="B51" s="112">
        <v>1.0323</v>
      </c>
      <c r="C51" s="108">
        <f t="shared" si="6"/>
        <v>1.2000000000000899E-3</v>
      </c>
      <c r="D51" s="109" t="str">
        <f t="shared" si="7"/>
        <v>/</v>
      </c>
      <c r="E51" s="109">
        <f ca="1">IF(表2_367162629303891213141523[[#This Row],[累计净值]]/MAX(INDIRECT("B21:B" &amp; ROW()))-1&lt;E50,表2_367162629303891213141523[[#This Row],[累计净值]]/MAX(INDIRECT("B21:B" &amp; ROW()))-1,E50)</f>
        <v>-8.6139389193423677E-3</v>
      </c>
      <c r="F51" s="110">
        <f>表2_367162629303891213141523[[#This Row],[累计净值]]</f>
        <v>1.0323</v>
      </c>
      <c r="G51" s="20">
        <f>表2_367162629303891213141523[[#This Row],[累计净值]]/$B$21-1</f>
        <v>1.0473766640563653E-2</v>
      </c>
    </row>
    <row r="52" spans="1:10" x14ac:dyDescent="0.2">
      <c r="A52" s="15">
        <v>44069</v>
      </c>
      <c r="B52" s="112">
        <v>1.0282</v>
      </c>
      <c r="C52" s="108">
        <f t="shared" si="6"/>
        <v>-4.0999999999999925E-3</v>
      </c>
      <c r="D52" s="109">
        <f t="shared" si="7"/>
        <v>-4.0999999999999925E-3</v>
      </c>
      <c r="E52" s="109">
        <f ca="1">IF(表2_367162629303891213141523[[#This Row],[累计净值]]/MAX(INDIRECT("B21:B" &amp; ROW()))-1&lt;E51,表2_367162629303891213141523[[#This Row],[累计净值]]/MAX(INDIRECT("B21:B" &amp; ROW()))-1,E51)</f>
        <v>-8.6139389193423677E-3</v>
      </c>
      <c r="F52" s="110">
        <f>表2_367162629303891213141523[[#This Row],[累计净值]]</f>
        <v>1.0282</v>
      </c>
      <c r="G52" s="20">
        <f>表2_367162629303891213141523[[#This Row],[累计净值]]/$B$21-1</f>
        <v>6.4604541895065815E-3</v>
      </c>
    </row>
    <row r="53" spans="1:10" x14ac:dyDescent="0.2">
      <c r="A53" s="15">
        <v>44070</v>
      </c>
      <c r="B53" s="112">
        <v>1.0322</v>
      </c>
      <c r="C53" s="108">
        <f t="shared" ref="C53:C59" si="8">IFERROR(B53-B52,0)</f>
        <v>4.0000000000000036E-3</v>
      </c>
      <c r="D53" s="109" t="str">
        <f t="shared" ref="D53:D59" si="9">IF(C53&lt;0,C53,"/")</f>
        <v>/</v>
      </c>
      <c r="E53" s="109">
        <f ca="1">IF(表2_367162629303891213141523[[#This Row],[累计净值]]/MAX(INDIRECT("B21:B" &amp; ROW()))-1&lt;E52,表2_367162629303891213141523[[#This Row],[累计净值]]/MAX(INDIRECT("B21:B" &amp; ROW()))-1,E52)</f>
        <v>-8.6139389193423677E-3</v>
      </c>
      <c r="F53" s="110">
        <f>表2_367162629303891213141523[[#This Row],[累计净值]]</f>
        <v>1.0322</v>
      </c>
      <c r="G53" s="20">
        <f>表2_367162629303891213141523[[#This Row],[累计净值]]/$B$21-1</f>
        <v>1.0375880971025708E-2</v>
      </c>
    </row>
    <row r="54" spans="1:10" x14ac:dyDescent="0.2">
      <c r="A54" s="15">
        <v>44071</v>
      </c>
      <c r="B54" s="112">
        <v>1.0351999999999999</v>
      </c>
      <c r="C54" s="108">
        <f t="shared" si="8"/>
        <v>2.9999999999998916E-3</v>
      </c>
      <c r="D54" s="109" t="str">
        <f t="shared" si="9"/>
        <v>/</v>
      </c>
      <c r="E54" s="109">
        <f ca="1">IF(表2_367162629303891213141523[[#This Row],[累计净值]]/MAX(INDIRECT("B21:B" &amp; ROW()))-1&lt;E53,表2_367162629303891213141523[[#This Row],[累计净值]]/MAX(INDIRECT("B21:B" &amp; ROW()))-1,E53)</f>
        <v>-8.6139389193423677E-3</v>
      </c>
      <c r="F54" s="110">
        <f>表2_367162629303891213141523[[#This Row],[累计净值]]</f>
        <v>1.0351999999999999</v>
      </c>
      <c r="G54" s="20">
        <f>表2_367162629303891213141523[[#This Row],[累计净值]]/$B$21-1</f>
        <v>1.3312451057165164E-2</v>
      </c>
    </row>
    <row r="55" spans="1:10" x14ac:dyDescent="0.2">
      <c r="A55" s="15">
        <v>44074</v>
      </c>
      <c r="B55" s="112">
        <v>1.0304</v>
      </c>
      <c r="C55" s="108">
        <f t="shared" si="8"/>
        <v>-4.7999999999999154E-3</v>
      </c>
      <c r="D55" s="109">
        <f t="shared" si="9"/>
        <v>-4.7999999999999154E-3</v>
      </c>
      <c r="E55" s="109">
        <f ca="1">IF(表2_367162629303891213141523[[#This Row],[累计净值]]/MAX(INDIRECT("B21:B" &amp; ROW()))-1&lt;E54,表2_367162629303891213141523[[#This Row],[累计净值]]/MAX(INDIRECT("B21:B" &amp; ROW()))-1,E54)</f>
        <v>-8.6139389193423677E-3</v>
      </c>
      <c r="F55" s="110">
        <f>表2_367162629303891213141523[[#This Row],[累计净值]]</f>
        <v>1.0304</v>
      </c>
      <c r="G55" s="20">
        <f>表2_367162629303891213141523[[#This Row],[累计净值]]/$B$21-1</f>
        <v>8.6139389193420346E-3</v>
      </c>
    </row>
    <row r="56" spans="1:10" x14ac:dyDescent="0.2">
      <c r="A56" s="15">
        <v>44075</v>
      </c>
      <c r="B56" s="112">
        <v>1.0317000000000001</v>
      </c>
      <c r="C56" s="108">
        <f t="shared" si="8"/>
        <v>1.3000000000000789E-3</v>
      </c>
      <c r="D56" s="109" t="str">
        <f t="shared" si="9"/>
        <v>/</v>
      </c>
      <c r="E56" s="109">
        <f ca="1">IF(表2_367162629303891213141523[[#This Row],[累计净值]]/MAX(INDIRECT("B21:B" &amp; ROW()))-1&lt;E55,表2_367162629303891213141523[[#This Row],[累计净值]]/MAX(INDIRECT("B21:B" &amp; ROW()))-1,E55)</f>
        <v>-8.6139389193423677E-3</v>
      </c>
      <c r="F56" s="110">
        <f>表2_367162629303891213141523[[#This Row],[累计净值]]</f>
        <v>1.0317000000000001</v>
      </c>
      <c r="G56" s="20">
        <f>表2_367162629303891213141523[[#This Row],[累计净值]]/$B$21-1</f>
        <v>9.886452623335984E-3</v>
      </c>
    </row>
    <row r="57" spans="1:10" x14ac:dyDescent="0.2">
      <c r="A57" s="15">
        <v>44076</v>
      </c>
      <c r="B57" s="112">
        <v>1.0289999999999999</v>
      </c>
      <c r="C57" s="108">
        <f t="shared" si="8"/>
        <v>-2.7000000000001467E-3</v>
      </c>
      <c r="D57" s="109">
        <f t="shared" si="9"/>
        <v>-2.7000000000001467E-3</v>
      </c>
      <c r="E57" s="109">
        <f ca="1">IF(表2_367162629303891213141523[[#This Row],[累计净值]]/MAX(INDIRECT("B21:B" &amp; ROW()))-1&lt;E56,表2_367162629303891213141523[[#This Row],[累计净值]]/MAX(INDIRECT("B21:B" &amp; ROW()))-1,E56)</f>
        <v>-8.6139389193423677E-3</v>
      </c>
      <c r="F57" s="110">
        <f>表2_367162629303891213141523[[#This Row],[累计净值]]</f>
        <v>1.0289999999999999</v>
      </c>
      <c r="G57" s="20">
        <f>表2_367162629303891213141523[[#This Row],[累计净值]]/$B$21-1</f>
        <v>7.2435395458103624E-3</v>
      </c>
    </row>
    <row r="58" spans="1:10" x14ac:dyDescent="0.2">
      <c r="A58" s="15">
        <v>44077</v>
      </c>
      <c r="B58" s="112">
        <v>1.0265</v>
      </c>
      <c r="C58" s="108">
        <f t="shared" si="8"/>
        <v>-2.4999999999999467E-3</v>
      </c>
      <c r="D58" s="109">
        <f t="shared" si="9"/>
        <v>-2.4999999999999467E-3</v>
      </c>
      <c r="E58" s="109">
        <f ca="1">IF(表2_367162629303891213141523[[#This Row],[累计净值]]/MAX(INDIRECT("B21:B" &amp; ROW()))-1&lt;E57,表2_367162629303891213141523[[#This Row],[累计净值]]/MAX(INDIRECT("B21:B" &amp; ROW()))-1,E57)</f>
        <v>-8.6139389193423677E-3</v>
      </c>
      <c r="F58" s="110">
        <f>表2_367162629303891213141523[[#This Row],[累计净值]]</f>
        <v>1.0265</v>
      </c>
      <c r="G58" s="20">
        <f>表2_367162629303891213141523[[#This Row],[累计净值]]/$B$21-1</f>
        <v>4.7963978073608526E-3</v>
      </c>
    </row>
    <row r="59" spans="1:10" x14ac:dyDescent="0.2">
      <c r="A59" s="15">
        <v>44078</v>
      </c>
      <c r="B59" s="112">
        <v>1.0275000000000001</v>
      </c>
      <c r="C59" s="108">
        <f t="shared" si="8"/>
        <v>1.0000000000001119E-3</v>
      </c>
      <c r="D59" s="109" t="str">
        <f t="shared" si="9"/>
        <v>/</v>
      </c>
      <c r="E59" s="109">
        <f ca="1">IF(表2_367162629303891213141523[[#This Row],[累计净值]]/MAX(INDIRECT("B21:B" &amp; ROW()))-1&lt;E58,表2_367162629303891213141523[[#This Row],[累计净值]]/MAX(INDIRECT("B21:B" &amp; ROW()))-1,E58)</f>
        <v>-8.6139389193423677E-3</v>
      </c>
      <c r="F59" s="110">
        <f>表2_367162629303891213141523[[#This Row],[累计净值]]</f>
        <v>1.0275000000000001</v>
      </c>
      <c r="G59" s="20">
        <f>表2_367162629303891213141523[[#This Row],[累计净值]]/$B$21-1</f>
        <v>5.7752545027407454E-3</v>
      </c>
    </row>
    <row r="60" spans="1:10" x14ac:dyDescent="0.2">
      <c r="A60" s="15">
        <v>44081</v>
      </c>
      <c r="B60" s="112">
        <v>1.0232000000000001</v>
      </c>
      <c r="C60" s="108">
        <f t="shared" ref="C60:C65" si="10">IFERROR(B60-B59,0)</f>
        <v>-4.2999999999999705E-3</v>
      </c>
      <c r="D60" s="109">
        <f t="shared" ref="D60:D65" si="11">IF(C60&lt;0,C60,"/")</f>
        <v>-4.2999999999999705E-3</v>
      </c>
      <c r="E60" s="109">
        <f ca="1">IF(表2_367162629303891213141523[[#This Row],[累计净值]]/MAX(INDIRECT("B21:B" &amp; ROW()))-1&lt;E59,表2_367162629303891213141523[[#This Row],[累计净值]]/MAX(INDIRECT("B21:B" &amp; ROW()))-1,E59)</f>
        <v>-1.1591962905718511E-2</v>
      </c>
      <c r="F60" s="110">
        <f>表2_367162629303891213141523[[#This Row],[累计净值]]</f>
        <v>1.0232000000000001</v>
      </c>
      <c r="G60" s="20">
        <f>表2_367162629303891213141523[[#This Row],[累计净值]]/$B$21-1</f>
        <v>1.566170712607784E-3</v>
      </c>
    </row>
    <row r="61" spans="1:10" x14ac:dyDescent="0.2">
      <c r="A61" s="15">
        <v>44082</v>
      </c>
      <c r="B61" s="112">
        <v>1.0215000000000001</v>
      </c>
      <c r="C61" s="108">
        <f t="shared" si="10"/>
        <v>-1.7000000000000348E-3</v>
      </c>
      <c r="D61" s="109">
        <f t="shared" si="11"/>
        <v>-1.7000000000000348E-3</v>
      </c>
      <c r="E61" s="109">
        <f ca="1">IF(表2_367162629303891213141523[[#This Row],[累计净值]]/MAX(INDIRECT("B21:B" &amp; ROW()))-1&lt;E60,表2_367162629303891213141523[[#This Row],[累计净值]]/MAX(INDIRECT("B21:B" &amp; ROW()))-1,E60)</f>
        <v>-1.3234157650695355E-2</v>
      </c>
      <c r="F61" s="110">
        <f>表2_367162629303891213141523[[#This Row],[累计净值]]</f>
        <v>1.0215000000000001</v>
      </c>
      <c r="G61" s="20">
        <f>表2_367162629303891213141523[[#This Row],[累计净值]]/$B$21-1</f>
        <v>-9.7885669537944864E-5</v>
      </c>
    </row>
    <row r="62" spans="1:10" x14ac:dyDescent="0.2">
      <c r="A62" s="15">
        <v>44083</v>
      </c>
      <c r="B62" s="112">
        <v>1.0165</v>
      </c>
      <c r="C62" s="108">
        <f t="shared" si="10"/>
        <v>-5.0000000000001155E-3</v>
      </c>
      <c r="D62" s="109">
        <f t="shared" si="11"/>
        <v>-5.0000000000001155E-3</v>
      </c>
      <c r="E62" s="109">
        <f ca="1">IF(表2_367162629303891213141523[[#This Row],[累计净值]]/MAX(INDIRECT("B21:B" &amp; ROW()))-1&lt;E61,表2_367162629303891213141523[[#This Row],[累计净值]]/MAX(INDIRECT("B21:B" &amp; ROW()))-1,E61)</f>
        <v>-1.8064142194744948E-2</v>
      </c>
      <c r="F62" s="110">
        <f>表2_367162629303891213141523[[#This Row],[累计净值]]</f>
        <v>1.0165</v>
      </c>
      <c r="G62" s="20">
        <f>表2_367162629303891213141523[[#This Row],[累计净值]]/$B$21-1</f>
        <v>-4.9921691464370754E-3</v>
      </c>
      <c r="J62" s="196" t="s">
        <v>40</v>
      </c>
    </row>
    <row r="63" spans="1:10" x14ac:dyDescent="0.2">
      <c r="A63" s="15">
        <v>44084</v>
      </c>
      <c r="B63" s="112">
        <v>1.016</v>
      </c>
      <c r="C63" s="108">
        <f t="shared" si="10"/>
        <v>-4.9999999999994493E-4</v>
      </c>
      <c r="D63" s="109">
        <f t="shared" si="11"/>
        <v>-4.9999999999994493E-4</v>
      </c>
      <c r="E63" s="109">
        <f ca="1">IF(表2_367162629303891213141523[[#This Row],[累计净值]]/MAX(INDIRECT("B21:B" &amp; ROW()))-1&lt;E62,表2_367162629303891213141523[[#This Row],[累计净值]]/MAX(INDIRECT("B21:B" &amp; ROW()))-1,E62)</f>
        <v>-1.8547140649149862E-2</v>
      </c>
      <c r="F63" s="110">
        <f>表2_367162629303891213141523[[#This Row],[累计净值]]</f>
        <v>1.016</v>
      </c>
      <c r="G63" s="20">
        <f>表2_367162629303891213141523[[#This Row],[累计净值]]/$B$21-1</f>
        <v>-5.4815974941269108E-3</v>
      </c>
    </row>
    <row r="64" spans="1:10" x14ac:dyDescent="0.2">
      <c r="A64" s="15">
        <v>44085</v>
      </c>
      <c r="B64" s="112">
        <v>1.0204</v>
      </c>
      <c r="C64" s="108">
        <f t="shared" si="10"/>
        <v>4.3999999999999595E-3</v>
      </c>
      <c r="D64" s="109" t="str">
        <f t="shared" si="11"/>
        <v>/</v>
      </c>
      <c r="E64" s="109">
        <f ca="1">IF(表2_367162629303891213141523[[#This Row],[累计净值]]/MAX(INDIRECT("B21:B" &amp; ROW()))-1&lt;E63,表2_367162629303891213141523[[#This Row],[累计净值]]/MAX(INDIRECT("B21:B" &amp; ROW()))-1,E63)</f>
        <v>-1.8547140649149862E-2</v>
      </c>
      <c r="F64" s="110">
        <f>表2_367162629303891213141523[[#This Row],[累计净值]]</f>
        <v>1.0204</v>
      </c>
      <c r="G64" s="20">
        <f>表2_367162629303891213141523[[#This Row],[累计净值]]/$B$21-1</f>
        <v>-1.1746280344558935E-3</v>
      </c>
    </row>
    <row r="65" spans="1:7" x14ac:dyDescent="0.2">
      <c r="A65" s="15">
        <v>44088</v>
      </c>
      <c r="B65" s="112">
        <v>1.0213000000000001</v>
      </c>
      <c r="C65" s="108">
        <f t="shared" si="10"/>
        <v>9.0000000000012292E-4</v>
      </c>
      <c r="D65" s="109" t="str">
        <f t="shared" si="11"/>
        <v>/</v>
      </c>
      <c r="E65" s="109">
        <f ca="1">IF(表2_367162629303891213141523[[#This Row],[累计净值]]/MAX(INDIRECT("B21:B" &amp; ROW()))-1&lt;E64,表2_367162629303891213141523[[#This Row],[累计净值]]/MAX(INDIRECT("B21:B" &amp; ROW()))-1,E64)</f>
        <v>-1.8547140649149862E-2</v>
      </c>
      <c r="F65" s="110">
        <f>表2_367162629303891213141523[[#This Row],[累计净值]]</f>
        <v>1.0213000000000001</v>
      </c>
      <c r="G65" s="20">
        <f>表2_367162629303891213141523[[#This Row],[累计净值]]/$B$21-1</f>
        <v>-2.9365700861394561E-4</v>
      </c>
    </row>
    <row r="66" spans="1:7" x14ac:dyDescent="0.2">
      <c r="A66" s="15">
        <v>44089</v>
      </c>
      <c r="B66" s="112">
        <v>1.0207999999999999</v>
      </c>
      <c r="C66" s="108">
        <f t="shared" ref="C66:C71" si="12">IFERROR(B66-B65,0)</f>
        <v>-5.0000000000016698E-4</v>
      </c>
      <c r="D66" s="109">
        <f t="shared" ref="D66:D71" si="13">IF(C66&lt;0,C66,"/")</f>
        <v>-5.0000000000016698E-4</v>
      </c>
      <c r="E66" s="109">
        <f ca="1">IF(表2_367162629303891213141523[[#This Row],[累计净值]]/MAX(INDIRECT("B21:B" &amp; ROW()))-1&lt;E65,表2_367162629303891213141523[[#This Row],[累计净值]]/MAX(INDIRECT("B21:B" &amp; ROW()))-1,E65)</f>
        <v>-1.8547140649149862E-2</v>
      </c>
      <c r="F66" s="110">
        <f>表2_367162629303891213141523[[#This Row],[累计净值]]</f>
        <v>1.0207999999999999</v>
      </c>
      <c r="G66" s="20">
        <f>表2_367162629303891213141523[[#This Row],[累计净值]]/$B$21-1</f>
        <v>-7.83085356304003E-4</v>
      </c>
    </row>
    <row r="67" spans="1:7" x14ac:dyDescent="0.2">
      <c r="A67" s="15">
        <v>44090</v>
      </c>
      <c r="B67" s="112">
        <v>1.0221</v>
      </c>
      <c r="C67" s="108">
        <f t="shared" si="12"/>
        <v>1.3000000000000789E-3</v>
      </c>
      <c r="D67" s="109" t="str">
        <f t="shared" si="13"/>
        <v>/</v>
      </c>
      <c r="E67" s="109">
        <f ca="1">IF(表2_367162629303891213141523[[#This Row],[累计净值]]/MAX(INDIRECT("B21:B" &amp; ROW()))-1&lt;E66,表2_367162629303891213141523[[#This Row],[累计净值]]/MAX(INDIRECT("B21:B" &amp; ROW()))-1,E66)</f>
        <v>-1.8547140649149862E-2</v>
      </c>
      <c r="F67" s="110">
        <f>表2_367162629303891213141523[[#This Row],[累计净值]]</f>
        <v>1.0221</v>
      </c>
      <c r="G67" s="20">
        <f>表2_367162629303891213141523[[#This Row],[累计净值]]/$B$21-1</f>
        <v>4.8942834768994636E-4</v>
      </c>
    </row>
    <row r="68" spans="1:7" x14ac:dyDescent="0.2">
      <c r="A68" s="15">
        <v>44091</v>
      </c>
      <c r="B68" s="112">
        <v>1.0185</v>
      </c>
      <c r="C68" s="108">
        <f t="shared" si="12"/>
        <v>-3.6000000000000476E-3</v>
      </c>
      <c r="D68" s="109">
        <f t="shared" si="13"/>
        <v>-3.6000000000000476E-3</v>
      </c>
      <c r="E68" s="109">
        <f ca="1">IF(表2_367162629303891213141523[[#This Row],[累计净值]]/MAX(INDIRECT("B21:B" &amp; ROW()))-1&lt;E67,表2_367162629303891213141523[[#This Row],[累计净值]]/MAX(INDIRECT("B21:B" &amp; ROW()))-1,E67)</f>
        <v>-1.8547140649149862E-2</v>
      </c>
      <c r="F68" s="110">
        <f>表2_367162629303891213141523[[#This Row],[累计净值]]</f>
        <v>1.0185</v>
      </c>
      <c r="G68" s="20">
        <f>表2_367162629303891213141523[[#This Row],[累计净值]]/$B$21-1</f>
        <v>-3.034455755677512E-3</v>
      </c>
    </row>
    <row r="69" spans="1:7" x14ac:dyDescent="0.2">
      <c r="A69" s="15">
        <v>44092</v>
      </c>
      <c r="B69" s="112">
        <v>1.0203</v>
      </c>
      <c r="C69" s="108">
        <f t="shared" si="12"/>
        <v>1.8000000000000238E-3</v>
      </c>
      <c r="D69" s="109" t="str">
        <f t="shared" si="13"/>
        <v>/</v>
      </c>
      <c r="E69" s="109">
        <f ca="1">IF(表2_367162629303891213141523[[#This Row],[累计净值]]/MAX(INDIRECT("B21:B" &amp; ROW()))-1&lt;E68,表2_367162629303891213141523[[#This Row],[累计净值]]/MAX(INDIRECT("B21:B" &amp; ROW()))-1,E68)</f>
        <v>-1.8547140649149862E-2</v>
      </c>
      <c r="F69" s="110">
        <f>表2_367162629303891213141523[[#This Row],[累计净值]]</f>
        <v>1.0203</v>
      </c>
      <c r="G69" s="20">
        <f>表2_367162629303891213141523[[#This Row],[累计净值]]/$B$21-1</f>
        <v>-1.2725137039938383E-3</v>
      </c>
    </row>
    <row r="70" spans="1:7" x14ac:dyDescent="0.2">
      <c r="A70" s="15">
        <v>44095</v>
      </c>
      <c r="B70" s="112">
        <v>1.018</v>
      </c>
      <c r="C70" s="108">
        <f t="shared" si="12"/>
        <v>-2.2999999999999687E-3</v>
      </c>
      <c r="D70" s="109">
        <f t="shared" si="13"/>
        <v>-2.2999999999999687E-3</v>
      </c>
      <c r="E70" s="109">
        <f ca="1">IF(表2_367162629303891213141523[[#This Row],[累计净值]]/MAX(INDIRECT("B21:B" &amp; ROW()))-1&lt;E69,表2_367162629303891213141523[[#This Row],[累计净值]]/MAX(INDIRECT("B21:B" &amp; ROW()))-1,E69)</f>
        <v>-1.8547140649149862E-2</v>
      </c>
      <c r="F70" s="110">
        <f>表2_367162629303891213141523[[#This Row],[累计净值]]</f>
        <v>1.018</v>
      </c>
      <c r="G70" s="20">
        <f>表2_367162629303891213141523[[#This Row],[累计净值]]/$B$21-1</f>
        <v>-3.5238841033673474E-3</v>
      </c>
    </row>
    <row r="71" spans="1:7" x14ac:dyDescent="0.2">
      <c r="A71" s="15">
        <v>44096</v>
      </c>
      <c r="B71" s="112">
        <v>1.0177</v>
      </c>
      <c r="C71" s="108">
        <f t="shared" si="12"/>
        <v>-2.9999999999996696E-4</v>
      </c>
      <c r="D71" s="109">
        <f t="shared" si="13"/>
        <v>-2.9999999999996696E-4</v>
      </c>
      <c r="E71" s="109">
        <f ca="1">IF(表2_367162629303891213141523[[#This Row],[累计净值]]/MAX(INDIRECT("B21:B" &amp; ROW()))-1&lt;E70,表2_367162629303891213141523[[#This Row],[累计净值]]/MAX(INDIRECT("B21:B" &amp; ROW()))-1,E70)</f>
        <v>-1.8547140649149862E-2</v>
      </c>
      <c r="F71" s="110">
        <f>表2_367162629303891213141523[[#This Row],[累计净值]]</f>
        <v>1.0177</v>
      </c>
      <c r="G71" s="20">
        <f>表2_367162629303891213141523[[#This Row],[累计净值]]/$B$21-1</f>
        <v>-3.817541111981182E-3</v>
      </c>
    </row>
    <row r="72" spans="1:7" x14ac:dyDescent="0.2">
      <c r="A72" s="15">
        <v>44097</v>
      </c>
      <c r="B72" s="112">
        <v>1.0193000000000001</v>
      </c>
      <c r="C72" s="108">
        <f t="shared" ref="C72:C77" si="14">IFERROR(B72-B71,0)</f>
        <v>1.6000000000000458E-3</v>
      </c>
      <c r="D72" s="109" t="str">
        <f t="shared" ref="D72:D77" si="15">IF(C72&lt;0,C72,"/")</f>
        <v>/</v>
      </c>
      <c r="E72" s="109">
        <f ca="1">IF(表2_367162629303891213141523[[#This Row],[累计净值]]/MAX(INDIRECT("B21:B" &amp; ROW()))-1&lt;E71,表2_367162629303891213141523[[#This Row],[累计净值]]/MAX(INDIRECT("B21:B" &amp; ROW()))-1,E71)</f>
        <v>-1.8547140649149862E-2</v>
      </c>
      <c r="F72" s="110">
        <f>表2_367162629303891213141523[[#This Row],[累计净值]]</f>
        <v>1.0193000000000001</v>
      </c>
      <c r="G72" s="20">
        <f>表2_367162629303891213141523[[#This Row],[累计净值]]/$B$21-1</f>
        <v>-2.251370399373509E-3</v>
      </c>
    </row>
    <row r="73" spans="1:7" x14ac:dyDescent="0.2">
      <c r="A73" s="15">
        <v>44098</v>
      </c>
      <c r="B73" s="112">
        <v>1.0165</v>
      </c>
      <c r="C73" s="108">
        <f t="shared" si="14"/>
        <v>-2.8000000000001357E-3</v>
      </c>
      <c r="D73" s="109">
        <f t="shared" si="15"/>
        <v>-2.8000000000001357E-3</v>
      </c>
      <c r="E73" s="109">
        <f ca="1">IF(表2_367162629303891213141523[[#This Row],[累计净值]]/MAX(INDIRECT("B21:B" &amp; ROW()))-1&lt;E72,表2_367162629303891213141523[[#This Row],[累计净值]]/MAX(INDIRECT("B21:B" &amp; ROW()))-1,E72)</f>
        <v>-1.8547140649149862E-2</v>
      </c>
      <c r="F73" s="110">
        <f>表2_367162629303891213141523[[#This Row],[累计净值]]</f>
        <v>1.0165</v>
      </c>
      <c r="G73" s="20">
        <f>表2_367162629303891213141523[[#This Row],[累计净值]]/$B$21-1</f>
        <v>-4.9921691464370754E-3</v>
      </c>
    </row>
    <row r="74" spans="1:7" x14ac:dyDescent="0.2">
      <c r="A74" s="15">
        <v>44099</v>
      </c>
      <c r="B74" s="112">
        <v>1.0146999999999999</v>
      </c>
      <c r="C74" s="108">
        <f t="shared" si="14"/>
        <v>-1.8000000000000238E-3</v>
      </c>
      <c r="D74" s="109">
        <f t="shared" si="15"/>
        <v>-1.8000000000000238E-3</v>
      </c>
      <c r="E74" s="109">
        <f ca="1">IF(表2_367162629303891213141523[[#This Row],[累计净值]]/MAX(INDIRECT("B21:B" &amp; ROW()))-1&lt;E73,表2_367162629303891213141523[[#This Row],[累计净值]]/MAX(INDIRECT("B21:B" &amp; ROW()))-1,E73)</f>
        <v>-1.980293663060273E-2</v>
      </c>
      <c r="F74" s="110">
        <f>表2_367162629303891213141523[[#This Row],[累计净值]]</f>
        <v>1.0146999999999999</v>
      </c>
      <c r="G74" s="20">
        <f>表2_367162629303891213141523[[#This Row],[累计净值]]/$B$21-1</f>
        <v>-6.7541111981207491E-3</v>
      </c>
    </row>
    <row r="75" spans="1:7" x14ac:dyDescent="0.2">
      <c r="A75" s="15">
        <v>44102</v>
      </c>
      <c r="B75" s="112">
        <v>1.0135000000000001</v>
      </c>
      <c r="C75" s="108">
        <f t="shared" si="14"/>
        <v>-1.1999999999998678E-3</v>
      </c>
      <c r="D75" s="109">
        <f t="shared" si="15"/>
        <v>-1.1999999999998678E-3</v>
      </c>
      <c r="E75" s="109">
        <f ca="1">IF(表2_367162629303891213141523[[#This Row],[累计净值]]/MAX(INDIRECT("B21:B" &amp; ROW()))-1&lt;E74,表2_367162629303891213141523[[#This Row],[累计净值]]/MAX(INDIRECT("B21:B" &amp; ROW()))-1,E74)</f>
        <v>-2.0962132921174437E-2</v>
      </c>
      <c r="F75" s="110">
        <f>表2_367162629303891213141523[[#This Row],[累计净值]]</f>
        <v>1.0135000000000001</v>
      </c>
      <c r="G75" s="20">
        <f>表2_367162629303891213141523[[#This Row],[累计净值]]/$B$21-1</f>
        <v>-7.9287392325763095E-3</v>
      </c>
    </row>
    <row r="76" spans="1:7" x14ac:dyDescent="0.2">
      <c r="A76" s="15">
        <v>44103</v>
      </c>
      <c r="B76" s="112">
        <v>1.0115000000000001</v>
      </c>
      <c r="C76" s="108">
        <f t="shared" si="14"/>
        <v>-2.0000000000000018E-3</v>
      </c>
      <c r="D76" s="109">
        <f t="shared" si="15"/>
        <v>-2.0000000000000018E-3</v>
      </c>
      <c r="E76" s="109">
        <f ca="1">IF(表2_367162629303891213141523[[#This Row],[累计净值]]/MAX(INDIRECT("B21:B" &amp; ROW()))-1&lt;E75,表2_367162629303891213141523[[#This Row],[累计净值]]/MAX(INDIRECT("B21:B" &amp; ROW()))-1,E75)</f>
        <v>-2.2894126738794318E-2</v>
      </c>
      <c r="F76" s="110">
        <f>表2_367162629303891213141523[[#This Row],[累计净值]]</f>
        <v>1.0115000000000001</v>
      </c>
      <c r="G76" s="20">
        <f>表2_367162629303891213141523[[#This Row],[累计净值]]/$B$21-1</f>
        <v>-9.886452623335984E-3</v>
      </c>
    </row>
    <row r="77" spans="1:7" x14ac:dyDescent="0.2">
      <c r="A77" s="15">
        <v>44104</v>
      </c>
      <c r="B77" s="112">
        <v>1.0145</v>
      </c>
      <c r="C77" s="108">
        <f t="shared" si="14"/>
        <v>2.9999999999998916E-3</v>
      </c>
      <c r="D77" s="109" t="str">
        <f t="shared" si="15"/>
        <v>/</v>
      </c>
      <c r="E77" s="109">
        <f ca="1">IF(表2_367162629303891213141523[[#This Row],[累计净值]]/MAX(INDIRECT("B21:B" &amp; ROW()))-1&lt;E76,表2_367162629303891213141523[[#This Row],[累计净值]]/MAX(INDIRECT("B21:B" &amp; ROW()))-1,E76)</f>
        <v>-2.2894126738794318E-2</v>
      </c>
      <c r="F77" s="110">
        <f>表2_367162629303891213141523[[#This Row],[累计净值]]</f>
        <v>1.0145</v>
      </c>
      <c r="G77" s="20">
        <f>表2_367162629303891213141523[[#This Row],[累计净值]]/$B$21-1</f>
        <v>-6.9498825371966388E-3</v>
      </c>
    </row>
    <row r="78" spans="1:7" x14ac:dyDescent="0.2">
      <c r="A78" s="15">
        <v>44113</v>
      </c>
      <c r="B78" s="112">
        <v>1.014</v>
      </c>
      <c r="C78" s="108">
        <f t="shared" ref="C78:C83" si="16">IFERROR(B78-B77,0)</f>
        <v>-4.9999999999994493E-4</v>
      </c>
      <c r="D78" s="109">
        <f t="shared" ref="D78:D83" si="17">IF(C78&lt;0,C78,"/")</f>
        <v>-4.9999999999994493E-4</v>
      </c>
      <c r="E78" s="109">
        <f ca="1">IF(表2_367162629303891213141523[[#This Row],[累计净值]]/MAX(INDIRECT("B21:B" &amp; ROW()))-1&lt;E77,表2_367162629303891213141523[[#This Row],[累计净值]]/MAX(INDIRECT("B21:B" &amp; ROW()))-1,E77)</f>
        <v>-2.2894126738794318E-2</v>
      </c>
      <c r="F78" s="110">
        <f>表2_367162629303891213141523[[#This Row],[累计净值]]</f>
        <v>1.014</v>
      </c>
      <c r="G78" s="20">
        <f>表2_367162629303891213141523[[#This Row],[累计净值]]/$B$21-1</f>
        <v>-7.4393108848864742E-3</v>
      </c>
    </row>
    <row r="79" spans="1:7" x14ac:dyDescent="0.2">
      <c r="A79" s="15">
        <v>44116</v>
      </c>
      <c r="B79" s="112">
        <v>1.0154000000000001</v>
      </c>
      <c r="C79" s="108">
        <f t="shared" si="16"/>
        <v>1.4000000000000679E-3</v>
      </c>
      <c r="D79" s="109" t="str">
        <f t="shared" si="17"/>
        <v>/</v>
      </c>
      <c r="E79" s="109">
        <f ca="1">IF(表2_367162629303891213141523[[#This Row],[累计净值]]/MAX(INDIRECT("B21:B" &amp; ROW()))-1&lt;E78,表2_367162629303891213141523[[#This Row],[累计净值]]/MAX(INDIRECT("B21:B" &amp; ROW()))-1,E78)</f>
        <v>-2.2894126738794318E-2</v>
      </c>
      <c r="F79" s="110">
        <f>表2_367162629303891213141523[[#This Row],[累计净值]]</f>
        <v>1.0154000000000001</v>
      </c>
      <c r="G79" s="20">
        <f>表2_367162629303891213141523[[#This Row],[累计净值]]/$B$21-1</f>
        <v>-6.068911511354691E-3</v>
      </c>
    </row>
    <row r="80" spans="1:7" x14ac:dyDescent="0.2">
      <c r="A80" s="15">
        <v>44117</v>
      </c>
      <c r="B80" s="112">
        <v>1.0150999999999999</v>
      </c>
      <c r="C80" s="108">
        <f t="shared" si="16"/>
        <v>-3.00000000000189E-4</v>
      </c>
      <c r="D80" s="109">
        <f t="shared" si="17"/>
        <v>-3.00000000000189E-4</v>
      </c>
      <c r="E80" s="109">
        <f ca="1">IF(表2_367162629303891213141523[[#This Row],[累计净值]]/MAX(INDIRECT("B21:B" &amp; ROW()))-1&lt;E79,表2_367162629303891213141523[[#This Row],[累计净值]]/MAX(INDIRECT("B21:B" &amp; ROW()))-1,E79)</f>
        <v>-2.2894126738794318E-2</v>
      </c>
      <c r="F80" s="110">
        <f>表2_367162629303891213141523[[#This Row],[累计净值]]</f>
        <v>1.0150999999999999</v>
      </c>
      <c r="G80" s="20">
        <f>表2_367162629303891213141523[[#This Row],[累计净值]]/$B$21-1</f>
        <v>-6.3625685199688586E-3</v>
      </c>
    </row>
    <row r="81" spans="1:7" x14ac:dyDescent="0.2">
      <c r="A81" s="15">
        <v>44118</v>
      </c>
      <c r="B81" s="112">
        <v>1.0130999999999999</v>
      </c>
      <c r="C81" s="108">
        <f t="shared" si="16"/>
        <v>-2.0000000000000018E-3</v>
      </c>
      <c r="D81" s="109">
        <f t="shared" si="17"/>
        <v>-2.0000000000000018E-3</v>
      </c>
      <c r="E81" s="109">
        <f ca="1">IF(表2_367162629303891213141523[[#This Row],[累计净值]]/MAX(INDIRECT("B21:B" &amp; ROW()))-1&lt;E80,表2_367162629303891213141523[[#This Row],[累计净值]]/MAX(INDIRECT("B21:B" &amp; ROW()))-1,E80)</f>
        <v>-2.2894126738794318E-2</v>
      </c>
      <c r="F81" s="110">
        <f>表2_367162629303891213141523[[#This Row],[累计净值]]</f>
        <v>1.0130999999999999</v>
      </c>
      <c r="G81" s="20">
        <f>表2_367162629303891213141523[[#This Row],[累计净值]]/$B$21-1</f>
        <v>-8.320281910728422E-3</v>
      </c>
    </row>
    <row r="82" spans="1:7" x14ac:dyDescent="0.2">
      <c r="A82" s="15">
        <v>44119</v>
      </c>
      <c r="B82" s="112">
        <v>1.0116000000000001</v>
      </c>
      <c r="C82" s="108">
        <f t="shared" si="16"/>
        <v>-1.4999999999998348E-3</v>
      </c>
      <c r="D82" s="109">
        <f t="shared" si="17"/>
        <v>-1.4999999999998348E-3</v>
      </c>
      <c r="E82" s="109">
        <f ca="1">IF(表2_367162629303891213141523[[#This Row],[累计净值]]/MAX(INDIRECT("B21:B" &amp; ROW()))-1&lt;E81,表2_367162629303891213141523[[#This Row],[累计净值]]/MAX(INDIRECT("B21:B" &amp; ROW()))-1,E81)</f>
        <v>-2.2894126738794318E-2</v>
      </c>
      <c r="F82" s="110">
        <f>表2_367162629303891213141523[[#This Row],[累计净值]]</f>
        <v>1.0116000000000001</v>
      </c>
      <c r="G82" s="20">
        <f>表2_367162629303891213141523[[#This Row],[累计净值]]/$B$21-1</f>
        <v>-9.7885669537979281E-3</v>
      </c>
    </row>
    <row r="83" spans="1:7" x14ac:dyDescent="0.2">
      <c r="A83" s="15">
        <v>44120</v>
      </c>
      <c r="B83" s="112">
        <v>1.0112000000000001</v>
      </c>
      <c r="C83" s="108">
        <f t="shared" si="16"/>
        <v>-3.9999999999995595E-4</v>
      </c>
      <c r="D83" s="109">
        <f t="shared" si="17"/>
        <v>-3.9999999999995595E-4</v>
      </c>
      <c r="E83" s="109">
        <f ca="1">IF(表2_367162629303891213141523[[#This Row],[累计净值]]/MAX(INDIRECT("B21:B" &amp; ROW()))-1&lt;E82,表2_367162629303891213141523[[#This Row],[累计净值]]/MAX(INDIRECT("B21:B" &amp; ROW()))-1,E82)</f>
        <v>-2.3183925811437245E-2</v>
      </c>
      <c r="F83" s="110">
        <f>表2_367162629303891213141523[[#This Row],[累计净值]]</f>
        <v>1.0112000000000001</v>
      </c>
      <c r="G83" s="20">
        <f>表2_367162629303891213141523[[#This Row],[累计净值]]/$B$21-1</f>
        <v>-1.0180109631949819E-2</v>
      </c>
    </row>
    <row r="84" spans="1:7" x14ac:dyDescent="0.2">
      <c r="A84" s="15">
        <v>44123</v>
      </c>
      <c r="B84" s="112">
        <v>1.0105999999999999</v>
      </c>
      <c r="C84" s="108">
        <f t="shared" ref="C84:C89" si="18">IFERROR(B84-B83,0)</f>
        <v>-6.0000000000015596E-4</v>
      </c>
      <c r="D84" s="109">
        <f t="shared" ref="D84:D89" si="19">IF(C84&lt;0,C84,"/")</f>
        <v>-6.0000000000015596E-4</v>
      </c>
      <c r="E84" s="109">
        <f ca="1">IF(表2_367162629303891213141523[[#This Row],[累计净值]]/MAX(INDIRECT("B21:B" &amp; ROW()))-1&lt;E83,表2_367162629303891213141523[[#This Row],[累计净值]]/MAX(INDIRECT("B21:B" &amp; ROW()))-1,E83)</f>
        <v>-2.376352395672332E-2</v>
      </c>
      <c r="F84" s="110">
        <f>表2_367162629303891213141523[[#This Row],[累计净值]]</f>
        <v>1.0105999999999999</v>
      </c>
      <c r="G84" s="20">
        <f>表2_367162629303891213141523[[#This Row],[累计净值]]/$B$21-1</f>
        <v>-1.0767423649177932E-2</v>
      </c>
    </row>
    <row r="85" spans="1:7" x14ac:dyDescent="0.2">
      <c r="A85" s="15">
        <v>44124</v>
      </c>
      <c r="B85" s="112">
        <v>1.0128999999999999</v>
      </c>
      <c r="C85" s="108">
        <f t="shared" si="18"/>
        <v>2.2999999999999687E-3</v>
      </c>
      <c r="D85" s="109" t="str">
        <f t="shared" si="19"/>
        <v>/</v>
      </c>
      <c r="E85" s="109">
        <f ca="1">IF(表2_367162629303891213141523[[#This Row],[累计净值]]/MAX(INDIRECT("B21:B" &amp; ROW()))-1&lt;E84,表2_367162629303891213141523[[#This Row],[累计净值]]/MAX(INDIRECT("B21:B" &amp; ROW()))-1,E84)</f>
        <v>-2.376352395672332E-2</v>
      </c>
      <c r="F85" s="110">
        <f>表2_367162629303891213141523[[#This Row],[累计净值]]</f>
        <v>1.0128999999999999</v>
      </c>
      <c r="G85" s="20">
        <f>表2_367162629303891213141523[[#This Row],[累计净值]]/$B$21-1</f>
        <v>-8.5160532498044228E-3</v>
      </c>
    </row>
    <row r="86" spans="1:7" x14ac:dyDescent="0.2">
      <c r="A86" s="15">
        <v>44125</v>
      </c>
      <c r="B86" s="112">
        <v>1.0119</v>
      </c>
      <c r="C86" s="108">
        <f t="shared" si="18"/>
        <v>-9.9999999999988987E-4</v>
      </c>
      <c r="D86" s="109">
        <f t="shared" si="19"/>
        <v>-9.9999999999988987E-4</v>
      </c>
      <c r="E86" s="109">
        <f ca="1">IF(表2_367162629303891213141523[[#This Row],[累计净值]]/MAX(INDIRECT("B21:B" &amp; ROW()))-1&lt;E85,表2_367162629303891213141523[[#This Row],[累计净值]]/MAX(INDIRECT("B21:B" &amp; ROW()))-1,E85)</f>
        <v>-2.376352395672332E-2</v>
      </c>
      <c r="F86" s="110">
        <f>表2_367162629303891213141523[[#This Row],[累计净值]]</f>
        <v>1.0119</v>
      </c>
      <c r="G86" s="20">
        <f>表2_367162629303891213141523[[#This Row],[累计净值]]/$B$21-1</f>
        <v>-9.4949099451840935E-3</v>
      </c>
    </row>
    <row r="87" spans="1:7" x14ac:dyDescent="0.2">
      <c r="A87" s="15">
        <v>44126</v>
      </c>
      <c r="B87" s="112">
        <v>1.0104</v>
      </c>
      <c r="C87" s="108">
        <f t="shared" si="18"/>
        <v>-1.5000000000000568E-3</v>
      </c>
      <c r="D87" s="109">
        <f t="shared" si="19"/>
        <v>-1.5000000000000568E-3</v>
      </c>
      <c r="E87" s="109">
        <f ca="1">IF(表2_367162629303891213141523[[#This Row],[累计净值]]/MAX(INDIRECT("B21:B" &amp; ROW()))-1&lt;E86,表2_367162629303891213141523[[#This Row],[累计净值]]/MAX(INDIRECT("B21:B" &amp; ROW()))-1,E86)</f>
        <v>-2.3956723338485308E-2</v>
      </c>
      <c r="F87" s="110">
        <f>表2_367162629303891213141523[[#This Row],[累计净值]]</f>
        <v>1.0104</v>
      </c>
      <c r="G87" s="20">
        <f>表2_367162629303891213141523[[#This Row],[累计净值]]/$B$21-1</f>
        <v>-1.0963194988253822E-2</v>
      </c>
    </row>
    <row r="88" spans="1:7" x14ac:dyDescent="0.2">
      <c r="A88" s="15">
        <v>44127</v>
      </c>
      <c r="B88" s="112">
        <v>1.0063</v>
      </c>
      <c r="C88" s="108">
        <f t="shared" si="18"/>
        <v>-4.0999999999999925E-3</v>
      </c>
      <c r="D88" s="109">
        <f t="shared" si="19"/>
        <v>-4.0999999999999925E-3</v>
      </c>
      <c r="E88" s="109">
        <f ca="1">IF(表2_367162629303891213141523[[#This Row],[累计净值]]/MAX(INDIRECT("B21:B" &amp; ROW()))-1&lt;E87,表2_367162629303891213141523[[#This Row],[累计净值]]/MAX(INDIRECT("B21:B" &amp; ROW()))-1,E87)</f>
        <v>-2.7917310664605788E-2</v>
      </c>
      <c r="F88" s="110">
        <f>表2_367162629303891213141523[[#This Row],[累计净值]]</f>
        <v>1.0063</v>
      </c>
      <c r="G88" s="20">
        <f>表2_367162629303891213141523[[#This Row],[累计净值]]/$B$21-1</f>
        <v>-1.4976507439311004E-2</v>
      </c>
    </row>
    <row r="89" spans="1:7" x14ac:dyDescent="0.2">
      <c r="A89" s="15">
        <v>44130</v>
      </c>
      <c r="B89" s="112">
        <v>1.0065</v>
      </c>
      <c r="C89" s="108">
        <f t="shared" si="18"/>
        <v>1.9999999999997797E-4</v>
      </c>
      <c r="D89" s="109" t="str">
        <f t="shared" si="19"/>
        <v>/</v>
      </c>
      <c r="E89" s="109">
        <f ca="1">IF(表2_367162629303891213141523[[#This Row],[累计净值]]/MAX(INDIRECT("B21:B" &amp; ROW()))-1&lt;E88,表2_367162629303891213141523[[#This Row],[累计净值]]/MAX(INDIRECT("B21:B" &amp; ROW()))-1,E88)</f>
        <v>-2.7917310664605788E-2</v>
      </c>
      <c r="F89" s="110">
        <f>表2_367162629303891213141523[[#This Row],[累计净值]]</f>
        <v>1.0065</v>
      </c>
      <c r="G89" s="20">
        <f>表2_367162629303891213141523[[#This Row],[累计净值]]/$B$21-1</f>
        <v>-1.4780736100235004E-2</v>
      </c>
    </row>
    <row r="90" spans="1:7" x14ac:dyDescent="0.2">
      <c r="A90" s="15">
        <v>44131</v>
      </c>
      <c r="B90" s="112">
        <v>1.0083</v>
      </c>
      <c r="C90" s="108">
        <f t="shared" ref="C90:C96" si="20">IFERROR(B90-B89,0)</f>
        <v>1.8000000000000238E-3</v>
      </c>
      <c r="D90" s="109" t="str">
        <f t="shared" ref="D90:D96" si="21">IF(C90&lt;0,C90,"/")</f>
        <v>/</v>
      </c>
      <c r="E90" s="109">
        <f ca="1">IF(表2_367162629303891213141523[[#This Row],[累计净值]]/MAX(INDIRECT("B21:B" &amp; ROW()))-1&lt;E89,表2_367162629303891213141523[[#This Row],[累计净值]]/MAX(INDIRECT("B21:B" &amp; ROW()))-1,E89)</f>
        <v>-2.7917310664605788E-2</v>
      </c>
      <c r="F90" s="110">
        <f>表2_367162629303891213141523[[#This Row],[累计净值]]</f>
        <v>1.0083</v>
      </c>
      <c r="G90" s="20">
        <f>表2_367162629303891213141523[[#This Row],[累计净值]]/$B$21-1</f>
        <v>-1.301879404855133E-2</v>
      </c>
    </row>
    <row r="91" spans="1:7" x14ac:dyDescent="0.2">
      <c r="A91" s="15">
        <v>44132</v>
      </c>
      <c r="B91" s="112">
        <v>1.0077</v>
      </c>
      <c r="C91" s="108">
        <f t="shared" si="20"/>
        <v>-5.9999999999993392E-4</v>
      </c>
      <c r="D91" s="109">
        <f t="shared" si="21"/>
        <v>-5.9999999999993392E-4</v>
      </c>
      <c r="E91" s="109">
        <f ca="1">IF(表2_367162629303891213141523[[#This Row],[累计净值]]/MAX(INDIRECT("B21:B" &amp; ROW()))-1&lt;E90,表2_367162629303891213141523[[#This Row],[累计净值]]/MAX(INDIRECT("B21:B" &amp; ROW()))-1,E90)</f>
        <v>-2.7917310664605788E-2</v>
      </c>
      <c r="F91" s="110">
        <f>表2_367162629303891213141523[[#This Row],[累计净值]]</f>
        <v>1.0077</v>
      </c>
      <c r="G91" s="20">
        <f>表2_367162629303891213141523[[#This Row],[累计净值]]/$B$21-1</f>
        <v>-1.3606108065779221E-2</v>
      </c>
    </row>
    <row r="92" spans="1:7" x14ac:dyDescent="0.2">
      <c r="A92" s="15">
        <v>44133</v>
      </c>
      <c r="B92" s="112">
        <v>1.0078</v>
      </c>
      <c r="C92" s="108">
        <f t="shared" si="20"/>
        <v>9.9999999999988987E-5</v>
      </c>
      <c r="D92" s="109" t="str">
        <f t="shared" si="21"/>
        <v>/</v>
      </c>
      <c r="E92" s="109">
        <f ca="1">IF(表2_367162629303891213141523[[#This Row],[累计净值]]/MAX(INDIRECT("B21:B" &amp; ROW()))-1&lt;E91,表2_367162629303891213141523[[#This Row],[累计净值]]/MAX(INDIRECT("B21:B" &amp; ROW()))-1,E91)</f>
        <v>-2.7917310664605788E-2</v>
      </c>
      <c r="F92" s="110">
        <f>表2_367162629303891213141523[[#This Row],[累计净值]]</f>
        <v>1.0078</v>
      </c>
      <c r="G92" s="20">
        <f>表2_367162629303891213141523[[#This Row],[累计净值]]/$B$21-1</f>
        <v>-1.3508222396241276E-2</v>
      </c>
    </row>
    <row r="93" spans="1:7" x14ac:dyDescent="0.2">
      <c r="A93" s="15">
        <v>44134</v>
      </c>
      <c r="B93" s="112">
        <v>1.0076000000000001</v>
      </c>
      <c r="C93" s="108">
        <f t="shared" si="20"/>
        <v>-1.9999999999997797E-4</v>
      </c>
      <c r="D93" s="109">
        <f t="shared" si="21"/>
        <v>-1.9999999999997797E-4</v>
      </c>
      <c r="E93" s="109">
        <f ca="1">IF(表2_367162629303891213141523[[#This Row],[累计净值]]/MAX(INDIRECT("B21:B" &amp; ROW()))-1&lt;E92,表2_367162629303891213141523[[#This Row],[累计净值]]/MAX(INDIRECT("B21:B" &amp; ROW()))-1,E92)</f>
        <v>-2.7917310664605788E-2</v>
      </c>
      <c r="F93" s="110">
        <f>表2_367162629303891213141523[[#This Row],[累计净值]]</f>
        <v>1.0076000000000001</v>
      </c>
      <c r="G93" s="20">
        <f>表2_367162629303891213141523[[#This Row],[累计净值]]/$B$21-1</f>
        <v>-1.3703993735317166E-2</v>
      </c>
    </row>
    <row r="94" spans="1:7" x14ac:dyDescent="0.2">
      <c r="A94" s="15">
        <v>44137</v>
      </c>
      <c r="B94" s="112">
        <v>1.008</v>
      </c>
      <c r="C94" s="108">
        <f t="shared" si="20"/>
        <v>3.9999999999995595E-4</v>
      </c>
      <c r="D94" s="109" t="str">
        <f t="shared" si="21"/>
        <v>/</v>
      </c>
      <c r="E94" s="109">
        <f ca="1">IF(表2_367162629303891213141523[[#This Row],[累计净值]]/MAX(INDIRECT("B21:B" &amp; ROW()))-1&lt;E93,表2_367162629303891213141523[[#This Row],[累计净值]]/MAX(INDIRECT("B21:B" &amp; ROW()))-1,E93)</f>
        <v>-2.7917310664605788E-2</v>
      </c>
      <c r="F94" s="110">
        <f>表2_367162629303891213141523[[#This Row],[累计净值]]</f>
        <v>1.008</v>
      </c>
      <c r="G94" s="20">
        <f>表2_367162629303891213141523[[#This Row],[累计净值]]/$B$21-1</f>
        <v>-1.3312451057165275E-2</v>
      </c>
    </row>
    <row r="95" spans="1:7" x14ac:dyDescent="0.2">
      <c r="A95" s="15">
        <v>44138</v>
      </c>
      <c r="B95" s="112">
        <v>1.0112000000000001</v>
      </c>
      <c r="C95" s="108">
        <f t="shared" si="20"/>
        <v>3.2000000000000917E-3</v>
      </c>
      <c r="D95" s="109" t="str">
        <f t="shared" si="21"/>
        <v>/</v>
      </c>
      <c r="E95" s="109">
        <f ca="1">IF(表2_367162629303891213141523[[#This Row],[累计净值]]/MAX(INDIRECT("B21:B" &amp; ROW()))-1&lt;E94,表2_367162629303891213141523[[#This Row],[累计净值]]/MAX(INDIRECT("B21:B" &amp; ROW()))-1,E94)</f>
        <v>-2.7917310664605788E-2</v>
      </c>
      <c r="F95" s="110">
        <f>表2_367162629303891213141523[[#This Row],[累计净值]]</f>
        <v>1.0112000000000001</v>
      </c>
      <c r="G95" s="20">
        <f>表2_367162629303891213141523[[#This Row],[累计净值]]/$B$21-1</f>
        <v>-1.0180109631949819E-2</v>
      </c>
    </row>
    <row r="96" spans="1:7" x14ac:dyDescent="0.2">
      <c r="A96" s="15">
        <v>44139</v>
      </c>
      <c r="B96" s="112">
        <v>1.0135000000000001</v>
      </c>
      <c r="C96" s="108">
        <f t="shared" si="20"/>
        <v>2.2999999999999687E-3</v>
      </c>
      <c r="D96" s="109" t="str">
        <f t="shared" si="21"/>
        <v>/</v>
      </c>
      <c r="E96" s="109">
        <f ca="1">IF(表2_367162629303891213141523[[#This Row],[累计净值]]/MAX(INDIRECT("B21:B" &amp; ROW()))-1&lt;E95,表2_367162629303891213141523[[#This Row],[累计净值]]/MAX(INDIRECT("B21:B" &amp; ROW()))-1,E95)</f>
        <v>-2.7917310664605788E-2</v>
      </c>
      <c r="F96" s="110">
        <f>表2_367162629303891213141523[[#This Row],[累计净值]]</f>
        <v>1.0135000000000001</v>
      </c>
      <c r="G96" s="20">
        <f>表2_367162629303891213141523[[#This Row],[累计净值]]/$B$21-1</f>
        <v>-7.9287392325763095E-3</v>
      </c>
    </row>
    <row r="97" spans="1:7" x14ac:dyDescent="0.2">
      <c r="A97" s="15">
        <v>44140</v>
      </c>
      <c r="B97" s="112">
        <v>1.0138</v>
      </c>
      <c r="C97" s="108">
        <f t="shared" ref="C97:C102" si="22">IFERROR(B97-B96,0)</f>
        <v>2.9999999999996696E-4</v>
      </c>
      <c r="D97" s="109" t="str">
        <f t="shared" ref="D97:D102" si="23">IF(C97&lt;0,C97,"/")</f>
        <v>/</v>
      </c>
      <c r="E97" s="109">
        <f ca="1">IF(表2_367162629303891213141523[[#This Row],[累计净值]]/MAX(INDIRECT("B21:B" &amp; ROW()))-1&lt;E96,表2_367162629303891213141523[[#This Row],[累计净值]]/MAX(INDIRECT("B21:B" &amp; ROW()))-1,E96)</f>
        <v>-2.7917310664605788E-2</v>
      </c>
      <c r="F97" s="110">
        <f>表2_367162629303891213141523[[#This Row],[累计净值]]</f>
        <v>1.0138</v>
      </c>
      <c r="G97" s="20">
        <f>表2_367162629303891213141523[[#This Row],[累计净值]]/$B$21-1</f>
        <v>-7.6350822239624749E-3</v>
      </c>
    </row>
    <row r="98" spans="1:7" x14ac:dyDescent="0.2">
      <c r="A98" s="15">
        <v>44141</v>
      </c>
      <c r="B98" s="112">
        <v>1.0133000000000001</v>
      </c>
      <c r="C98" s="108">
        <f t="shared" si="22"/>
        <v>-4.9999999999994493E-4</v>
      </c>
      <c r="D98" s="109">
        <f t="shared" si="23"/>
        <v>-4.9999999999994493E-4</v>
      </c>
      <c r="E98" s="109">
        <f ca="1">IF(表2_367162629303891213141523[[#This Row],[累计净值]]/MAX(INDIRECT("B21:B" &amp; ROW()))-1&lt;E97,表2_367162629303891213141523[[#This Row],[累计净值]]/MAX(INDIRECT("B21:B" &amp; ROW()))-1,E97)</f>
        <v>-2.7917310664605788E-2</v>
      </c>
      <c r="F98" s="110">
        <f>表2_367162629303891213141523[[#This Row],[累计净值]]</f>
        <v>1.0133000000000001</v>
      </c>
      <c r="G98" s="20">
        <f>表2_367162629303891213141523[[#This Row],[累计净值]]/$B$21-1</f>
        <v>-8.1245105716523103E-3</v>
      </c>
    </row>
    <row r="99" spans="1:7" x14ac:dyDescent="0.2">
      <c r="A99" s="15">
        <v>44144</v>
      </c>
      <c r="B99" s="112">
        <v>1.0149999999999999</v>
      </c>
      <c r="C99" s="108">
        <f t="shared" si="22"/>
        <v>1.6999999999998128E-3</v>
      </c>
      <c r="D99" s="109" t="str">
        <f t="shared" si="23"/>
        <v>/</v>
      </c>
      <c r="E99" s="109">
        <f ca="1">IF(表2_367162629303891213141523[[#This Row],[累计净值]]/MAX(INDIRECT("B21:B" &amp; ROW()))-1&lt;E98,表2_367162629303891213141523[[#This Row],[累计净值]]/MAX(INDIRECT("B21:B" &amp; ROW()))-1,E98)</f>
        <v>-2.7917310664605788E-2</v>
      </c>
      <c r="F99" s="110">
        <f>表2_367162629303891213141523[[#This Row],[累计净值]]</f>
        <v>1.0149999999999999</v>
      </c>
      <c r="G99" s="20">
        <f>表2_367162629303891213141523[[#This Row],[累计净值]]/$B$21-1</f>
        <v>-6.4604541895068035E-3</v>
      </c>
    </row>
    <row r="100" spans="1:7" x14ac:dyDescent="0.2">
      <c r="A100" s="15">
        <v>44145</v>
      </c>
      <c r="B100" s="112">
        <v>1.0181</v>
      </c>
      <c r="C100" s="108">
        <f t="shared" si="22"/>
        <v>3.1000000000001027E-3</v>
      </c>
      <c r="D100" s="109" t="str">
        <f t="shared" si="23"/>
        <v>/</v>
      </c>
      <c r="E100" s="109">
        <f ca="1">IF(表2_367162629303891213141523[[#This Row],[累计净值]]/MAX(INDIRECT("B21:B" &amp; ROW()))-1&lt;E99,表2_367162629303891213141523[[#This Row],[累计净值]]/MAX(INDIRECT("B21:B" &amp; ROW()))-1,E99)</f>
        <v>-2.7917310664605788E-2</v>
      </c>
      <c r="F100" s="110">
        <f>表2_367162629303891213141523[[#This Row],[累计净值]]</f>
        <v>1.0181</v>
      </c>
      <c r="G100" s="20">
        <f>表2_367162629303891213141523[[#This Row],[累计净值]]/$B$21-1</f>
        <v>-3.4259984338292915E-3</v>
      </c>
    </row>
    <row r="101" spans="1:7" x14ac:dyDescent="0.2">
      <c r="A101" s="15">
        <v>44146</v>
      </c>
      <c r="B101" s="112">
        <v>1.014</v>
      </c>
      <c r="C101" s="108">
        <f t="shared" si="22"/>
        <v>-4.0999999999999925E-3</v>
      </c>
      <c r="D101" s="109">
        <f t="shared" si="23"/>
        <v>-4.0999999999999925E-3</v>
      </c>
      <c r="E101" s="109">
        <f ca="1">IF(表2_367162629303891213141523[[#This Row],[累计净值]]/MAX(INDIRECT("B21:B" &amp; ROW()))-1&lt;E100,表2_367162629303891213141523[[#This Row],[累计净值]]/MAX(INDIRECT("B21:B" &amp; ROW()))-1,E100)</f>
        <v>-2.7917310664605788E-2</v>
      </c>
      <c r="F101" s="110">
        <f>表2_367162629303891213141523[[#This Row],[累计净值]]</f>
        <v>1.014</v>
      </c>
      <c r="G101" s="20">
        <f>表2_367162629303891213141523[[#This Row],[累计净值]]/$B$21-1</f>
        <v>-7.4393108848864742E-3</v>
      </c>
    </row>
    <row r="102" spans="1:7" x14ac:dyDescent="0.2">
      <c r="A102" s="15">
        <v>44147</v>
      </c>
      <c r="B102" s="112">
        <v>1.0181</v>
      </c>
      <c r="C102" s="108">
        <f t="shared" si="22"/>
        <v>4.0999999999999925E-3</v>
      </c>
      <c r="D102" s="109" t="str">
        <f t="shared" si="23"/>
        <v>/</v>
      </c>
      <c r="E102" s="109">
        <f ca="1">IF(表2_367162629303891213141523[[#This Row],[累计净值]]/MAX(INDIRECT("B21:B" &amp; ROW()))-1&lt;E101,表2_367162629303891213141523[[#This Row],[累计净值]]/MAX(INDIRECT("B21:B" &amp; ROW()))-1,E101)</f>
        <v>-2.7917310664605788E-2</v>
      </c>
      <c r="F102" s="110">
        <f>表2_367162629303891213141523[[#This Row],[累计净值]]</f>
        <v>1.0181</v>
      </c>
      <c r="G102" s="20">
        <f>表2_367162629303891213141523[[#This Row],[累计净值]]/$B$21-1</f>
        <v>-3.4259984338292915E-3</v>
      </c>
    </row>
    <row r="103" spans="1:7" x14ac:dyDescent="0.2">
      <c r="A103" s="15">
        <v>44148</v>
      </c>
      <c r="B103" s="112">
        <v>1.0179</v>
      </c>
      <c r="C103" s="108">
        <f t="shared" ref="C103:C108" si="24">IFERROR(B103-B102,0)</f>
        <v>-1.9999999999997797E-4</v>
      </c>
      <c r="D103" s="109">
        <f t="shared" ref="D103:D108" si="25">IF(C103&lt;0,C103,"/")</f>
        <v>-1.9999999999997797E-4</v>
      </c>
      <c r="E103" s="109">
        <f ca="1">IF(表2_367162629303891213141523[[#This Row],[累计净值]]/MAX(INDIRECT("B21:B" &amp; ROW()))-1&lt;E102,表2_367162629303891213141523[[#This Row],[累计净值]]/MAX(INDIRECT("B21:B" &amp; ROW()))-1,E102)</f>
        <v>-2.7917310664605788E-2</v>
      </c>
      <c r="F103" s="110">
        <f>表2_367162629303891213141523[[#This Row],[累计净值]]</f>
        <v>1.0179</v>
      </c>
      <c r="G103" s="20">
        <f>表2_367162629303891213141523[[#This Row],[累计净值]]/$B$21-1</f>
        <v>-3.6217697729052922E-3</v>
      </c>
    </row>
    <row r="104" spans="1:7" x14ac:dyDescent="0.2">
      <c r="A104" s="15">
        <v>44151</v>
      </c>
      <c r="B104" s="112">
        <v>1.0181</v>
      </c>
      <c r="C104" s="108">
        <f t="shared" si="24"/>
        <v>1.9999999999997797E-4</v>
      </c>
      <c r="D104" s="109" t="str">
        <f t="shared" si="25"/>
        <v>/</v>
      </c>
      <c r="E104" s="109">
        <f ca="1">IF(表2_367162629303891213141523[[#This Row],[累计净值]]/MAX(INDIRECT("B21:B" &amp; ROW()))-1&lt;E103,表2_367162629303891213141523[[#This Row],[累计净值]]/MAX(INDIRECT("B21:B" &amp; ROW()))-1,E103)</f>
        <v>-2.7917310664605788E-2</v>
      </c>
      <c r="F104" s="110">
        <f>表2_367162629303891213141523[[#This Row],[累计净值]]</f>
        <v>1.0181</v>
      </c>
      <c r="G104" s="20">
        <f>表2_367162629303891213141523[[#This Row],[累计净值]]/$B$21-1</f>
        <v>-3.4259984338292915E-3</v>
      </c>
    </row>
    <row r="105" spans="1:7" x14ac:dyDescent="0.2">
      <c r="A105" s="15">
        <v>44152</v>
      </c>
      <c r="B105" s="112">
        <v>1.0192000000000001</v>
      </c>
      <c r="C105" s="108">
        <f t="shared" si="24"/>
        <v>1.1000000000001009E-3</v>
      </c>
      <c r="D105" s="109" t="str">
        <f t="shared" si="25"/>
        <v>/</v>
      </c>
      <c r="E105" s="109">
        <f ca="1">IF(表2_367162629303891213141523[[#This Row],[累计净值]]/MAX(INDIRECT("B21:B" &amp; ROW()))-1&lt;E104,表2_367162629303891213141523[[#This Row],[累计净值]]/MAX(INDIRECT("B21:B" &amp; ROW()))-1,E104)</f>
        <v>-2.7917310664605788E-2</v>
      </c>
      <c r="F105" s="110">
        <f>表2_367162629303891213141523[[#This Row],[累计净值]]</f>
        <v>1.0192000000000001</v>
      </c>
      <c r="G105" s="20">
        <f>表2_367162629303891213141523[[#This Row],[累计净值]]/$B$21-1</f>
        <v>-2.3492560689114539E-3</v>
      </c>
    </row>
    <row r="106" spans="1:7" x14ac:dyDescent="0.2">
      <c r="A106" s="15">
        <v>44153</v>
      </c>
      <c r="B106" s="112">
        <v>1.0193000000000001</v>
      </c>
      <c r="C106" s="108">
        <f t="shared" si="24"/>
        <v>9.9999999999988987E-5</v>
      </c>
      <c r="D106" s="109" t="str">
        <f t="shared" si="25"/>
        <v>/</v>
      </c>
      <c r="E106" s="109">
        <f ca="1">IF(表2_367162629303891213141523[[#This Row],[累计净值]]/MAX(INDIRECT("B21:B" &amp; ROW()))-1&lt;E105,表2_367162629303891213141523[[#This Row],[累计净值]]/MAX(INDIRECT("B21:B" &amp; ROW()))-1,E105)</f>
        <v>-2.7917310664605788E-2</v>
      </c>
      <c r="F106" s="110">
        <f>表2_367162629303891213141523[[#This Row],[累计净值]]</f>
        <v>1.0193000000000001</v>
      </c>
      <c r="G106" s="20">
        <f>表2_367162629303891213141523[[#This Row],[累计净值]]/$B$21-1</f>
        <v>-2.251370399373509E-3</v>
      </c>
    </row>
    <row r="107" spans="1:7" x14ac:dyDescent="0.2">
      <c r="A107" s="15">
        <v>44154</v>
      </c>
      <c r="B107" s="112">
        <v>1.018</v>
      </c>
      <c r="C107" s="108">
        <f t="shared" si="24"/>
        <v>-1.3000000000000789E-3</v>
      </c>
      <c r="D107" s="109">
        <f t="shared" si="25"/>
        <v>-1.3000000000000789E-3</v>
      </c>
      <c r="E107" s="109">
        <f ca="1">IF(表2_367162629303891213141523[[#This Row],[累计净值]]/MAX(INDIRECT("B21:B" &amp; ROW()))-1&lt;E106,表2_367162629303891213141523[[#This Row],[累计净值]]/MAX(INDIRECT("B21:B" &amp; ROW()))-1,E106)</f>
        <v>-2.7917310664605788E-2</v>
      </c>
      <c r="F107" s="110">
        <f>表2_367162629303891213141523[[#This Row],[累计净值]]</f>
        <v>1.018</v>
      </c>
      <c r="G107" s="20">
        <f>表2_367162629303891213141523[[#This Row],[累计净值]]/$B$21-1</f>
        <v>-3.5238841033673474E-3</v>
      </c>
    </row>
    <row r="108" spans="1:7" x14ac:dyDescent="0.2">
      <c r="A108" s="15">
        <v>44155</v>
      </c>
      <c r="B108" s="112">
        <v>1.0189999999999999</v>
      </c>
      <c r="C108" s="108">
        <f t="shared" si="24"/>
        <v>9.9999999999988987E-4</v>
      </c>
      <c r="D108" s="109" t="str">
        <f t="shared" si="25"/>
        <v>/</v>
      </c>
      <c r="E108" s="109">
        <f ca="1">IF(表2_367162629303891213141523[[#This Row],[累计净值]]/MAX(INDIRECT("B21:B" &amp; ROW()))-1&lt;E107,表2_367162629303891213141523[[#This Row],[累计净值]]/MAX(INDIRECT("B21:B" &amp; ROW()))-1,E107)</f>
        <v>-2.7917310664605788E-2</v>
      </c>
      <c r="F108" s="110">
        <f>表2_367162629303891213141523[[#This Row],[累计净值]]</f>
        <v>1.0189999999999999</v>
      </c>
      <c r="G108" s="20">
        <f>表2_367162629303891213141523[[#This Row],[累计净值]]/$B$21-1</f>
        <v>-2.5450274079876767E-3</v>
      </c>
    </row>
    <row r="109" spans="1:7" x14ac:dyDescent="0.2">
      <c r="A109" s="15">
        <v>44158</v>
      </c>
      <c r="B109" s="112">
        <v>1.0184</v>
      </c>
      <c r="C109" s="108">
        <f t="shared" ref="C109:C115" si="26">IFERROR(B109-B108,0)</f>
        <v>-5.9999999999993392E-4</v>
      </c>
      <c r="D109" s="109">
        <f t="shared" ref="D109:D115" si="27">IF(C109&lt;0,C109,"/")</f>
        <v>-5.9999999999993392E-4</v>
      </c>
      <c r="E109" s="109">
        <f ca="1">IF(表2_367162629303891213141523[[#This Row],[累计净值]]/MAX(INDIRECT("B21:B" &amp; ROW()))-1&lt;E108,表2_367162629303891213141523[[#This Row],[累计净值]]/MAX(INDIRECT("B21:B" &amp; ROW()))-1,E108)</f>
        <v>-2.7917310664605788E-2</v>
      </c>
      <c r="F109" s="110">
        <f>表2_367162629303891213141523[[#This Row],[累计净值]]</f>
        <v>1.0184</v>
      </c>
      <c r="G109" s="20">
        <f>表2_367162629303891213141523[[#This Row],[累计净值]]/$B$21-1</f>
        <v>-3.1323414252154569E-3</v>
      </c>
    </row>
    <row r="110" spans="1:7" x14ac:dyDescent="0.2">
      <c r="A110" s="15">
        <v>44159</v>
      </c>
      <c r="B110" s="112">
        <v>1.0187999999999999</v>
      </c>
      <c r="C110" s="108">
        <f t="shared" si="26"/>
        <v>3.9999999999995595E-4</v>
      </c>
      <c r="D110" s="109" t="str">
        <f t="shared" si="27"/>
        <v>/</v>
      </c>
      <c r="E110" s="109">
        <f ca="1">IF(表2_367162629303891213141523[[#This Row],[累计净值]]/MAX(INDIRECT("B21:B" &amp; ROW()))-1&lt;E109,表2_367162629303891213141523[[#This Row],[累计净值]]/MAX(INDIRECT("B21:B" &amp; ROW()))-1,E109)</f>
        <v>-2.7917310664605788E-2</v>
      </c>
      <c r="F110" s="110">
        <f>表2_367162629303891213141523[[#This Row],[累计净值]]</f>
        <v>1.0187999999999999</v>
      </c>
      <c r="G110" s="20">
        <f>表2_367162629303891213141523[[#This Row],[累计净值]]/$B$21-1</f>
        <v>-2.7407987470635664E-3</v>
      </c>
    </row>
    <row r="111" spans="1:7" x14ac:dyDescent="0.2">
      <c r="A111" s="15">
        <v>44160</v>
      </c>
      <c r="B111" s="112">
        <v>1.0157</v>
      </c>
      <c r="C111" s="108">
        <f t="shared" si="26"/>
        <v>-3.0999999999998806E-3</v>
      </c>
      <c r="D111" s="109">
        <f t="shared" si="27"/>
        <v>-3.0999999999998806E-3</v>
      </c>
      <c r="E111" s="109">
        <f ca="1">IF(表2_367162629303891213141523[[#This Row],[累计净值]]/MAX(INDIRECT("B21:B" &amp; ROW()))-1&lt;E110,表2_367162629303891213141523[[#This Row],[累计净值]]/MAX(INDIRECT("B21:B" &amp; ROW()))-1,E110)</f>
        <v>-2.7917310664605788E-2</v>
      </c>
      <c r="F111" s="110">
        <f>表2_367162629303891213141523[[#This Row],[累计净值]]</f>
        <v>1.0157</v>
      </c>
      <c r="G111" s="20">
        <f>表2_367162629303891213141523[[#This Row],[累计净值]]/$B$21-1</f>
        <v>-5.7752545027408564E-3</v>
      </c>
    </row>
    <row r="112" spans="1:7" x14ac:dyDescent="0.2">
      <c r="A112" s="15">
        <v>44161</v>
      </c>
      <c r="B112" s="112">
        <v>1.018</v>
      </c>
      <c r="C112" s="108">
        <f t="shared" si="26"/>
        <v>2.2999999999999687E-3</v>
      </c>
      <c r="D112" s="109" t="str">
        <f t="shared" si="27"/>
        <v>/</v>
      </c>
      <c r="E112" s="109">
        <f ca="1">IF(表2_367162629303891213141523[[#This Row],[累计净值]]/MAX(INDIRECT("B21:B" &amp; ROW()))-1&lt;E111,表2_367162629303891213141523[[#This Row],[累计净值]]/MAX(INDIRECT("B21:B" &amp; ROW()))-1,E111)</f>
        <v>-2.7917310664605788E-2</v>
      </c>
      <c r="F112" s="110">
        <f>表2_367162629303891213141523[[#This Row],[累计净值]]</f>
        <v>1.018</v>
      </c>
      <c r="G112" s="20">
        <f>表2_367162629303891213141523[[#This Row],[累计净值]]/$B$21-1</f>
        <v>-3.5238841033673474E-3</v>
      </c>
    </row>
    <row r="113" spans="1:7" x14ac:dyDescent="0.2">
      <c r="A113" s="15">
        <v>44162</v>
      </c>
      <c r="B113" s="112">
        <v>1.0194000000000001</v>
      </c>
      <c r="C113" s="108">
        <f t="shared" si="26"/>
        <v>1.4000000000000679E-3</v>
      </c>
      <c r="D113" s="109" t="str">
        <f t="shared" si="27"/>
        <v>/</v>
      </c>
      <c r="E113" s="109">
        <f ca="1">IF(表2_367162629303891213141523[[#This Row],[累计净值]]/MAX(INDIRECT("B21:B" &amp; ROW()))-1&lt;E112,表2_367162629303891213141523[[#This Row],[累计净值]]/MAX(INDIRECT("B21:B" &amp; ROW()))-1,E112)</f>
        <v>-2.7917310664605788E-2</v>
      </c>
      <c r="F113" s="110">
        <f>表2_367162629303891213141523[[#This Row],[累计净值]]</f>
        <v>1.0194000000000001</v>
      </c>
      <c r="G113" s="20">
        <f>表2_367162629303891213141523[[#This Row],[累计净值]]/$B$21-1</f>
        <v>-2.1534847298355642E-3</v>
      </c>
    </row>
    <row r="114" spans="1:7" x14ac:dyDescent="0.2">
      <c r="A114" s="15">
        <v>44165</v>
      </c>
      <c r="B114" s="112">
        <v>1.0143</v>
      </c>
      <c r="C114" s="108">
        <f t="shared" si="26"/>
        <v>-5.1000000000001044E-3</v>
      </c>
      <c r="D114" s="109">
        <f t="shared" si="27"/>
        <v>-5.1000000000001044E-3</v>
      </c>
      <c r="E114" s="109">
        <f ca="1">IF(表2_367162629303891213141523[[#This Row],[累计净值]]/MAX(INDIRECT("B21:B" &amp; ROW()))-1&lt;E113,表2_367162629303891213141523[[#This Row],[累计净值]]/MAX(INDIRECT("B21:B" &amp; ROW()))-1,E113)</f>
        <v>-2.7917310664605788E-2</v>
      </c>
      <c r="F114" s="110">
        <f>表2_367162629303891213141523[[#This Row],[累计净值]]</f>
        <v>1.0143</v>
      </c>
      <c r="G114" s="20">
        <f>表2_367162629303891213141523[[#This Row],[累计净值]]/$B$21-1</f>
        <v>-7.1456538762726396E-3</v>
      </c>
    </row>
    <row r="115" spans="1:7" x14ac:dyDescent="0.2">
      <c r="A115" s="15">
        <v>44166</v>
      </c>
      <c r="B115" s="112">
        <v>1.0165999999999999</v>
      </c>
      <c r="C115" s="108">
        <f t="shared" si="26"/>
        <v>2.2999999999999687E-3</v>
      </c>
      <c r="D115" s="109" t="str">
        <f t="shared" si="27"/>
        <v>/</v>
      </c>
      <c r="E115" s="109">
        <f ca="1">IF(表2_367162629303891213141523[[#This Row],[累计净值]]/MAX(INDIRECT("B21:B" &amp; ROW()))-1&lt;E114,表2_367162629303891213141523[[#This Row],[累计净值]]/MAX(INDIRECT("B21:B" &amp; ROW()))-1,E114)</f>
        <v>-2.7917310664605788E-2</v>
      </c>
      <c r="F115" s="110">
        <f>表2_367162629303891213141523[[#This Row],[累计净值]]</f>
        <v>1.0165999999999999</v>
      </c>
      <c r="G115" s="20">
        <f>表2_367162629303891213141523[[#This Row],[累计净值]]/$B$21-1</f>
        <v>-4.8942834768991306E-3</v>
      </c>
    </row>
    <row r="116" spans="1:7" x14ac:dyDescent="0.2">
      <c r="A116" s="15">
        <v>44167</v>
      </c>
      <c r="B116" s="112">
        <v>1.0165</v>
      </c>
      <c r="C116" s="108">
        <f>IFERROR(B116-B115,0)</f>
        <v>-9.9999999999988987E-5</v>
      </c>
      <c r="D116" s="109">
        <f>IF(C116&lt;0,C116,"/")</f>
        <v>-9.9999999999988987E-5</v>
      </c>
      <c r="E116" s="109">
        <f ca="1">IF(表2_367162629303891213141523[[#This Row],[累计净值]]/MAX(INDIRECT("B21:B" &amp; ROW()))-1&lt;E115,表2_367162629303891213141523[[#This Row],[累计净值]]/MAX(INDIRECT("B21:B" &amp; ROW()))-1,E115)</f>
        <v>-2.7917310664605788E-2</v>
      </c>
      <c r="F116" s="110">
        <f>表2_367162629303891213141523[[#This Row],[累计净值]]</f>
        <v>1.0165</v>
      </c>
      <c r="G116" s="20">
        <f>表2_367162629303891213141523[[#This Row],[累计净值]]/$B$21-1</f>
        <v>-4.9921691464370754E-3</v>
      </c>
    </row>
    <row r="117" spans="1:7" x14ac:dyDescent="0.2">
      <c r="A117" s="15">
        <v>44168</v>
      </c>
      <c r="B117" s="112">
        <v>1.0165</v>
      </c>
      <c r="C117" s="108">
        <f t="shared" ref="C117:C118" si="28">IFERROR(B117-B116,0)</f>
        <v>0</v>
      </c>
      <c r="D117" s="109" t="str">
        <f t="shared" ref="D117:D118" si="29">IF(C117&lt;0,C117,"/")</f>
        <v>/</v>
      </c>
      <c r="E117" s="109">
        <f ca="1">IF(表2_367162629303891213141523[[#This Row],[累计净值]]/MAX(INDIRECT("B21:B" &amp; ROW()))-1&lt;E116,表2_367162629303891213141523[[#This Row],[累计净值]]/MAX(INDIRECT("B21:B" &amp; ROW()))-1,E116)</f>
        <v>-2.7917310664605788E-2</v>
      </c>
      <c r="F117" s="110">
        <f>表2_367162629303891213141523[[#This Row],[累计净值]]</f>
        <v>1.0165</v>
      </c>
      <c r="G117" s="20">
        <f>表2_367162629303891213141523[[#This Row],[累计净值]]/$B$21-1</f>
        <v>-4.9921691464370754E-3</v>
      </c>
    </row>
    <row r="118" spans="1:7" x14ac:dyDescent="0.2">
      <c r="A118" s="15">
        <v>44169</v>
      </c>
      <c r="B118" s="112">
        <v>1.0182</v>
      </c>
      <c r="C118" s="108">
        <f t="shared" si="28"/>
        <v>1.7000000000000348E-3</v>
      </c>
      <c r="D118" s="109" t="str">
        <f t="shared" si="29"/>
        <v>/</v>
      </c>
      <c r="E118" s="109">
        <f ca="1">IF(表2_367162629303891213141523[[#This Row],[累计净值]]/MAX(INDIRECT("B21:B" &amp; ROW()))-1&lt;E117,表2_367162629303891213141523[[#This Row],[累计净值]]/MAX(INDIRECT("B21:B" &amp; ROW()))-1,E117)</f>
        <v>-2.7917310664605788E-2</v>
      </c>
      <c r="F118" s="110">
        <f>表2_367162629303891213141523[[#This Row],[累计净值]]</f>
        <v>1.0182</v>
      </c>
      <c r="G118" s="20">
        <f>表2_367162629303891213141523[[#This Row],[累计净值]]/$B$21-1</f>
        <v>-3.3281127642913466E-3</v>
      </c>
    </row>
    <row r="119" spans="1:7" x14ac:dyDescent="0.2">
      <c r="A119" s="15">
        <v>44172</v>
      </c>
      <c r="B119" s="112">
        <v>1.0165</v>
      </c>
      <c r="C119" s="108">
        <f t="shared" ref="C119:C124" si="30">IFERROR(B119-B118,0)</f>
        <v>-1.7000000000000348E-3</v>
      </c>
      <c r="D119" s="109">
        <f t="shared" ref="D119:D124" si="31">IF(C119&lt;0,C119,"/")</f>
        <v>-1.7000000000000348E-3</v>
      </c>
      <c r="E119" s="109">
        <f ca="1">IF(表2_367162629303891213141523[[#This Row],[累计净值]]/MAX(INDIRECT("B21:B" &amp; ROW()))-1&lt;E118,表2_367162629303891213141523[[#This Row],[累计净值]]/MAX(INDIRECT("B21:B" &amp; ROW()))-1,E118)</f>
        <v>-2.7917310664605788E-2</v>
      </c>
      <c r="F119" s="110">
        <f>表2_367162629303891213141523[[#This Row],[累计净值]]</f>
        <v>1.0165</v>
      </c>
      <c r="G119" s="20">
        <f>表2_367162629303891213141523[[#This Row],[累计净值]]/$B$21-1</f>
        <v>-4.9921691464370754E-3</v>
      </c>
    </row>
    <row r="120" spans="1:7" x14ac:dyDescent="0.2">
      <c r="A120" s="15">
        <v>44173</v>
      </c>
      <c r="B120" s="112">
        <v>1.0165</v>
      </c>
      <c r="C120" s="108">
        <f t="shared" si="30"/>
        <v>0</v>
      </c>
      <c r="D120" s="109" t="str">
        <f t="shared" si="31"/>
        <v>/</v>
      </c>
      <c r="E120" s="109">
        <f ca="1">IF(表2_367162629303891213141523[[#This Row],[累计净值]]/MAX(INDIRECT("B21:B" &amp; ROW()))-1&lt;E119,表2_367162629303891213141523[[#This Row],[累计净值]]/MAX(INDIRECT("B21:B" &amp; ROW()))-1,E119)</f>
        <v>-2.7917310664605788E-2</v>
      </c>
      <c r="F120" s="110">
        <f>表2_367162629303891213141523[[#This Row],[累计净值]]</f>
        <v>1.0165</v>
      </c>
      <c r="G120" s="20">
        <f>表2_367162629303891213141523[[#This Row],[累计净值]]/$B$21-1</f>
        <v>-4.9921691464370754E-3</v>
      </c>
    </row>
    <row r="121" spans="1:7" x14ac:dyDescent="0.2">
      <c r="A121" s="15">
        <v>44174</v>
      </c>
      <c r="B121" s="112">
        <v>1.0129999999999999</v>
      </c>
      <c r="C121" s="108">
        <f t="shared" si="30"/>
        <v>-3.5000000000000586E-3</v>
      </c>
      <c r="D121" s="109">
        <f t="shared" si="31"/>
        <v>-3.5000000000000586E-3</v>
      </c>
      <c r="E121" s="109">
        <f ca="1">IF(表2_367162629303891213141523[[#This Row],[累计净值]]/MAX(INDIRECT("B21:B" &amp; ROW()))-1&lt;E120,表2_367162629303891213141523[[#This Row],[累计净值]]/MAX(INDIRECT("B21:B" &amp; ROW()))-1,E120)</f>
        <v>-2.7917310664605788E-2</v>
      </c>
      <c r="F121" s="110">
        <f>表2_367162629303891213141523[[#This Row],[累计净值]]</f>
        <v>1.0129999999999999</v>
      </c>
      <c r="G121" s="20">
        <f>表2_367162629303891213141523[[#This Row],[累计净值]]/$B$21-1</f>
        <v>-8.4181675802663669E-3</v>
      </c>
    </row>
    <row r="122" spans="1:7" x14ac:dyDescent="0.2">
      <c r="A122" s="15">
        <v>44175</v>
      </c>
      <c r="B122" s="112">
        <v>1.0163</v>
      </c>
      <c r="C122" s="108">
        <f t="shared" si="30"/>
        <v>3.3000000000000806E-3</v>
      </c>
      <c r="D122" s="109" t="str">
        <f t="shared" si="31"/>
        <v>/</v>
      </c>
      <c r="E122" s="109">
        <f ca="1">IF(表2_367162629303891213141523[[#This Row],[累计净值]]/MAX(INDIRECT("B21:B" &amp; ROW()))-1&lt;E121,表2_367162629303891213141523[[#This Row],[累计净值]]/MAX(INDIRECT("B21:B" &amp; ROW()))-1,E121)</f>
        <v>-2.7917310664605788E-2</v>
      </c>
      <c r="F122" s="110">
        <f>表2_367162629303891213141523[[#This Row],[累计净值]]</f>
        <v>1.0163</v>
      </c>
      <c r="G122" s="20">
        <f>表2_367162629303891213141523[[#This Row],[累计净值]]/$B$21-1</f>
        <v>-5.1879404855129652E-3</v>
      </c>
    </row>
    <row r="123" spans="1:7" x14ac:dyDescent="0.2">
      <c r="A123" s="15">
        <v>44176</v>
      </c>
      <c r="B123" s="112">
        <v>1.0192000000000001</v>
      </c>
      <c r="C123" s="108">
        <f t="shared" si="30"/>
        <v>2.9000000000001247E-3</v>
      </c>
      <c r="D123" s="109" t="str">
        <f t="shared" si="31"/>
        <v>/</v>
      </c>
      <c r="E123" s="109">
        <f ca="1">IF(表2_367162629303891213141523[[#This Row],[累计净值]]/MAX(INDIRECT("B21:B" &amp; ROW()))-1&lt;E122,表2_367162629303891213141523[[#This Row],[累计净值]]/MAX(INDIRECT("B21:B" &amp; ROW()))-1,E122)</f>
        <v>-2.7917310664605788E-2</v>
      </c>
      <c r="F123" s="110">
        <f>表2_367162629303891213141523[[#This Row],[累计净值]]</f>
        <v>1.0192000000000001</v>
      </c>
      <c r="G123" s="20">
        <f>表2_367162629303891213141523[[#This Row],[累计净值]]/$B$21-1</f>
        <v>-2.3492560689114539E-3</v>
      </c>
    </row>
    <row r="124" spans="1:7" x14ac:dyDescent="0.2">
      <c r="A124" s="15">
        <v>44179</v>
      </c>
      <c r="B124" s="112">
        <v>1.0192000000000001</v>
      </c>
      <c r="C124" s="108">
        <f t="shared" si="30"/>
        <v>0</v>
      </c>
      <c r="D124" s="109" t="str">
        <f t="shared" si="31"/>
        <v>/</v>
      </c>
      <c r="E124" s="109">
        <f ca="1">IF(表2_367162629303891213141523[[#This Row],[累计净值]]/MAX(INDIRECT("B21:B" &amp; ROW()))-1&lt;E123,表2_367162629303891213141523[[#This Row],[累计净值]]/MAX(INDIRECT("B21:B" &amp; ROW()))-1,E123)</f>
        <v>-2.7917310664605788E-2</v>
      </c>
      <c r="F124" s="110">
        <f>表2_367162629303891213141523[[#This Row],[累计净值]]</f>
        <v>1.0192000000000001</v>
      </c>
      <c r="G124" s="20">
        <f>表2_367162629303891213141523[[#This Row],[累计净值]]/$B$21-1</f>
        <v>-2.3492560689114539E-3</v>
      </c>
    </row>
    <row r="125" spans="1:7" x14ac:dyDescent="0.2">
      <c r="A125" s="15">
        <v>44180</v>
      </c>
      <c r="B125" s="112">
        <v>1.018</v>
      </c>
      <c r="C125" s="108">
        <f>IFERROR(B125-B124,0)</f>
        <v>-1.2000000000000899E-3</v>
      </c>
      <c r="D125" s="109">
        <f>IF(C125&lt;0,C125,"/")</f>
        <v>-1.2000000000000899E-3</v>
      </c>
      <c r="E125" s="109">
        <f ca="1">IF(表2_367162629303891213141523[[#This Row],[累计净值]]/MAX(INDIRECT("B21:B" &amp; ROW()))-1&lt;E124,表2_367162629303891213141523[[#This Row],[累计净值]]/MAX(INDIRECT("B21:B" &amp; ROW()))-1,E124)</f>
        <v>-2.7917310664605788E-2</v>
      </c>
      <c r="F125" s="110">
        <f>表2_367162629303891213141523[[#This Row],[累计净值]]</f>
        <v>1.018</v>
      </c>
      <c r="G125" s="20">
        <f>表2_367162629303891213141523[[#This Row],[累计净值]]/$B$21-1</f>
        <v>-3.5238841033673474E-3</v>
      </c>
    </row>
    <row r="126" spans="1:7" x14ac:dyDescent="0.2">
      <c r="A126" s="15">
        <v>44181</v>
      </c>
      <c r="B126" s="112">
        <v>1.0165</v>
      </c>
      <c r="C126" s="108">
        <f t="shared" ref="C126:C127" si="32">IFERROR(B126-B125,0)</f>
        <v>-1.5000000000000568E-3</v>
      </c>
      <c r="D126" s="109">
        <f t="shared" ref="D126:D127" si="33">IF(C126&lt;0,C126,"/")</f>
        <v>-1.5000000000000568E-3</v>
      </c>
      <c r="E126" s="109">
        <f ca="1">IF(表2_367162629303891213141523[[#This Row],[累计净值]]/MAX(INDIRECT("B21:B" &amp; ROW()))-1&lt;E125,表2_367162629303891213141523[[#This Row],[累计净值]]/MAX(INDIRECT("B21:B" &amp; ROW()))-1,E125)</f>
        <v>-2.7917310664605788E-2</v>
      </c>
      <c r="F126" s="110">
        <f>表2_367162629303891213141523[[#This Row],[累计净值]]</f>
        <v>1.0165</v>
      </c>
      <c r="G126" s="20">
        <f>表2_367162629303891213141523[[#This Row],[累计净值]]/$B$21-1</f>
        <v>-4.9921691464370754E-3</v>
      </c>
    </row>
    <row r="127" spans="1:7" x14ac:dyDescent="0.2">
      <c r="A127" s="15">
        <v>44182</v>
      </c>
      <c r="B127" s="112">
        <v>1.0182</v>
      </c>
      <c r="C127" s="108">
        <f t="shared" si="32"/>
        <v>1.7000000000000348E-3</v>
      </c>
      <c r="D127" s="109" t="str">
        <f t="shared" si="33"/>
        <v>/</v>
      </c>
      <c r="E127" s="109">
        <f ca="1">IF(表2_367162629303891213141523[[#This Row],[累计净值]]/MAX(INDIRECT("B21:B" &amp; ROW()))-1&lt;E126,表2_367162629303891213141523[[#This Row],[累计净值]]/MAX(INDIRECT("B21:B" &amp; ROW()))-1,E126)</f>
        <v>-2.7917310664605788E-2</v>
      </c>
      <c r="F127" s="110">
        <f>表2_367162629303891213141523[[#This Row],[累计净值]]</f>
        <v>1.0182</v>
      </c>
      <c r="G127" s="20">
        <f>表2_367162629303891213141523[[#This Row],[累计净值]]/$B$21-1</f>
        <v>-3.3281127642913466E-3</v>
      </c>
    </row>
    <row r="128" spans="1:7" x14ac:dyDescent="0.2">
      <c r="A128" s="15">
        <v>44183</v>
      </c>
      <c r="B128" s="112">
        <v>1.0185</v>
      </c>
      <c r="C128" s="108">
        <f t="shared" ref="C128:C134" si="34">IFERROR(B128-B127,0)</f>
        <v>2.9999999999996696E-4</v>
      </c>
      <c r="D128" s="109" t="str">
        <f t="shared" ref="D128:D134" si="35">IF(C128&lt;0,C128,"/")</f>
        <v>/</v>
      </c>
      <c r="E128" s="109">
        <f ca="1">IF(表2_367162629303891213141523[[#This Row],[累计净值]]/MAX(INDIRECT("B21:B" &amp; ROW()))-1&lt;E127,表2_367162629303891213141523[[#This Row],[累计净值]]/MAX(INDIRECT("B21:B" &amp; ROW()))-1,E127)</f>
        <v>-2.7917310664605788E-2</v>
      </c>
      <c r="F128" s="110">
        <f>表2_367162629303891213141523[[#This Row],[累计净值]]</f>
        <v>1.0185</v>
      </c>
      <c r="G128" s="20">
        <f>表2_367162629303891213141523[[#This Row],[累计净值]]/$B$21-1</f>
        <v>-3.034455755677512E-3</v>
      </c>
    </row>
    <row r="129" spans="1:7" x14ac:dyDescent="0.2">
      <c r="A129" s="15">
        <v>44186</v>
      </c>
      <c r="B129" s="112">
        <v>1.0189999999999999</v>
      </c>
      <c r="C129" s="108">
        <f t="shared" si="34"/>
        <v>4.9999999999994493E-4</v>
      </c>
      <c r="D129" s="109" t="str">
        <f t="shared" si="35"/>
        <v>/</v>
      </c>
      <c r="E129" s="109">
        <f ca="1">IF(表2_367162629303891213141523[[#This Row],[累计净值]]/MAX(INDIRECT("B21:B" &amp; ROW()))-1&lt;E128,表2_367162629303891213141523[[#This Row],[累计净值]]/MAX(INDIRECT("B21:B" &amp; ROW()))-1,E128)</f>
        <v>-2.7917310664605788E-2</v>
      </c>
      <c r="F129" s="110">
        <f>表2_367162629303891213141523[[#This Row],[累计净值]]</f>
        <v>1.0189999999999999</v>
      </c>
      <c r="G129" s="20">
        <f>表2_367162629303891213141523[[#This Row],[累计净值]]/$B$21-1</f>
        <v>-2.5450274079876767E-3</v>
      </c>
    </row>
    <row r="130" spans="1:7" x14ac:dyDescent="0.2">
      <c r="A130" s="15">
        <v>44187</v>
      </c>
      <c r="B130" s="112">
        <v>1.0146999999999999</v>
      </c>
      <c r="C130" s="108">
        <f t="shared" si="34"/>
        <v>-4.2999999999999705E-3</v>
      </c>
      <c r="D130" s="109">
        <f t="shared" si="35"/>
        <v>-4.2999999999999705E-3</v>
      </c>
      <c r="E130" s="109">
        <f ca="1">IF(表2_367162629303891213141523[[#This Row],[累计净值]]/MAX(INDIRECT("B21:B" &amp; ROW()))-1&lt;E129,表2_367162629303891213141523[[#This Row],[累计净值]]/MAX(INDIRECT("B21:B" &amp; ROW()))-1,E129)</f>
        <v>-2.7917310664605788E-2</v>
      </c>
      <c r="F130" s="110">
        <f>表2_367162629303891213141523[[#This Row],[累计净值]]</f>
        <v>1.0146999999999999</v>
      </c>
      <c r="G130" s="20">
        <f>表2_367162629303891213141523[[#This Row],[累计净值]]/$B$21-1</f>
        <v>-6.7541111981207491E-3</v>
      </c>
    </row>
    <row r="131" spans="1:7" x14ac:dyDescent="0.2">
      <c r="A131" s="15">
        <v>44188</v>
      </c>
      <c r="B131" s="112">
        <v>1.0174000000000001</v>
      </c>
      <c r="C131" s="108">
        <f t="shared" si="34"/>
        <v>2.7000000000001467E-3</v>
      </c>
      <c r="D131" s="109" t="str">
        <f t="shared" si="35"/>
        <v>/</v>
      </c>
      <c r="E131" s="109">
        <f ca="1">IF(表2_367162629303891213141523[[#This Row],[累计净值]]/MAX(INDIRECT("B21:B" &amp; ROW()))-1&lt;E130,表2_367162629303891213141523[[#This Row],[累计净值]]/MAX(INDIRECT("B21:B" &amp; ROW()))-1,E130)</f>
        <v>-2.7917310664605788E-2</v>
      </c>
      <c r="F131" s="110">
        <f>表2_367162629303891213141523[[#This Row],[累计净值]]</f>
        <v>1.0174000000000001</v>
      </c>
      <c r="G131" s="20">
        <f>表2_367162629303891213141523[[#This Row],[累计净值]]/$B$21-1</f>
        <v>-4.1111981205951276E-3</v>
      </c>
    </row>
    <row r="132" spans="1:7" x14ac:dyDescent="0.2">
      <c r="A132" s="15">
        <v>44189</v>
      </c>
      <c r="B132" s="112">
        <v>1.0153000000000001</v>
      </c>
      <c r="C132" s="108">
        <f t="shared" si="34"/>
        <v>-2.0999999999999908E-3</v>
      </c>
      <c r="D132" s="109">
        <f t="shared" si="35"/>
        <v>-2.0999999999999908E-3</v>
      </c>
      <c r="E132" s="109">
        <f ca="1">IF(表2_367162629303891213141523[[#This Row],[累计净值]]/MAX(INDIRECT("B21:B" &amp; ROW()))-1&lt;E131,表2_367162629303891213141523[[#This Row],[累计净值]]/MAX(INDIRECT("B21:B" &amp; ROW()))-1,E131)</f>
        <v>-2.7917310664605788E-2</v>
      </c>
      <c r="F132" s="110">
        <f>表2_367162629303891213141523[[#This Row],[累计净值]]</f>
        <v>1.0153000000000001</v>
      </c>
      <c r="G132" s="20">
        <f>表2_367162629303891213141523[[#This Row],[累计净值]]/$B$21-1</f>
        <v>-6.1667971808926358E-3</v>
      </c>
    </row>
    <row r="133" spans="1:7" x14ac:dyDescent="0.2">
      <c r="A133" s="15">
        <v>44190</v>
      </c>
      <c r="B133" s="112">
        <v>1.0156000000000001</v>
      </c>
      <c r="C133" s="108">
        <f t="shared" si="34"/>
        <v>2.9999999999996696E-4</v>
      </c>
      <c r="D133" s="109" t="str">
        <f t="shared" si="35"/>
        <v>/</v>
      </c>
      <c r="E133" s="109">
        <f ca="1">IF(表2_367162629303891213141523[[#This Row],[累计净值]]/MAX(INDIRECT("B21:B" &amp; ROW()))-1&lt;E132,表2_367162629303891213141523[[#This Row],[累计净值]]/MAX(INDIRECT("B21:B" &amp; ROW()))-1,E132)</f>
        <v>-2.7917310664605788E-2</v>
      </c>
      <c r="F133" s="110">
        <f>表2_367162629303891213141523[[#This Row],[累计净值]]</f>
        <v>1.0156000000000001</v>
      </c>
      <c r="G133" s="20">
        <f>表2_367162629303891213141523[[#This Row],[累计净值]]/$B$21-1</f>
        <v>-5.8731401722788013E-3</v>
      </c>
    </row>
    <row r="134" spans="1:7" x14ac:dyDescent="0.2">
      <c r="A134" s="15">
        <v>44193</v>
      </c>
      <c r="B134" s="112">
        <v>1.0178</v>
      </c>
      <c r="C134" s="108">
        <f t="shared" si="34"/>
        <v>2.1999999999999797E-3</v>
      </c>
      <c r="D134" s="109" t="str">
        <f t="shared" si="35"/>
        <v>/</v>
      </c>
      <c r="E134" s="109">
        <f ca="1">IF(表2_367162629303891213141523[[#This Row],[累计净值]]/MAX(INDIRECT("B21:B" &amp; ROW()))-1&lt;E133,表2_367162629303891213141523[[#This Row],[累计净值]]/MAX(INDIRECT("B21:B" &amp; ROW()))-1,E133)</f>
        <v>-2.7917310664605788E-2</v>
      </c>
      <c r="F134" s="110">
        <f>表2_367162629303891213141523[[#This Row],[累计净值]]</f>
        <v>1.0178</v>
      </c>
      <c r="G134" s="20">
        <f>表2_367162629303891213141523[[#This Row],[累计净值]]/$B$21-1</f>
        <v>-3.7196554424432371E-3</v>
      </c>
    </row>
    <row r="135" spans="1:7" x14ac:dyDescent="0.2">
      <c r="A135" s="15">
        <v>44194</v>
      </c>
      <c r="B135" s="112">
        <v>1.0148999999999999</v>
      </c>
      <c r="C135" s="108">
        <f>IFERROR(B135-B134,0)</f>
        <v>-2.9000000000001247E-3</v>
      </c>
      <c r="D135" s="109">
        <f>IF(C135&lt;0,C135,"/")</f>
        <v>-2.9000000000001247E-3</v>
      </c>
      <c r="E135" s="109">
        <f ca="1">IF(表2_367162629303891213141523[[#This Row],[累计净值]]/MAX(INDIRECT("B21:B" &amp; ROW()))-1&lt;E134,表2_367162629303891213141523[[#This Row],[累计净值]]/MAX(INDIRECT("B21:B" &amp; ROW()))-1,E134)</f>
        <v>-2.7917310664605788E-2</v>
      </c>
      <c r="F135" s="110">
        <f>表2_367162629303891213141523[[#This Row],[累计净值]]</f>
        <v>1.0148999999999999</v>
      </c>
      <c r="G135" s="20">
        <f>表2_367162629303891213141523[[#This Row],[累计净值]]/$B$21-1</f>
        <v>-6.5583398590447484E-3</v>
      </c>
    </row>
    <row r="136" spans="1:7" x14ac:dyDescent="0.2">
      <c r="A136" s="15">
        <v>44195</v>
      </c>
      <c r="B136" s="112">
        <v>1.016</v>
      </c>
      <c r="C136" s="108">
        <f t="shared" ref="C136:C137" si="36">IFERROR(B136-B135,0)</f>
        <v>1.1000000000001009E-3</v>
      </c>
      <c r="D136" s="109" t="str">
        <f t="shared" ref="D136:D137" si="37">IF(C136&lt;0,C136,"/")</f>
        <v>/</v>
      </c>
      <c r="E136" s="109">
        <f ca="1">IF(表2_367162629303891213141523[[#This Row],[累计净值]]/MAX(INDIRECT("B21:B" &amp; ROW()))-1&lt;E135,表2_367162629303891213141523[[#This Row],[累计净值]]/MAX(INDIRECT("B21:B" &amp; ROW()))-1,E135)</f>
        <v>-2.7917310664605788E-2</v>
      </c>
      <c r="F136" s="110">
        <f>表2_367162629303891213141523[[#This Row],[累计净值]]</f>
        <v>1.016</v>
      </c>
      <c r="G136" s="20">
        <f>表2_367162629303891213141523[[#This Row],[累计净值]]/$B$21-1</f>
        <v>-5.4815974941269108E-3</v>
      </c>
    </row>
    <row r="137" spans="1:7" x14ac:dyDescent="0.2">
      <c r="A137" s="15">
        <v>44196</v>
      </c>
      <c r="B137" s="112">
        <v>1.0182</v>
      </c>
      <c r="C137" s="108">
        <f t="shared" si="36"/>
        <v>2.1999999999999797E-3</v>
      </c>
      <c r="D137" s="109" t="str">
        <f t="shared" si="37"/>
        <v>/</v>
      </c>
      <c r="E137" s="109">
        <f ca="1">IF(表2_367162629303891213141523[[#This Row],[累计净值]]/MAX(INDIRECT("B21:B" &amp; ROW()))-1&lt;E136,表2_367162629303891213141523[[#This Row],[累计净值]]/MAX(INDIRECT("B21:B" &amp; ROW()))-1,E136)</f>
        <v>-2.7917310664605788E-2</v>
      </c>
      <c r="F137" s="110">
        <f>表2_367162629303891213141523[[#This Row],[累计净值]]</f>
        <v>1.0182</v>
      </c>
      <c r="G137" s="20">
        <f>表2_367162629303891213141523[[#This Row],[累计净值]]/$B$21-1</f>
        <v>-3.3281127642913466E-3</v>
      </c>
    </row>
    <row r="138" spans="1:7" x14ac:dyDescent="0.2">
      <c r="A138" s="15">
        <v>44200</v>
      </c>
      <c r="B138" s="112">
        <v>1.0189999999999999</v>
      </c>
      <c r="C138" s="108">
        <f>IFERROR(B138-#REF!,0)</f>
        <v>0</v>
      </c>
      <c r="D138" s="109" t="str">
        <f t="shared" ref="D138" si="38">IF(C138&lt;0,C138,"/")</f>
        <v>/</v>
      </c>
      <c r="E138" s="109">
        <f ca="1">IF(表2_367162629303891213141523[[#This Row],[累计净值]]/MAX(INDIRECT("B21:B" &amp; ROW()))-1&lt;E137,表2_367162629303891213141523[[#This Row],[累计净值]]/MAX(INDIRECT("B21:B" &amp; ROW()))-1,E137)</f>
        <v>-2.7917310664605788E-2</v>
      </c>
      <c r="F138" s="110">
        <f>表2_367162629303891213141523[[#This Row],[累计净值]]</f>
        <v>1.0189999999999999</v>
      </c>
      <c r="G138" s="20">
        <f>表2_367162629303891213141523[[#This Row],[累计净值]]/$B$21-1</f>
        <v>-2.5450274079876767E-3</v>
      </c>
    </row>
    <row r="139" spans="1:7" x14ac:dyDescent="0.2">
      <c r="A139" s="15">
        <v>44201</v>
      </c>
      <c r="B139" s="112">
        <v>1.0246999999999999</v>
      </c>
      <c r="C139" s="108">
        <f t="shared" ref="C139:C144" si="39">IFERROR(B139-B138,0)</f>
        <v>5.7000000000000384E-3</v>
      </c>
      <c r="D139" s="109" t="str">
        <f t="shared" ref="D139:D144" si="40">IF(C139&lt;0,C139,"/")</f>
        <v>/</v>
      </c>
      <c r="E139" s="109">
        <f ca="1">IF(表2_367162629303891213141523[[#This Row],[累计净值]]/MAX(INDIRECT("B21:B" &amp; ROW()))-1&lt;E138,表2_367162629303891213141523[[#This Row],[累计净值]]/MAX(INDIRECT("B21:B" &amp; ROW()))-1,E138)</f>
        <v>-2.7917310664605788E-2</v>
      </c>
      <c r="F139" s="110">
        <f>表2_367162629303891213141523[[#This Row],[累计净值]]</f>
        <v>1.0246999999999999</v>
      </c>
      <c r="G139" s="20">
        <f>表2_367162629303891213141523[[#This Row],[累计净值]]/$B$21-1</f>
        <v>3.034455755677179E-3</v>
      </c>
    </row>
    <row r="140" spans="1:7" x14ac:dyDescent="0.2">
      <c r="A140" s="15">
        <v>44202</v>
      </c>
      <c r="B140" s="112">
        <v>1.0241</v>
      </c>
      <c r="C140" s="108">
        <f t="shared" si="39"/>
        <v>-5.9999999999993392E-4</v>
      </c>
      <c r="D140" s="109">
        <f t="shared" si="40"/>
        <v>-5.9999999999993392E-4</v>
      </c>
      <c r="E140" s="109">
        <f ca="1">IF(表2_367162629303891213141523[[#This Row],[累计净值]]/MAX(INDIRECT("B21:B" &amp; ROW()))-1&lt;E139,表2_367162629303891213141523[[#This Row],[累计净值]]/MAX(INDIRECT("B21:B" &amp; ROW()))-1,E139)</f>
        <v>-2.7917310664605788E-2</v>
      </c>
      <c r="F140" s="110">
        <f>表2_367162629303891213141523[[#This Row],[累计净值]]</f>
        <v>1.0241</v>
      </c>
      <c r="G140" s="20">
        <f>表2_367162629303891213141523[[#This Row],[累计净值]]/$B$21-1</f>
        <v>2.4471417384495098E-3</v>
      </c>
    </row>
    <row r="141" spans="1:7" x14ac:dyDescent="0.2">
      <c r="A141" s="15">
        <v>44203</v>
      </c>
      <c r="B141" s="112">
        <v>1.0251999999999999</v>
      </c>
      <c r="C141" s="108">
        <f t="shared" si="39"/>
        <v>1.0999999999998789E-3</v>
      </c>
      <c r="D141" s="109" t="str">
        <f t="shared" si="40"/>
        <v>/</v>
      </c>
      <c r="E141" s="109">
        <f ca="1">IF(表2_367162629303891213141523[[#This Row],[累计净值]]/MAX(INDIRECT("B21:B" &amp; ROW()))-1&lt;E140,表2_367162629303891213141523[[#This Row],[累计净值]]/MAX(INDIRECT("B21:B" &amp; ROW()))-1,E140)</f>
        <v>-2.7917310664605788E-2</v>
      </c>
      <c r="F141" s="110">
        <f>表2_367162629303891213141523[[#This Row],[累计净值]]</f>
        <v>1.0251999999999999</v>
      </c>
      <c r="G141" s="20">
        <f>表2_367162629303891213141523[[#This Row],[累计净值]]/$B$21-1</f>
        <v>3.5238841033671253E-3</v>
      </c>
    </row>
    <row r="142" spans="1:7" x14ac:dyDescent="0.2">
      <c r="A142" s="15">
        <v>44204</v>
      </c>
      <c r="B142" s="112">
        <v>1.0217000000000001</v>
      </c>
      <c r="C142" s="108">
        <f t="shared" si="39"/>
        <v>-3.4999999999998366E-3</v>
      </c>
      <c r="D142" s="109">
        <f t="shared" si="40"/>
        <v>-3.4999999999998366E-3</v>
      </c>
      <c r="E142" s="109">
        <f ca="1">IF(表2_367162629303891213141523[[#This Row],[累计净值]]/MAX(INDIRECT("B21:B" &amp; ROW()))-1&lt;E141,表2_367162629303891213141523[[#This Row],[累计净值]]/MAX(INDIRECT("B21:B" &amp; ROW()))-1,E141)</f>
        <v>-2.7917310664605788E-2</v>
      </c>
      <c r="F142" s="110">
        <f>表2_367162629303891213141523[[#This Row],[累计净值]]</f>
        <v>1.0217000000000001</v>
      </c>
      <c r="G142" s="20">
        <f>表2_367162629303891213141523[[#This Row],[累计净值]]/$B$21-1</f>
        <v>9.7885669537944864E-5</v>
      </c>
    </row>
    <row r="143" spans="1:7" x14ac:dyDescent="0.2">
      <c r="A143" s="15">
        <v>44207</v>
      </c>
      <c r="B143" s="112">
        <v>1.0215000000000001</v>
      </c>
      <c r="C143" s="108">
        <f t="shared" si="39"/>
        <v>-1.9999999999997797E-4</v>
      </c>
      <c r="D143" s="109">
        <f t="shared" si="40"/>
        <v>-1.9999999999997797E-4</v>
      </c>
      <c r="E143" s="109">
        <f ca="1">IF(表2_367162629303891213141523[[#This Row],[累计净值]]/MAX(INDIRECT("B21:B" &amp; ROW()))-1&lt;E142,表2_367162629303891213141523[[#This Row],[累计净值]]/MAX(INDIRECT("B21:B" &amp; ROW()))-1,E142)</f>
        <v>-2.7917310664605788E-2</v>
      </c>
      <c r="F143" s="110">
        <f>表2_367162629303891213141523[[#This Row],[累计净值]]</f>
        <v>1.0215000000000001</v>
      </c>
      <c r="G143" s="20">
        <f>表2_367162629303891213141523[[#This Row],[累计净值]]/$B$21-1</f>
        <v>-9.7885669537944864E-5</v>
      </c>
    </row>
    <row r="144" spans="1:7" x14ac:dyDescent="0.2">
      <c r="A144" s="15">
        <v>44208</v>
      </c>
      <c r="B144" s="112">
        <v>1.0262</v>
      </c>
      <c r="C144" s="108">
        <f t="shared" si="39"/>
        <v>4.6999999999999265E-3</v>
      </c>
      <c r="D144" s="109" t="str">
        <f t="shared" si="40"/>
        <v>/</v>
      </c>
      <c r="E144" s="109">
        <f ca="1">IF(表2_367162629303891213141523[[#This Row],[累计净值]]/MAX(INDIRECT("B21:B" &amp; ROW()))-1&lt;E143,表2_367162629303891213141523[[#This Row],[累计净值]]/MAX(INDIRECT("B21:B" &amp; ROW()))-1,E143)</f>
        <v>-2.7917310664605788E-2</v>
      </c>
      <c r="F144" s="110">
        <f>表2_367162629303891213141523[[#This Row],[累计净值]]</f>
        <v>1.0262</v>
      </c>
      <c r="G144" s="20">
        <f>表2_367162629303891213141523[[#This Row],[累计净值]]/$B$21-1</f>
        <v>4.502740798747018E-3</v>
      </c>
    </row>
    <row r="145" spans="1:7" x14ac:dyDescent="0.2">
      <c r="A145" s="15">
        <v>44209</v>
      </c>
      <c r="B145" s="112">
        <v>1.0236000000000001</v>
      </c>
      <c r="C145" s="108">
        <f t="shared" ref="C145:C150" si="41">IFERROR(B145-B144,0)</f>
        <v>-2.5999999999999357E-3</v>
      </c>
      <c r="D145" s="109">
        <f t="shared" ref="D145:D150" si="42">IF(C145&lt;0,C145,"/")</f>
        <v>-2.5999999999999357E-3</v>
      </c>
      <c r="E145" s="109">
        <f ca="1">IF(表2_367162629303891213141523[[#This Row],[累计净值]]/MAX(INDIRECT("B21:B" &amp; ROW()))-1&lt;E144,表2_367162629303891213141523[[#This Row],[累计净值]]/MAX(INDIRECT("B21:B" &amp; ROW()))-1,E144)</f>
        <v>-2.7917310664605788E-2</v>
      </c>
      <c r="F145" s="110">
        <f>表2_367162629303891213141523[[#This Row],[累计净值]]</f>
        <v>1.0236000000000001</v>
      </c>
      <c r="G145" s="20">
        <f>表2_367162629303891213141523[[#This Row],[累计净值]]/$B$21-1</f>
        <v>1.9577133907595634E-3</v>
      </c>
    </row>
    <row r="146" spans="1:7" x14ac:dyDescent="0.2">
      <c r="A146" s="15">
        <v>44210</v>
      </c>
      <c r="B146" s="112">
        <v>1.0177</v>
      </c>
      <c r="C146" s="108">
        <f t="shared" si="41"/>
        <v>-5.9000000000000163E-3</v>
      </c>
      <c r="D146" s="109">
        <f t="shared" si="42"/>
        <v>-5.9000000000000163E-3</v>
      </c>
      <c r="E146" s="109">
        <f ca="1">IF(表2_367162629303891213141523[[#This Row],[累计净值]]/MAX(INDIRECT("B21:B" &amp; ROW()))-1&lt;E145,表2_367162629303891213141523[[#This Row],[累计净值]]/MAX(INDIRECT("B21:B" &amp; ROW()))-1,E145)</f>
        <v>-2.7917310664605788E-2</v>
      </c>
      <c r="F146" s="110">
        <f>表2_367162629303891213141523[[#This Row],[累计净值]]</f>
        <v>1.0177</v>
      </c>
      <c r="G146" s="20">
        <f>表2_367162629303891213141523[[#This Row],[累计净值]]/$B$21-1</f>
        <v>-3.817541111981182E-3</v>
      </c>
    </row>
    <row r="147" spans="1:7" x14ac:dyDescent="0.2">
      <c r="A147" s="15">
        <v>44211</v>
      </c>
      <c r="B147" s="112">
        <v>1.0187999999999999</v>
      </c>
      <c r="C147" s="108">
        <f t="shared" si="41"/>
        <v>1.0999999999998789E-3</v>
      </c>
      <c r="D147" s="109" t="str">
        <f t="shared" si="42"/>
        <v>/</v>
      </c>
      <c r="E147" s="109">
        <f ca="1">IF(表2_367162629303891213141523[[#This Row],[累计净值]]/MAX(INDIRECT("B21:B" &amp; ROW()))-1&lt;E146,表2_367162629303891213141523[[#This Row],[累计净值]]/MAX(INDIRECT("B21:B" &amp; ROW()))-1,E146)</f>
        <v>-2.7917310664605788E-2</v>
      </c>
      <c r="F147" s="110">
        <f>表2_367162629303891213141523[[#This Row],[累计净值]]</f>
        <v>1.0187999999999999</v>
      </c>
      <c r="G147" s="20">
        <f>表2_367162629303891213141523[[#This Row],[累计净值]]/$B$21-1</f>
        <v>-2.7407987470635664E-3</v>
      </c>
    </row>
    <row r="148" spans="1:7" x14ac:dyDescent="0.2">
      <c r="A148" s="15">
        <v>44214</v>
      </c>
      <c r="B148" s="112">
        <v>1.0219</v>
      </c>
      <c r="C148" s="108">
        <f t="shared" si="41"/>
        <v>3.1000000000001027E-3</v>
      </c>
      <c r="D148" s="109" t="str">
        <f t="shared" si="42"/>
        <v>/</v>
      </c>
      <c r="E148" s="109">
        <f ca="1">IF(表2_367162629303891213141523[[#This Row],[累计净值]]/MAX(INDIRECT("B21:B" &amp; ROW()))-1&lt;E147,表2_367162629303891213141523[[#This Row],[累计净值]]/MAX(INDIRECT("B21:B" &amp; ROW()))-1,E147)</f>
        <v>-2.7917310664605788E-2</v>
      </c>
      <c r="F148" s="110">
        <f>表2_367162629303891213141523[[#This Row],[累计净值]]</f>
        <v>1.0219</v>
      </c>
      <c r="G148" s="20">
        <f>表2_367162629303891213141523[[#This Row],[累计净值]]/$B$21-1</f>
        <v>2.9365700861383459E-4</v>
      </c>
    </row>
    <row r="149" spans="1:7" x14ac:dyDescent="0.2">
      <c r="A149" s="15">
        <v>44215</v>
      </c>
      <c r="B149" s="112">
        <v>1.0217000000000001</v>
      </c>
      <c r="C149" s="108">
        <f t="shared" si="41"/>
        <v>-1.9999999999997797E-4</v>
      </c>
      <c r="D149" s="109">
        <f t="shared" si="42"/>
        <v>-1.9999999999997797E-4</v>
      </c>
      <c r="E149" s="109">
        <f ca="1">IF(表2_367162629303891213141523[[#This Row],[累计净值]]/MAX(INDIRECT("B21:B" &amp; ROW()))-1&lt;E148,表2_367162629303891213141523[[#This Row],[累计净值]]/MAX(INDIRECT("B21:B" &amp; ROW()))-1,E148)</f>
        <v>-2.7917310664605788E-2</v>
      </c>
      <c r="F149" s="110">
        <f>表2_367162629303891213141523[[#This Row],[累计净值]]</f>
        <v>1.0217000000000001</v>
      </c>
      <c r="G149" s="20">
        <f>表2_367162629303891213141523[[#This Row],[累计净值]]/$B$21-1</f>
        <v>9.7885669537944864E-5</v>
      </c>
    </row>
    <row r="150" spans="1:7" x14ac:dyDescent="0.2">
      <c r="A150" s="15">
        <v>44216</v>
      </c>
      <c r="B150" s="112">
        <v>1.0223</v>
      </c>
      <c r="C150" s="108">
        <f t="shared" si="41"/>
        <v>5.9999999999993392E-4</v>
      </c>
      <c r="D150" s="109" t="str">
        <f t="shared" si="42"/>
        <v>/</v>
      </c>
      <c r="E150" s="109">
        <f ca="1">IF(表2_367162629303891213141523[[#This Row],[累计净值]]/MAX(INDIRECT("B21:B" &amp; ROW()))-1&lt;E149,表2_367162629303891213141523[[#This Row],[累计净值]]/MAX(INDIRECT("B21:B" &amp; ROW()))-1,E149)</f>
        <v>-2.7917310664605788E-2</v>
      </c>
      <c r="F150" s="110">
        <f>表2_367162629303891213141523[[#This Row],[累计净值]]</f>
        <v>1.0223</v>
      </c>
      <c r="G150" s="20">
        <f>表2_367162629303891213141523[[#This Row],[累计净值]]/$B$21-1</f>
        <v>6.8519968676583609E-4</v>
      </c>
    </row>
    <row r="151" spans="1:7" x14ac:dyDescent="0.2">
      <c r="A151" s="15">
        <v>44217</v>
      </c>
      <c r="B151" s="112">
        <v>1.0208999999999999</v>
      </c>
      <c r="C151" s="108">
        <f t="shared" ref="C151:C156" si="43">IFERROR(B151-B150,0)</f>
        <v>-1.4000000000000679E-3</v>
      </c>
      <c r="D151" s="109">
        <f t="shared" ref="D151:D156" si="44">IF(C151&lt;0,C151,"/")</f>
        <v>-1.4000000000000679E-3</v>
      </c>
      <c r="E151" s="109">
        <f ca="1">IF(表2_367162629303891213141523[[#This Row],[累计净值]]/MAX(INDIRECT("B21:B" &amp; ROW()))-1&lt;E150,表2_367162629303891213141523[[#This Row],[累计净值]]/MAX(INDIRECT("B21:B" &amp; ROW()))-1,E150)</f>
        <v>-2.7917310664605788E-2</v>
      </c>
      <c r="F151" s="110">
        <f>表2_367162629303891213141523[[#This Row],[累计净值]]</f>
        <v>1.0208999999999999</v>
      </c>
      <c r="G151" s="20">
        <f>表2_367162629303891213141523[[#This Row],[累计净值]]/$B$21-1</f>
        <v>-6.8519968676594711E-4</v>
      </c>
    </row>
    <row r="152" spans="1:7" x14ac:dyDescent="0.2">
      <c r="A152" s="15">
        <v>44218</v>
      </c>
      <c r="B152" s="112">
        <v>1.0253000000000001</v>
      </c>
      <c r="C152" s="108">
        <f t="shared" si="43"/>
        <v>4.4000000000001815E-3</v>
      </c>
      <c r="D152" s="109" t="str">
        <f t="shared" si="44"/>
        <v>/</v>
      </c>
      <c r="E152" s="109">
        <f ca="1">IF(表2_367162629303891213141523[[#This Row],[累计净值]]/MAX(INDIRECT("B21:B" &amp; ROW()))-1&lt;E151,表2_367162629303891213141523[[#This Row],[累计净值]]/MAX(INDIRECT("B21:B" &amp; ROW()))-1,E151)</f>
        <v>-2.7917310664605788E-2</v>
      </c>
      <c r="F152" s="110">
        <f>表2_367162629303891213141523[[#This Row],[累计净值]]</f>
        <v>1.0253000000000001</v>
      </c>
      <c r="G152" s="20">
        <f>表2_367162629303891213141523[[#This Row],[累计净值]]/$B$21-1</f>
        <v>3.6217697729052922E-3</v>
      </c>
    </row>
    <row r="153" spans="1:7" x14ac:dyDescent="0.2">
      <c r="A153" s="15">
        <v>44221</v>
      </c>
      <c r="B153" s="112">
        <v>1.0259</v>
      </c>
      <c r="C153" s="108">
        <f t="shared" si="43"/>
        <v>5.9999999999993392E-4</v>
      </c>
      <c r="D153" s="109" t="str">
        <f t="shared" si="44"/>
        <v>/</v>
      </c>
      <c r="E153" s="109">
        <f ca="1">IF(表2_367162629303891213141523[[#This Row],[累计净值]]/MAX(INDIRECT("B21:B" &amp; ROW()))-1&lt;E152,表2_367162629303891213141523[[#This Row],[累计净值]]/MAX(INDIRECT("B21:B" &amp; ROW()))-1,E152)</f>
        <v>-2.7917310664605788E-2</v>
      </c>
      <c r="F153" s="110">
        <f>表2_367162629303891213141523[[#This Row],[累计净值]]</f>
        <v>1.0259</v>
      </c>
      <c r="G153" s="20">
        <f>表2_367162629303891213141523[[#This Row],[累计净值]]/$B$21-1</f>
        <v>4.2090837901331835E-3</v>
      </c>
    </row>
    <row r="154" spans="1:7" x14ac:dyDescent="0.2">
      <c r="A154" s="15">
        <v>44222</v>
      </c>
      <c r="B154" s="112">
        <v>1.0250999999999999</v>
      </c>
      <c r="C154" s="108">
        <f t="shared" si="43"/>
        <v>-8.0000000000013394E-4</v>
      </c>
      <c r="D154" s="109">
        <f t="shared" si="44"/>
        <v>-8.0000000000013394E-4</v>
      </c>
      <c r="E154" s="109">
        <f ca="1">IF(表2_367162629303891213141523[[#This Row],[累计净值]]/MAX(INDIRECT("B21:B" &amp; ROW()))-1&lt;E153,表2_367162629303891213141523[[#This Row],[累计净值]]/MAX(INDIRECT("B21:B" &amp; ROW()))-1,E153)</f>
        <v>-2.7917310664605788E-2</v>
      </c>
      <c r="F154" s="110">
        <f>表2_367162629303891213141523[[#This Row],[累计净值]]</f>
        <v>1.0250999999999999</v>
      </c>
      <c r="G154" s="20">
        <f>表2_367162629303891213141523[[#This Row],[累计净值]]/$B$21-1</f>
        <v>3.4259984338291805E-3</v>
      </c>
    </row>
    <row r="155" spans="1:7" x14ac:dyDescent="0.2">
      <c r="A155" s="15">
        <v>44223</v>
      </c>
      <c r="B155" s="112">
        <v>1.0248999999999999</v>
      </c>
      <c r="C155" s="108">
        <f t="shared" si="43"/>
        <v>-1.9999999999997797E-4</v>
      </c>
      <c r="D155" s="109">
        <f t="shared" si="44"/>
        <v>-1.9999999999997797E-4</v>
      </c>
      <c r="E155" s="109">
        <f ca="1">IF(表2_367162629303891213141523[[#This Row],[累计净值]]/MAX(INDIRECT("B21:B" &amp; ROW()))-1&lt;E154,表2_367162629303891213141523[[#This Row],[累计净值]]/MAX(INDIRECT("B21:B" &amp; ROW()))-1,E154)</f>
        <v>-2.7917310664605788E-2</v>
      </c>
      <c r="F155" s="110">
        <f>表2_367162629303891213141523[[#This Row],[累计净值]]</f>
        <v>1.0248999999999999</v>
      </c>
      <c r="G155" s="20">
        <f>表2_367162629303891213141523[[#This Row],[累计净值]]/$B$21-1</f>
        <v>3.2302270947532907E-3</v>
      </c>
    </row>
    <row r="156" spans="1:7" x14ac:dyDescent="0.2">
      <c r="A156" s="15">
        <v>44224</v>
      </c>
      <c r="B156" s="112">
        <v>1.0245</v>
      </c>
      <c r="C156" s="108">
        <f t="shared" si="43"/>
        <v>-3.9999999999995595E-4</v>
      </c>
      <c r="D156" s="109">
        <f t="shared" si="44"/>
        <v>-3.9999999999995595E-4</v>
      </c>
      <c r="E156" s="109">
        <f ca="1">IF(表2_367162629303891213141523[[#This Row],[累计净值]]/MAX(INDIRECT("B21:B" &amp; ROW()))-1&lt;E155,表2_367162629303891213141523[[#This Row],[累计净值]]/MAX(INDIRECT("B21:B" &amp; ROW()))-1,E155)</f>
        <v>-2.7917310664605788E-2</v>
      </c>
      <c r="F156" s="110">
        <f>表2_367162629303891213141523[[#This Row],[累计净值]]</f>
        <v>1.0245</v>
      </c>
      <c r="G156" s="20">
        <f>表2_367162629303891213141523[[#This Row],[累计净值]]/$B$21-1</f>
        <v>2.8386844166012892E-3</v>
      </c>
    </row>
    <row r="157" spans="1:7" x14ac:dyDescent="0.2">
      <c r="A157" s="15">
        <v>44225</v>
      </c>
      <c r="B157" s="112">
        <v>1.0278</v>
      </c>
      <c r="C157" s="108">
        <f t="shared" ref="C157:C162" si="45">IFERROR(B157-B156,0)</f>
        <v>3.3000000000000806E-3</v>
      </c>
      <c r="D157" s="109" t="str">
        <f t="shared" ref="D157:D162" si="46">IF(C157&lt;0,C157,"/")</f>
        <v>/</v>
      </c>
      <c r="E157" s="109">
        <f ca="1">IF(表2_367162629303891213141523[[#This Row],[累计净值]]/MAX(INDIRECT("B21:B" &amp; ROW()))-1&lt;E156,表2_367162629303891213141523[[#This Row],[累计净值]]/MAX(INDIRECT("B21:B" &amp; ROW()))-1,E156)</f>
        <v>-2.7917310664605788E-2</v>
      </c>
      <c r="F157" s="110">
        <f>表2_367162629303891213141523[[#This Row],[累计净值]]</f>
        <v>1.0278</v>
      </c>
      <c r="G157" s="20">
        <f>表2_367162629303891213141523[[#This Row],[累计净值]]/$B$21-1</f>
        <v>6.068911511354802E-3</v>
      </c>
    </row>
    <row r="158" spans="1:7" x14ac:dyDescent="0.2">
      <c r="A158" s="15">
        <v>44228</v>
      </c>
      <c r="B158" s="112">
        <v>1.0263</v>
      </c>
      <c r="C158" s="108">
        <f t="shared" si="45"/>
        <v>-1.5000000000000568E-3</v>
      </c>
      <c r="D158" s="109">
        <f t="shared" si="46"/>
        <v>-1.5000000000000568E-3</v>
      </c>
      <c r="E158" s="109">
        <f ca="1">IF(表2_367162629303891213141523[[#This Row],[累计净值]]/MAX(INDIRECT("B21:B" &amp; ROW()))-1&lt;E157,表2_367162629303891213141523[[#This Row],[累计净值]]/MAX(INDIRECT("B21:B" &amp; ROW()))-1,E157)</f>
        <v>-2.7917310664605788E-2</v>
      </c>
      <c r="F158" s="110">
        <f>表2_367162629303891213141523[[#This Row],[累计净值]]</f>
        <v>1.0263</v>
      </c>
      <c r="G158" s="20">
        <f>表2_367162629303891213141523[[#This Row],[累计净值]]/$B$21-1</f>
        <v>4.6006264682849629E-3</v>
      </c>
    </row>
    <row r="159" spans="1:7" x14ac:dyDescent="0.2">
      <c r="A159" s="15">
        <v>44229</v>
      </c>
      <c r="B159" s="112">
        <v>1.0273000000000001</v>
      </c>
      <c r="C159" s="108">
        <f t="shared" si="45"/>
        <v>1.0000000000001119E-3</v>
      </c>
      <c r="D159" s="109" t="str">
        <f t="shared" si="46"/>
        <v>/</v>
      </c>
      <c r="E159" s="109">
        <f ca="1">IF(表2_367162629303891213141523[[#This Row],[累计净值]]/MAX(INDIRECT("B21:B" &amp; ROW()))-1&lt;E158,表2_367162629303891213141523[[#This Row],[累计净值]]/MAX(INDIRECT("B21:B" &amp; ROW()))-1,E158)</f>
        <v>-2.7917310664605788E-2</v>
      </c>
      <c r="F159" s="110">
        <f>表2_367162629303891213141523[[#This Row],[累计净值]]</f>
        <v>1.0273000000000001</v>
      </c>
      <c r="G159" s="20">
        <f>表2_367162629303891213141523[[#This Row],[累计净值]]/$B$21-1</f>
        <v>5.5794831636648556E-3</v>
      </c>
    </row>
    <row r="160" spans="1:7" x14ac:dyDescent="0.2">
      <c r="A160" s="15">
        <v>44230</v>
      </c>
      <c r="B160" s="112">
        <v>1.0242</v>
      </c>
      <c r="C160" s="108">
        <f t="shared" si="45"/>
        <v>-3.1000000000001027E-3</v>
      </c>
      <c r="D160" s="109">
        <f t="shared" si="46"/>
        <v>-3.1000000000001027E-3</v>
      </c>
      <c r="E160" s="109">
        <f ca="1">IF(表2_367162629303891213141523[[#This Row],[累计净值]]/MAX(INDIRECT("B21:B" &amp; ROW()))-1&lt;E159,表2_367162629303891213141523[[#This Row],[累计净值]]/MAX(INDIRECT("B21:B" &amp; ROW()))-1,E159)</f>
        <v>-2.7917310664605788E-2</v>
      </c>
      <c r="F160" s="110">
        <f>表2_367162629303891213141523[[#This Row],[累计净值]]</f>
        <v>1.0242</v>
      </c>
      <c r="G160" s="20">
        <f>表2_367162629303891213141523[[#This Row],[累计净值]]/$B$21-1</f>
        <v>2.5450274079874546E-3</v>
      </c>
    </row>
    <row r="161" spans="1:7" x14ac:dyDescent="0.2">
      <c r="A161" s="15">
        <v>44231</v>
      </c>
      <c r="B161" s="112">
        <v>1.0248999999999999</v>
      </c>
      <c r="C161" s="108">
        <f t="shared" si="45"/>
        <v>6.9999999999992291E-4</v>
      </c>
      <c r="D161" s="109" t="str">
        <f t="shared" si="46"/>
        <v>/</v>
      </c>
      <c r="E161" s="109">
        <f ca="1">IF(表2_367162629303891213141523[[#This Row],[累计净值]]/MAX(INDIRECT("B21:B" &amp; ROW()))-1&lt;E160,表2_367162629303891213141523[[#This Row],[累计净值]]/MAX(INDIRECT("B21:B" &amp; ROW()))-1,E160)</f>
        <v>-2.7917310664605788E-2</v>
      </c>
      <c r="F161" s="110">
        <f>表2_367162629303891213141523[[#This Row],[累计净值]]</f>
        <v>1.0248999999999999</v>
      </c>
      <c r="G161" s="20">
        <f>表2_367162629303891213141523[[#This Row],[累计净值]]/$B$21-1</f>
        <v>3.2302270947532907E-3</v>
      </c>
    </row>
    <row r="162" spans="1:7" x14ac:dyDescent="0.2">
      <c r="A162" s="15">
        <v>44232</v>
      </c>
      <c r="B162" s="112">
        <v>1.0222</v>
      </c>
      <c r="C162" s="108">
        <f t="shared" si="45"/>
        <v>-2.6999999999999247E-3</v>
      </c>
      <c r="D162" s="109">
        <f t="shared" si="46"/>
        <v>-2.6999999999999247E-3</v>
      </c>
      <c r="E162" s="109">
        <f ca="1">IF(表2_367162629303891213141523[[#This Row],[累计净值]]/MAX(INDIRECT("B21:B" &amp; ROW()))-1&lt;E161,表2_367162629303891213141523[[#This Row],[累计净值]]/MAX(INDIRECT("B21:B" &amp; ROW()))-1,E161)</f>
        <v>-2.7917310664605788E-2</v>
      </c>
      <c r="F162" s="110">
        <f>表2_367162629303891213141523[[#This Row],[累计净值]]</f>
        <v>1.0222</v>
      </c>
      <c r="G162" s="20">
        <f>表2_367162629303891213141523[[#This Row],[累计净值]]/$B$21-1</f>
        <v>5.8731401722789123E-4</v>
      </c>
    </row>
    <row r="163" spans="1:7" x14ac:dyDescent="0.2">
      <c r="A163" s="15">
        <v>44235</v>
      </c>
      <c r="B163" s="112">
        <v>1.0245</v>
      </c>
      <c r="C163" s="108">
        <f>IFERROR(B163-B162,0)</f>
        <v>2.2999999999999687E-3</v>
      </c>
      <c r="D163" s="109" t="str">
        <f>IF(C163&lt;0,C163,"/")</f>
        <v>/</v>
      </c>
      <c r="E163" s="109">
        <f ca="1">IF(表2_367162629303891213141523[[#This Row],[累计净值]]/MAX(INDIRECT("B21:B" &amp; ROW()))-1&lt;E162,表2_367162629303891213141523[[#This Row],[累计净值]]/MAX(INDIRECT("B21:B" &amp; ROW()))-1,E162)</f>
        <v>-2.7917310664605788E-2</v>
      </c>
      <c r="F163" s="110">
        <f>表2_367162629303891213141523[[#This Row],[累计净值]]</f>
        <v>1.0245</v>
      </c>
      <c r="G163" s="20">
        <f>表2_367162629303891213141523[[#This Row],[累计净值]]/$B$21-1</f>
        <v>2.8386844166012892E-3</v>
      </c>
    </row>
    <row r="164" spans="1:7" x14ac:dyDescent="0.2">
      <c r="A164" s="15">
        <v>44236</v>
      </c>
      <c r="B164" s="112">
        <v>1.0271999999999999</v>
      </c>
      <c r="C164" s="108">
        <f>IFERROR(B164-B163,0)</f>
        <v>2.6999999999999247E-3</v>
      </c>
      <c r="D164" s="109" t="str">
        <f>IF(C164&lt;0,C164,"/")</f>
        <v>/</v>
      </c>
      <c r="E164" s="109">
        <f ca="1">IF(表2_367162629303891213141523[[#This Row],[累计净值]]/MAX(INDIRECT("B21:B" &amp; ROW()))-1&lt;E163,表2_367162629303891213141523[[#This Row],[累计净值]]/MAX(INDIRECT("B21:B" &amp; ROW()))-1,E163)</f>
        <v>-2.7917310664605788E-2</v>
      </c>
      <c r="F164" s="110">
        <f>表2_367162629303891213141523[[#This Row],[累计净值]]</f>
        <v>1.0271999999999999</v>
      </c>
      <c r="G164" s="20">
        <f>表2_367162629303891213141523[[#This Row],[累计净值]]/$B$21-1</f>
        <v>5.4815974941266887E-3</v>
      </c>
    </row>
    <row r="165" spans="1:7" x14ac:dyDescent="0.2">
      <c r="A165" s="15">
        <v>44237</v>
      </c>
      <c r="B165" s="112">
        <v>1.0298</v>
      </c>
      <c r="C165" s="108">
        <f t="shared" ref="C165:C166" si="47">IFERROR(B165-B164,0)</f>
        <v>2.6000000000001577E-3</v>
      </c>
      <c r="D165" s="109" t="str">
        <f t="shared" ref="D165:D166" si="48">IF(C165&lt;0,C165,"/")</f>
        <v>/</v>
      </c>
      <c r="E165" s="109">
        <f ca="1">IF(表2_367162629303891213141523[[#This Row],[累计净值]]/MAX(INDIRECT("B21:B" &amp; ROW()))-1&lt;E164,表2_367162629303891213141523[[#This Row],[累计净值]]/MAX(INDIRECT("B21:B" &amp; ROW()))-1,E164)</f>
        <v>-2.7917310664605788E-2</v>
      </c>
      <c r="F165" s="110">
        <f>表2_367162629303891213141523[[#This Row],[累计净值]]</f>
        <v>1.0298</v>
      </c>
      <c r="G165" s="20">
        <f>表2_367162629303891213141523[[#This Row],[累计净值]]/$B$21-1</f>
        <v>8.0266249021143654E-3</v>
      </c>
    </row>
    <row r="166" spans="1:7" x14ac:dyDescent="0.2">
      <c r="A166" s="15">
        <v>44245</v>
      </c>
      <c r="B166" s="112">
        <v>1.0329999999999999</v>
      </c>
      <c r="C166" s="108">
        <f t="shared" si="47"/>
        <v>3.1999999999998696E-3</v>
      </c>
      <c r="D166" s="109" t="str">
        <f t="shared" si="48"/>
        <v>/</v>
      </c>
      <c r="E166" s="109">
        <f ca="1">IF(表2_367162629303891213141523[[#This Row],[累计净值]]/MAX(INDIRECT("B21:B" &amp; ROW()))-1&lt;E165,表2_367162629303891213141523[[#This Row],[累计净值]]/MAX(INDIRECT("B21:B" &amp; ROW()))-1,E165)</f>
        <v>-2.7917310664605788E-2</v>
      </c>
      <c r="F166" s="110">
        <f>表2_367162629303891213141523[[#This Row],[累计净值]]</f>
        <v>1.0329999999999999</v>
      </c>
      <c r="G166" s="20">
        <f>表2_367162629303891213141523[[#This Row],[累计净值]]/$B$21-1</f>
        <v>1.1158966327329489E-2</v>
      </c>
    </row>
    <row r="167" spans="1:7" x14ac:dyDescent="0.2">
      <c r="A167" s="15">
        <v>44246</v>
      </c>
      <c r="B167" s="112">
        <v>1.0311999999999999</v>
      </c>
      <c r="C167" s="108">
        <f>IFERROR(B167-B166,0)</f>
        <v>-1.8000000000000238E-3</v>
      </c>
      <c r="D167" s="109">
        <f>IF(C167&lt;0,C167,"/")</f>
        <v>-1.8000000000000238E-3</v>
      </c>
      <c r="E167" s="109">
        <f ca="1">IF(表2_367162629303891213141523[[#This Row],[累计净值]]/MAX(INDIRECT("B21:B" &amp; ROW()))-1&lt;E166,表2_367162629303891213141523[[#This Row],[累计净值]]/MAX(INDIRECT("B21:B" &amp; ROW()))-1,E166)</f>
        <v>-2.7917310664605788E-2</v>
      </c>
      <c r="F167" s="110">
        <f>表2_367162629303891213141523[[#This Row],[累计净值]]</f>
        <v>1.0311999999999999</v>
      </c>
      <c r="G167" s="20">
        <f>表2_367162629303891213141523[[#This Row],[累计净值]]/$B$21-1</f>
        <v>9.3970242756458155E-3</v>
      </c>
    </row>
    <row r="168" spans="1:7" x14ac:dyDescent="0.2">
      <c r="A168" s="15">
        <v>44249</v>
      </c>
      <c r="B168" s="112">
        <v>1.0307999999999999</v>
      </c>
      <c r="C168" s="108">
        <f>IFERROR(B168-B167,0)</f>
        <v>-3.9999999999995595E-4</v>
      </c>
      <c r="D168" s="109">
        <f>IF(C168&lt;0,C168,"/")</f>
        <v>-3.9999999999995595E-4</v>
      </c>
      <c r="E168" s="109">
        <f ca="1">IF(表2_367162629303891213141523[[#This Row],[累计净值]]/MAX(INDIRECT("B21:B" &amp; ROW()))-1&lt;E167,表2_367162629303891213141523[[#This Row],[累计净值]]/MAX(INDIRECT("B21:B" &amp; ROW()))-1,E167)</f>
        <v>-2.7917310664605788E-2</v>
      </c>
      <c r="F168" s="110">
        <f>表2_367162629303891213141523[[#This Row],[累计净值]]</f>
        <v>1.0307999999999999</v>
      </c>
      <c r="G168" s="20">
        <f>表2_367162629303891213141523[[#This Row],[累计净值]]/$B$21-1</f>
        <v>9.0054815974940361E-3</v>
      </c>
    </row>
    <row r="169" spans="1:7" x14ac:dyDescent="0.2">
      <c r="A169" s="15">
        <v>44250</v>
      </c>
      <c r="B169" s="112">
        <v>1.0318000000000001</v>
      </c>
      <c r="C169" s="108">
        <f>IFERROR(B169-B168,0)</f>
        <v>1.0000000000001119E-3</v>
      </c>
      <c r="D169" s="109" t="str">
        <f>IF(C169&lt;0,C169,"/")</f>
        <v>/</v>
      </c>
      <c r="E169" s="109">
        <f ca="1">IF(表2_367162629303891213141523[[#This Row],[累计净值]]/MAX(INDIRECT("B21:B" &amp; ROW()))-1&lt;E168,表2_367162629303891213141523[[#This Row],[累计净值]]/MAX(INDIRECT("B21:B" &amp; ROW()))-1,E168)</f>
        <v>-2.7917310664605788E-2</v>
      </c>
      <c r="F169" s="110">
        <f>表2_367162629303891213141523[[#This Row],[累计净值]]</f>
        <v>1.0318000000000001</v>
      </c>
      <c r="G169" s="20">
        <f>表2_367162629303891213141523[[#This Row],[累计净值]]/$B$21-1</f>
        <v>9.9843382928739288E-3</v>
      </c>
    </row>
    <row r="170" spans="1:7" x14ac:dyDescent="0.2">
      <c r="A170" s="15">
        <v>44251</v>
      </c>
      <c r="B170" s="112">
        <v>1.0314000000000001</v>
      </c>
      <c r="C170" s="108">
        <f t="shared" ref="C170:C171" si="49">IFERROR(B170-B169,0)</f>
        <v>-3.9999999999995595E-4</v>
      </c>
      <c r="D170" s="109">
        <f t="shared" ref="D170:D171" si="50">IF(C170&lt;0,C170,"/")</f>
        <v>-3.9999999999995595E-4</v>
      </c>
      <c r="E170" s="109">
        <f ca="1">IF(表2_367162629303891213141523[[#This Row],[累计净值]]/MAX(INDIRECT("B21:B" &amp; ROW()))-1&lt;E169,表2_367162629303891213141523[[#This Row],[累计净值]]/MAX(INDIRECT("B21:B" &amp; ROW()))-1,E169)</f>
        <v>-2.7917310664605788E-2</v>
      </c>
      <c r="F170" s="110">
        <f>表2_367162629303891213141523[[#This Row],[累计净值]]</f>
        <v>1.0314000000000001</v>
      </c>
      <c r="G170" s="20">
        <f>表2_367162629303891213141523[[#This Row],[累计净值]]/$B$21-1</f>
        <v>9.5927956147219273E-3</v>
      </c>
    </row>
    <row r="171" spans="1:7" x14ac:dyDescent="0.2">
      <c r="A171" s="15">
        <v>44252</v>
      </c>
      <c r="B171" s="112">
        <v>1.0321</v>
      </c>
      <c r="C171" s="108">
        <f t="shared" si="49"/>
        <v>6.9999999999992291E-4</v>
      </c>
      <c r="D171" s="109" t="str">
        <f t="shared" si="50"/>
        <v>/</v>
      </c>
      <c r="E171" s="109">
        <f ca="1">IF(表2_367162629303891213141523[[#This Row],[累计净值]]/MAX(INDIRECT("B21:B" &amp; ROW()))-1&lt;E170,表2_367162629303891213141523[[#This Row],[累计净值]]/MAX(INDIRECT("B21:B" &amp; ROW()))-1,E170)</f>
        <v>-2.7917310664605788E-2</v>
      </c>
      <c r="F171" s="110">
        <f>表2_367162629303891213141523[[#This Row],[累计净值]]</f>
        <v>1.0321</v>
      </c>
      <c r="G171" s="20">
        <f>表2_367162629303891213141523[[#This Row],[累计净值]]/$B$21-1</f>
        <v>1.0277995301487763E-2</v>
      </c>
    </row>
    <row r="172" spans="1:7" x14ac:dyDescent="0.2">
      <c r="A172" s="15">
        <v>44253</v>
      </c>
      <c r="B172" s="112">
        <v>1.0304</v>
      </c>
      <c r="C172" s="108">
        <f>IFERROR(B172-B171,0)</f>
        <v>-1.7000000000000348E-3</v>
      </c>
      <c r="D172" s="109">
        <f>IF(C172&lt;0,C172,"/")</f>
        <v>-1.7000000000000348E-3</v>
      </c>
      <c r="E172" s="109">
        <f ca="1">IF(表2_367162629303891213141523[[#This Row],[累计净值]]/MAX(INDIRECT("B21:B" &amp; ROW()))-1&lt;E171,表2_367162629303891213141523[[#This Row],[累计净值]]/MAX(INDIRECT("B21:B" &amp; ROW()))-1,E171)</f>
        <v>-2.7917310664605788E-2</v>
      </c>
      <c r="F172" s="110">
        <f>表2_367162629303891213141523[[#This Row],[累计净值]]</f>
        <v>1.0304</v>
      </c>
      <c r="G172" s="20">
        <f>表2_367162629303891213141523[[#This Row],[累计净值]]/$B$21-1</f>
        <v>8.6139389193420346E-3</v>
      </c>
    </row>
    <row r="173" spans="1:7" x14ac:dyDescent="0.2">
      <c r="A173" s="15">
        <v>44256</v>
      </c>
      <c r="B173" s="112">
        <v>1.0367</v>
      </c>
      <c r="C173" s="108">
        <f>IFERROR(B173-B172,0)</f>
        <v>6.2999999999999723E-3</v>
      </c>
      <c r="D173" s="109" t="str">
        <f>IF(C173&lt;0,C173,"/")</f>
        <v>/</v>
      </c>
      <c r="E173" s="109">
        <f ca="1">IF(表2_367162629303891213141523[[#This Row],[累计净值]]/MAX(INDIRECT("B21:B" &amp; ROW()))-1&lt;E172,表2_367162629303891213141523[[#This Row],[累计净值]]/MAX(INDIRECT("B21:B" &amp; ROW()))-1,E172)</f>
        <v>-2.7917310664605788E-2</v>
      </c>
      <c r="F173" s="110">
        <f>表2_367162629303891213141523[[#This Row],[累计净值]]</f>
        <v>1.0367</v>
      </c>
      <c r="G173" s="20">
        <f>表2_367162629303891213141523[[#This Row],[累计净值]]/$B$21-1</f>
        <v>1.4780736100234781E-2</v>
      </c>
    </row>
    <row r="174" spans="1:7" x14ac:dyDescent="0.2">
      <c r="A174" s="15">
        <v>44257</v>
      </c>
      <c r="B174" s="112">
        <v>1.036</v>
      </c>
      <c r="C174" s="108">
        <f>IFERROR(B174-B173,0)</f>
        <v>-6.9999999999992291E-4</v>
      </c>
      <c r="D174" s="109">
        <f>IF(C174&lt;0,C174,"/")</f>
        <v>-6.9999999999992291E-4</v>
      </c>
      <c r="E174" s="109">
        <f ca="1">IF(表2_367162629303891213141523[[#This Row],[累计净值]]/MAX(INDIRECT("B21:B" &amp; ROW()))-1&lt;E173,表2_367162629303891213141523[[#This Row],[累计净值]]/MAX(INDIRECT("B21:B" &amp; ROW()))-1,E173)</f>
        <v>-2.7917310664605788E-2</v>
      </c>
      <c r="F174" s="110">
        <f>表2_367162629303891213141523[[#This Row],[累计净值]]</f>
        <v>1.036</v>
      </c>
      <c r="G174" s="20">
        <f>表2_367162629303891213141523[[#This Row],[累计净值]]/$B$21-1</f>
        <v>1.4095536413468945E-2</v>
      </c>
    </row>
    <row r="175" spans="1:7" x14ac:dyDescent="0.2">
      <c r="A175" s="15">
        <v>44258</v>
      </c>
      <c r="B175" s="112">
        <v>1.0367</v>
      </c>
      <c r="C175" s="108">
        <f>IFERROR(B175-B174,0)</f>
        <v>6.9999999999992291E-4</v>
      </c>
      <c r="D175" s="109" t="str">
        <f>IF(C175&lt;0,C175,"/")</f>
        <v>/</v>
      </c>
      <c r="E175" s="109">
        <f ca="1">IF(表2_367162629303891213141523[[#This Row],[累计净值]]/MAX(INDIRECT("B21:B" &amp; ROW()))-1&lt;E174,表2_367162629303891213141523[[#This Row],[累计净值]]/MAX(INDIRECT("B21:B" &amp; ROW()))-1,E174)</f>
        <v>-2.7917310664605788E-2</v>
      </c>
      <c r="F175" s="110">
        <f>表2_367162629303891213141523[[#This Row],[累计净值]]</f>
        <v>1.0367</v>
      </c>
      <c r="G175" s="20">
        <f>表2_367162629303891213141523[[#This Row],[累计净值]]/$B$21-1</f>
        <v>1.4780736100234781E-2</v>
      </c>
    </row>
    <row r="176" spans="1:7" x14ac:dyDescent="0.2">
      <c r="A176" s="15">
        <v>44259</v>
      </c>
      <c r="B176" s="112">
        <v>1.0334000000000001</v>
      </c>
      <c r="C176" s="108">
        <f t="shared" ref="C176:C182" si="51">IFERROR(B176-B175,0)</f>
        <v>-3.2999999999998586E-3</v>
      </c>
      <c r="D176" s="109">
        <f t="shared" ref="D176:D182" si="52">IF(C176&lt;0,C176,"/")</f>
        <v>-3.2999999999998586E-3</v>
      </c>
      <c r="E176" s="109">
        <f ca="1">IF(表2_367162629303891213141523[[#This Row],[累计净值]]/MAX(INDIRECT("B21:B" &amp; ROW()))-1&lt;E175,表2_367162629303891213141523[[#This Row],[累计净值]]/MAX(INDIRECT("B21:B" &amp; ROW()))-1,E175)</f>
        <v>-2.7917310664605788E-2</v>
      </c>
      <c r="F176" s="110">
        <f>表2_367162629303891213141523[[#This Row],[累计净值]]</f>
        <v>1.0334000000000001</v>
      </c>
      <c r="G176" s="20">
        <f>表2_367162629303891213141523[[#This Row],[累计净值]]/$B$21-1</f>
        <v>1.1550509005481713E-2</v>
      </c>
    </row>
    <row r="177" spans="1:7" x14ac:dyDescent="0.2">
      <c r="A177" s="15">
        <v>44260</v>
      </c>
      <c r="B177" s="112">
        <v>1.0290999999999999</v>
      </c>
      <c r="C177" s="108">
        <f t="shared" si="51"/>
        <v>-4.3000000000001926E-3</v>
      </c>
      <c r="D177" s="109">
        <f t="shared" si="52"/>
        <v>-4.3000000000001926E-3</v>
      </c>
      <c r="E177" s="109">
        <f ca="1">IF(表2_367162629303891213141523[[#This Row],[累计净值]]/MAX(INDIRECT("B21:B" &amp; ROW()))-1&lt;E176,表2_367162629303891213141523[[#This Row],[累计净值]]/MAX(INDIRECT("B21:B" &amp; ROW()))-1,E176)</f>
        <v>-2.7917310664605788E-2</v>
      </c>
      <c r="F177" s="110">
        <f>表2_367162629303891213141523[[#This Row],[累计净值]]</f>
        <v>1.0290999999999999</v>
      </c>
      <c r="G177" s="20">
        <f>表2_367162629303891213141523[[#This Row],[累计净值]]/$B$21-1</f>
        <v>7.3414252153483073E-3</v>
      </c>
    </row>
    <row r="178" spans="1:7" x14ac:dyDescent="0.2">
      <c r="A178" s="15">
        <v>44263</v>
      </c>
      <c r="B178" s="112">
        <v>1.0256000000000001</v>
      </c>
      <c r="C178" s="108">
        <f t="shared" si="51"/>
        <v>-3.4999999999998366E-3</v>
      </c>
      <c r="D178" s="109">
        <f t="shared" si="52"/>
        <v>-3.4999999999998366E-3</v>
      </c>
      <c r="E178" s="109">
        <f ca="1">IF(表2_367162629303891213141523[[#This Row],[累计净值]]/MAX(INDIRECT("B21:B" &amp; ROW()))-1&lt;E177,表2_367162629303891213141523[[#This Row],[累计净值]]/MAX(INDIRECT("B21:B" &amp; ROW()))-1,E177)</f>
        <v>-2.7917310664605788E-2</v>
      </c>
      <c r="F178" s="110">
        <f>表2_367162629303891213141523[[#This Row],[累计净值]]</f>
        <v>1.0256000000000001</v>
      </c>
      <c r="G178" s="20">
        <f>表2_367162629303891213141523[[#This Row],[累计净值]]/$B$21-1</f>
        <v>3.9154267815191268E-3</v>
      </c>
    </row>
    <row r="179" spans="1:7" x14ac:dyDescent="0.2">
      <c r="A179" s="15">
        <v>44264</v>
      </c>
      <c r="B179" s="112">
        <v>1.0232000000000001</v>
      </c>
      <c r="C179" s="108">
        <f t="shared" si="51"/>
        <v>-2.3999999999999577E-3</v>
      </c>
      <c r="D179" s="109">
        <f t="shared" si="52"/>
        <v>-2.3999999999999577E-3</v>
      </c>
      <c r="E179" s="109">
        <f ca="1">IF(表2_367162629303891213141523[[#This Row],[累计净值]]/MAX(INDIRECT("B21:B" &amp; ROW()))-1&lt;E178,表2_367162629303891213141523[[#This Row],[累计净值]]/MAX(INDIRECT("B21:B" &amp; ROW()))-1,E178)</f>
        <v>-2.7917310664605788E-2</v>
      </c>
      <c r="F179" s="110">
        <f>表2_367162629303891213141523[[#This Row],[累计净值]]</f>
        <v>1.0232000000000001</v>
      </c>
      <c r="G179" s="20">
        <f>表2_367162629303891213141523[[#This Row],[累计净值]]/$B$21-1</f>
        <v>1.566170712607784E-3</v>
      </c>
    </row>
    <row r="180" spans="1:7" x14ac:dyDescent="0.2">
      <c r="A180" s="15">
        <v>44265</v>
      </c>
      <c r="B180" s="112">
        <v>1.0261</v>
      </c>
      <c r="C180" s="108">
        <f t="shared" si="51"/>
        <v>2.8999999999999027E-3</v>
      </c>
      <c r="D180" s="109" t="str">
        <f t="shared" si="52"/>
        <v>/</v>
      </c>
      <c r="E180" s="109">
        <f ca="1">IF(表2_367162629303891213141523[[#This Row],[累计净值]]/MAX(INDIRECT("B21:B" &amp; ROW()))-1&lt;E179,表2_367162629303891213141523[[#This Row],[累计净值]]/MAX(INDIRECT("B21:B" &amp; ROW()))-1,E179)</f>
        <v>-2.7917310664605788E-2</v>
      </c>
      <c r="F180" s="110">
        <f>表2_367162629303891213141523[[#This Row],[累计净值]]</f>
        <v>1.0261</v>
      </c>
      <c r="G180" s="20">
        <f>表2_367162629303891213141523[[#This Row],[累计净值]]/$B$21-1</f>
        <v>4.4048551292090732E-3</v>
      </c>
    </row>
    <row r="181" spans="1:7" x14ac:dyDescent="0.2">
      <c r="A181" s="15">
        <v>44266</v>
      </c>
      <c r="B181" s="112">
        <v>1.0327999999999999</v>
      </c>
      <c r="C181" s="108">
        <f t="shared" si="51"/>
        <v>6.6999999999999282E-3</v>
      </c>
      <c r="D181" s="109" t="str">
        <f t="shared" si="52"/>
        <v>/</v>
      </c>
      <c r="E181" s="109">
        <f ca="1">IF(表2_367162629303891213141523[[#This Row],[累计净值]]/MAX(INDIRECT("B21:B" &amp; ROW()))-1&lt;E180,表2_367162629303891213141523[[#This Row],[累计净值]]/MAX(INDIRECT("B21:B" &amp; ROW()))-1,E180)</f>
        <v>-2.7917310664605788E-2</v>
      </c>
      <c r="F181" s="110">
        <f>表2_367162629303891213141523[[#This Row],[累计净值]]</f>
        <v>1.0327999999999999</v>
      </c>
      <c r="G181" s="20">
        <f>表2_367162629303891213141523[[#This Row],[累计净值]]/$B$21-1</f>
        <v>1.09631949882536E-2</v>
      </c>
    </row>
    <row r="182" spans="1:7" x14ac:dyDescent="0.2">
      <c r="A182" s="15">
        <v>44267</v>
      </c>
      <c r="B182" s="112">
        <v>1.0327999999999999</v>
      </c>
      <c r="C182" s="108">
        <f t="shared" si="51"/>
        <v>0</v>
      </c>
      <c r="D182" s="109" t="str">
        <f t="shared" si="52"/>
        <v>/</v>
      </c>
      <c r="E182" s="109">
        <f ca="1">IF(表2_367162629303891213141523[[#This Row],[累计净值]]/MAX(INDIRECT("B21:B" &amp; ROW()))-1&lt;E181,表2_367162629303891213141523[[#This Row],[累计净值]]/MAX(INDIRECT("B21:B" &amp; ROW()))-1,E181)</f>
        <v>-2.7917310664605788E-2</v>
      </c>
      <c r="F182" s="110">
        <f>表2_367162629303891213141523[[#This Row],[累计净值]]</f>
        <v>1.0327999999999999</v>
      </c>
      <c r="G182" s="20">
        <f>表2_367162629303891213141523[[#This Row],[累计净值]]/$B$21-1</f>
        <v>1.09631949882536E-2</v>
      </c>
    </row>
    <row r="183" spans="1:7" x14ac:dyDescent="0.2">
      <c r="A183" s="15">
        <v>44270</v>
      </c>
      <c r="B183" s="278">
        <v>1.0329999999999999</v>
      </c>
      <c r="C183" s="108">
        <f t="shared" ref="C183" si="53">IFERROR(B183-B182,0)</f>
        <v>1.9999999999997797E-4</v>
      </c>
      <c r="D183" s="109" t="str">
        <f t="shared" ref="D183" si="54">IF(C183&lt;0,C183,"/")</f>
        <v>/</v>
      </c>
      <c r="E183" s="109">
        <f ca="1">IF(表2_367162629303891213141523[[#This Row],[累计净值]]/MAX(INDIRECT("B21:B" &amp; ROW()))-1&lt;E182,表2_367162629303891213141523[[#This Row],[累计净值]]/MAX(INDIRECT("B21:B" &amp; ROW()))-1,E182)</f>
        <v>-2.7917310664605788E-2</v>
      </c>
      <c r="F183" s="110">
        <f>表2_367162629303891213141523[[#This Row],[累计净值]]</f>
        <v>1.0329999999999999</v>
      </c>
      <c r="G183" s="20">
        <f>表2_367162629303891213141523[[#This Row],[累计净值]]/$B$21-1</f>
        <v>1.1158966327329489E-2</v>
      </c>
    </row>
    <row r="184" spans="1:7" x14ac:dyDescent="0.2">
      <c r="A184" s="15">
        <v>44271</v>
      </c>
      <c r="B184" s="112">
        <v>1.0325</v>
      </c>
      <c r="C184" s="108">
        <f>IFERROR(B184-B183,0)</f>
        <v>-4.9999999999994493E-4</v>
      </c>
      <c r="D184" s="109">
        <f>IF(C184&lt;0,C184,"/")</f>
        <v>-4.9999999999994493E-4</v>
      </c>
      <c r="E184" s="109">
        <f ca="1">IF(表2_367162629303891213141523[[#This Row],[累计净值]]/MAX(INDIRECT("B21:B" &amp; ROW()))-1&lt;E183,表2_367162629303891213141523[[#This Row],[累计净值]]/MAX(INDIRECT("B21:B" &amp; ROW()))-1,E183)</f>
        <v>-2.7917310664605788E-2</v>
      </c>
      <c r="F184" s="110">
        <f>表2_367162629303891213141523[[#This Row],[累计净值]]</f>
        <v>1.0325</v>
      </c>
      <c r="G184" s="20">
        <f>表2_367162629303891213141523[[#This Row],[累计净值]]/$B$21-1</f>
        <v>1.0669537979639765E-2</v>
      </c>
    </row>
    <row r="185" spans="1:7" x14ac:dyDescent="0.2">
      <c r="A185" s="15">
        <v>44272</v>
      </c>
      <c r="B185" s="112">
        <v>1.0310999999999999</v>
      </c>
      <c r="C185" s="108">
        <f>IFERROR(B185-B184,0)</f>
        <v>-1.4000000000000679E-3</v>
      </c>
      <c r="D185" s="109">
        <f>IF(C185&lt;0,C185,"/")</f>
        <v>-1.4000000000000679E-3</v>
      </c>
      <c r="E185" s="109">
        <f ca="1">IF(表2_367162629303891213141523[[#This Row],[累计净值]]/MAX(INDIRECT("B21:B" &amp; ROW()))-1&lt;E184,表2_367162629303891213141523[[#This Row],[累计净值]]/MAX(INDIRECT("B21:B" &amp; ROW()))-1,E184)</f>
        <v>-2.7917310664605788E-2</v>
      </c>
      <c r="F185" s="110">
        <f>表2_367162629303891213141523[[#This Row],[累计净值]]</f>
        <v>1.0310999999999999</v>
      </c>
      <c r="G185" s="20">
        <f>表2_367162629303891213141523[[#This Row],[累计净值]]/$B$21-1</f>
        <v>9.2991386061078707E-3</v>
      </c>
    </row>
    <row r="186" spans="1:7" x14ac:dyDescent="0.2">
      <c r="A186" s="15">
        <v>44273</v>
      </c>
      <c r="B186" s="112">
        <v>1.0316000000000001</v>
      </c>
      <c r="C186" s="108">
        <f>IFERROR(B186-B185,0)</f>
        <v>5.0000000000016698E-4</v>
      </c>
      <c r="D186" s="109" t="str">
        <f>IF(C186&lt;0,C186,"/")</f>
        <v>/</v>
      </c>
      <c r="E186" s="109">
        <f ca="1">IF(表2_367162629303891213141523[[#This Row],[累计净值]]/MAX(INDIRECT("B21:B" &amp; ROW()))-1&lt;E185,表2_367162629303891213141523[[#This Row],[累计净值]]/MAX(INDIRECT("B21:B" &amp; ROW()))-1,E185)</f>
        <v>-2.7917310664605788E-2</v>
      </c>
      <c r="F186" s="110">
        <f>表2_367162629303891213141523[[#This Row],[累计净值]]</f>
        <v>1.0316000000000001</v>
      </c>
      <c r="G186" s="20">
        <f>表2_367162629303891213141523[[#This Row],[累计净值]]/$B$21-1</f>
        <v>9.7885669537980391E-3</v>
      </c>
    </row>
    <row r="187" spans="1:7" x14ac:dyDescent="0.2">
      <c r="A187" s="15">
        <v>44274</v>
      </c>
      <c r="B187" s="112">
        <v>1.0301</v>
      </c>
      <c r="C187" s="108">
        <f>IFERROR(B187-B186,0)</f>
        <v>-1.5000000000000568E-3</v>
      </c>
      <c r="D187" s="109">
        <f>IF(C187&lt;0,C187,"/")</f>
        <v>-1.5000000000000568E-3</v>
      </c>
      <c r="E187" s="109">
        <f ca="1">IF(表2_367162629303891213141523[[#This Row],[累计净值]]/MAX(INDIRECT("B21:B" &amp; ROW()))-1&lt;E186,表2_367162629303891213141523[[#This Row],[累计净值]]/MAX(INDIRECT("B21:B" &amp; ROW()))-1,E186)</f>
        <v>-2.7917310664605788E-2</v>
      </c>
      <c r="F187" s="110">
        <f>表2_367162629303891213141523[[#This Row],[累计净值]]</f>
        <v>1.0301</v>
      </c>
      <c r="G187" s="20">
        <f>表2_367162629303891213141523[[#This Row],[累计净值]]/$B$21-1</f>
        <v>8.3202819107282E-3</v>
      </c>
    </row>
    <row r="188" spans="1:7" x14ac:dyDescent="0.2">
      <c r="A188" s="15">
        <v>44277</v>
      </c>
      <c r="B188" s="112">
        <v>1.0301</v>
      </c>
      <c r="C188" s="108">
        <f>IFERROR(B188-B187,0)</f>
        <v>0</v>
      </c>
      <c r="D188" s="109" t="str">
        <f>IF(C188&lt;0,C188,"/")</f>
        <v>/</v>
      </c>
      <c r="E188" s="109">
        <f ca="1">IF(表2_367162629303891213141523[[#This Row],[累计净值]]/MAX(INDIRECT("B21:B" &amp; ROW()))-1&lt;E187,表2_367162629303891213141523[[#This Row],[累计净值]]/MAX(INDIRECT("B21:B" &amp; ROW()))-1,E187)</f>
        <v>-2.7917310664605788E-2</v>
      </c>
      <c r="F188" s="110">
        <f>表2_367162629303891213141523[[#This Row],[累计净值]]</f>
        <v>1.0301</v>
      </c>
      <c r="G188" s="20">
        <f>表2_367162629303891213141523[[#This Row],[累计净值]]/$B$21-1</f>
        <v>8.3202819107282E-3</v>
      </c>
    </row>
    <row r="189" spans="1:7" x14ac:dyDescent="0.2">
      <c r="A189" s="15">
        <v>44278</v>
      </c>
      <c r="B189" s="112">
        <v>1.0285</v>
      </c>
      <c r="C189" s="108">
        <f t="shared" ref="C189:C192" si="55">IFERROR(B189-B188,0)</f>
        <v>-1.6000000000000458E-3</v>
      </c>
      <c r="D189" s="109">
        <f t="shared" ref="D189:D192" si="56">IF(C189&lt;0,C189,"/")</f>
        <v>-1.6000000000000458E-3</v>
      </c>
      <c r="E189" s="109">
        <f ca="1">IF(表2_367162629303891213141523[[#This Row],[累计净值]]/MAX(INDIRECT("B21:B" &amp; ROW()))-1&lt;E188,表2_367162629303891213141523[[#This Row],[累计净值]]/MAX(INDIRECT("B21:B" &amp; ROW()))-1,E188)</f>
        <v>-2.7917310664605788E-2</v>
      </c>
      <c r="F189" s="110">
        <f>表2_367162629303891213141523[[#This Row],[累计净值]]</f>
        <v>1.0285</v>
      </c>
      <c r="G189" s="20">
        <f>表2_367162629303891213141523[[#This Row],[累计净值]]/$B$21-1</f>
        <v>6.754111198120416E-3</v>
      </c>
    </row>
    <row r="190" spans="1:7" x14ac:dyDescent="0.2">
      <c r="A190" s="15">
        <v>44279</v>
      </c>
      <c r="B190" s="112">
        <v>1.0241</v>
      </c>
      <c r="C190" s="108">
        <f t="shared" si="55"/>
        <v>-4.3999999999999595E-3</v>
      </c>
      <c r="D190" s="109">
        <f t="shared" si="56"/>
        <v>-4.3999999999999595E-3</v>
      </c>
      <c r="E190" s="109">
        <f ca="1">IF(表2_367162629303891213141523[[#This Row],[累计净值]]/MAX(INDIRECT("B21:B" &amp; ROW()))-1&lt;E189,表2_367162629303891213141523[[#This Row],[累计净值]]/MAX(INDIRECT("B21:B" &amp; ROW()))-1,E189)</f>
        <v>-2.7917310664605788E-2</v>
      </c>
      <c r="F190" s="110">
        <f>表2_367162629303891213141523[[#This Row],[累计净值]]</f>
        <v>1.0241</v>
      </c>
      <c r="G190" s="20">
        <f>表2_367162629303891213141523[[#This Row],[累计净值]]/$B$21-1</f>
        <v>2.4471417384495098E-3</v>
      </c>
    </row>
    <row r="191" spans="1:7" x14ac:dyDescent="0.2">
      <c r="A191" s="15">
        <v>44280</v>
      </c>
      <c r="B191" s="112">
        <v>1.0230999999999999</v>
      </c>
      <c r="C191" s="108">
        <f t="shared" si="55"/>
        <v>-1.0000000000001119E-3</v>
      </c>
      <c r="D191" s="109">
        <f t="shared" si="56"/>
        <v>-1.0000000000001119E-3</v>
      </c>
      <c r="E191" s="109">
        <f ca="1">IF(表2_367162629303891213141523[[#This Row],[累计净值]]/MAX(INDIRECT("B21:B" &amp; ROW()))-1&lt;E190,表2_367162629303891213141523[[#This Row],[累计净值]]/MAX(INDIRECT("B21:B" &amp; ROW()))-1,E190)</f>
        <v>-2.7917310664605788E-2</v>
      </c>
      <c r="F191" s="110">
        <f>表2_367162629303891213141523[[#This Row],[累计净值]]</f>
        <v>1.0230999999999999</v>
      </c>
      <c r="G191" s="20">
        <f>表2_367162629303891213141523[[#This Row],[累计净值]]/$B$21-1</f>
        <v>1.468285043069617E-3</v>
      </c>
    </row>
    <row r="192" spans="1:7" x14ac:dyDescent="0.2">
      <c r="A192" s="15">
        <v>44281</v>
      </c>
      <c r="B192" s="112">
        <v>1.0242</v>
      </c>
      <c r="C192" s="108">
        <f t="shared" si="55"/>
        <v>1.1000000000001009E-3</v>
      </c>
      <c r="D192" s="109" t="str">
        <f t="shared" si="56"/>
        <v>/</v>
      </c>
      <c r="E192" s="109">
        <f ca="1">IF(表2_367162629303891213141523[[#This Row],[累计净值]]/MAX(INDIRECT("B21:B" &amp; ROW()))-1&lt;E191,表2_367162629303891213141523[[#This Row],[累计净值]]/MAX(INDIRECT("B21:B" &amp; ROW()))-1,E191)</f>
        <v>-2.7917310664605788E-2</v>
      </c>
      <c r="F192" s="110">
        <f>表2_367162629303891213141523[[#This Row],[累计净值]]</f>
        <v>1.0242</v>
      </c>
      <c r="G192" s="20">
        <f>表2_367162629303891213141523[[#This Row],[累计净值]]/$B$21-1</f>
        <v>2.5450274079874546E-3</v>
      </c>
    </row>
    <row r="193" spans="1:7" x14ac:dyDescent="0.2">
      <c r="A193" s="15">
        <v>44284</v>
      </c>
      <c r="B193" s="112">
        <v>1.0255000000000001</v>
      </c>
      <c r="C193" s="108">
        <f>IFERROR(B193-B192,0)</f>
        <v>1.3000000000000789E-3</v>
      </c>
      <c r="D193" s="109" t="str">
        <f>IF(C193&lt;0,C193,"/")</f>
        <v>/</v>
      </c>
      <c r="E193" s="109">
        <f ca="1">IF(表2_367162629303891213141523[[#This Row],[累计净值]]/MAX(INDIRECT("B21:B" &amp; ROW()))-1&lt;E192,表2_367162629303891213141523[[#This Row],[累计净值]]/MAX(INDIRECT("B21:B" &amp; ROW()))-1,E192)</f>
        <v>-2.7917310664605788E-2</v>
      </c>
      <c r="F193" s="110">
        <f>表2_367162629303891213141523[[#This Row],[累计净值]]</f>
        <v>1.0255000000000001</v>
      </c>
      <c r="G193" s="20">
        <f>表2_367162629303891213141523[[#This Row],[累计净值]]/$B$21-1</f>
        <v>3.817541111981182E-3</v>
      </c>
    </row>
    <row r="194" spans="1:7" x14ac:dyDescent="0.2">
      <c r="A194" s="15">
        <v>44285</v>
      </c>
      <c r="B194" s="112">
        <v>1.0271999999999999</v>
      </c>
      <c r="C194" s="108">
        <f>IFERROR(B194-B193,0)</f>
        <v>1.6999999999998128E-3</v>
      </c>
      <c r="D194" s="109" t="str">
        <f>IF(C194&lt;0,C194,"/")</f>
        <v>/</v>
      </c>
      <c r="E194" s="109">
        <f ca="1">IF(表2_367162629303891213141523[[#This Row],[累计净值]]/MAX(INDIRECT("B21:B" &amp; ROW()))-1&lt;E193,表2_367162629303891213141523[[#This Row],[累计净值]]/MAX(INDIRECT("B21:B" &amp; ROW()))-1,E193)</f>
        <v>-2.7917310664605788E-2</v>
      </c>
      <c r="F194" s="110">
        <f>表2_367162629303891213141523[[#This Row],[累计净值]]</f>
        <v>1.0271999999999999</v>
      </c>
      <c r="G194" s="20">
        <f>表2_367162629303891213141523[[#This Row],[累计净值]]/$B$21-1</f>
        <v>5.4815974941266887E-3</v>
      </c>
    </row>
    <row r="195" spans="1:7" x14ac:dyDescent="0.2">
      <c r="A195" s="15">
        <v>44286</v>
      </c>
      <c r="B195" s="112">
        <v>1.0266999999999999</v>
      </c>
      <c r="C195" s="108">
        <f>IFERROR(B195-B194,0)</f>
        <v>-4.9999999999994493E-4</v>
      </c>
      <c r="D195" s="109">
        <f>IF(C195&lt;0,C195,"/")</f>
        <v>-4.9999999999994493E-4</v>
      </c>
      <c r="E195" s="109">
        <f ca="1">IF(表2_367162629303891213141523[[#This Row],[累计净值]]/MAX(INDIRECT("B21:B" &amp; ROW()))-1&lt;E194,表2_367162629303891213141523[[#This Row],[累计净值]]/MAX(INDIRECT("B21:B" &amp; ROW()))-1,E194)</f>
        <v>-2.7917310664605788E-2</v>
      </c>
      <c r="F195" s="110">
        <f>表2_367162629303891213141523[[#This Row],[累计净值]]</f>
        <v>1.0266999999999999</v>
      </c>
      <c r="G195" s="20">
        <f>表2_367162629303891213141523[[#This Row],[累计净值]]/$B$21-1</f>
        <v>4.9921691464367424E-3</v>
      </c>
    </row>
    <row r="196" spans="1:7" x14ac:dyDescent="0.2">
      <c r="A196" s="15">
        <v>44287</v>
      </c>
      <c r="B196" s="112">
        <v>1.0268999999999999</v>
      </c>
      <c r="C196" s="108">
        <f>IFERROR(B196-B195,0)</f>
        <v>1.9999999999997797E-4</v>
      </c>
      <c r="D196" s="109" t="str">
        <f>IF(C196&lt;0,C196,"/")</f>
        <v>/</v>
      </c>
      <c r="E196" s="109">
        <f ca="1">IF(表2_367162629303891213141523[[#This Row],[累计净值]]/MAX(INDIRECT("B21:B" &amp; ROW()))-1&lt;E195,表2_367162629303891213141523[[#This Row],[累计净值]]/MAX(INDIRECT("B21:B" &amp; ROW()))-1,E195)</f>
        <v>-2.7917310664605788E-2</v>
      </c>
      <c r="F196" s="110">
        <f>表2_367162629303891213141523[[#This Row],[累计净值]]</f>
        <v>1.0268999999999999</v>
      </c>
      <c r="G196" s="20">
        <f>表2_367162629303891213141523[[#This Row],[累计净值]]/$B$21-1</f>
        <v>5.1879404855128541E-3</v>
      </c>
    </row>
    <row r="197" spans="1:7" x14ac:dyDescent="0.2">
      <c r="A197" s="15">
        <v>44288</v>
      </c>
      <c r="B197" s="112">
        <v>1.0270999999999999</v>
      </c>
      <c r="C197" s="108">
        <f t="shared" ref="C197:C198" si="57">IFERROR(B197-B196,0)</f>
        <v>1.9999999999997797E-4</v>
      </c>
      <c r="D197" s="109" t="str">
        <f t="shared" ref="D197:D198" si="58">IF(C197&lt;0,C197,"/")</f>
        <v>/</v>
      </c>
      <c r="E197" s="109">
        <f ca="1">IF(表2_367162629303891213141523[[#This Row],[累计净值]]/MAX(INDIRECT("B21:B" &amp; ROW()))-1&lt;E196,表2_367162629303891213141523[[#This Row],[累计净值]]/MAX(INDIRECT("B21:B" &amp; ROW()))-1,E196)</f>
        <v>-2.7917310664605788E-2</v>
      </c>
      <c r="F197" s="110">
        <f>表2_367162629303891213141523[[#This Row],[累计净值]]</f>
        <v>1.0270999999999999</v>
      </c>
      <c r="G197" s="20">
        <f>表2_367162629303891213141523[[#This Row],[累计净值]]/$B$21-1</f>
        <v>5.3837118245887439E-3</v>
      </c>
    </row>
    <row r="198" spans="1:7" x14ac:dyDescent="0.2">
      <c r="A198" s="15">
        <v>44292</v>
      </c>
      <c r="B198" s="112">
        <v>1.0274000000000001</v>
      </c>
      <c r="C198" s="108">
        <f t="shared" si="57"/>
        <v>3.00000000000189E-4</v>
      </c>
      <c r="D198" s="109" t="str">
        <f t="shared" si="58"/>
        <v>/</v>
      </c>
      <c r="E198" s="109">
        <f ca="1">IF(表2_367162629303891213141523[[#This Row],[累计净值]]/MAX(INDIRECT("B21:B" &amp; ROW()))-1&lt;E197,表2_367162629303891213141523[[#This Row],[累计净值]]/MAX(INDIRECT("B21:B" &amp; ROW()))-1,E197)</f>
        <v>-2.7917310664605788E-2</v>
      </c>
      <c r="F198" s="110">
        <f>表2_367162629303891213141523[[#This Row],[累计净值]]</f>
        <v>1.0274000000000001</v>
      </c>
      <c r="G198" s="20">
        <f>表2_367162629303891213141523[[#This Row],[累计净值]]/$B$21-1</f>
        <v>5.6773688332028005E-3</v>
      </c>
    </row>
    <row r="199" spans="1:7" x14ac:dyDescent="0.2">
      <c r="A199" s="15">
        <v>44293</v>
      </c>
      <c r="B199" s="112">
        <v>1.0295000000000001</v>
      </c>
      <c r="C199" s="108">
        <f t="shared" ref="C199:C204" si="59">IFERROR(B199-B198,0)</f>
        <v>2.0999999999999908E-3</v>
      </c>
      <c r="D199" s="109" t="str">
        <f t="shared" ref="D199:D204" si="60">IF(C199&lt;0,C199,"/")</f>
        <v>/</v>
      </c>
      <c r="E199" s="109">
        <f ca="1">IF(表2_367162629303891213141523[[#This Row],[累计净值]]/MAX(INDIRECT("B21:B" &amp; ROW()))-1&lt;E198,表2_367162629303891213141523[[#This Row],[累计净值]]/MAX(INDIRECT("B21:B" &amp; ROW()))-1,E198)</f>
        <v>-2.7917310664605788E-2</v>
      </c>
      <c r="F199" s="110">
        <f>表2_367162629303891213141523[[#This Row],[累计净值]]</f>
        <v>1.0295000000000001</v>
      </c>
      <c r="G199" s="20">
        <f>表2_367162629303891213141523[[#This Row],[累计净值]]/$B$21-1</f>
        <v>7.7329678935003088E-3</v>
      </c>
    </row>
    <row r="200" spans="1:7" x14ac:dyDescent="0.2">
      <c r="A200" s="15">
        <v>44294</v>
      </c>
      <c r="B200" s="112">
        <v>1.0283</v>
      </c>
      <c r="C200" s="108">
        <f t="shared" si="59"/>
        <v>-1.2000000000000899E-3</v>
      </c>
      <c r="D200" s="109">
        <f t="shared" si="60"/>
        <v>-1.2000000000000899E-3</v>
      </c>
      <c r="E200" s="109">
        <f ca="1">IF(表2_367162629303891213141523[[#This Row],[累计净值]]/MAX(INDIRECT("B21:B" &amp; ROW()))-1&lt;E199,表2_367162629303891213141523[[#This Row],[累计净值]]/MAX(INDIRECT("B21:B" &amp; ROW()))-1,E199)</f>
        <v>-2.7917310664605788E-2</v>
      </c>
      <c r="F200" s="110">
        <f>表2_367162629303891213141523[[#This Row],[累计净值]]</f>
        <v>1.0283</v>
      </c>
      <c r="G200" s="20">
        <f>表2_367162629303891213141523[[#This Row],[累计净值]]/$B$21-1</f>
        <v>6.5583398590445263E-3</v>
      </c>
    </row>
    <row r="201" spans="1:7" x14ac:dyDescent="0.2">
      <c r="A201" s="15">
        <v>44295</v>
      </c>
      <c r="B201" s="112">
        <v>1.0284</v>
      </c>
      <c r="C201" s="108">
        <f t="shared" si="59"/>
        <v>9.9999999999988987E-5</v>
      </c>
      <c r="D201" s="109" t="str">
        <f t="shared" si="60"/>
        <v>/</v>
      </c>
      <c r="E201" s="109">
        <f ca="1">IF(表2_367162629303891213141523[[#This Row],[累计净值]]/MAX(INDIRECT("B21:B" &amp; ROW()))-1&lt;E200,表2_367162629303891213141523[[#This Row],[累计净值]]/MAX(INDIRECT("B21:B" &amp; ROW()))-1,E200)</f>
        <v>-2.7917310664605788E-2</v>
      </c>
      <c r="F201" s="110">
        <f>表2_367162629303891213141523[[#This Row],[累计净值]]</f>
        <v>1.0284</v>
      </c>
      <c r="G201" s="20">
        <f>表2_367162629303891213141523[[#This Row],[累计净值]]/$B$21-1</f>
        <v>6.6562255285824712E-3</v>
      </c>
    </row>
    <row r="202" spans="1:7" x14ac:dyDescent="0.2">
      <c r="A202" s="15">
        <v>44298</v>
      </c>
      <c r="B202" s="112">
        <v>1.0261</v>
      </c>
      <c r="C202" s="108">
        <f t="shared" si="59"/>
        <v>-2.2999999999999687E-3</v>
      </c>
      <c r="D202" s="109">
        <f t="shared" si="60"/>
        <v>-2.2999999999999687E-3</v>
      </c>
      <c r="E202" s="109">
        <f ca="1">IF(表2_367162629303891213141523[[#This Row],[累计净值]]/MAX(INDIRECT("B21:B" &amp; ROW()))-1&lt;E201,表2_367162629303891213141523[[#This Row],[累计净值]]/MAX(INDIRECT("B21:B" &amp; ROW()))-1,E201)</f>
        <v>-2.7917310664605788E-2</v>
      </c>
      <c r="F202" s="110">
        <f>表2_367162629303891213141523[[#This Row],[累计净值]]</f>
        <v>1.0261</v>
      </c>
      <c r="G202" s="20">
        <f>表2_367162629303891213141523[[#This Row],[累计净值]]/$B$21-1</f>
        <v>4.4048551292090732E-3</v>
      </c>
    </row>
    <row r="203" spans="1:7" x14ac:dyDescent="0.2">
      <c r="A203" s="15">
        <v>44299</v>
      </c>
      <c r="B203" s="112">
        <v>1.024</v>
      </c>
      <c r="C203" s="108">
        <f t="shared" si="59"/>
        <v>-2.0999999999999908E-3</v>
      </c>
      <c r="D203" s="109">
        <f t="shared" si="60"/>
        <v>-2.0999999999999908E-3</v>
      </c>
      <c r="E203" s="109">
        <f ca="1">IF(表2_367162629303891213141523[[#This Row],[累计净值]]/MAX(INDIRECT("B21:B" &amp; ROW()))-1&lt;E202,表2_367162629303891213141523[[#This Row],[累计净值]]/MAX(INDIRECT("B21:B" &amp; ROW()))-1,E202)</f>
        <v>-2.7917310664605788E-2</v>
      </c>
      <c r="F203" s="110">
        <f>表2_367162629303891213141523[[#This Row],[累计净值]]</f>
        <v>1.024</v>
      </c>
      <c r="G203" s="20">
        <f>表2_367162629303891213141523[[#This Row],[累计净值]]/$B$21-1</f>
        <v>2.3492560689115649E-3</v>
      </c>
    </row>
    <row r="204" spans="1:7" x14ac:dyDescent="0.2">
      <c r="A204" s="15">
        <v>44300</v>
      </c>
      <c r="B204" s="112">
        <v>1.0249999999999999</v>
      </c>
      <c r="C204" s="108">
        <f t="shared" si="59"/>
        <v>9.9999999999988987E-4</v>
      </c>
      <c r="D204" s="109" t="str">
        <f t="shared" si="60"/>
        <v>/</v>
      </c>
      <c r="E204" s="109">
        <f ca="1">IF(表2_367162629303891213141523[[#This Row],[累计净值]]/MAX(INDIRECT("B21:B" &amp; ROW()))-1&lt;E203,表2_367162629303891213141523[[#This Row],[累计净值]]/MAX(INDIRECT("B21:B" &amp; ROW()))-1,E203)</f>
        <v>-2.7917310664605788E-2</v>
      </c>
      <c r="F204" s="110">
        <f>表2_367162629303891213141523[[#This Row],[累计净值]]</f>
        <v>1.0249999999999999</v>
      </c>
      <c r="G204" s="20">
        <f>表2_367162629303891213141523[[#This Row],[累计净值]]/$B$21-1</f>
        <v>3.3281127642912356E-3</v>
      </c>
    </row>
    <row r="205" spans="1:7" x14ac:dyDescent="0.2">
      <c r="A205" s="15">
        <v>44301</v>
      </c>
      <c r="B205" s="112">
        <v>1.0235000000000001</v>
      </c>
      <c r="C205" s="108">
        <f t="shared" ref="C205:C210" si="61">IFERROR(B205-B204,0)</f>
        <v>-1.4999999999998348E-3</v>
      </c>
      <c r="D205" s="109">
        <f t="shared" ref="D205:D210" si="62">IF(C205&lt;0,C205,"/")</f>
        <v>-1.4999999999998348E-3</v>
      </c>
      <c r="E205" s="109">
        <f ca="1">IF(表2_367162629303891213141523[[#This Row],[累计净值]]/MAX(INDIRECT("B21:B" &amp; ROW()))-1&lt;E204,表2_367162629303891213141523[[#This Row],[累计净值]]/MAX(INDIRECT("B21:B" &amp; ROW()))-1,E204)</f>
        <v>-2.7917310664605788E-2</v>
      </c>
      <c r="F205" s="110">
        <f>表2_367162629303891213141523[[#This Row],[累计净值]]</f>
        <v>1.0235000000000001</v>
      </c>
      <c r="G205" s="20">
        <f>表2_367162629303891213141523[[#This Row],[累计净值]]/$B$21-1</f>
        <v>1.8598277212216185E-3</v>
      </c>
    </row>
    <row r="206" spans="1:7" x14ac:dyDescent="0.2">
      <c r="A206" s="15">
        <v>44302</v>
      </c>
      <c r="B206" s="112">
        <v>1.0212000000000001</v>
      </c>
      <c r="C206" s="108">
        <f t="shared" si="61"/>
        <v>-2.2999999999999687E-3</v>
      </c>
      <c r="D206" s="109">
        <f t="shared" si="62"/>
        <v>-2.2999999999999687E-3</v>
      </c>
      <c r="E206" s="109">
        <f ca="1">IF(表2_367162629303891213141523[[#This Row],[累计净值]]/MAX(INDIRECT("B21:B" &amp; ROW()))-1&lt;E205,表2_367162629303891213141523[[#This Row],[累计净值]]/MAX(INDIRECT("B21:B" &amp; ROW()))-1,E205)</f>
        <v>-2.7917310664605788E-2</v>
      </c>
      <c r="F206" s="110">
        <f>表2_367162629303891213141523[[#This Row],[累计净值]]</f>
        <v>1.0212000000000001</v>
      </c>
      <c r="G206" s="20">
        <f>表2_367162629303891213141523[[#This Row],[累计净值]]/$B$21-1</f>
        <v>-3.9154267815189048E-4</v>
      </c>
    </row>
    <row r="207" spans="1:7" x14ac:dyDescent="0.2">
      <c r="A207" s="15">
        <v>44305</v>
      </c>
      <c r="B207" s="112">
        <v>1.0218</v>
      </c>
      <c r="C207" s="108">
        <f t="shared" si="61"/>
        <v>5.9999999999993392E-4</v>
      </c>
      <c r="D207" s="109" t="str">
        <f t="shared" si="62"/>
        <v>/</v>
      </c>
      <c r="E207" s="109">
        <f ca="1">IF(表2_367162629303891213141523[[#This Row],[累计净值]]/MAX(INDIRECT("B21:B" &amp; ROW()))-1&lt;E206,表2_367162629303891213141523[[#This Row],[累计净值]]/MAX(INDIRECT("B21:B" &amp; ROW()))-1,E206)</f>
        <v>-2.7917310664605788E-2</v>
      </c>
      <c r="F207" s="110">
        <f>表2_367162629303891213141523[[#This Row],[累计净值]]</f>
        <v>1.0218</v>
      </c>
      <c r="G207" s="20">
        <f>表2_367162629303891213141523[[#This Row],[累计净值]]/$B$21-1</f>
        <v>1.9577133907588973E-4</v>
      </c>
    </row>
    <row r="208" spans="1:7" x14ac:dyDescent="0.2">
      <c r="A208" s="15">
        <v>44306</v>
      </c>
      <c r="B208" s="112">
        <v>1.0202</v>
      </c>
      <c r="C208" s="108">
        <f t="shared" si="61"/>
        <v>-1.6000000000000458E-3</v>
      </c>
      <c r="D208" s="109">
        <f t="shared" si="62"/>
        <v>-1.6000000000000458E-3</v>
      </c>
      <c r="E208" s="109">
        <f ca="1">IF(表2_367162629303891213141523[[#This Row],[累计净值]]/MAX(INDIRECT("B21:B" &amp; ROW()))-1&lt;E207,表2_367162629303891213141523[[#This Row],[累计净值]]/MAX(INDIRECT("B21:B" &amp; ROW()))-1,E207)</f>
        <v>-2.7917310664605788E-2</v>
      </c>
      <c r="F208" s="110">
        <f>表2_367162629303891213141523[[#This Row],[累计净值]]</f>
        <v>1.0202</v>
      </c>
      <c r="G208" s="20">
        <f>表2_367162629303891213141523[[#This Row],[累计净值]]/$B$21-1</f>
        <v>-1.3703993735317832E-3</v>
      </c>
    </row>
    <row r="209" spans="1:7" x14ac:dyDescent="0.2">
      <c r="A209" s="15">
        <v>44307</v>
      </c>
      <c r="B209" s="112">
        <v>1.0206</v>
      </c>
      <c r="C209" s="108">
        <f t="shared" si="61"/>
        <v>3.9999999999995595E-4</v>
      </c>
      <c r="D209" s="109" t="str">
        <f t="shared" si="62"/>
        <v>/</v>
      </c>
      <c r="E209" s="109">
        <f ca="1">IF(表2_367162629303891213141523[[#This Row],[累计净值]]/MAX(INDIRECT("B21:B" &amp; ROW()))-1&lt;E208,表2_367162629303891213141523[[#This Row],[累计净值]]/MAX(INDIRECT("B21:B" &amp; ROW()))-1,E208)</f>
        <v>-2.7917310664605788E-2</v>
      </c>
      <c r="F209" s="110">
        <f>表2_367162629303891213141523[[#This Row],[累计净值]]</f>
        <v>1.0206</v>
      </c>
      <c r="G209" s="20">
        <f>表2_367162629303891213141523[[#This Row],[累计净值]]/$B$21-1</f>
        <v>-9.7885669537989273E-4</v>
      </c>
    </row>
    <row r="210" spans="1:7" x14ac:dyDescent="0.2">
      <c r="A210" s="15">
        <v>44308</v>
      </c>
      <c r="B210" s="112">
        <v>1.0228999999999999</v>
      </c>
      <c r="C210" s="108">
        <f t="shared" si="61"/>
        <v>2.2999999999999687E-3</v>
      </c>
      <c r="D210" s="109" t="str">
        <f t="shared" si="62"/>
        <v>/</v>
      </c>
      <c r="E210" s="109">
        <f ca="1">IF(表2_367162629303891213141523[[#This Row],[累计净值]]/MAX(INDIRECT("B21:B" &amp; ROW()))-1&lt;E209,表2_367162629303891213141523[[#This Row],[累计净值]]/MAX(INDIRECT("B21:B" &amp; ROW()))-1,E209)</f>
        <v>-2.7917310664605788E-2</v>
      </c>
      <c r="F210" s="110">
        <f>表2_367162629303891213141523[[#This Row],[累计净值]]</f>
        <v>1.0228999999999999</v>
      </c>
      <c r="G210" s="20">
        <f>表2_367162629303891213141523[[#This Row],[累计净值]]/$B$21-1</f>
        <v>1.2725137039935053E-3</v>
      </c>
    </row>
    <row r="211" spans="1:7" x14ac:dyDescent="0.2">
      <c r="A211" s="15">
        <v>44309</v>
      </c>
      <c r="B211" s="112">
        <v>1.0209999999999999</v>
      </c>
      <c r="C211" s="108">
        <f>IFERROR(B211-B210,0)</f>
        <v>-1.9000000000000128E-3</v>
      </c>
      <c r="D211" s="109">
        <f>IF(C211&lt;0,C211,"/")</f>
        <v>-1.9000000000000128E-3</v>
      </c>
      <c r="E211" s="109">
        <f ca="1">IF(表2_367162629303891213141523[[#This Row],[累计净值]]/MAX(INDIRECT("B21:B" &amp; ROW()))-1&lt;E210,表2_367162629303891213141523[[#This Row],[累计净值]]/MAX(INDIRECT("B21:B" &amp; ROW()))-1,E210)</f>
        <v>-2.7917310664605788E-2</v>
      </c>
      <c r="F211" s="110">
        <f>表2_367162629303891213141523[[#This Row],[累计净值]]</f>
        <v>1.0209999999999999</v>
      </c>
      <c r="G211" s="20">
        <f>表2_367162629303891213141523[[#This Row],[累计净值]]/$B$21-1</f>
        <v>-5.8731401722800225E-4</v>
      </c>
    </row>
    <row r="212" spans="1:7" x14ac:dyDescent="0.2">
      <c r="A212" s="15">
        <v>44312</v>
      </c>
      <c r="B212" s="112">
        <v>1.0199</v>
      </c>
      <c r="C212" s="108">
        <f>IFERROR(B212-B211,0)</f>
        <v>-1.0999999999998789E-3</v>
      </c>
      <c r="D212" s="109">
        <f>IF(C212&lt;0,C212,"/")</f>
        <v>-1.0999999999998789E-3</v>
      </c>
      <c r="E212" s="109">
        <f ca="1">IF(表2_367162629303891213141523[[#This Row],[累计净值]]/MAX(INDIRECT("B21:B" &amp; ROW()))-1&lt;E211,表2_367162629303891213141523[[#This Row],[累计净值]]/MAX(INDIRECT("B21:B" &amp; ROW()))-1,E211)</f>
        <v>-2.7917310664605788E-2</v>
      </c>
      <c r="F212" s="110">
        <f>表2_367162629303891213141523[[#This Row],[累计净值]]</f>
        <v>1.0199</v>
      </c>
      <c r="G212" s="20">
        <f>表2_367162629303891213141523[[#This Row],[累计净值]]/$B$21-1</f>
        <v>-1.6640563821457288E-3</v>
      </c>
    </row>
    <row r="213" spans="1:7" x14ac:dyDescent="0.2">
      <c r="A213" s="15">
        <v>44313</v>
      </c>
      <c r="B213" s="112">
        <v>1.0209999999999999</v>
      </c>
      <c r="C213" s="108">
        <f>IFERROR(B213-B212,0)</f>
        <v>1.0999999999998789E-3</v>
      </c>
      <c r="D213" s="109" t="str">
        <f>IF(C213&lt;0,C213,"/")</f>
        <v>/</v>
      </c>
      <c r="E213" s="109">
        <f ca="1">IF(表2_367162629303891213141523[[#This Row],[累计净值]]/MAX(INDIRECT("B21:B" &amp; ROW()))-1&lt;E212,表2_367162629303891213141523[[#This Row],[累计净值]]/MAX(INDIRECT("B21:B" &amp; ROW()))-1,E212)</f>
        <v>-2.7917310664605788E-2</v>
      </c>
      <c r="F213" s="110">
        <f>表2_367162629303891213141523[[#This Row],[累计净值]]</f>
        <v>1.0209999999999999</v>
      </c>
      <c r="G213" s="20">
        <f>表2_367162629303891213141523[[#This Row],[累计净值]]/$B$21-1</f>
        <v>-5.8731401722800225E-4</v>
      </c>
    </row>
    <row r="214" spans="1:7" x14ac:dyDescent="0.2">
      <c r="A214" s="15">
        <v>44314</v>
      </c>
      <c r="B214" s="112">
        <v>1.0213000000000001</v>
      </c>
      <c r="C214" s="108">
        <f>IFERROR(B214-B213,0)</f>
        <v>3.00000000000189E-4</v>
      </c>
      <c r="D214" s="109" t="str">
        <f>IF(C214&lt;0,C214,"/")</f>
        <v>/</v>
      </c>
      <c r="E214" s="109">
        <f ca="1">IF(表2_367162629303891213141523[[#This Row],[累计净值]]/MAX(INDIRECT("B21:B" &amp; ROW()))-1&lt;E213,表2_367162629303891213141523[[#This Row],[累计净值]]/MAX(INDIRECT("B21:B" &amp; ROW()))-1,E213)</f>
        <v>-2.7917310664605788E-2</v>
      </c>
      <c r="F214" s="110">
        <f>表2_367162629303891213141523[[#This Row],[累计净值]]</f>
        <v>1.0213000000000001</v>
      </c>
      <c r="G214" s="20">
        <f>表2_367162629303891213141523[[#This Row],[累计净值]]/$B$21-1</f>
        <v>-2.9365700861394561E-4</v>
      </c>
    </row>
    <row r="215" spans="1:7" x14ac:dyDescent="0.2">
      <c r="A215" s="15">
        <v>44315</v>
      </c>
      <c r="B215" s="112">
        <v>1.0206999999999999</v>
      </c>
      <c r="C215" s="108">
        <f>IFERROR(B215-B214,0)</f>
        <v>-6.0000000000015596E-4</v>
      </c>
      <c r="D215" s="109">
        <f>IF(C215&lt;0,C215,"/")</f>
        <v>-6.0000000000015596E-4</v>
      </c>
      <c r="E215" s="109">
        <f ca="1">IF(表2_367162629303891213141523[[#This Row],[累计净值]]/MAX(INDIRECT("B21:B" &amp; ROW()))-1&lt;E214,表2_367162629303891213141523[[#This Row],[累计净值]]/MAX(INDIRECT("B21:B" &amp; ROW()))-1,E214)</f>
        <v>-2.7917310664605788E-2</v>
      </c>
      <c r="F215" s="110">
        <f>表2_367162629303891213141523[[#This Row],[累计净值]]</f>
        <v>1.0206999999999999</v>
      </c>
      <c r="G215" s="20">
        <f>表2_367162629303891213141523[[#This Row],[累计净值]]/$B$21-1</f>
        <v>-8.8097102584194786E-4</v>
      </c>
    </row>
    <row r="216" spans="1:7" x14ac:dyDescent="0.2">
      <c r="A216" s="15">
        <v>44316</v>
      </c>
      <c r="B216" s="112">
        <v>1.0206</v>
      </c>
      <c r="C216" s="108">
        <f t="shared" ref="C216:C217" si="63">IFERROR(B216-B215,0)</f>
        <v>-9.9999999999988987E-5</v>
      </c>
      <c r="D216" s="109">
        <f t="shared" ref="D216:D217" si="64">IF(C216&lt;0,C216,"/")</f>
        <v>-9.9999999999988987E-5</v>
      </c>
      <c r="E216" s="109">
        <f ca="1">IF(表2_367162629303891213141523[[#This Row],[累计净值]]/MAX(INDIRECT("B21:B" &amp; ROW()))-1&lt;E215,表2_367162629303891213141523[[#This Row],[累计净值]]/MAX(INDIRECT("B21:B" &amp; ROW()))-1,E215)</f>
        <v>-2.7917310664605788E-2</v>
      </c>
      <c r="F216" s="110">
        <f>表2_367162629303891213141523[[#This Row],[累计净值]]</f>
        <v>1.0206</v>
      </c>
      <c r="G216" s="20">
        <f>表2_367162629303891213141523[[#This Row],[累计净值]]/$B$21-1</f>
        <v>-9.7885669537989273E-4</v>
      </c>
    </row>
    <row r="217" spans="1:7" x14ac:dyDescent="0.2">
      <c r="A217" s="15">
        <v>44322</v>
      </c>
      <c r="B217" s="112">
        <v>1.0201</v>
      </c>
      <c r="C217" s="108">
        <f t="shared" si="63"/>
        <v>-4.9999999999994493E-4</v>
      </c>
      <c r="D217" s="109">
        <f t="shared" si="64"/>
        <v>-4.9999999999994493E-4</v>
      </c>
      <c r="E217" s="109">
        <f ca="1">IF(表2_367162629303891213141523[[#This Row],[累计净值]]/MAX(INDIRECT("B21:B" &amp; ROW()))-1&lt;E216,表2_367162629303891213141523[[#This Row],[累计净值]]/MAX(INDIRECT("B21:B" &amp; ROW()))-1,E216)</f>
        <v>-2.7917310664605788E-2</v>
      </c>
      <c r="F217" s="110">
        <f>表2_367162629303891213141523[[#This Row],[累计净值]]</f>
        <v>1.0201</v>
      </c>
      <c r="G217" s="20">
        <f>表2_367162629303891213141523[[#This Row],[累计净值]]/$B$21-1</f>
        <v>-1.4682850430697281E-3</v>
      </c>
    </row>
    <row r="218" spans="1:7" x14ac:dyDescent="0.2">
      <c r="A218" s="15">
        <v>44323</v>
      </c>
      <c r="B218" s="112">
        <v>1.0185999999999999</v>
      </c>
      <c r="C218" s="108">
        <f t="shared" ref="C218:C223" si="65">IFERROR(B218-B217,0)</f>
        <v>-1.5000000000000568E-3</v>
      </c>
      <c r="D218" s="109">
        <f t="shared" ref="D218:D223" si="66">IF(C218&lt;0,C218,"/")</f>
        <v>-1.5000000000000568E-3</v>
      </c>
      <c r="E218" s="109">
        <f ca="1">IF(表2_367162629303891213141523[[#This Row],[累计净值]]/MAX(INDIRECT("B21:B" &amp; ROW()))-1&lt;E217,表2_367162629303891213141523[[#This Row],[累计净值]]/MAX(INDIRECT("B21:B" &amp; ROW()))-1,E217)</f>
        <v>-2.7917310664605788E-2</v>
      </c>
      <c r="F218" s="110">
        <f>表2_367162629303891213141523[[#This Row],[累计净值]]</f>
        <v>1.0185999999999999</v>
      </c>
      <c r="G218" s="20">
        <f>表2_367162629303891213141523[[#This Row],[累计净值]]/$B$21-1</f>
        <v>-2.9365700861394561E-3</v>
      </c>
    </row>
    <row r="219" spans="1:7" x14ac:dyDescent="0.2">
      <c r="A219" s="15">
        <v>44326</v>
      </c>
      <c r="B219" s="112">
        <v>1.0214000000000001</v>
      </c>
      <c r="C219" s="108">
        <f t="shared" si="65"/>
        <v>2.8000000000001357E-3</v>
      </c>
      <c r="D219" s="109" t="str">
        <f t="shared" si="66"/>
        <v>/</v>
      </c>
      <c r="E219" s="109">
        <f ca="1">IF(表2_367162629303891213141523[[#This Row],[累计净值]]/MAX(INDIRECT("B21:B" &amp; ROW()))-1&lt;E218,表2_367162629303891213141523[[#This Row],[累计净值]]/MAX(INDIRECT("B21:B" &amp; ROW()))-1,E218)</f>
        <v>-2.7917310664605788E-2</v>
      </c>
      <c r="F219" s="110">
        <f>表2_367162629303891213141523[[#This Row],[累计净值]]</f>
        <v>1.0214000000000001</v>
      </c>
      <c r="G219" s="20">
        <f>表2_367162629303891213141523[[#This Row],[累计净值]]/$B$21-1</f>
        <v>-1.9577133907588973E-4</v>
      </c>
    </row>
    <row r="220" spans="1:7" x14ac:dyDescent="0.2">
      <c r="A220" s="15">
        <v>44327</v>
      </c>
      <c r="B220" s="112">
        <v>1.0209999999999999</v>
      </c>
      <c r="C220" s="108">
        <f t="shared" si="65"/>
        <v>-4.0000000000017799E-4</v>
      </c>
      <c r="D220" s="109">
        <f t="shared" si="66"/>
        <v>-4.0000000000017799E-4</v>
      </c>
      <c r="E220" s="109">
        <f ca="1">IF(表2_367162629303891213141523[[#This Row],[累计净值]]/MAX(INDIRECT("B21:B" &amp; ROW()))-1&lt;E219,表2_367162629303891213141523[[#This Row],[累计净值]]/MAX(INDIRECT("B21:B" &amp; ROW()))-1,E219)</f>
        <v>-2.7917310664605788E-2</v>
      </c>
      <c r="F220" s="110">
        <f>表2_367162629303891213141523[[#This Row],[累计净值]]</f>
        <v>1.0209999999999999</v>
      </c>
      <c r="G220" s="20">
        <f>表2_367162629303891213141523[[#This Row],[累计净值]]/$B$21-1</f>
        <v>-5.8731401722800225E-4</v>
      </c>
    </row>
    <row r="221" spans="1:7" x14ac:dyDescent="0.2">
      <c r="A221" s="15">
        <v>44328</v>
      </c>
      <c r="B221" s="112">
        <v>1.0216000000000001</v>
      </c>
      <c r="C221" s="108">
        <f t="shared" si="65"/>
        <v>6.0000000000015596E-4</v>
      </c>
      <c r="D221" s="109" t="str">
        <f t="shared" si="66"/>
        <v>/</v>
      </c>
      <c r="E221" s="109">
        <f ca="1">IF(表2_367162629303891213141523[[#This Row],[累计净值]]/MAX(INDIRECT("B21:B" &amp; ROW()))-1&lt;E220,表2_367162629303891213141523[[#This Row],[累计净值]]/MAX(INDIRECT("B21:B" &amp; ROW()))-1,E220)</f>
        <v>-2.7917310664605788E-2</v>
      </c>
      <c r="F221" s="110">
        <f>表2_367162629303891213141523[[#This Row],[累计净值]]</f>
        <v>1.0216000000000001</v>
      </c>
      <c r="G221" s="20">
        <f>表2_367162629303891213141523[[#This Row],[累计净值]]/$B$21-1</f>
        <v>0</v>
      </c>
    </row>
    <row r="222" spans="1:7" x14ac:dyDescent="0.2">
      <c r="A222" s="15">
        <v>44329</v>
      </c>
      <c r="B222" s="112">
        <v>1.0212000000000001</v>
      </c>
      <c r="C222" s="108">
        <f t="shared" si="65"/>
        <v>-3.9999999999995595E-4</v>
      </c>
      <c r="D222" s="109">
        <f t="shared" si="66"/>
        <v>-3.9999999999995595E-4</v>
      </c>
      <c r="E222" s="109">
        <f ca="1">IF(表2_367162629303891213141523[[#This Row],[累计净值]]/MAX(INDIRECT("B21:B" &amp; ROW()))-1&lt;E221,表2_367162629303891213141523[[#This Row],[累计净值]]/MAX(INDIRECT("B21:B" &amp; ROW()))-1,E221)</f>
        <v>-2.7917310664605788E-2</v>
      </c>
      <c r="F222" s="110">
        <f>表2_367162629303891213141523[[#This Row],[累计净值]]</f>
        <v>1.0212000000000001</v>
      </c>
      <c r="G222" s="20">
        <f>表2_367162629303891213141523[[#This Row],[累计净值]]/$B$21-1</f>
        <v>-3.9154267815189048E-4</v>
      </c>
    </row>
    <row r="223" spans="1:7" x14ac:dyDescent="0.2">
      <c r="A223" s="15">
        <v>44330</v>
      </c>
      <c r="B223" s="112">
        <v>1.0205</v>
      </c>
      <c r="C223" s="108">
        <f t="shared" si="65"/>
        <v>-7.0000000000014495E-4</v>
      </c>
      <c r="D223" s="109">
        <f t="shared" si="66"/>
        <v>-7.0000000000014495E-4</v>
      </c>
      <c r="E223" s="109">
        <f ca="1">IF(表2_367162629303891213141523[[#This Row],[累计净值]]/MAX(INDIRECT("B21:B" &amp; ROW()))-1&lt;E222,表2_367162629303891213141523[[#This Row],[累计净值]]/MAX(INDIRECT("B21:B" &amp; ROW()))-1,E222)</f>
        <v>-2.7917310664605788E-2</v>
      </c>
      <c r="F223" s="110">
        <f>表2_367162629303891213141523[[#This Row],[累计净值]]</f>
        <v>1.0205</v>
      </c>
      <c r="G223" s="20">
        <f>表2_367162629303891213141523[[#This Row],[累计净值]]/$B$21-1</f>
        <v>-1.0767423649178376E-3</v>
      </c>
    </row>
    <row r="224" spans="1:7" x14ac:dyDescent="0.2">
      <c r="A224" s="15">
        <v>44333</v>
      </c>
      <c r="B224" s="112">
        <v>1.0199</v>
      </c>
      <c r="C224" s="108">
        <f>IFERROR(B224-B223,0)</f>
        <v>-5.9999999999993392E-4</v>
      </c>
      <c r="D224" s="109">
        <f>IF(C224&lt;0,C224,"/")</f>
        <v>-5.9999999999993392E-4</v>
      </c>
      <c r="E224" s="109">
        <f ca="1">IF(表2_367162629303891213141523[[#This Row],[累计净值]]/MAX(INDIRECT("B21:B" &amp; ROW()))-1&lt;E223,表2_367162629303891213141523[[#This Row],[累计净值]]/MAX(INDIRECT("B21:B" &amp; ROW()))-1,E223)</f>
        <v>-2.7917310664605788E-2</v>
      </c>
      <c r="F224" s="110">
        <f>表2_367162629303891213141523[[#This Row],[累计净值]]</f>
        <v>1.0199</v>
      </c>
      <c r="G224" s="20">
        <f>表2_367162629303891213141523[[#This Row],[累计净值]]/$B$21-1</f>
        <v>-1.6640563821457288E-3</v>
      </c>
    </row>
  </sheetData>
  <mergeCells count="1">
    <mergeCell ref="G2:G3"/>
  </mergeCells>
  <phoneticPr fontId="24" type="noConversion"/>
  <pageMargins left="0.7" right="0.7" top="0.75" bottom="0.75" header="0.3" footer="0.3"/>
  <pageSetup paperSize="9" orientation="portrait" horizontalDpi="200" verticalDpi="200" r:id="rId1"/>
  <drawing r:id="rId2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J224"/>
  <sheetViews>
    <sheetView workbookViewId="0">
      <pane xSplit="1" ySplit="20" topLeftCell="B211" activePane="bottomRight" state="frozen"/>
      <selection pane="topRight" activeCell="B1" sqref="B1"/>
      <selection pane="bottomLeft" activeCell="A21" sqref="A21"/>
      <selection pane="bottomRight" activeCell="G225" sqref="G225"/>
    </sheetView>
  </sheetViews>
  <sheetFormatPr defaultColWidth="9" defaultRowHeight="14.25" x14ac:dyDescent="0.2"/>
  <cols>
    <col min="1" max="1" width="11.625" style="1" bestFit="1" customWidth="1"/>
    <col min="2" max="2" width="13" style="1" customWidth="1"/>
    <col min="3" max="4" width="13.5" style="1" bestFit="1" customWidth="1"/>
    <col min="5" max="5" width="10.75" style="1" customWidth="1"/>
    <col min="6" max="6" width="11.125" style="1" customWidth="1"/>
    <col min="7" max="7" width="18.875" style="2" customWidth="1"/>
    <col min="8" max="8" width="14.25" style="1" customWidth="1"/>
    <col min="9" max="9" width="12" style="1" bestFit="1" customWidth="1"/>
    <col min="10" max="16384" width="9" style="1"/>
  </cols>
  <sheetData>
    <row r="1" spans="1:7" ht="15" thickBot="1" x14ac:dyDescent="0.25"/>
    <row r="2" spans="1:7" ht="15" thickBot="1" x14ac:dyDescent="0.25">
      <c r="A2" s="23" t="s">
        <v>0</v>
      </c>
      <c r="B2" s="24">
        <f>COUNT(表2_36716262930389121314152324[每日盈亏])</f>
        <v>204</v>
      </c>
      <c r="C2" s="27"/>
      <c r="D2" s="3" t="s">
        <v>1</v>
      </c>
      <c r="E2" s="28"/>
      <c r="F2" s="1" t="s">
        <v>2</v>
      </c>
      <c r="G2" s="394" t="s">
        <v>3</v>
      </c>
    </row>
    <row r="3" spans="1:7" x14ac:dyDescent="0.2">
      <c r="A3" s="25" t="s">
        <v>4</v>
      </c>
      <c r="B3" s="26">
        <f>COUNTIF(表2_36716262930389121314152324[每日盈亏],"&gt;0")</f>
        <v>104</v>
      </c>
      <c r="C3" s="29"/>
      <c r="D3" s="30" t="s">
        <v>5</v>
      </c>
      <c r="E3" s="31">
        <f>245^0.5*(B10-0.025/365)/E10</f>
        <v>0.22185349491967568</v>
      </c>
      <c r="G3" s="394"/>
    </row>
    <row r="4" spans="1:7" x14ac:dyDescent="0.2">
      <c r="A4" s="25" t="s">
        <v>6</v>
      </c>
      <c r="B4" s="26">
        <f>COUNTIF(表2_36716262930389121314152324[每日盈亏],"&lt;0")</f>
        <v>95</v>
      </c>
      <c r="C4" s="29"/>
      <c r="D4" s="32" t="s">
        <v>7</v>
      </c>
      <c r="E4" s="31">
        <f ca="1">-B9/E8</f>
        <v>0.6480682885372151</v>
      </c>
      <c r="G4" s="2">
        <f>LOOKUP(999^10,表2_36716262930389121314152324[累计净值])</f>
        <v>1.2010000000000001</v>
      </c>
    </row>
    <row r="5" spans="1:7" x14ac:dyDescent="0.2">
      <c r="A5" s="25" t="s">
        <v>8</v>
      </c>
      <c r="B5" s="26">
        <f>B2-B3-B4</f>
        <v>5</v>
      </c>
      <c r="C5" s="29"/>
      <c r="D5" s="33" t="s">
        <v>9</v>
      </c>
      <c r="E5" s="4">
        <f>245^0.5*(B10-0.025/365)/E9</f>
        <v>0.31077215952790038</v>
      </c>
    </row>
    <row r="6" spans="1:7" ht="15" thickBot="1" x14ac:dyDescent="0.25">
      <c r="A6" s="34"/>
      <c r="B6" s="35"/>
      <c r="C6" s="35"/>
      <c r="D6" s="35"/>
      <c r="E6" s="36"/>
    </row>
    <row r="7" spans="1:7" ht="15" thickBot="1" x14ac:dyDescent="0.25">
      <c r="A7" s="5" t="s">
        <v>10</v>
      </c>
      <c r="B7" s="35"/>
      <c r="C7" s="35"/>
      <c r="D7" s="3" t="s">
        <v>11</v>
      </c>
      <c r="E7" s="37"/>
    </row>
    <row r="8" spans="1:7" x14ac:dyDescent="0.2">
      <c r="A8" s="38" t="s">
        <v>12</v>
      </c>
      <c r="B8" s="39">
        <f>LOOKUP(999^10,表2_36716262930389121314152324[累计净值])/$B$21-1</f>
        <v>4.9825174825175012E-2</v>
      </c>
      <c r="C8" s="40"/>
      <c r="D8" s="30" t="s">
        <v>13</v>
      </c>
      <c r="E8" s="41">
        <f ca="1">MIN(表2_36716262930389121314152324[最大回撤])</f>
        <v>-9.2334494773519071E-2</v>
      </c>
    </row>
    <row r="9" spans="1:7" x14ac:dyDescent="0.2">
      <c r="A9" s="25" t="s">
        <v>14</v>
      </c>
      <c r="B9" s="32">
        <f>B8*245/B2</f>
        <v>5.9839058000822933E-2</v>
      </c>
      <c r="C9" s="40"/>
      <c r="D9" s="33" t="s">
        <v>15</v>
      </c>
      <c r="E9" s="6">
        <f>STDEV(表2_36716262930389121314152324[下跌幅度])</f>
        <v>1.0623211923846175E-2</v>
      </c>
    </row>
    <row r="10" spans="1:7" x14ac:dyDescent="0.2">
      <c r="A10" s="42" t="s">
        <v>16</v>
      </c>
      <c r="B10" s="43">
        <f>AVERAGE(表2_36716262930389121314152324[每日盈亏])</f>
        <v>2.7941176470588317E-4</v>
      </c>
      <c r="C10" s="44"/>
      <c r="D10" s="33" t="s">
        <v>17</v>
      </c>
      <c r="E10" s="6">
        <f>STDEV(表2_36716262930389121314152324[每日盈亏])</f>
        <v>1.4880984912550159E-2</v>
      </c>
    </row>
    <row r="11" spans="1:7" x14ac:dyDescent="0.2">
      <c r="A11" s="7" t="s">
        <v>18</v>
      </c>
      <c r="B11" s="32">
        <f>B3/B2</f>
        <v>0.50980392156862742</v>
      </c>
      <c r="C11" s="40"/>
      <c r="D11" s="32" t="s">
        <v>19</v>
      </c>
      <c r="E11" s="41">
        <f>245^0.5*E10</f>
        <v>0.23292425685627643</v>
      </c>
    </row>
    <row r="12" spans="1:7" ht="15" thickBot="1" x14ac:dyDescent="0.25">
      <c r="A12" s="45" t="s">
        <v>20</v>
      </c>
      <c r="B12" s="46">
        <f>-(SUMIF(表2_36716262930389121314152324[每日盈亏],"&gt;=0")/B3)/(SUMIF(表2_36716262930389121314152324[每日盈亏],"&lt;0")/B4)</f>
        <v>0.95877686282386043</v>
      </c>
      <c r="C12" s="47"/>
      <c r="D12" s="48"/>
      <c r="E12" s="49"/>
    </row>
    <row r="14" spans="1:7" ht="28.5" x14ac:dyDescent="0.2">
      <c r="A14" s="50" t="s">
        <v>21</v>
      </c>
      <c r="B14" s="50" t="s">
        <v>14</v>
      </c>
      <c r="C14" s="51" t="s">
        <v>19</v>
      </c>
      <c r="D14" s="51" t="s">
        <v>13</v>
      </c>
      <c r="E14" s="51" t="s">
        <v>5</v>
      </c>
      <c r="F14" s="51" t="s">
        <v>7</v>
      </c>
    </row>
    <row r="15" spans="1:7" x14ac:dyDescent="0.2">
      <c r="A15" s="78">
        <f>B2</f>
        <v>204</v>
      </c>
      <c r="B15" s="53">
        <f>B9</f>
        <v>5.9839058000822933E-2</v>
      </c>
      <c r="C15" s="53">
        <f>E11</f>
        <v>0.23292425685627643</v>
      </c>
      <c r="D15" s="53">
        <f ca="1">E8</f>
        <v>-9.2334494773519071E-2</v>
      </c>
      <c r="E15" s="54">
        <f>E3</f>
        <v>0.22185349491967568</v>
      </c>
      <c r="F15" s="54">
        <f ca="1">E4</f>
        <v>0.6480682885372151</v>
      </c>
    </row>
    <row r="19" spans="1:7" x14ac:dyDescent="0.2">
      <c r="A19" s="8"/>
      <c r="B19" s="1" t="s">
        <v>22</v>
      </c>
    </row>
    <row r="20" spans="1:7" ht="15.75" x14ac:dyDescent="0.2">
      <c r="A20" s="22" t="s">
        <v>23</v>
      </c>
      <c r="B20" s="22" t="s">
        <v>24</v>
      </c>
      <c r="C20" s="22" t="s">
        <v>25</v>
      </c>
      <c r="D20" s="22" t="s">
        <v>26</v>
      </c>
      <c r="E20" s="22" t="s">
        <v>27</v>
      </c>
      <c r="F20" s="22" t="s">
        <v>28</v>
      </c>
      <c r="G20" s="22" t="s">
        <v>29</v>
      </c>
    </row>
    <row r="21" spans="1:7" x14ac:dyDescent="0.2">
      <c r="A21" s="15">
        <v>44026</v>
      </c>
      <c r="B21" s="16">
        <v>1.1439999999999999</v>
      </c>
      <c r="C21" s="11">
        <f t="shared" ref="C21:C29" si="0">IFERROR(B21-B20,0)</f>
        <v>0</v>
      </c>
      <c r="D21" s="12" t="str">
        <f t="shared" ref="D21:D29" si="1">IF(C21&lt;0,C21,"/")</f>
        <v>/</v>
      </c>
      <c r="E21" s="12">
        <f ca="1">IF(表2_36716262930389121314152324[[#This Row],[累计净值]]/MAX(INDIRECT("B21:B" &amp; ROW()))-1&lt;E20,表2_36716262930389121314152324[[#This Row],[累计净值]]/MAX(INDIRECT("B21:B" &amp; ROW()))-1,E20)</f>
        <v>0</v>
      </c>
      <c r="F21" s="13">
        <f>表2_36716262930389121314152324[[#This Row],[累计净值]]</f>
        <v>1.1439999999999999</v>
      </c>
      <c r="G21" s="194" t="s">
        <v>30</v>
      </c>
    </row>
    <row r="22" spans="1:7" x14ac:dyDescent="0.2">
      <c r="A22" s="15">
        <v>44027</v>
      </c>
      <c r="B22" s="16">
        <v>1.117</v>
      </c>
      <c r="C22" s="17">
        <f t="shared" si="0"/>
        <v>-2.6999999999999913E-2</v>
      </c>
      <c r="D22" s="18">
        <f t="shared" si="1"/>
        <v>-2.6999999999999913E-2</v>
      </c>
      <c r="E22" s="18">
        <f ca="1">IF(表2_36716262930389121314152324[[#This Row],[累计净值]]/MAX(INDIRECT("B21:B" &amp; ROW()))-1&lt;E21,表2_36716262930389121314152324[[#This Row],[累计净值]]/MAX(INDIRECT("B21:B" &amp; ROW()))-1,E21)</f>
        <v>-2.3601398601398538E-2</v>
      </c>
      <c r="F22" s="19">
        <f>表2_36716262930389121314152324[[#This Row],[累计净值]]</f>
        <v>1.117</v>
      </c>
      <c r="G22" s="20">
        <f>表2_36716262930389121314152324[[#This Row],[累计净值]]/$B$21-1</f>
        <v>-2.3601398601398538E-2</v>
      </c>
    </row>
    <row r="23" spans="1:7" x14ac:dyDescent="0.2">
      <c r="A23" s="15">
        <v>44028</v>
      </c>
      <c r="B23" s="16">
        <v>1.0649999999999999</v>
      </c>
      <c r="C23" s="73">
        <f t="shared" si="0"/>
        <v>-5.2000000000000046E-2</v>
      </c>
      <c r="D23" s="18">
        <f t="shared" si="1"/>
        <v>-5.2000000000000046E-2</v>
      </c>
      <c r="E23" s="18">
        <f ca="1">IF(表2_36716262930389121314152324[[#This Row],[累计净值]]/MAX(INDIRECT("B21:B" &amp; ROW()))-1&lt;E22,表2_36716262930389121314152324[[#This Row],[累计净值]]/MAX(INDIRECT("B21:B" &amp; ROW()))-1,E22)</f>
        <v>-6.9055944055944063E-2</v>
      </c>
      <c r="F23" s="62">
        <f>表2_36716262930389121314152324[[#This Row],[累计净值]]</f>
        <v>1.0649999999999999</v>
      </c>
      <c r="G23" s="20">
        <f>表2_36716262930389121314152324[[#This Row],[累计净值]]/$B$21-1</f>
        <v>-6.9055944055944063E-2</v>
      </c>
    </row>
    <row r="24" spans="1:7" x14ac:dyDescent="0.2">
      <c r="A24" s="15">
        <v>44029</v>
      </c>
      <c r="B24" s="16">
        <v>1.0740000000000001</v>
      </c>
      <c r="C24" s="73">
        <f t="shared" si="0"/>
        <v>9.000000000000119E-3</v>
      </c>
      <c r="D24" s="18" t="str">
        <f t="shared" si="1"/>
        <v>/</v>
      </c>
      <c r="E24" s="18">
        <f ca="1">IF(表2_36716262930389121314152324[[#This Row],[累计净值]]/MAX(INDIRECT("B21:B" &amp; ROW()))-1&lt;E23,表2_36716262930389121314152324[[#This Row],[累计净值]]/MAX(INDIRECT("B21:B" &amp; ROW()))-1,E23)</f>
        <v>-6.9055944055944063E-2</v>
      </c>
      <c r="F24" s="62">
        <f>表2_36716262930389121314152324[[#This Row],[累计净值]]</f>
        <v>1.0740000000000001</v>
      </c>
      <c r="G24" s="20">
        <f>表2_36716262930389121314152324[[#This Row],[累计净值]]/$B$21-1</f>
        <v>-6.1188811188811032E-2</v>
      </c>
    </row>
    <row r="25" spans="1:7" x14ac:dyDescent="0.2">
      <c r="A25" s="15">
        <v>44032</v>
      </c>
      <c r="B25" s="112">
        <v>1.103</v>
      </c>
      <c r="C25" s="108">
        <f t="shared" si="0"/>
        <v>2.8999999999999915E-2</v>
      </c>
      <c r="D25" s="109" t="str">
        <f t="shared" si="1"/>
        <v>/</v>
      </c>
      <c r="E25" s="109">
        <f ca="1">IF(表2_36716262930389121314152324[[#This Row],[累计净值]]/MAX(INDIRECT("B21:B" &amp; ROW()))-1&lt;E24,表2_36716262930389121314152324[[#This Row],[累计净值]]/MAX(INDIRECT("B21:B" &amp; ROW()))-1,E24)</f>
        <v>-6.9055944055944063E-2</v>
      </c>
      <c r="F25" s="110">
        <f>表2_36716262930389121314152324[[#This Row],[累计净值]]</f>
        <v>1.103</v>
      </c>
      <c r="G25" s="20">
        <f>表2_36716262930389121314152324[[#This Row],[累计净值]]/$B$21-1</f>
        <v>-3.5839160839160722E-2</v>
      </c>
    </row>
    <row r="26" spans="1:7" x14ac:dyDescent="0.2">
      <c r="A26" s="15">
        <v>44033</v>
      </c>
      <c r="B26" s="112">
        <v>1.1140000000000001</v>
      </c>
      <c r="C26" s="108">
        <f t="shared" si="0"/>
        <v>1.1000000000000121E-2</v>
      </c>
      <c r="D26" s="109" t="str">
        <f t="shared" si="1"/>
        <v>/</v>
      </c>
      <c r="E26" s="109">
        <f ca="1">IF(表2_36716262930389121314152324[[#This Row],[累计净值]]/MAX(INDIRECT("B21:B" &amp; ROW()))-1&lt;E25,表2_36716262930389121314152324[[#This Row],[累计净值]]/MAX(INDIRECT("B21:B" &amp; ROW()))-1,E25)</f>
        <v>-6.9055944055944063E-2</v>
      </c>
      <c r="F26" s="110">
        <f>表2_36716262930389121314152324[[#This Row],[累计净值]]</f>
        <v>1.1140000000000001</v>
      </c>
      <c r="G26" s="20">
        <f>表2_36716262930389121314152324[[#This Row],[累计净值]]/$B$21-1</f>
        <v>-2.622377622377603E-2</v>
      </c>
    </row>
    <row r="27" spans="1:7" x14ac:dyDescent="0.2">
      <c r="A27" s="15">
        <v>44034</v>
      </c>
      <c r="B27" s="112">
        <v>1.1220000000000001</v>
      </c>
      <c r="C27" s="108">
        <f t="shared" si="0"/>
        <v>8.0000000000000071E-3</v>
      </c>
      <c r="D27" s="109" t="str">
        <f t="shared" si="1"/>
        <v>/</v>
      </c>
      <c r="E27" s="109">
        <f ca="1">IF(表2_36716262930389121314152324[[#This Row],[累计净值]]/MAX(INDIRECT("B21:B" &amp; ROW()))-1&lt;E26,表2_36716262930389121314152324[[#This Row],[累计净值]]/MAX(INDIRECT("B21:B" &amp; ROW()))-1,E26)</f>
        <v>-6.9055944055944063E-2</v>
      </c>
      <c r="F27" s="110">
        <f>表2_36716262930389121314152324[[#This Row],[累计净值]]</f>
        <v>1.1220000000000001</v>
      </c>
      <c r="G27" s="20">
        <f>表2_36716262930389121314152324[[#This Row],[累计净值]]/$B$21-1</f>
        <v>-1.9230769230769051E-2</v>
      </c>
    </row>
    <row r="28" spans="1:7" x14ac:dyDescent="0.2">
      <c r="A28" s="15">
        <v>44035</v>
      </c>
      <c r="B28" s="112">
        <v>1.1200000000000001</v>
      </c>
      <c r="C28" s="108">
        <f t="shared" si="0"/>
        <v>-2.0000000000000018E-3</v>
      </c>
      <c r="D28" s="109">
        <f t="shared" si="1"/>
        <v>-2.0000000000000018E-3</v>
      </c>
      <c r="E28" s="109">
        <f ca="1">IF(表2_36716262930389121314152324[[#This Row],[累计净值]]/MAX(INDIRECT("B21:B" &amp; ROW()))-1&lt;E27,表2_36716262930389121314152324[[#This Row],[累计净值]]/MAX(INDIRECT("B21:B" &amp; ROW()))-1,E27)</f>
        <v>-6.9055944055944063E-2</v>
      </c>
      <c r="F28" s="110">
        <f>表2_36716262930389121314152324[[#This Row],[累计净值]]</f>
        <v>1.1200000000000001</v>
      </c>
      <c r="G28" s="20">
        <f>表2_36716262930389121314152324[[#This Row],[累计净值]]/$B$21-1</f>
        <v>-2.0979020979020824E-2</v>
      </c>
    </row>
    <row r="29" spans="1:7" x14ac:dyDescent="0.2">
      <c r="A29" s="15">
        <v>44036</v>
      </c>
      <c r="B29" s="112">
        <v>1.0609999999999999</v>
      </c>
      <c r="C29" s="108">
        <f t="shared" si="0"/>
        <v>-5.9000000000000163E-2</v>
      </c>
      <c r="D29" s="109">
        <f t="shared" si="1"/>
        <v>-5.9000000000000163E-2</v>
      </c>
      <c r="E29" s="109">
        <f ca="1">IF(表2_36716262930389121314152324[[#This Row],[累计净值]]/MAX(INDIRECT("B21:B" &amp; ROW()))-1&lt;E28,表2_36716262930389121314152324[[#This Row],[累计净值]]/MAX(INDIRECT("B21:B" &amp; ROW()))-1,E28)</f>
        <v>-7.2552447552447497E-2</v>
      </c>
      <c r="F29" s="110">
        <f>表2_36716262930389121314152324[[#This Row],[累计净值]]</f>
        <v>1.0609999999999999</v>
      </c>
      <c r="G29" s="20">
        <f>表2_36716262930389121314152324[[#This Row],[累计净值]]/$B$21-1</f>
        <v>-7.2552447552447497E-2</v>
      </c>
    </row>
    <row r="30" spans="1:7" x14ac:dyDescent="0.2">
      <c r="A30" s="15">
        <v>44039</v>
      </c>
      <c r="B30" s="112">
        <v>1.0649999999999999</v>
      </c>
      <c r="C30" s="108">
        <f t="shared" ref="C30:C35" si="2">IFERROR(B30-B29,0)</f>
        <v>4.0000000000000036E-3</v>
      </c>
      <c r="D30" s="109" t="str">
        <f t="shared" ref="D30:D35" si="3">IF(C30&lt;0,C30,"/")</f>
        <v>/</v>
      </c>
      <c r="E30" s="109">
        <f ca="1">IF(表2_36716262930389121314152324[[#This Row],[累计净值]]/MAX(INDIRECT("B21:B" &amp; ROW()))-1&lt;E29,表2_36716262930389121314152324[[#This Row],[累计净值]]/MAX(INDIRECT("B21:B" &amp; ROW()))-1,E29)</f>
        <v>-7.2552447552447497E-2</v>
      </c>
      <c r="F30" s="110">
        <f>表2_36716262930389121314152324[[#This Row],[累计净值]]</f>
        <v>1.0649999999999999</v>
      </c>
      <c r="G30" s="20">
        <f>表2_36716262930389121314152324[[#This Row],[累计净值]]/$B$21-1</f>
        <v>-6.9055944055944063E-2</v>
      </c>
    </row>
    <row r="31" spans="1:7" x14ac:dyDescent="0.2">
      <c r="A31" s="15">
        <v>44040</v>
      </c>
      <c r="B31" s="112">
        <v>1.0780000000000001</v>
      </c>
      <c r="C31" s="108">
        <f t="shared" si="2"/>
        <v>1.3000000000000123E-2</v>
      </c>
      <c r="D31" s="109" t="str">
        <f t="shared" si="3"/>
        <v>/</v>
      </c>
      <c r="E31" s="109">
        <f ca="1">IF(表2_36716262930389121314152324[[#This Row],[累计净值]]/MAX(INDIRECT("B21:B" &amp; ROW()))-1&lt;E30,表2_36716262930389121314152324[[#This Row],[累计净值]]/MAX(INDIRECT("B21:B" &amp; ROW()))-1,E30)</f>
        <v>-7.2552447552447497E-2</v>
      </c>
      <c r="F31" s="110">
        <f>表2_36716262930389121314152324[[#This Row],[累计净值]]</f>
        <v>1.0780000000000001</v>
      </c>
      <c r="G31" s="20">
        <f>表2_36716262930389121314152324[[#This Row],[累计净值]]/$B$21-1</f>
        <v>-5.7692307692307598E-2</v>
      </c>
    </row>
    <row r="32" spans="1:7" x14ac:dyDescent="0.2">
      <c r="A32" s="15">
        <v>44041</v>
      </c>
      <c r="B32" s="112">
        <v>1.109</v>
      </c>
      <c r="C32" s="108">
        <f t="shared" si="2"/>
        <v>3.0999999999999917E-2</v>
      </c>
      <c r="D32" s="109" t="str">
        <f t="shared" si="3"/>
        <v>/</v>
      </c>
      <c r="E32" s="109">
        <f ca="1">IF(表2_36716262930389121314152324[[#This Row],[累计净值]]/MAX(INDIRECT("B21:B" &amp; ROW()))-1&lt;E31,表2_36716262930389121314152324[[#This Row],[累计净值]]/MAX(INDIRECT("B21:B" &amp; ROW()))-1,E31)</f>
        <v>-7.2552447552447497E-2</v>
      </c>
      <c r="F32" s="110">
        <f>表2_36716262930389121314152324[[#This Row],[累计净值]]</f>
        <v>1.109</v>
      </c>
      <c r="G32" s="20">
        <f>表2_36716262930389121314152324[[#This Row],[累计净值]]/$B$21-1</f>
        <v>-3.0594405594405516E-2</v>
      </c>
    </row>
    <row r="33" spans="1:7" x14ac:dyDescent="0.2">
      <c r="A33" s="15">
        <v>44042</v>
      </c>
      <c r="B33" s="112">
        <v>1.107</v>
      </c>
      <c r="C33" s="108">
        <f t="shared" si="2"/>
        <v>-2.0000000000000018E-3</v>
      </c>
      <c r="D33" s="109">
        <f t="shared" si="3"/>
        <v>-2.0000000000000018E-3</v>
      </c>
      <c r="E33" s="109">
        <f ca="1">IF(表2_36716262930389121314152324[[#This Row],[累计净值]]/MAX(INDIRECT("B21:B" &amp; ROW()))-1&lt;E32,表2_36716262930389121314152324[[#This Row],[累计净值]]/MAX(INDIRECT("B21:B" &amp; ROW()))-1,E32)</f>
        <v>-7.2552447552447497E-2</v>
      </c>
      <c r="F33" s="110">
        <f>表2_36716262930389121314152324[[#This Row],[累计净值]]</f>
        <v>1.107</v>
      </c>
      <c r="G33" s="20">
        <f>表2_36716262930389121314152324[[#This Row],[累计净值]]/$B$21-1</f>
        <v>-3.2342657342657288E-2</v>
      </c>
    </row>
    <row r="34" spans="1:7" x14ac:dyDescent="0.2">
      <c r="A34" s="15">
        <v>44043</v>
      </c>
      <c r="B34" s="112">
        <v>1.117</v>
      </c>
      <c r="C34" s="108">
        <f t="shared" si="2"/>
        <v>1.0000000000000009E-2</v>
      </c>
      <c r="D34" s="109" t="str">
        <f t="shared" si="3"/>
        <v>/</v>
      </c>
      <c r="E34" s="109">
        <f ca="1">IF(表2_36716262930389121314152324[[#This Row],[累计净值]]/MAX(INDIRECT("B21:B" &amp; ROW()))-1&lt;E33,表2_36716262930389121314152324[[#This Row],[累计净值]]/MAX(INDIRECT("B21:B" &amp; ROW()))-1,E33)</f>
        <v>-7.2552447552447497E-2</v>
      </c>
      <c r="F34" s="110">
        <f>表2_36716262930389121314152324[[#This Row],[累计净值]]</f>
        <v>1.117</v>
      </c>
      <c r="G34" s="20">
        <f>表2_36716262930389121314152324[[#This Row],[累计净值]]/$B$21-1</f>
        <v>-2.3601398601398538E-2</v>
      </c>
    </row>
    <row r="35" spans="1:7" x14ac:dyDescent="0.2">
      <c r="A35" s="15">
        <v>44046</v>
      </c>
      <c r="B35" s="112">
        <v>1.1419999999999999</v>
      </c>
      <c r="C35" s="108">
        <f t="shared" si="2"/>
        <v>2.4999999999999911E-2</v>
      </c>
      <c r="D35" s="109" t="str">
        <f t="shared" si="3"/>
        <v>/</v>
      </c>
      <c r="E35" s="109">
        <f ca="1">IF(表2_36716262930389121314152324[[#This Row],[累计净值]]/MAX(INDIRECT("B21:B" &amp; ROW()))-1&lt;E34,表2_36716262930389121314152324[[#This Row],[累计净值]]/MAX(INDIRECT("B21:B" &amp; ROW()))-1,E34)</f>
        <v>-7.2552447552447497E-2</v>
      </c>
      <c r="F35" s="110">
        <f>表2_36716262930389121314152324[[#This Row],[累计净值]]</f>
        <v>1.1419999999999999</v>
      </c>
      <c r="G35" s="20">
        <f>表2_36716262930389121314152324[[#This Row],[累计净值]]/$B$21-1</f>
        <v>-1.7482517482517723E-3</v>
      </c>
    </row>
    <row r="36" spans="1:7" x14ac:dyDescent="0.2">
      <c r="A36" s="15">
        <v>44047</v>
      </c>
      <c r="B36" s="112">
        <v>1.1359999999999999</v>
      </c>
      <c r="C36" s="108">
        <f t="shared" ref="C36:C41" si="4">IFERROR(B36-B35,0)</f>
        <v>-6.0000000000000053E-3</v>
      </c>
      <c r="D36" s="109">
        <f t="shared" ref="D36:D41" si="5">IF(C36&lt;0,C36,"/")</f>
        <v>-6.0000000000000053E-3</v>
      </c>
      <c r="E36" s="109">
        <f ca="1">IF(表2_36716262930389121314152324[[#This Row],[累计净值]]/MAX(INDIRECT("B21:B" &amp; ROW()))-1&lt;E35,表2_36716262930389121314152324[[#This Row],[累计净值]]/MAX(INDIRECT("B21:B" &amp; ROW()))-1,E35)</f>
        <v>-7.2552447552447497E-2</v>
      </c>
      <c r="F36" s="110">
        <f>表2_36716262930389121314152324[[#This Row],[累计净值]]</f>
        <v>1.1359999999999999</v>
      </c>
      <c r="G36" s="20">
        <f>表2_36716262930389121314152324[[#This Row],[累计净值]]/$B$21-1</f>
        <v>-6.9930069930069783E-3</v>
      </c>
    </row>
    <row r="37" spans="1:7" x14ac:dyDescent="0.2">
      <c r="A37" s="15">
        <v>44048</v>
      </c>
      <c r="B37" s="112">
        <v>1.1479999999999999</v>
      </c>
      <c r="C37" s="108">
        <f t="shared" si="4"/>
        <v>1.2000000000000011E-2</v>
      </c>
      <c r="D37" s="109" t="str">
        <f t="shared" si="5"/>
        <v>/</v>
      </c>
      <c r="E37" s="109">
        <f ca="1">IF(表2_36716262930389121314152324[[#This Row],[累计净值]]/MAX(INDIRECT("B21:B" &amp; ROW()))-1&lt;E36,表2_36716262930389121314152324[[#This Row],[累计净值]]/MAX(INDIRECT("B21:B" &amp; ROW()))-1,E36)</f>
        <v>-7.2552447552447497E-2</v>
      </c>
      <c r="F37" s="110">
        <f>表2_36716262930389121314152324[[#This Row],[累计净值]]</f>
        <v>1.1479999999999999</v>
      </c>
      <c r="G37" s="20">
        <f>表2_36716262930389121314152324[[#This Row],[累计净值]]/$B$21-1</f>
        <v>3.4965034965035446E-3</v>
      </c>
    </row>
    <row r="38" spans="1:7" x14ac:dyDescent="0.2">
      <c r="A38" s="15">
        <v>44049</v>
      </c>
      <c r="B38" s="112">
        <v>1.143</v>
      </c>
      <c r="C38" s="108">
        <f t="shared" si="4"/>
        <v>-4.9999999999998934E-3</v>
      </c>
      <c r="D38" s="109">
        <f t="shared" si="5"/>
        <v>-4.9999999999998934E-3</v>
      </c>
      <c r="E38" s="109">
        <f ca="1">IF(表2_36716262930389121314152324[[#This Row],[累计净值]]/MAX(INDIRECT("B21:B" &amp; ROW()))-1&lt;E37,表2_36716262930389121314152324[[#This Row],[累计净值]]/MAX(INDIRECT("B21:B" &amp; ROW()))-1,E37)</f>
        <v>-7.2552447552447497E-2</v>
      </c>
      <c r="F38" s="110">
        <f>表2_36716262930389121314152324[[#This Row],[累计净值]]</f>
        <v>1.143</v>
      </c>
      <c r="G38" s="20">
        <f>表2_36716262930389121314152324[[#This Row],[累计净值]]/$B$21-1</f>
        <v>-8.7412587412583065E-4</v>
      </c>
    </row>
    <row r="39" spans="1:7" x14ac:dyDescent="0.2">
      <c r="A39" s="15">
        <v>44050</v>
      </c>
      <c r="B39" s="112">
        <v>1.1279999999999999</v>
      </c>
      <c r="C39" s="108">
        <f t="shared" si="4"/>
        <v>-1.5000000000000124E-2</v>
      </c>
      <c r="D39" s="109">
        <f t="shared" si="5"/>
        <v>-1.5000000000000124E-2</v>
      </c>
      <c r="E39" s="109">
        <f ca="1">IF(表2_36716262930389121314152324[[#This Row],[累计净值]]/MAX(INDIRECT("B21:B" &amp; ROW()))-1&lt;E38,表2_36716262930389121314152324[[#This Row],[累计净值]]/MAX(INDIRECT("B21:B" &amp; ROW()))-1,E38)</f>
        <v>-7.2552447552447497E-2</v>
      </c>
      <c r="F39" s="110">
        <f>表2_36716262930389121314152324[[#This Row],[累计净值]]</f>
        <v>1.1279999999999999</v>
      </c>
      <c r="G39" s="20">
        <f>表2_36716262930389121314152324[[#This Row],[累计净值]]/$B$21-1</f>
        <v>-1.3986013986013957E-2</v>
      </c>
    </row>
    <row r="40" spans="1:7" x14ac:dyDescent="0.2">
      <c r="A40" s="15">
        <v>44053</v>
      </c>
      <c r="B40" s="112">
        <v>1.1299999999999999</v>
      </c>
      <c r="C40" s="108">
        <f t="shared" si="4"/>
        <v>2.0000000000000018E-3</v>
      </c>
      <c r="D40" s="109" t="str">
        <f t="shared" si="5"/>
        <v>/</v>
      </c>
      <c r="E40" s="109">
        <f ca="1">IF(表2_36716262930389121314152324[[#This Row],[累计净值]]/MAX(INDIRECT("B21:B" &amp; ROW()))-1&lt;E39,表2_36716262930389121314152324[[#This Row],[累计净值]]/MAX(INDIRECT("B21:B" &amp; ROW()))-1,E39)</f>
        <v>-7.2552447552447497E-2</v>
      </c>
      <c r="F40" s="110">
        <f>表2_36716262930389121314152324[[#This Row],[累计净值]]</f>
        <v>1.1299999999999999</v>
      </c>
      <c r="G40" s="20">
        <f>表2_36716262930389121314152324[[#This Row],[累计净值]]/$B$21-1</f>
        <v>-1.2237762237762295E-2</v>
      </c>
    </row>
    <row r="41" spans="1:7" x14ac:dyDescent="0.2">
      <c r="A41" s="15">
        <v>44054</v>
      </c>
      <c r="B41" s="112">
        <v>1.1100000000000001</v>
      </c>
      <c r="C41" s="108">
        <f t="shared" si="4"/>
        <v>-1.9999999999999796E-2</v>
      </c>
      <c r="D41" s="109">
        <f t="shared" si="5"/>
        <v>-1.9999999999999796E-2</v>
      </c>
      <c r="E41" s="109">
        <f ca="1">IF(表2_36716262930389121314152324[[#This Row],[累计净值]]/MAX(INDIRECT("B21:B" &amp; ROW()))-1&lt;E40,表2_36716262930389121314152324[[#This Row],[累计净值]]/MAX(INDIRECT("B21:B" &amp; ROW()))-1,E40)</f>
        <v>-7.2552447552447497E-2</v>
      </c>
      <c r="F41" s="110">
        <f>表2_36716262930389121314152324[[#This Row],[累计净值]]</f>
        <v>1.1100000000000001</v>
      </c>
      <c r="G41" s="20">
        <f>表2_36716262930389121314152324[[#This Row],[累计净值]]/$B$21-1</f>
        <v>-2.9720279720279574E-2</v>
      </c>
    </row>
    <row r="42" spans="1:7" x14ac:dyDescent="0.2">
      <c r="A42" s="15">
        <v>44055</v>
      </c>
      <c r="B42" s="112">
        <v>1.0920000000000001</v>
      </c>
      <c r="C42" s="108">
        <f t="shared" ref="C42:C47" si="6">IFERROR(B42-B41,0)</f>
        <v>-1.8000000000000016E-2</v>
      </c>
      <c r="D42" s="109">
        <f t="shared" ref="D42:D47" si="7">IF(C42&lt;0,C42,"/")</f>
        <v>-1.8000000000000016E-2</v>
      </c>
      <c r="E42" s="109">
        <f ca="1">IF(表2_36716262930389121314152324[[#This Row],[累计净值]]/MAX(INDIRECT("B21:B" &amp; ROW()))-1&lt;E41,表2_36716262930389121314152324[[#This Row],[累计净值]]/MAX(INDIRECT("B21:B" &amp; ROW()))-1,E41)</f>
        <v>-7.2552447552447497E-2</v>
      </c>
      <c r="F42" s="110">
        <f>表2_36716262930389121314152324[[#This Row],[累计净值]]</f>
        <v>1.0920000000000001</v>
      </c>
      <c r="G42" s="20">
        <f>表2_36716262930389121314152324[[#This Row],[累计净值]]/$B$21-1</f>
        <v>-4.5454545454545303E-2</v>
      </c>
    </row>
    <row r="43" spans="1:7" x14ac:dyDescent="0.2">
      <c r="A43" s="15">
        <v>44056</v>
      </c>
      <c r="B43" s="112">
        <v>1.0960000000000001</v>
      </c>
      <c r="C43" s="108">
        <f t="shared" si="6"/>
        <v>4.0000000000000036E-3</v>
      </c>
      <c r="D43" s="109" t="str">
        <f t="shared" si="7"/>
        <v>/</v>
      </c>
      <c r="E43" s="109">
        <f ca="1">IF(表2_36716262930389121314152324[[#This Row],[累计净值]]/MAX(INDIRECT("B21:B" &amp; ROW()))-1&lt;E42,表2_36716262930389121314152324[[#This Row],[累计净值]]/MAX(INDIRECT("B21:B" &amp; ROW()))-1,E42)</f>
        <v>-7.2552447552447497E-2</v>
      </c>
      <c r="F43" s="110">
        <f>表2_36716262930389121314152324[[#This Row],[累计净值]]</f>
        <v>1.0960000000000001</v>
      </c>
      <c r="G43" s="20">
        <f>表2_36716262930389121314152324[[#This Row],[累计净值]]/$B$21-1</f>
        <v>-4.1958041958041759E-2</v>
      </c>
    </row>
    <row r="44" spans="1:7" x14ac:dyDescent="0.2">
      <c r="A44" s="15">
        <v>44057</v>
      </c>
      <c r="B44" s="112">
        <v>1.1140000000000001</v>
      </c>
      <c r="C44" s="108">
        <f t="shared" si="6"/>
        <v>1.8000000000000016E-2</v>
      </c>
      <c r="D44" s="109" t="str">
        <f t="shared" si="7"/>
        <v>/</v>
      </c>
      <c r="E44" s="109">
        <f ca="1">IF(表2_36716262930389121314152324[[#This Row],[累计净值]]/MAX(INDIRECT("B21:B" &amp; ROW()))-1&lt;E43,表2_36716262930389121314152324[[#This Row],[累计净值]]/MAX(INDIRECT("B21:B" &amp; ROW()))-1,E43)</f>
        <v>-7.2552447552447497E-2</v>
      </c>
      <c r="F44" s="110">
        <f>表2_36716262930389121314152324[[#This Row],[累计净值]]</f>
        <v>1.1140000000000001</v>
      </c>
      <c r="G44" s="20">
        <f>表2_36716262930389121314152324[[#This Row],[累计净值]]/$B$21-1</f>
        <v>-2.622377622377603E-2</v>
      </c>
    </row>
    <row r="45" spans="1:7" x14ac:dyDescent="0.2">
      <c r="A45" s="15">
        <v>44060</v>
      </c>
      <c r="B45" s="112">
        <v>1.135</v>
      </c>
      <c r="C45" s="108">
        <f t="shared" si="6"/>
        <v>2.0999999999999908E-2</v>
      </c>
      <c r="D45" s="109" t="str">
        <f t="shared" si="7"/>
        <v>/</v>
      </c>
      <c r="E45" s="109">
        <f ca="1">IF(表2_36716262930389121314152324[[#This Row],[累计净值]]/MAX(INDIRECT("B21:B" &amp; ROW()))-1&lt;E44,表2_36716262930389121314152324[[#This Row],[累计净值]]/MAX(INDIRECT("B21:B" &amp; ROW()))-1,E44)</f>
        <v>-7.2552447552447497E-2</v>
      </c>
      <c r="F45" s="110">
        <f>表2_36716262930389121314152324[[#This Row],[累计净值]]</f>
        <v>1.135</v>
      </c>
      <c r="G45" s="20">
        <f>表2_36716262930389121314152324[[#This Row],[累计净值]]/$B$21-1</f>
        <v>-7.8671328671328089E-3</v>
      </c>
    </row>
    <row r="46" spans="1:7" x14ac:dyDescent="0.2">
      <c r="A46" s="15">
        <v>44061</v>
      </c>
      <c r="B46" s="112">
        <v>1.1419999999999999</v>
      </c>
      <c r="C46" s="108">
        <f t="shared" si="6"/>
        <v>6.9999999999998952E-3</v>
      </c>
      <c r="D46" s="109" t="str">
        <f t="shared" si="7"/>
        <v>/</v>
      </c>
      <c r="E46" s="109">
        <f ca="1">IF(表2_36716262930389121314152324[[#This Row],[累计净值]]/MAX(INDIRECT("B21:B" &amp; ROW()))-1&lt;E45,表2_36716262930389121314152324[[#This Row],[累计净值]]/MAX(INDIRECT("B21:B" &amp; ROW()))-1,E45)</f>
        <v>-7.2552447552447497E-2</v>
      </c>
      <c r="F46" s="110">
        <f>表2_36716262930389121314152324[[#This Row],[累计净值]]</f>
        <v>1.1419999999999999</v>
      </c>
      <c r="G46" s="20">
        <f>表2_36716262930389121314152324[[#This Row],[累计净值]]/$B$21-1</f>
        <v>-1.7482517482517723E-3</v>
      </c>
    </row>
    <row r="47" spans="1:7" x14ac:dyDescent="0.2">
      <c r="A47" s="15">
        <v>44062</v>
      </c>
      <c r="B47" s="112">
        <v>1.1279999999999999</v>
      </c>
      <c r="C47" s="108">
        <f t="shared" si="6"/>
        <v>-1.4000000000000012E-2</v>
      </c>
      <c r="D47" s="109">
        <f t="shared" si="7"/>
        <v>-1.4000000000000012E-2</v>
      </c>
      <c r="E47" s="109">
        <f ca="1">IF(表2_36716262930389121314152324[[#This Row],[累计净值]]/MAX(INDIRECT("B21:B" &amp; ROW()))-1&lt;E46,表2_36716262930389121314152324[[#This Row],[累计净值]]/MAX(INDIRECT("B21:B" &amp; ROW()))-1,E46)</f>
        <v>-7.2552447552447497E-2</v>
      </c>
      <c r="F47" s="110">
        <f>表2_36716262930389121314152324[[#This Row],[累计净值]]</f>
        <v>1.1279999999999999</v>
      </c>
      <c r="G47" s="20">
        <f>表2_36716262930389121314152324[[#This Row],[累计净值]]/$B$21-1</f>
        <v>-1.3986013986013957E-2</v>
      </c>
    </row>
    <row r="48" spans="1:7" x14ac:dyDescent="0.2">
      <c r="A48" s="15">
        <v>44063</v>
      </c>
      <c r="B48" s="112">
        <v>1.1140000000000001</v>
      </c>
      <c r="C48" s="108">
        <f t="shared" ref="C48:C53" si="8">IFERROR(B48-B47,0)</f>
        <v>-1.399999999999979E-2</v>
      </c>
      <c r="D48" s="109">
        <f t="shared" ref="D48:D53" si="9">IF(C48&lt;0,C48,"/")</f>
        <v>-1.399999999999979E-2</v>
      </c>
      <c r="E48" s="109">
        <f ca="1">IF(表2_36716262930389121314152324[[#This Row],[累计净值]]/MAX(INDIRECT("B21:B" &amp; ROW()))-1&lt;E47,表2_36716262930389121314152324[[#This Row],[累计净值]]/MAX(INDIRECT("B21:B" &amp; ROW()))-1,E47)</f>
        <v>-7.2552447552447497E-2</v>
      </c>
      <c r="F48" s="110">
        <f>表2_36716262930389121314152324[[#This Row],[累计净值]]</f>
        <v>1.1140000000000001</v>
      </c>
      <c r="G48" s="20">
        <f>表2_36716262930389121314152324[[#This Row],[累计净值]]/$B$21-1</f>
        <v>-2.622377622377603E-2</v>
      </c>
    </row>
    <row r="49" spans="1:10" x14ac:dyDescent="0.2">
      <c r="A49" s="15">
        <v>44064</v>
      </c>
      <c r="B49" s="112">
        <v>1.1240000000000001</v>
      </c>
      <c r="C49" s="108">
        <f t="shared" si="8"/>
        <v>1.0000000000000009E-2</v>
      </c>
      <c r="D49" s="109" t="str">
        <f t="shared" si="9"/>
        <v>/</v>
      </c>
      <c r="E49" s="109">
        <f ca="1">IF(表2_36716262930389121314152324[[#This Row],[累计净值]]/MAX(INDIRECT("B21:B" &amp; ROW()))-1&lt;E48,表2_36716262930389121314152324[[#This Row],[累计净值]]/MAX(INDIRECT("B21:B" &amp; ROW()))-1,E48)</f>
        <v>-7.2552447552447497E-2</v>
      </c>
      <c r="F49" s="110">
        <f>表2_36716262930389121314152324[[#This Row],[累计净值]]</f>
        <v>1.1240000000000001</v>
      </c>
      <c r="G49" s="20">
        <f>表2_36716262930389121314152324[[#This Row],[累计净值]]/$B$21-1</f>
        <v>-1.7482517482517279E-2</v>
      </c>
    </row>
    <row r="50" spans="1:10" x14ac:dyDescent="0.2">
      <c r="A50" s="15">
        <v>44067</v>
      </c>
      <c r="B50" s="112">
        <v>1.133</v>
      </c>
      <c r="C50" s="108">
        <f t="shared" si="8"/>
        <v>8.999999999999897E-3</v>
      </c>
      <c r="D50" s="109" t="str">
        <f t="shared" si="9"/>
        <v>/</v>
      </c>
      <c r="E50" s="109">
        <f ca="1">IF(表2_36716262930389121314152324[[#This Row],[累计净值]]/MAX(INDIRECT("B21:B" &amp; ROW()))-1&lt;E49,表2_36716262930389121314152324[[#This Row],[累计净值]]/MAX(INDIRECT("B21:B" &amp; ROW()))-1,E49)</f>
        <v>-7.2552447552447497E-2</v>
      </c>
      <c r="F50" s="110">
        <f>表2_36716262930389121314152324[[#This Row],[累计净值]]</f>
        <v>1.133</v>
      </c>
      <c r="G50" s="20">
        <f>表2_36716262930389121314152324[[#This Row],[累计净值]]/$B$21-1</f>
        <v>-9.6153846153845812E-3</v>
      </c>
    </row>
    <row r="51" spans="1:10" x14ac:dyDescent="0.2">
      <c r="A51" s="15">
        <v>44068</v>
      </c>
      <c r="B51" s="112">
        <v>1.1279999999999999</v>
      </c>
      <c r="C51" s="108">
        <f t="shared" si="8"/>
        <v>-5.0000000000001155E-3</v>
      </c>
      <c r="D51" s="109">
        <f t="shared" si="9"/>
        <v>-5.0000000000001155E-3</v>
      </c>
      <c r="E51" s="109">
        <f ca="1">IF(表2_36716262930389121314152324[[#This Row],[累计净值]]/MAX(INDIRECT("B21:B" &amp; ROW()))-1&lt;E50,表2_36716262930389121314152324[[#This Row],[累计净值]]/MAX(INDIRECT("B21:B" &amp; ROW()))-1,E50)</f>
        <v>-7.2552447552447497E-2</v>
      </c>
      <c r="F51" s="110">
        <f>表2_36716262930389121314152324[[#This Row],[累计净值]]</f>
        <v>1.1279999999999999</v>
      </c>
      <c r="G51" s="20">
        <f>表2_36716262930389121314152324[[#This Row],[累计净值]]/$B$21-1</f>
        <v>-1.3986013986013957E-2</v>
      </c>
    </row>
    <row r="52" spans="1:10" x14ac:dyDescent="0.2">
      <c r="A52" s="15">
        <v>44069</v>
      </c>
      <c r="B52" s="112">
        <v>1.107</v>
      </c>
      <c r="C52" s="108">
        <f t="shared" si="8"/>
        <v>-2.0999999999999908E-2</v>
      </c>
      <c r="D52" s="109">
        <f t="shared" si="9"/>
        <v>-2.0999999999999908E-2</v>
      </c>
      <c r="E52" s="109">
        <f ca="1">IF(表2_36716262930389121314152324[[#This Row],[累计净值]]/MAX(INDIRECT("B21:B" &amp; ROW()))-1&lt;E51,表2_36716262930389121314152324[[#This Row],[累计净值]]/MAX(INDIRECT("B21:B" &amp; ROW()))-1,E51)</f>
        <v>-7.2552447552447497E-2</v>
      </c>
      <c r="F52" s="110">
        <f>表2_36716262930389121314152324[[#This Row],[累计净值]]</f>
        <v>1.107</v>
      </c>
      <c r="G52" s="20">
        <f>表2_36716262930389121314152324[[#This Row],[累计净值]]/$B$21-1</f>
        <v>-3.2342657342657288E-2</v>
      </c>
    </row>
    <row r="53" spans="1:10" x14ac:dyDescent="0.2">
      <c r="A53" s="15">
        <v>44070</v>
      </c>
      <c r="B53" s="112">
        <v>1.1200000000000001</v>
      </c>
      <c r="C53" s="108">
        <f t="shared" si="8"/>
        <v>1.3000000000000123E-2</v>
      </c>
      <c r="D53" s="109" t="str">
        <f t="shared" si="9"/>
        <v>/</v>
      </c>
      <c r="E53" s="109">
        <f ca="1">IF(表2_36716262930389121314152324[[#This Row],[累计净值]]/MAX(INDIRECT("B21:B" &amp; ROW()))-1&lt;E52,表2_36716262930389121314152324[[#This Row],[累计净值]]/MAX(INDIRECT("B21:B" &amp; ROW()))-1,E52)</f>
        <v>-7.2552447552447497E-2</v>
      </c>
      <c r="F53" s="110">
        <f>表2_36716262930389121314152324[[#This Row],[累计净值]]</f>
        <v>1.1200000000000001</v>
      </c>
      <c r="G53" s="20">
        <f>表2_36716262930389121314152324[[#This Row],[累计净值]]/$B$21-1</f>
        <v>-2.0979020979020824E-2</v>
      </c>
    </row>
    <row r="54" spans="1:10" x14ac:dyDescent="0.2">
      <c r="A54" s="15">
        <v>44071</v>
      </c>
      <c r="B54" s="112">
        <v>1.1399999999999999</v>
      </c>
      <c r="C54" s="108">
        <f t="shared" ref="C54:C59" si="10">IFERROR(B54-B53,0)</f>
        <v>1.9999999999999796E-2</v>
      </c>
      <c r="D54" s="109" t="str">
        <f t="shared" ref="D54:D59" si="11">IF(C54&lt;0,C54,"/")</f>
        <v>/</v>
      </c>
      <c r="E54" s="109">
        <f ca="1">IF(表2_36716262930389121314152324[[#This Row],[累计净值]]/MAX(INDIRECT("B21:B" &amp; ROW()))-1&lt;E53,表2_36716262930389121314152324[[#This Row],[累计净值]]/MAX(INDIRECT("B21:B" &amp; ROW()))-1,E53)</f>
        <v>-7.2552447552447497E-2</v>
      </c>
      <c r="F54" s="110">
        <f>表2_36716262930389121314152324[[#This Row],[累计净值]]</f>
        <v>1.1399999999999999</v>
      </c>
      <c r="G54" s="20">
        <f>表2_36716262930389121314152324[[#This Row],[累计净值]]/$B$21-1</f>
        <v>-3.4965034965035446E-3</v>
      </c>
    </row>
    <row r="55" spans="1:10" x14ac:dyDescent="0.2">
      <c r="A55" s="15">
        <v>44074</v>
      </c>
      <c r="B55" s="112">
        <v>1.139</v>
      </c>
      <c r="C55" s="108">
        <f t="shared" si="10"/>
        <v>-9.9999999999988987E-4</v>
      </c>
      <c r="D55" s="109">
        <f t="shared" si="11"/>
        <v>-9.9999999999988987E-4</v>
      </c>
      <c r="E55" s="109">
        <f ca="1">IF(表2_36716262930389121314152324[[#This Row],[累计净值]]/MAX(INDIRECT("B21:B" &amp; ROW()))-1&lt;E54,表2_36716262930389121314152324[[#This Row],[累计净值]]/MAX(INDIRECT("B21:B" &amp; ROW()))-1,E54)</f>
        <v>-7.2552447552447497E-2</v>
      </c>
      <c r="F55" s="110">
        <f>表2_36716262930389121314152324[[#This Row],[累计净值]]</f>
        <v>1.139</v>
      </c>
      <c r="G55" s="20">
        <f>表2_36716262930389121314152324[[#This Row],[累计净值]]/$B$21-1</f>
        <v>-4.3706293706292643E-3</v>
      </c>
    </row>
    <row r="56" spans="1:10" x14ac:dyDescent="0.2">
      <c r="A56" s="15">
        <v>44075</v>
      </c>
      <c r="B56" s="112">
        <v>1.147</v>
      </c>
      <c r="C56" s="108">
        <f t="shared" si="10"/>
        <v>8.0000000000000071E-3</v>
      </c>
      <c r="D56" s="109" t="str">
        <f t="shared" si="11"/>
        <v>/</v>
      </c>
      <c r="E56" s="109">
        <f ca="1">IF(表2_36716262930389121314152324[[#This Row],[累计净值]]/MAX(INDIRECT("B21:B" &amp; ROW()))-1&lt;E55,表2_36716262930389121314152324[[#This Row],[累计净值]]/MAX(INDIRECT("B21:B" &amp; ROW()))-1,E55)</f>
        <v>-7.2552447552447497E-2</v>
      </c>
      <c r="F56" s="110">
        <f>表2_36716262930389121314152324[[#This Row],[累计净值]]</f>
        <v>1.147</v>
      </c>
      <c r="G56" s="20">
        <f>表2_36716262930389121314152324[[#This Row],[累计净值]]/$B$21-1</f>
        <v>2.622377622377714E-3</v>
      </c>
      <c r="I56" s="60"/>
    </row>
    <row r="57" spans="1:10" x14ac:dyDescent="0.2">
      <c r="A57" s="15">
        <v>44076</v>
      </c>
      <c r="B57" s="112">
        <v>1.1439999999999999</v>
      </c>
      <c r="C57" s="108">
        <f t="shared" si="10"/>
        <v>-3.0000000000001137E-3</v>
      </c>
      <c r="D57" s="109">
        <f t="shared" si="11"/>
        <v>-3.0000000000001137E-3</v>
      </c>
      <c r="E57" s="109">
        <f ca="1">IF(表2_36716262930389121314152324[[#This Row],[累计净值]]/MAX(INDIRECT("B21:B" &amp; ROW()))-1&lt;E56,表2_36716262930389121314152324[[#This Row],[累计净值]]/MAX(INDIRECT("B21:B" &amp; ROW()))-1,E56)</f>
        <v>-7.2552447552447497E-2</v>
      </c>
      <c r="F57" s="110">
        <f>表2_36716262930389121314152324[[#This Row],[累计净值]]</f>
        <v>1.1439999999999999</v>
      </c>
      <c r="G57" s="20">
        <f>表2_36716262930389121314152324[[#This Row],[累计净值]]/$B$21-1</f>
        <v>0</v>
      </c>
    </row>
    <row r="58" spans="1:10" x14ac:dyDescent="0.2">
      <c r="A58" s="15">
        <v>44077</v>
      </c>
      <c r="B58" s="112">
        <v>1.137</v>
      </c>
      <c r="C58" s="108">
        <f t="shared" si="10"/>
        <v>-6.9999999999998952E-3</v>
      </c>
      <c r="D58" s="109">
        <f t="shared" si="11"/>
        <v>-6.9999999999998952E-3</v>
      </c>
      <c r="E58" s="109">
        <f ca="1">IF(表2_36716262930389121314152324[[#This Row],[累计净值]]/MAX(INDIRECT("B21:B" &amp; ROW()))-1&lt;E57,表2_36716262930389121314152324[[#This Row],[累计净值]]/MAX(INDIRECT("B21:B" &amp; ROW()))-1,E57)</f>
        <v>-7.2552447552447497E-2</v>
      </c>
      <c r="F58" s="110">
        <f>表2_36716262930389121314152324[[#This Row],[累计净值]]</f>
        <v>1.137</v>
      </c>
      <c r="G58" s="20">
        <f>表2_36716262930389121314152324[[#This Row],[累计净值]]/$B$21-1</f>
        <v>-6.1188811188810366E-3</v>
      </c>
      <c r="J58" s="198">
        <f>表2_36716262930389121314152324[[#This Row],[持有涨跌幅]]-G57</f>
        <v>-6.1188811188810366E-3</v>
      </c>
    </row>
    <row r="59" spans="1:10" x14ac:dyDescent="0.2">
      <c r="A59" s="15">
        <v>44078</v>
      </c>
      <c r="B59" s="112">
        <v>1.127</v>
      </c>
      <c r="C59" s="108">
        <f t="shared" si="10"/>
        <v>-1.0000000000000009E-2</v>
      </c>
      <c r="D59" s="109">
        <f t="shared" si="11"/>
        <v>-1.0000000000000009E-2</v>
      </c>
      <c r="E59" s="109">
        <f ca="1">IF(表2_36716262930389121314152324[[#This Row],[累计净值]]/MAX(INDIRECT("B21:B" &amp; ROW()))-1&lt;E58,表2_36716262930389121314152324[[#This Row],[累计净值]]/MAX(INDIRECT("B21:B" &amp; ROW()))-1,E58)</f>
        <v>-7.2552447552447497E-2</v>
      </c>
      <c r="F59" s="110">
        <f>表2_36716262930389121314152324[[#This Row],[累计净值]]</f>
        <v>1.127</v>
      </c>
      <c r="G59" s="20">
        <f>表2_36716262930389121314152324[[#This Row],[累计净值]]/$B$21-1</f>
        <v>-1.4860139860139787E-2</v>
      </c>
      <c r="J59" s="198">
        <f>表2_36716262930389121314152324[[#This Row],[持有涨跌幅]]-G58</f>
        <v>-8.7412587412587506E-3</v>
      </c>
    </row>
    <row r="60" spans="1:10" x14ac:dyDescent="0.2">
      <c r="A60" s="15">
        <v>44081</v>
      </c>
      <c r="B60" s="112">
        <v>1.093</v>
      </c>
      <c r="C60" s="108">
        <f t="shared" ref="C60:C65" si="12">IFERROR(B60-B59,0)</f>
        <v>-3.400000000000003E-2</v>
      </c>
      <c r="D60" s="109">
        <f t="shared" ref="D60:D65" si="13">IF(C60&lt;0,C60,"/")</f>
        <v>-3.400000000000003E-2</v>
      </c>
      <c r="E60" s="109">
        <f ca="1">IF(表2_36716262930389121314152324[[#This Row],[累计净值]]/MAX(INDIRECT("B21:B" &amp; ROW()))-1&lt;E59,表2_36716262930389121314152324[[#This Row],[累计净值]]/MAX(INDIRECT("B21:B" &amp; ROW()))-1,E59)</f>
        <v>-7.2552447552447497E-2</v>
      </c>
      <c r="F60" s="110">
        <f>表2_36716262930389121314152324[[#This Row],[累计净值]]</f>
        <v>1.093</v>
      </c>
      <c r="G60" s="20">
        <f>表2_36716262930389121314152324[[#This Row],[累计净值]]/$B$21-1</f>
        <v>-4.4580419580419473E-2</v>
      </c>
    </row>
    <row r="61" spans="1:10" x14ac:dyDescent="0.2">
      <c r="A61" s="15">
        <v>44082</v>
      </c>
      <c r="B61" s="112">
        <v>1.0920000000000001</v>
      </c>
      <c r="C61" s="108">
        <f t="shared" si="12"/>
        <v>-9.9999999999988987E-4</v>
      </c>
      <c r="D61" s="109">
        <f t="shared" si="13"/>
        <v>-9.9999999999988987E-4</v>
      </c>
      <c r="E61" s="109">
        <f ca="1">IF(表2_36716262930389121314152324[[#This Row],[累计净值]]/MAX(INDIRECT("B21:B" &amp; ROW()))-1&lt;E60,表2_36716262930389121314152324[[#This Row],[累计净值]]/MAX(INDIRECT("B21:B" &amp; ROW()))-1,E60)</f>
        <v>-7.2552447552447497E-2</v>
      </c>
      <c r="F61" s="110">
        <f>表2_36716262930389121314152324[[#This Row],[累计净值]]</f>
        <v>1.0920000000000001</v>
      </c>
      <c r="G61" s="20">
        <f>表2_36716262930389121314152324[[#This Row],[累计净值]]/$B$21-1</f>
        <v>-4.5454545454545303E-2</v>
      </c>
    </row>
    <row r="62" spans="1:10" x14ac:dyDescent="0.2">
      <c r="A62" s="15">
        <v>44083</v>
      </c>
      <c r="B62" s="112">
        <v>1.06</v>
      </c>
      <c r="C62" s="108">
        <f t="shared" si="12"/>
        <v>-3.2000000000000028E-2</v>
      </c>
      <c r="D62" s="109">
        <f t="shared" si="13"/>
        <v>-3.2000000000000028E-2</v>
      </c>
      <c r="E62" s="109">
        <f ca="1">IF(表2_36716262930389121314152324[[#This Row],[累计净值]]/MAX(INDIRECT("B21:B" &amp; ROW()))-1&lt;E61,表2_36716262930389121314152324[[#This Row],[累计净值]]/MAX(INDIRECT("B21:B" &amp; ROW()))-1,E61)</f>
        <v>-7.6655052264808288E-2</v>
      </c>
      <c r="F62" s="110">
        <f>表2_36716262930389121314152324[[#This Row],[累计净值]]</f>
        <v>1.06</v>
      </c>
      <c r="G62" s="20">
        <f>表2_36716262930389121314152324[[#This Row],[累计净值]]/$B$21-1</f>
        <v>-7.3426573426573327E-2</v>
      </c>
    </row>
    <row r="63" spans="1:10" x14ac:dyDescent="0.2">
      <c r="A63" s="15">
        <v>44084</v>
      </c>
      <c r="B63" s="112">
        <v>1.0449999999999999</v>
      </c>
      <c r="C63" s="108">
        <f t="shared" si="12"/>
        <v>-1.5000000000000124E-2</v>
      </c>
      <c r="D63" s="109">
        <f t="shared" si="13"/>
        <v>-1.5000000000000124E-2</v>
      </c>
      <c r="E63" s="109">
        <f ca="1">IF(表2_36716262930389121314152324[[#This Row],[累计净值]]/MAX(INDIRECT("B21:B" &amp; ROW()))-1&lt;E62,表2_36716262930389121314152324[[#This Row],[累计净值]]/MAX(INDIRECT("B21:B" &amp; ROW()))-1,E62)</f>
        <v>-8.9721254355400681E-2</v>
      </c>
      <c r="F63" s="110">
        <f>表2_36716262930389121314152324[[#This Row],[累计净值]]</f>
        <v>1.0449999999999999</v>
      </c>
      <c r="G63" s="20">
        <f>表2_36716262930389121314152324[[#This Row],[累计净值]]/$B$21-1</f>
        <v>-8.6538461538461564E-2</v>
      </c>
    </row>
    <row r="64" spans="1:10" x14ac:dyDescent="0.2">
      <c r="A64" s="15">
        <v>44085</v>
      </c>
      <c r="B64" s="112">
        <v>1.0620000000000001</v>
      </c>
      <c r="C64" s="108">
        <f t="shared" si="12"/>
        <v>1.7000000000000126E-2</v>
      </c>
      <c r="D64" s="109" t="str">
        <f t="shared" si="13"/>
        <v>/</v>
      </c>
      <c r="E64" s="109">
        <f ca="1">IF(表2_36716262930389121314152324[[#This Row],[累计净值]]/MAX(INDIRECT("B21:B" &amp; ROW()))-1&lt;E63,表2_36716262930389121314152324[[#This Row],[累计净值]]/MAX(INDIRECT("B21:B" &amp; ROW()))-1,E63)</f>
        <v>-8.9721254355400681E-2</v>
      </c>
      <c r="F64" s="110">
        <f>表2_36716262930389121314152324[[#This Row],[累计净值]]</f>
        <v>1.0620000000000001</v>
      </c>
      <c r="G64" s="20">
        <f>表2_36716262930389121314152324[[#This Row],[累计净值]]/$B$21-1</f>
        <v>-7.1678321678321555E-2</v>
      </c>
    </row>
    <row r="65" spans="1:7" x14ac:dyDescent="0.2">
      <c r="A65" s="15">
        <v>44088</v>
      </c>
      <c r="B65" s="112">
        <v>1.0680000000000001</v>
      </c>
      <c r="C65" s="108">
        <f t="shared" si="12"/>
        <v>6.0000000000000053E-3</v>
      </c>
      <c r="D65" s="109" t="str">
        <f t="shared" si="13"/>
        <v>/</v>
      </c>
      <c r="E65" s="109">
        <f ca="1">IF(表2_36716262930389121314152324[[#This Row],[累计净值]]/MAX(INDIRECT("B21:B" &amp; ROW()))-1&lt;E64,表2_36716262930389121314152324[[#This Row],[累计净值]]/MAX(INDIRECT("B21:B" &amp; ROW()))-1,E64)</f>
        <v>-8.9721254355400681E-2</v>
      </c>
      <c r="F65" s="110">
        <f>表2_36716262930389121314152324[[#This Row],[累计净值]]</f>
        <v>1.0680000000000001</v>
      </c>
      <c r="G65" s="20">
        <f>表2_36716262930389121314152324[[#This Row],[累计净值]]/$B$21-1</f>
        <v>-6.6433566433566349E-2</v>
      </c>
    </row>
    <row r="66" spans="1:7" x14ac:dyDescent="0.2">
      <c r="A66" s="15">
        <v>44089</v>
      </c>
      <c r="B66" s="112">
        <v>1.0760000000000001</v>
      </c>
      <c r="C66" s="108">
        <f t="shared" ref="C66:C71" si="14">IFERROR(B66-B65,0)</f>
        <v>8.0000000000000071E-3</v>
      </c>
      <c r="D66" s="109" t="str">
        <f t="shared" ref="D66:D71" si="15">IF(C66&lt;0,C66,"/")</f>
        <v>/</v>
      </c>
      <c r="E66" s="109">
        <f ca="1">IF(表2_36716262930389121314152324[[#This Row],[累计净值]]/MAX(INDIRECT("B21:B" &amp; ROW()))-1&lt;E65,表2_36716262930389121314152324[[#This Row],[累计净值]]/MAX(INDIRECT("B21:B" &amp; ROW()))-1,E65)</f>
        <v>-8.9721254355400681E-2</v>
      </c>
      <c r="F66" s="110">
        <f>表2_36716262930389121314152324[[#This Row],[累计净值]]</f>
        <v>1.0760000000000001</v>
      </c>
      <c r="G66" s="20">
        <f>表2_36716262930389121314152324[[#This Row],[累计净值]]/$B$21-1</f>
        <v>-5.944055944055926E-2</v>
      </c>
    </row>
    <row r="67" spans="1:7" x14ac:dyDescent="0.2">
      <c r="A67" s="15">
        <v>44090</v>
      </c>
      <c r="B67" s="112">
        <v>1.0720000000000001</v>
      </c>
      <c r="C67" s="108">
        <f t="shared" si="14"/>
        <v>-4.0000000000000036E-3</v>
      </c>
      <c r="D67" s="109">
        <f t="shared" si="15"/>
        <v>-4.0000000000000036E-3</v>
      </c>
      <c r="E67" s="109">
        <f ca="1">IF(表2_36716262930389121314152324[[#This Row],[累计净值]]/MAX(INDIRECT("B21:B" &amp; ROW()))-1&lt;E66,表2_36716262930389121314152324[[#This Row],[累计净值]]/MAX(INDIRECT("B21:B" &amp; ROW()))-1,E66)</f>
        <v>-8.9721254355400681E-2</v>
      </c>
      <c r="F67" s="110">
        <f>表2_36716262930389121314152324[[#This Row],[累计净值]]</f>
        <v>1.0720000000000001</v>
      </c>
      <c r="G67" s="20">
        <f>表2_36716262930389121314152324[[#This Row],[累计净值]]/$B$21-1</f>
        <v>-6.2937062937062804E-2</v>
      </c>
    </row>
    <row r="68" spans="1:7" x14ac:dyDescent="0.2">
      <c r="A68" s="15">
        <v>44091</v>
      </c>
      <c r="B68" s="112">
        <v>1.079</v>
      </c>
      <c r="C68" s="108">
        <f t="shared" si="14"/>
        <v>6.9999999999998952E-3</v>
      </c>
      <c r="D68" s="109" t="str">
        <f t="shared" si="15"/>
        <v>/</v>
      </c>
      <c r="E68" s="109">
        <f ca="1">IF(表2_36716262930389121314152324[[#This Row],[累计净值]]/MAX(INDIRECT("B21:B" &amp; ROW()))-1&lt;E67,表2_36716262930389121314152324[[#This Row],[累计净值]]/MAX(INDIRECT("B21:B" &amp; ROW()))-1,E67)</f>
        <v>-8.9721254355400681E-2</v>
      </c>
      <c r="F68" s="110">
        <f>表2_36716262930389121314152324[[#This Row],[累计净值]]</f>
        <v>1.079</v>
      </c>
      <c r="G68" s="20">
        <f>表2_36716262930389121314152324[[#This Row],[累计净值]]/$B$21-1</f>
        <v>-5.6818181818181768E-2</v>
      </c>
    </row>
    <row r="69" spans="1:7" x14ac:dyDescent="0.2">
      <c r="A69" s="15">
        <v>44092</v>
      </c>
      <c r="B69" s="112">
        <v>1.097</v>
      </c>
      <c r="C69" s="108">
        <f t="shared" si="14"/>
        <v>1.8000000000000016E-2</v>
      </c>
      <c r="D69" s="109" t="str">
        <f t="shared" si="15"/>
        <v>/</v>
      </c>
      <c r="E69" s="109">
        <f ca="1">IF(表2_36716262930389121314152324[[#This Row],[累计净值]]/MAX(INDIRECT("B21:B" &amp; ROW()))-1&lt;E68,表2_36716262930389121314152324[[#This Row],[累计净值]]/MAX(INDIRECT("B21:B" &amp; ROW()))-1,E68)</f>
        <v>-8.9721254355400681E-2</v>
      </c>
      <c r="F69" s="110">
        <f>表2_36716262930389121314152324[[#This Row],[累计净值]]</f>
        <v>1.097</v>
      </c>
      <c r="G69" s="20">
        <f>表2_36716262930389121314152324[[#This Row],[累计净值]]/$B$21-1</f>
        <v>-4.1083916083916039E-2</v>
      </c>
    </row>
    <row r="70" spans="1:7" x14ac:dyDescent="0.2">
      <c r="A70" s="15">
        <v>44095</v>
      </c>
      <c r="B70" s="112">
        <v>1.0940000000000001</v>
      </c>
      <c r="C70" s="108">
        <f t="shared" si="14"/>
        <v>-2.9999999999998916E-3</v>
      </c>
      <c r="D70" s="109">
        <f t="shared" si="15"/>
        <v>-2.9999999999998916E-3</v>
      </c>
      <c r="E70" s="109">
        <f ca="1">IF(表2_36716262930389121314152324[[#This Row],[累计净值]]/MAX(INDIRECT("B21:B" &amp; ROW()))-1&lt;E69,表2_36716262930389121314152324[[#This Row],[累计净值]]/MAX(INDIRECT("B21:B" &amp; ROW()))-1,E69)</f>
        <v>-8.9721254355400681E-2</v>
      </c>
      <c r="F70" s="110">
        <f>表2_36716262930389121314152324[[#This Row],[累计净值]]</f>
        <v>1.0940000000000001</v>
      </c>
      <c r="G70" s="20">
        <f>表2_36716262930389121314152324[[#This Row],[累计净值]]/$B$21-1</f>
        <v>-4.3706293706293531E-2</v>
      </c>
    </row>
    <row r="71" spans="1:7" x14ac:dyDescent="0.2">
      <c r="A71" s="15">
        <v>44096</v>
      </c>
      <c r="B71" s="112">
        <v>1.0780000000000001</v>
      </c>
      <c r="C71" s="108">
        <f t="shared" si="14"/>
        <v>-1.6000000000000014E-2</v>
      </c>
      <c r="D71" s="109">
        <f t="shared" si="15"/>
        <v>-1.6000000000000014E-2</v>
      </c>
      <c r="E71" s="109">
        <f ca="1">IF(表2_36716262930389121314152324[[#This Row],[累计净值]]/MAX(INDIRECT("B21:B" &amp; ROW()))-1&lt;E70,表2_36716262930389121314152324[[#This Row],[累计净值]]/MAX(INDIRECT("B21:B" &amp; ROW()))-1,E70)</f>
        <v>-8.9721254355400681E-2</v>
      </c>
      <c r="F71" s="110">
        <f>表2_36716262930389121314152324[[#This Row],[累计净值]]</f>
        <v>1.0780000000000001</v>
      </c>
      <c r="G71" s="20">
        <f>表2_36716262930389121314152324[[#This Row],[累计净值]]/$B$21-1</f>
        <v>-5.7692307692307598E-2</v>
      </c>
    </row>
    <row r="72" spans="1:7" x14ac:dyDescent="0.2">
      <c r="A72" s="15">
        <v>44097</v>
      </c>
      <c r="B72" s="112">
        <v>1.087</v>
      </c>
      <c r="C72" s="108">
        <f t="shared" ref="C72:C77" si="16">IFERROR(B72-B71,0)</f>
        <v>8.999999999999897E-3</v>
      </c>
      <c r="D72" s="109" t="str">
        <f t="shared" ref="D72:D77" si="17">IF(C72&lt;0,C72,"/")</f>
        <v>/</v>
      </c>
      <c r="E72" s="109">
        <f ca="1">IF(表2_36716262930389121314152324[[#This Row],[累计净值]]/MAX(INDIRECT("B21:B" &amp; ROW()))-1&lt;E71,表2_36716262930389121314152324[[#This Row],[累计净值]]/MAX(INDIRECT("B21:B" &amp; ROW()))-1,E71)</f>
        <v>-8.9721254355400681E-2</v>
      </c>
      <c r="F72" s="110">
        <f>表2_36716262930389121314152324[[#This Row],[累计净值]]</f>
        <v>1.087</v>
      </c>
      <c r="G72" s="20">
        <f>表2_36716262930389121314152324[[#This Row],[累计净值]]/$B$21-1</f>
        <v>-4.9825174825174789E-2</v>
      </c>
    </row>
    <row r="73" spans="1:7" x14ac:dyDescent="0.2">
      <c r="A73" s="15">
        <v>44098</v>
      </c>
      <c r="B73" s="112">
        <v>1.0609999999999999</v>
      </c>
      <c r="C73" s="108">
        <f t="shared" si="16"/>
        <v>-2.6000000000000023E-2</v>
      </c>
      <c r="D73" s="109">
        <f t="shared" si="17"/>
        <v>-2.6000000000000023E-2</v>
      </c>
      <c r="E73" s="109">
        <f ca="1">IF(表2_36716262930389121314152324[[#This Row],[累计净值]]/MAX(INDIRECT("B21:B" &amp; ROW()))-1&lt;E72,表2_36716262930389121314152324[[#This Row],[累计净值]]/MAX(INDIRECT("B21:B" &amp; ROW()))-1,E72)</f>
        <v>-8.9721254355400681E-2</v>
      </c>
      <c r="F73" s="110">
        <f>表2_36716262930389121314152324[[#This Row],[累计净值]]</f>
        <v>1.0609999999999999</v>
      </c>
      <c r="G73" s="20">
        <f>表2_36716262930389121314152324[[#This Row],[累计净值]]/$B$21-1</f>
        <v>-7.2552447552447497E-2</v>
      </c>
    </row>
    <row r="74" spans="1:7" x14ac:dyDescent="0.2">
      <c r="A74" s="15">
        <v>44099</v>
      </c>
      <c r="B74" s="112">
        <v>1.056</v>
      </c>
      <c r="C74" s="108">
        <f t="shared" si="16"/>
        <v>-4.9999999999998934E-3</v>
      </c>
      <c r="D74" s="109">
        <f t="shared" si="17"/>
        <v>-4.9999999999998934E-3</v>
      </c>
      <c r="E74" s="109">
        <f ca="1">IF(表2_36716262930389121314152324[[#This Row],[累计净值]]/MAX(INDIRECT("B21:B" &amp; ROW()))-1&lt;E73,表2_36716262930389121314152324[[#This Row],[累计净值]]/MAX(INDIRECT("B21:B" &amp; ROW()))-1,E73)</f>
        <v>-8.9721254355400681E-2</v>
      </c>
      <c r="F74" s="110">
        <f>表2_36716262930389121314152324[[#This Row],[累计净值]]</f>
        <v>1.056</v>
      </c>
      <c r="G74" s="20">
        <f>表2_36716262930389121314152324[[#This Row],[累计净值]]/$B$21-1</f>
        <v>-7.6923076923076761E-2</v>
      </c>
    </row>
    <row r="75" spans="1:7" x14ac:dyDescent="0.2">
      <c r="A75" s="15">
        <v>44102</v>
      </c>
      <c r="B75" s="112">
        <v>1.048</v>
      </c>
      <c r="C75" s="108">
        <f t="shared" si="16"/>
        <v>-8.0000000000000071E-3</v>
      </c>
      <c r="D75" s="109">
        <f t="shared" si="17"/>
        <v>-8.0000000000000071E-3</v>
      </c>
      <c r="E75" s="109">
        <f ca="1">IF(表2_36716262930389121314152324[[#This Row],[累计净值]]/MAX(INDIRECT("B21:B" &amp; ROW()))-1&lt;E74,表2_36716262930389121314152324[[#This Row],[累计净值]]/MAX(INDIRECT("B21:B" &amp; ROW()))-1,E74)</f>
        <v>-8.9721254355400681E-2</v>
      </c>
      <c r="F75" s="110">
        <f>表2_36716262930389121314152324[[#This Row],[累计净值]]</f>
        <v>1.048</v>
      </c>
      <c r="G75" s="20">
        <f>表2_36716262930389121314152324[[#This Row],[累计净值]]/$B$21-1</f>
        <v>-8.391608391608385E-2</v>
      </c>
    </row>
    <row r="76" spans="1:7" x14ac:dyDescent="0.2">
      <c r="A76" s="15">
        <v>44103</v>
      </c>
      <c r="B76" s="112">
        <v>1.0569999999999999</v>
      </c>
      <c r="C76" s="108">
        <f t="shared" si="16"/>
        <v>8.999999999999897E-3</v>
      </c>
      <c r="D76" s="109" t="str">
        <f t="shared" si="17"/>
        <v>/</v>
      </c>
      <c r="E76" s="109">
        <f ca="1">IF(表2_36716262930389121314152324[[#This Row],[累计净值]]/MAX(INDIRECT("B21:B" &amp; ROW()))-1&lt;E75,表2_36716262930389121314152324[[#This Row],[累计净值]]/MAX(INDIRECT("B21:B" &amp; ROW()))-1,E75)</f>
        <v>-8.9721254355400681E-2</v>
      </c>
      <c r="F76" s="110">
        <f>表2_36716262930389121314152324[[#This Row],[累计净值]]</f>
        <v>1.0569999999999999</v>
      </c>
      <c r="G76" s="20">
        <f>表2_36716262930389121314152324[[#This Row],[累计净值]]/$B$21-1</f>
        <v>-7.6048951048951041E-2</v>
      </c>
    </row>
    <row r="77" spans="1:7" x14ac:dyDescent="0.2">
      <c r="A77" s="15">
        <v>44104</v>
      </c>
      <c r="B77" s="112">
        <v>1.054</v>
      </c>
      <c r="C77" s="108">
        <f t="shared" si="16"/>
        <v>-2.9999999999998916E-3</v>
      </c>
      <c r="D77" s="109">
        <f t="shared" si="17"/>
        <v>-2.9999999999998916E-3</v>
      </c>
      <c r="E77" s="109">
        <f ca="1">IF(表2_36716262930389121314152324[[#This Row],[累计净值]]/MAX(INDIRECT("B21:B" &amp; ROW()))-1&lt;E76,表2_36716262930389121314152324[[#This Row],[累计净值]]/MAX(INDIRECT("B21:B" &amp; ROW()))-1,E76)</f>
        <v>-8.9721254355400681E-2</v>
      </c>
      <c r="F77" s="110">
        <f>表2_36716262930389121314152324[[#This Row],[累计净值]]</f>
        <v>1.054</v>
      </c>
      <c r="G77" s="20">
        <f>表2_36716262930389121314152324[[#This Row],[累计净值]]/$B$21-1</f>
        <v>-7.8671328671328533E-2</v>
      </c>
    </row>
    <row r="78" spans="1:7" x14ac:dyDescent="0.2">
      <c r="A78" s="15">
        <v>44113</v>
      </c>
      <c r="B78" s="112">
        <v>1.083</v>
      </c>
      <c r="C78" s="108">
        <f t="shared" ref="C78:C84" si="18">IFERROR(B78-B77,0)</f>
        <v>2.8999999999999915E-2</v>
      </c>
      <c r="D78" s="109" t="str">
        <f t="shared" ref="D78:D84" si="19">IF(C78&lt;0,C78,"/")</f>
        <v>/</v>
      </c>
      <c r="E78" s="109">
        <f ca="1">IF(表2_36716262930389121314152324[[#This Row],[累计净值]]/MAX(INDIRECT("B21:B" &amp; ROW()))-1&lt;E77,表2_36716262930389121314152324[[#This Row],[累计净值]]/MAX(INDIRECT("B21:B" &amp; ROW()))-1,E77)</f>
        <v>-8.9721254355400681E-2</v>
      </c>
      <c r="F78" s="110">
        <f>表2_36716262930389121314152324[[#This Row],[累计净值]]</f>
        <v>1.083</v>
      </c>
      <c r="G78" s="20">
        <f>表2_36716262930389121314152324[[#This Row],[累计净值]]/$B$21-1</f>
        <v>-5.3321678321678223E-2</v>
      </c>
    </row>
    <row r="79" spans="1:7" x14ac:dyDescent="0.2">
      <c r="A79" s="15">
        <v>44116</v>
      </c>
      <c r="B79" s="112">
        <v>1.1120000000000001</v>
      </c>
      <c r="C79" s="108">
        <f t="shared" si="18"/>
        <v>2.9000000000000137E-2</v>
      </c>
      <c r="D79" s="109" t="str">
        <f t="shared" si="19"/>
        <v>/</v>
      </c>
      <c r="E79" s="109">
        <f ca="1">IF(表2_36716262930389121314152324[[#This Row],[累计净值]]/MAX(INDIRECT("B21:B" &amp; ROW()))-1&lt;E78,表2_36716262930389121314152324[[#This Row],[累计净值]]/MAX(INDIRECT("B21:B" &amp; ROW()))-1,E78)</f>
        <v>-8.9721254355400681E-2</v>
      </c>
      <c r="F79" s="110">
        <f>表2_36716262930389121314152324[[#This Row],[累计净值]]</f>
        <v>1.1120000000000001</v>
      </c>
      <c r="G79" s="20">
        <f>表2_36716262930389121314152324[[#This Row],[累计净值]]/$B$21-1</f>
        <v>-2.7972027972027802E-2</v>
      </c>
    </row>
    <row r="80" spans="1:7" x14ac:dyDescent="0.2">
      <c r="A80" s="15">
        <v>44117</v>
      </c>
      <c r="B80" s="112">
        <v>1.119</v>
      </c>
      <c r="C80" s="108">
        <f t="shared" si="18"/>
        <v>6.9999999999998952E-3</v>
      </c>
      <c r="D80" s="109" t="str">
        <f t="shared" si="19"/>
        <v>/</v>
      </c>
      <c r="E80" s="109">
        <f ca="1">IF(表2_36716262930389121314152324[[#This Row],[累计净值]]/MAX(INDIRECT("B21:B" &amp; ROW()))-1&lt;E79,表2_36716262930389121314152324[[#This Row],[累计净值]]/MAX(INDIRECT("B21:B" &amp; ROW()))-1,E79)</f>
        <v>-8.9721254355400681E-2</v>
      </c>
      <c r="F80" s="110">
        <f>表2_36716262930389121314152324[[#This Row],[累计净值]]</f>
        <v>1.119</v>
      </c>
      <c r="G80" s="20">
        <f>表2_36716262930389121314152324[[#This Row],[累计净值]]/$B$21-1</f>
        <v>-2.1853146853146765E-2</v>
      </c>
    </row>
    <row r="81" spans="1:7" x14ac:dyDescent="0.2">
      <c r="A81" s="15">
        <v>44118</v>
      </c>
      <c r="B81" s="112">
        <v>1.1120000000000001</v>
      </c>
      <c r="C81" s="108">
        <f t="shared" si="18"/>
        <v>-6.9999999999998952E-3</v>
      </c>
      <c r="D81" s="109">
        <f t="shared" si="19"/>
        <v>-6.9999999999998952E-3</v>
      </c>
      <c r="E81" s="109">
        <f ca="1">IF(表2_36716262930389121314152324[[#This Row],[累计净值]]/MAX(INDIRECT("B21:B" &amp; ROW()))-1&lt;E80,表2_36716262930389121314152324[[#This Row],[累计净值]]/MAX(INDIRECT("B21:B" &amp; ROW()))-1,E80)</f>
        <v>-8.9721254355400681E-2</v>
      </c>
      <c r="F81" s="110">
        <f>表2_36716262930389121314152324[[#This Row],[累计净值]]</f>
        <v>1.1120000000000001</v>
      </c>
      <c r="G81" s="20">
        <f>表2_36716262930389121314152324[[#This Row],[累计净值]]/$B$21-1</f>
        <v>-2.7972027972027802E-2</v>
      </c>
    </row>
    <row r="82" spans="1:7" x14ac:dyDescent="0.2">
      <c r="A82" s="15">
        <v>44119</v>
      </c>
      <c r="B82" s="112">
        <v>1.103</v>
      </c>
      <c r="C82" s="108">
        <f t="shared" si="18"/>
        <v>-9.000000000000119E-3</v>
      </c>
      <c r="D82" s="109">
        <f t="shared" si="19"/>
        <v>-9.000000000000119E-3</v>
      </c>
      <c r="E82" s="109">
        <f ca="1">IF(表2_36716262930389121314152324[[#This Row],[累计净值]]/MAX(INDIRECT("B21:B" &amp; ROW()))-1&lt;E81,表2_36716262930389121314152324[[#This Row],[累计净值]]/MAX(INDIRECT("B21:B" &amp; ROW()))-1,E81)</f>
        <v>-8.9721254355400681E-2</v>
      </c>
      <c r="F82" s="110">
        <f>表2_36716262930389121314152324[[#This Row],[累计净值]]</f>
        <v>1.103</v>
      </c>
      <c r="G82" s="20">
        <f>表2_36716262930389121314152324[[#This Row],[累计净值]]/$B$21-1</f>
        <v>-3.5839160839160722E-2</v>
      </c>
    </row>
    <row r="83" spans="1:7" x14ac:dyDescent="0.2">
      <c r="A83" s="15">
        <v>44120</v>
      </c>
      <c r="B83" s="112">
        <v>1.099</v>
      </c>
      <c r="C83" s="108">
        <f t="shared" si="18"/>
        <v>-4.0000000000000036E-3</v>
      </c>
      <c r="D83" s="109">
        <f t="shared" si="19"/>
        <v>-4.0000000000000036E-3</v>
      </c>
      <c r="E83" s="109">
        <f ca="1">IF(表2_36716262930389121314152324[[#This Row],[累计净值]]/MAX(INDIRECT("B21:B" &amp; ROW()))-1&lt;E82,表2_36716262930389121314152324[[#This Row],[累计净值]]/MAX(INDIRECT("B21:B" &amp; ROW()))-1,E82)</f>
        <v>-8.9721254355400681E-2</v>
      </c>
      <c r="F83" s="110">
        <f>表2_36716262930389121314152324[[#This Row],[累计净值]]</f>
        <v>1.099</v>
      </c>
      <c r="G83" s="20">
        <f>表2_36716262930389121314152324[[#This Row],[累计净值]]/$B$21-1</f>
        <v>-3.9335664335664267E-2</v>
      </c>
    </row>
    <row r="84" spans="1:7" x14ac:dyDescent="0.2">
      <c r="A84" s="15">
        <v>44123</v>
      </c>
      <c r="B84" s="112">
        <v>1.085</v>
      </c>
      <c r="C84" s="108">
        <f t="shared" si="18"/>
        <v>-1.4000000000000012E-2</v>
      </c>
      <c r="D84" s="109">
        <f t="shared" si="19"/>
        <v>-1.4000000000000012E-2</v>
      </c>
      <c r="E84" s="109">
        <f ca="1">IF(表2_36716262930389121314152324[[#This Row],[累计净值]]/MAX(INDIRECT("B21:B" &amp; ROW()))-1&lt;E83,表2_36716262930389121314152324[[#This Row],[累计净值]]/MAX(INDIRECT("B21:B" &amp; ROW()))-1,E83)</f>
        <v>-8.9721254355400681E-2</v>
      </c>
      <c r="F84" s="110">
        <f>表2_36716262930389121314152324[[#This Row],[累计净值]]</f>
        <v>1.085</v>
      </c>
      <c r="G84" s="20">
        <f>表2_36716262930389121314152324[[#This Row],[累计净值]]/$B$21-1</f>
        <v>-5.1573426573426562E-2</v>
      </c>
    </row>
    <row r="85" spans="1:7" x14ac:dyDescent="0.2">
      <c r="A85" s="15">
        <v>44124</v>
      </c>
      <c r="B85" s="112">
        <v>1.095</v>
      </c>
      <c r="C85" s="108">
        <f t="shared" ref="C85:C90" si="20">IFERROR(B85-B84,0)</f>
        <v>1.0000000000000009E-2</v>
      </c>
      <c r="D85" s="109" t="str">
        <f t="shared" ref="D85:D90" si="21">IF(C85&lt;0,C85,"/")</f>
        <v>/</v>
      </c>
      <c r="E85" s="109">
        <f ca="1">IF(表2_36716262930389121314152324[[#This Row],[累计净值]]/MAX(INDIRECT("B21:B" &amp; ROW()))-1&lt;E84,表2_36716262930389121314152324[[#This Row],[累计净值]]/MAX(INDIRECT("B21:B" &amp; ROW()))-1,E84)</f>
        <v>-8.9721254355400681E-2</v>
      </c>
      <c r="F85" s="110">
        <f>表2_36716262930389121314152324[[#This Row],[累计净值]]</f>
        <v>1.095</v>
      </c>
      <c r="G85" s="20">
        <f>表2_36716262930389121314152324[[#This Row],[累计净值]]/$B$21-1</f>
        <v>-4.2832167832167811E-2</v>
      </c>
    </row>
    <row r="86" spans="1:7" x14ac:dyDescent="0.2">
      <c r="A86" s="15">
        <v>44125</v>
      </c>
      <c r="B86" s="112">
        <v>1.081</v>
      </c>
      <c r="C86" s="108">
        <f t="shared" si="20"/>
        <v>-1.4000000000000012E-2</v>
      </c>
      <c r="D86" s="109">
        <f t="shared" si="21"/>
        <v>-1.4000000000000012E-2</v>
      </c>
      <c r="E86" s="109">
        <f ca="1">IF(表2_36716262930389121314152324[[#This Row],[累计净值]]/MAX(INDIRECT("B21:B" &amp; ROW()))-1&lt;E85,表2_36716262930389121314152324[[#This Row],[累计净值]]/MAX(INDIRECT("B21:B" &amp; ROW()))-1,E85)</f>
        <v>-8.9721254355400681E-2</v>
      </c>
      <c r="F86" s="110">
        <f>表2_36716262930389121314152324[[#This Row],[累计净值]]</f>
        <v>1.081</v>
      </c>
      <c r="G86" s="20">
        <f>表2_36716262930389121314152324[[#This Row],[累计净值]]/$B$21-1</f>
        <v>-5.5069930069929995E-2</v>
      </c>
    </row>
    <row r="87" spans="1:7" x14ac:dyDescent="0.2">
      <c r="A87" s="15">
        <v>44126</v>
      </c>
      <c r="B87" s="112">
        <v>1.0720000000000001</v>
      </c>
      <c r="C87" s="108">
        <f t="shared" si="20"/>
        <v>-8.999999999999897E-3</v>
      </c>
      <c r="D87" s="109">
        <f t="shared" si="21"/>
        <v>-8.999999999999897E-3</v>
      </c>
      <c r="E87" s="109">
        <f ca="1">IF(表2_36716262930389121314152324[[#This Row],[累计净值]]/MAX(INDIRECT("B21:B" &amp; ROW()))-1&lt;E86,表2_36716262930389121314152324[[#This Row],[累计净值]]/MAX(INDIRECT("B21:B" &amp; ROW()))-1,E86)</f>
        <v>-8.9721254355400681E-2</v>
      </c>
      <c r="F87" s="110">
        <f>表2_36716262930389121314152324[[#This Row],[累计净值]]</f>
        <v>1.0720000000000001</v>
      </c>
      <c r="G87" s="20">
        <f>表2_36716262930389121314152324[[#This Row],[累计净值]]/$B$21-1</f>
        <v>-6.2937062937062804E-2</v>
      </c>
    </row>
    <row r="88" spans="1:7" x14ac:dyDescent="0.2">
      <c r="A88" s="15">
        <v>44127</v>
      </c>
      <c r="B88" s="112">
        <v>1.046</v>
      </c>
      <c r="C88" s="108">
        <f t="shared" si="20"/>
        <v>-2.6000000000000023E-2</v>
      </c>
      <c r="D88" s="109">
        <f t="shared" si="21"/>
        <v>-2.6000000000000023E-2</v>
      </c>
      <c r="E88" s="109">
        <f ca="1">IF(表2_36716262930389121314152324[[#This Row],[累计净值]]/MAX(INDIRECT("B21:B" &amp; ROW()))-1&lt;E87,表2_36716262930389121314152324[[#This Row],[累计净值]]/MAX(INDIRECT("B21:B" &amp; ROW()))-1,E87)</f>
        <v>-8.9721254355400681E-2</v>
      </c>
      <c r="F88" s="110">
        <f>表2_36716262930389121314152324[[#This Row],[累计净值]]</f>
        <v>1.046</v>
      </c>
      <c r="G88" s="20">
        <f>表2_36716262930389121314152324[[#This Row],[累计净值]]/$B$21-1</f>
        <v>-8.5664335664335511E-2</v>
      </c>
    </row>
    <row r="89" spans="1:7" x14ac:dyDescent="0.2">
      <c r="A89" s="15">
        <v>44130</v>
      </c>
      <c r="B89" s="112">
        <v>1.05</v>
      </c>
      <c r="C89" s="108">
        <f t="shared" si="20"/>
        <v>4.0000000000000036E-3</v>
      </c>
      <c r="D89" s="109" t="str">
        <f t="shared" si="21"/>
        <v>/</v>
      </c>
      <c r="E89" s="109">
        <f ca="1">IF(表2_36716262930389121314152324[[#This Row],[累计净值]]/MAX(INDIRECT("B21:B" &amp; ROW()))-1&lt;E88,表2_36716262930389121314152324[[#This Row],[累计净值]]/MAX(INDIRECT("B21:B" &amp; ROW()))-1,E88)</f>
        <v>-8.9721254355400681E-2</v>
      </c>
      <c r="F89" s="110">
        <f>表2_36716262930389121314152324[[#This Row],[累计净值]]</f>
        <v>1.05</v>
      </c>
      <c r="G89" s="20">
        <f>表2_36716262930389121314152324[[#This Row],[累计净值]]/$B$21-1</f>
        <v>-8.2167832167832078E-2</v>
      </c>
    </row>
    <row r="90" spans="1:7" x14ac:dyDescent="0.2">
      <c r="A90" s="15">
        <v>44131</v>
      </c>
      <c r="B90" s="112">
        <v>1.054</v>
      </c>
      <c r="C90" s="108">
        <f t="shared" si="20"/>
        <v>4.0000000000000036E-3</v>
      </c>
      <c r="D90" s="109" t="str">
        <f t="shared" si="21"/>
        <v>/</v>
      </c>
      <c r="E90" s="109">
        <f ca="1">IF(表2_36716262930389121314152324[[#This Row],[累计净值]]/MAX(INDIRECT("B21:B" &amp; ROW()))-1&lt;E89,表2_36716262930389121314152324[[#This Row],[累计净值]]/MAX(INDIRECT("B21:B" &amp; ROW()))-1,E89)</f>
        <v>-8.9721254355400681E-2</v>
      </c>
      <c r="F90" s="110">
        <f>表2_36716262930389121314152324[[#This Row],[累计净值]]</f>
        <v>1.054</v>
      </c>
      <c r="G90" s="20">
        <f>表2_36716262930389121314152324[[#This Row],[累计净值]]/$B$21-1</f>
        <v>-7.8671328671328533E-2</v>
      </c>
    </row>
    <row r="91" spans="1:7" x14ac:dyDescent="0.2">
      <c r="A91" s="15">
        <v>44132</v>
      </c>
      <c r="B91" s="112">
        <v>1.0620000000000001</v>
      </c>
      <c r="C91" s="108">
        <f t="shared" ref="C91:C96" si="22">IFERROR(B91-B90,0)</f>
        <v>8.0000000000000071E-3</v>
      </c>
      <c r="D91" s="109" t="str">
        <f t="shared" ref="D91:D96" si="23">IF(C91&lt;0,C91,"/")</f>
        <v>/</v>
      </c>
      <c r="E91" s="109">
        <f ca="1">IF(表2_36716262930389121314152324[[#This Row],[累计净值]]/MAX(INDIRECT("B21:B" &amp; ROW()))-1&lt;E90,表2_36716262930389121314152324[[#This Row],[累计净值]]/MAX(INDIRECT("B21:B" &amp; ROW()))-1,E90)</f>
        <v>-8.9721254355400681E-2</v>
      </c>
      <c r="F91" s="110">
        <f>表2_36716262930389121314152324[[#This Row],[累计净值]]</f>
        <v>1.0620000000000001</v>
      </c>
      <c r="G91" s="20">
        <f>表2_36716262930389121314152324[[#This Row],[累计净值]]/$B$21-1</f>
        <v>-7.1678321678321555E-2</v>
      </c>
    </row>
    <row r="92" spans="1:7" x14ac:dyDescent="0.2">
      <c r="A92" s="15">
        <v>44133</v>
      </c>
      <c r="B92" s="112">
        <v>1.0640000000000001</v>
      </c>
      <c r="C92" s="108">
        <f t="shared" si="22"/>
        <v>2.0000000000000018E-3</v>
      </c>
      <c r="D92" s="109" t="str">
        <f t="shared" si="23"/>
        <v>/</v>
      </c>
      <c r="E92" s="109">
        <f ca="1">IF(表2_36716262930389121314152324[[#This Row],[累计净值]]/MAX(INDIRECT("B21:B" &amp; ROW()))-1&lt;E91,表2_36716262930389121314152324[[#This Row],[累计净值]]/MAX(INDIRECT("B21:B" &amp; ROW()))-1,E91)</f>
        <v>-8.9721254355400681E-2</v>
      </c>
      <c r="F92" s="110">
        <f>表2_36716262930389121314152324[[#This Row],[累计净值]]</f>
        <v>1.0640000000000001</v>
      </c>
      <c r="G92" s="20">
        <f>表2_36716262930389121314152324[[#This Row],[累计净值]]/$B$21-1</f>
        <v>-6.9930069930069783E-2</v>
      </c>
    </row>
    <row r="93" spans="1:7" x14ac:dyDescent="0.2">
      <c r="A93" s="15">
        <v>44134</v>
      </c>
      <c r="B93" s="112">
        <v>1.042</v>
      </c>
      <c r="C93" s="108">
        <f t="shared" si="22"/>
        <v>-2.200000000000002E-2</v>
      </c>
      <c r="D93" s="109">
        <f t="shared" si="23"/>
        <v>-2.200000000000002E-2</v>
      </c>
      <c r="E93" s="109">
        <f ca="1">IF(表2_36716262930389121314152324[[#This Row],[累计净值]]/MAX(INDIRECT("B21:B" &amp; ROW()))-1&lt;E92,表2_36716262930389121314152324[[#This Row],[累计净值]]/MAX(INDIRECT("B21:B" &amp; ROW()))-1,E92)</f>
        <v>-9.2334494773519071E-2</v>
      </c>
      <c r="F93" s="110">
        <f>表2_36716262930389121314152324[[#This Row],[累计净值]]</f>
        <v>1.042</v>
      </c>
      <c r="G93" s="20">
        <f>表2_36716262930389121314152324[[#This Row],[累计净值]]/$B$21-1</f>
        <v>-8.9160839160839056E-2</v>
      </c>
    </row>
    <row r="94" spans="1:7" x14ac:dyDescent="0.2">
      <c r="A94" s="15">
        <v>44137</v>
      </c>
      <c r="B94" s="112">
        <v>1.048</v>
      </c>
      <c r="C94" s="108">
        <f t="shared" si="22"/>
        <v>6.0000000000000053E-3</v>
      </c>
      <c r="D94" s="109" t="str">
        <f t="shared" si="23"/>
        <v>/</v>
      </c>
      <c r="E94" s="109">
        <f ca="1">IF(表2_36716262930389121314152324[[#This Row],[累计净值]]/MAX(INDIRECT("B21:B" &amp; ROW()))-1&lt;E93,表2_36716262930389121314152324[[#This Row],[累计净值]]/MAX(INDIRECT("B21:B" &amp; ROW()))-1,E93)</f>
        <v>-9.2334494773519071E-2</v>
      </c>
      <c r="F94" s="110">
        <f>表2_36716262930389121314152324[[#This Row],[累计净值]]</f>
        <v>1.048</v>
      </c>
      <c r="G94" s="20">
        <f>表2_36716262930389121314152324[[#This Row],[累计净值]]/$B$21-1</f>
        <v>-8.391608391608385E-2</v>
      </c>
    </row>
    <row r="95" spans="1:7" x14ac:dyDescent="0.2">
      <c r="A95" s="15">
        <v>44138</v>
      </c>
      <c r="B95" s="112">
        <v>1.0620000000000001</v>
      </c>
      <c r="C95" s="108">
        <f t="shared" si="22"/>
        <v>1.4000000000000012E-2</v>
      </c>
      <c r="D95" s="109" t="str">
        <f t="shared" si="23"/>
        <v>/</v>
      </c>
      <c r="E95" s="109">
        <f ca="1">IF(表2_36716262930389121314152324[[#This Row],[累计净值]]/MAX(INDIRECT("B21:B" &amp; ROW()))-1&lt;E94,表2_36716262930389121314152324[[#This Row],[累计净值]]/MAX(INDIRECT("B21:B" &amp; ROW()))-1,E94)</f>
        <v>-9.2334494773519071E-2</v>
      </c>
      <c r="F95" s="110">
        <f>表2_36716262930389121314152324[[#This Row],[累计净值]]</f>
        <v>1.0620000000000001</v>
      </c>
      <c r="G95" s="20">
        <f>表2_36716262930389121314152324[[#This Row],[累计净值]]/$B$21-1</f>
        <v>-7.1678321678321555E-2</v>
      </c>
    </row>
    <row r="96" spans="1:7" x14ac:dyDescent="0.2">
      <c r="A96" s="15">
        <v>44139</v>
      </c>
      <c r="B96" s="112">
        <v>1.0629999999999999</v>
      </c>
      <c r="C96" s="108">
        <f t="shared" si="22"/>
        <v>9.9999999999988987E-4</v>
      </c>
      <c r="D96" s="109" t="str">
        <f t="shared" si="23"/>
        <v>/</v>
      </c>
      <c r="E96" s="109">
        <f ca="1">IF(表2_36716262930389121314152324[[#This Row],[累计净值]]/MAX(INDIRECT("B21:B" &amp; ROW()))-1&lt;E95,表2_36716262930389121314152324[[#This Row],[累计净值]]/MAX(INDIRECT("B21:B" &amp; ROW()))-1,E95)</f>
        <v>-9.2334494773519071E-2</v>
      </c>
      <c r="F96" s="110">
        <f>表2_36716262930389121314152324[[#This Row],[累计净值]]</f>
        <v>1.0629999999999999</v>
      </c>
      <c r="G96" s="20">
        <f>表2_36716262930389121314152324[[#This Row],[累计净值]]/$B$21-1</f>
        <v>-7.0804195804195724E-2</v>
      </c>
    </row>
    <row r="97" spans="1:7" x14ac:dyDescent="0.2">
      <c r="A97" s="15">
        <v>44140</v>
      </c>
      <c r="B97" s="112">
        <v>1.0840000000000001</v>
      </c>
      <c r="C97" s="108">
        <f t="shared" ref="C97:C102" si="24">IFERROR(B97-B96,0)</f>
        <v>2.100000000000013E-2</v>
      </c>
      <c r="D97" s="109" t="str">
        <f t="shared" ref="D97:D102" si="25">IF(C97&lt;0,C97,"/")</f>
        <v>/</v>
      </c>
      <c r="E97" s="109">
        <f ca="1">IF(表2_36716262930389121314152324[[#This Row],[累计净值]]/MAX(INDIRECT("B21:B" &amp; ROW()))-1&lt;E96,表2_36716262930389121314152324[[#This Row],[累计净值]]/MAX(INDIRECT("B21:B" &amp; ROW()))-1,E96)</f>
        <v>-9.2334494773519071E-2</v>
      </c>
      <c r="F97" s="110">
        <f>表2_36716262930389121314152324[[#This Row],[累计净值]]</f>
        <v>1.0840000000000001</v>
      </c>
      <c r="G97" s="20">
        <f>表2_36716262930389121314152324[[#This Row],[累计净值]]/$B$21-1</f>
        <v>-5.2447552447552281E-2</v>
      </c>
    </row>
    <row r="98" spans="1:7" x14ac:dyDescent="0.2">
      <c r="A98" s="15">
        <v>44141</v>
      </c>
      <c r="B98" s="112">
        <v>1.0740000000000001</v>
      </c>
      <c r="C98" s="108">
        <f t="shared" si="24"/>
        <v>-1.0000000000000009E-2</v>
      </c>
      <c r="D98" s="109">
        <f t="shared" si="25"/>
        <v>-1.0000000000000009E-2</v>
      </c>
      <c r="E98" s="109">
        <f ca="1">IF(表2_36716262930389121314152324[[#This Row],[累计净值]]/MAX(INDIRECT("B21:B" &amp; ROW()))-1&lt;E97,表2_36716262930389121314152324[[#This Row],[累计净值]]/MAX(INDIRECT("B21:B" &amp; ROW()))-1,E97)</f>
        <v>-9.2334494773519071E-2</v>
      </c>
      <c r="F98" s="110">
        <f>表2_36716262930389121314152324[[#This Row],[累计净值]]</f>
        <v>1.0740000000000001</v>
      </c>
      <c r="G98" s="20">
        <f>表2_36716262930389121314152324[[#This Row],[累计净值]]/$B$21-1</f>
        <v>-6.1188811188811032E-2</v>
      </c>
    </row>
    <row r="99" spans="1:7" x14ac:dyDescent="0.2">
      <c r="A99" s="15">
        <v>44144</v>
      </c>
      <c r="B99" s="112">
        <v>1.097</v>
      </c>
      <c r="C99" s="108">
        <f t="shared" si="24"/>
        <v>2.2999999999999909E-2</v>
      </c>
      <c r="D99" s="109" t="str">
        <f t="shared" si="25"/>
        <v>/</v>
      </c>
      <c r="E99" s="109">
        <f ca="1">IF(表2_36716262930389121314152324[[#This Row],[累计净值]]/MAX(INDIRECT("B21:B" &amp; ROW()))-1&lt;E98,表2_36716262930389121314152324[[#This Row],[累计净值]]/MAX(INDIRECT("B21:B" &amp; ROW()))-1,E98)</f>
        <v>-9.2334494773519071E-2</v>
      </c>
      <c r="F99" s="110">
        <f>表2_36716262930389121314152324[[#This Row],[累计净值]]</f>
        <v>1.097</v>
      </c>
      <c r="G99" s="20">
        <f>表2_36716262930389121314152324[[#This Row],[累计净值]]/$B$21-1</f>
        <v>-4.1083916083916039E-2</v>
      </c>
    </row>
    <row r="100" spans="1:7" x14ac:dyDescent="0.2">
      <c r="A100" s="15">
        <v>44145</v>
      </c>
      <c r="B100" s="112">
        <v>1.0860000000000001</v>
      </c>
      <c r="C100" s="108">
        <f t="shared" si="24"/>
        <v>-1.0999999999999899E-2</v>
      </c>
      <c r="D100" s="109">
        <f t="shared" si="25"/>
        <v>-1.0999999999999899E-2</v>
      </c>
      <c r="E100" s="109">
        <f ca="1">IF(表2_36716262930389121314152324[[#This Row],[累计净值]]/MAX(INDIRECT("B21:B" &amp; ROW()))-1&lt;E99,表2_36716262930389121314152324[[#This Row],[累计净值]]/MAX(INDIRECT("B21:B" &amp; ROW()))-1,E99)</f>
        <v>-9.2334494773519071E-2</v>
      </c>
      <c r="F100" s="110">
        <f>表2_36716262930389121314152324[[#This Row],[累计净值]]</f>
        <v>1.0860000000000001</v>
      </c>
      <c r="G100" s="20">
        <f>表2_36716262930389121314152324[[#This Row],[累计净值]]/$B$21-1</f>
        <v>-5.0699300699300509E-2</v>
      </c>
    </row>
    <row r="101" spans="1:7" x14ac:dyDescent="0.2">
      <c r="A101" s="15">
        <v>44146</v>
      </c>
      <c r="B101" s="112">
        <v>1.07</v>
      </c>
      <c r="C101" s="108">
        <f t="shared" si="24"/>
        <v>-1.6000000000000014E-2</v>
      </c>
      <c r="D101" s="109">
        <f t="shared" si="25"/>
        <v>-1.6000000000000014E-2</v>
      </c>
      <c r="E101" s="109">
        <f ca="1">IF(表2_36716262930389121314152324[[#This Row],[累计净值]]/MAX(INDIRECT("B21:B" &amp; ROW()))-1&lt;E100,表2_36716262930389121314152324[[#This Row],[累计净值]]/MAX(INDIRECT("B21:B" &amp; ROW()))-1,E100)</f>
        <v>-9.2334494773519071E-2</v>
      </c>
      <c r="F101" s="110">
        <f>表2_36716262930389121314152324[[#This Row],[累计净值]]</f>
        <v>1.07</v>
      </c>
      <c r="G101" s="20">
        <f>表2_36716262930389121314152324[[#This Row],[累计净值]]/$B$21-1</f>
        <v>-6.4685314685314577E-2</v>
      </c>
    </row>
    <row r="102" spans="1:7" x14ac:dyDescent="0.2">
      <c r="A102" s="15">
        <v>44147</v>
      </c>
      <c r="B102" s="112">
        <v>1.0740000000000001</v>
      </c>
      <c r="C102" s="108">
        <f t="shared" si="24"/>
        <v>4.0000000000000036E-3</v>
      </c>
      <c r="D102" s="109" t="str">
        <f t="shared" si="25"/>
        <v>/</v>
      </c>
      <c r="E102" s="109">
        <f ca="1">IF(表2_36716262930389121314152324[[#This Row],[累计净值]]/MAX(INDIRECT("B21:B" &amp; ROW()))-1&lt;E101,表2_36716262930389121314152324[[#This Row],[累计净值]]/MAX(INDIRECT("B21:B" &amp; ROW()))-1,E101)</f>
        <v>-9.2334494773519071E-2</v>
      </c>
      <c r="F102" s="110">
        <f>表2_36716262930389121314152324[[#This Row],[累计净值]]</f>
        <v>1.0740000000000001</v>
      </c>
      <c r="G102" s="20">
        <f>表2_36716262930389121314152324[[#This Row],[累计净值]]/$B$21-1</f>
        <v>-6.1188811188811032E-2</v>
      </c>
    </row>
    <row r="103" spans="1:7" x14ac:dyDescent="0.2">
      <c r="A103" s="15">
        <v>44148</v>
      </c>
      <c r="B103" s="112">
        <v>1.0720000000000001</v>
      </c>
      <c r="C103" s="108">
        <f t="shared" ref="C103:C108" si="26">IFERROR(B103-B102,0)</f>
        <v>-2.0000000000000018E-3</v>
      </c>
      <c r="D103" s="109">
        <f t="shared" ref="D103:D108" si="27">IF(C103&lt;0,C103,"/")</f>
        <v>-2.0000000000000018E-3</v>
      </c>
      <c r="E103" s="109">
        <f ca="1">IF(表2_36716262930389121314152324[[#This Row],[累计净值]]/MAX(INDIRECT("B21:B" &amp; ROW()))-1&lt;E102,表2_36716262930389121314152324[[#This Row],[累计净值]]/MAX(INDIRECT("B21:B" &amp; ROW()))-1,E102)</f>
        <v>-9.2334494773519071E-2</v>
      </c>
      <c r="F103" s="110">
        <f>表2_36716262930389121314152324[[#This Row],[累计净值]]</f>
        <v>1.0720000000000001</v>
      </c>
      <c r="G103" s="20">
        <f>表2_36716262930389121314152324[[#This Row],[累计净值]]/$B$21-1</f>
        <v>-6.2937062937062804E-2</v>
      </c>
    </row>
    <row r="104" spans="1:7" x14ac:dyDescent="0.2">
      <c r="A104" s="15">
        <v>44151</v>
      </c>
      <c r="B104" s="112">
        <v>1.079</v>
      </c>
      <c r="C104" s="108">
        <f t="shared" si="26"/>
        <v>6.9999999999998952E-3</v>
      </c>
      <c r="D104" s="109" t="str">
        <f t="shared" si="27"/>
        <v>/</v>
      </c>
      <c r="E104" s="109">
        <f ca="1">IF(表2_36716262930389121314152324[[#This Row],[累计净值]]/MAX(INDIRECT("B21:B" &amp; ROW()))-1&lt;E103,表2_36716262930389121314152324[[#This Row],[累计净值]]/MAX(INDIRECT("B21:B" &amp; ROW()))-1,E103)</f>
        <v>-9.2334494773519071E-2</v>
      </c>
      <c r="F104" s="110">
        <f>表2_36716262930389121314152324[[#This Row],[累计净值]]</f>
        <v>1.079</v>
      </c>
      <c r="G104" s="20">
        <f>表2_36716262930389121314152324[[#This Row],[累计净值]]/$B$21-1</f>
        <v>-5.6818181818181768E-2</v>
      </c>
    </row>
    <row r="105" spans="1:7" x14ac:dyDescent="0.2">
      <c r="A105" s="15">
        <v>44152</v>
      </c>
      <c r="B105" s="112">
        <v>1.071</v>
      </c>
      <c r="C105" s="108">
        <f t="shared" si="26"/>
        <v>-8.0000000000000071E-3</v>
      </c>
      <c r="D105" s="109">
        <f t="shared" si="27"/>
        <v>-8.0000000000000071E-3</v>
      </c>
      <c r="E105" s="109">
        <f ca="1">IF(表2_36716262930389121314152324[[#This Row],[累计净值]]/MAX(INDIRECT("B21:B" &amp; ROW()))-1&lt;E104,表2_36716262930389121314152324[[#This Row],[累计净值]]/MAX(INDIRECT("B21:B" &amp; ROW()))-1,E104)</f>
        <v>-9.2334494773519071E-2</v>
      </c>
      <c r="F105" s="110">
        <f>表2_36716262930389121314152324[[#This Row],[累计净值]]</f>
        <v>1.071</v>
      </c>
      <c r="G105" s="20">
        <f>表2_36716262930389121314152324[[#This Row],[累计净值]]/$B$21-1</f>
        <v>-6.3811188811188746E-2</v>
      </c>
    </row>
    <row r="106" spans="1:7" x14ac:dyDescent="0.2">
      <c r="A106" s="15">
        <v>44153</v>
      </c>
      <c r="B106" s="112">
        <v>1.0720000000000001</v>
      </c>
      <c r="C106" s="108">
        <f t="shared" si="26"/>
        <v>1.0000000000001119E-3</v>
      </c>
      <c r="D106" s="109" t="str">
        <f t="shared" si="27"/>
        <v>/</v>
      </c>
      <c r="E106" s="109">
        <f ca="1">IF(表2_36716262930389121314152324[[#This Row],[累计净值]]/MAX(INDIRECT("B21:B" &amp; ROW()))-1&lt;E105,表2_36716262930389121314152324[[#This Row],[累计净值]]/MAX(INDIRECT("B21:B" &amp; ROW()))-1,E105)</f>
        <v>-9.2334494773519071E-2</v>
      </c>
      <c r="F106" s="110">
        <f>表2_36716262930389121314152324[[#This Row],[累计净值]]</f>
        <v>1.0720000000000001</v>
      </c>
      <c r="G106" s="20">
        <f>表2_36716262930389121314152324[[#This Row],[累计净值]]/$B$21-1</f>
        <v>-6.2937062937062804E-2</v>
      </c>
    </row>
    <row r="107" spans="1:7" x14ac:dyDescent="0.2">
      <c r="A107" s="15">
        <v>44154</v>
      </c>
      <c r="B107" s="112">
        <v>1.0780000000000001</v>
      </c>
      <c r="C107" s="108">
        <f t="shared" si="26"/>
        <v>6.0000000000000053E-3</v>
      </c>
      <c r="D107" s="109" t="str">
        <f t="shared" si="27"/>
        <v>/</v>
      </c>
      <c r="E107" s="109">
        <f ca="1">IF(表2_36716262930389121314152324[[#This Row],[累计净值]]/MAX(INDIRECT("B21:B" &amp; ROW()))-1&lt;E106,表2_36716262930389121314152324[[#This Row],[累计净值]]/MAX(INDIRECT("B21:B" &amp; ROW()))-1,E106)</f>
        <v>-9.2334494773519071E-2</v>
      </c>
      <c r="F107" s="110">
        <f>表2_36716262930389121314152324[[#This Row],[累计净值]]</f>
        <v>1.0780000000000001</v>
      </c>
      <c r="G107" s="20">
        <f>表2_36716262930389121314152324[[#This Row],[累计净值]]/$B$21-1</f>
        <v>-5.7692307692307598E-2</v>
      </c>
    </row>
    <row r="108" spans="1:7" x14ac:dyDescent="0.2">
      <c r="A108" s="15">
        <v>44155</v>
      </c>
      <c r="B108" s="112">
        <v>1.0860000000000001</v>
      </c>
      <c r="C108" s="108">
        <f t="shared" si="26"/>
        <v>8.0000000000000071E-3</v>
      </c>
      <c r="D108" s="109" t="str">
        <f t="shared" si="27"/>
        <v>/</v>
      </c>
      <c r="E108" s="109">
        <f ca="1">IF(表2_36716262930389121314152324[[#This Row],[累计净值]]/MAX(INDIRECT("B21:B" &amp; ROW()))-1&lt;E107,表2_36716262930389121314152324[[#This Row],[累计净值]]/MAX(INDIRECT("B21:B" &amp; ROW()))-1,E107)</f>
        <v>-9.2334494773519071E-2</v>
      </c>
      <c r="F108" s="110">
        <f>表2_36716262930389121314152324[[#This Row],[累计净值]]</f>
        <v>1.0860000000000001</v>
      </c>
      <c r="G108" s="20">
        <f>表2_36716262930389121314152324[[#This Row],[累计净值]]/$B$21-1</f>
        <v>-5.0699300699300509E-2</v>
      </c>
    </row>
    <row r="109" spans="1:7" x14ac:dyDescent="0.2">
      <c r="A109" s="15">
        <v>44158</v>
      </c>
      <c r="B109" s="112">
        <v>1.095</v>
      </c>
      <c r="C109" s="108">
        <f t="shared" ref="C109:C114" si="28">IFERROR(B109-B108,0)</f>
        <v>8.999999999999897E-3</v>
      </c>
      <c r="D109" s="109" t="str">
        <f t="shared" ref="D109:D114" si="29">IF(C109&lt;0,C109,"/")</f>
        <v>/</v>
      </c>
      <c r="E109" s="109">
        <f ca="1">IF(表2_36716262930389121314152324[[#This Row],[累计净值]]/MAX(INDIRECT("B21:B" &amp; ROW()))-1&lt;E108,表2_36716262930389121314152324[[#This Row],[累计净值]]/MAX(INDIRECT("B21:B" &amp; ROW()))-1,E108)</f>
        <v>-9.2334494773519071E-2</v>
      </c>
      <c r="F109" s="110">
        <f>表2_36716262930389121314152324[[#This Row],[累计净值]]</f>
        <v>1.095</v>
      </c>
      <c r="G109" s="20">
        <f>表2_36716262930389121314152324[[#This Row],[累计净值]]/$B$21-1</f>
        <v>-4.2832167832167811E-2</v>
      </c>
    </row>
    <row r="110" spans="1:7" x14ac:dyDescent="0.2">
      <c r="A110" s="15">
        <v>44159</v>
      </c>
      <c r="B110" s="112">
        <v>1.095</v>
      </c>
      <c r="C110" s="108">
        <f t="shared" si="28"/>
        <v>0</v>
      </c>
      <c r="D110" s="109" t="str">
        <f t="shared" si="29"/>
        <v>/</v>
      </c>
      <c r="E110" s="109">
        <f ca="1">IF(表2_36716262930389121314152324[[#This Row],[累计净值]]/MAX(INDIRECT("B21:B" &amp; ROW()))-1&lt;E109,表2_36716262930389121314152324[[#This Row],[累计净值]]/MAX(INDIRECT("B21:B" &amp; ROW()))-1,E109)</f>
        <v>-9.2334494773519071E-2</v>
      </c>
      <c r="F110" s="110">
        <f>表2_36716262930389121314152324[[#This Row],[累计净值]]</f>
        <v>1.095</v>
      </c>
      <c r="G110" s="20">
        <f>表2_36716262930389121314152324[[#This Row],[累计净值]]/$B$21-1</f>
        <v>-4.2832167832167811E-2</v>
      </c>
    </row>
    <row r="111" spans="1:7" x14ac:dyDescent="0.2">
      <c r="A111" s="15">
        <v>44160</v>
      </c>
      <c r="B111" s="112">
        <v>1.077</v>
      </c>
      <c r="C111" s="108">
        <f t="shared" si="28"/>
        <v>-1.8000000000000016E-2</v>
      </c>
      <c r="D111" s="109">
        <f t="shared" si="29"/>
        <v>-1.8000000000000016E-2</v>
      </c>
      <c r="E111" s="109">
        <f ca="1">IF(表2_36716262930389121314152324[[#This Row],[累计净值]]/MAX(INDIRECT("B21:B" &amp; ROW()))-1&lt;E110,表2_36716262930389121314152324[[#This Row],[累计净值]]/MAX(INDIRECT("B21:B" &amp; ROW()))-1,E110)</f>
        <v>-9.2334494773519071E-2</v>
      </c>
      <c r="F111" s="110">
        <f>表2_36716262930389121314152324[[#This Row],[累计净值]]</f>
        <v>1.077</v>
      </c>
      <c r="G111" s="20">
        <f>表2_36716262930389121314152324[[#This Row],[累计净值]]/$B$21-1</f>
        <v>-5.856643356643354E-2</v>
      </c>
    </row>
    <row r="112" spans="1:7" x14ac:dyDescent="0.2">
      <c r="A112" s="15">
        <v>44161</v>
      </c>
      <c r="B112" s="112">
        <v>1.0720000000000001</v>
      </c>
      <c r="C112" s="108">
        <f t="shared" si="28"/>
        <v>-4.9999999999998934E-3</v>
      </c>
      <c r="D112" s="109">
        <f t="shared" si="29"/>
        <v>-4.9999999999998934E-3</v>
      </c>
      <c r="E112" s="109">
        <f ca="1">IF(表2_36716262930389121314152324[[#This Row],[累计净值]]/MAX(INDIRECT("B21:B" &amp; ROW()))-1&lt;E111,表2_36716262930389121314152324[[#This Row],[累计净值]]/MAX(INDIRECT("B21:B" &amp; ROW()))-1,E111)</f>
        <v>-9.2334494773519071E-2</v>
      </c>
      <c r="F112" s="110">
        <f>表2_36716262930389121314152324[[#This Row],[累计净值]]</f>
        <v>1.0720000000000001</v>
      </c>
      <c r="G112" s="20">
        <f>表2_36716262930389121314152324[[#This Row],[累计净值]]/$B$21-1</f>
        <v>-6.2937062937062804E-2</v>
      </c>
    </row>
    <row r="113" spans="1:7" x14ac:dyDescent="0.2">
      <c r="A113" s="15">
        <v>44162</v>
      </c>
      <c r="B113" s="112">
        <v>1.069</v>
      </c>
      <c r="C113" s="108">
        <f t="shared" si="28"/>
        <v>-3.0000000000001137E-3</v>
      </c>
      <c r="D113" s="109">
        <f t="shared" si="29"/>
        <v>-3.0000000000001137E-3</v>
      </c>
      <c r="E113" s="109">
        <f ca="1">IF(表2_36716262930389121314152324[[#This Row],[累计净值]]/MAX(INDIRECT("B21:B" &amp; ROW()))-1&lt;E112,表2_36716262930389121314152324[[#This Row],[累计净值]]/MAX(INDIRECT("B21:B" &amp; ROW()))-1,E112)</f>
        <v>-9.2334494773519071E-2</v>
      </c>
      <c r="F113" s="110">
        <f>表2_36716262930389121314152324[[#This Row],[累计净值]]</f>
        <v>1.069</v>
      </c>
      <c r="G113" s="20">
        <f>表2_36716262930389121314152324[[#This Row],[累计净值]]/$B$21-1</f>
        <v>-6.5559440559440518E-2</v>
      </c>
    </row>
    <row r="114" spans="1:7" x14ac:dyDescent="0.2">
      <c r="A114" s="15">
        <v>44165</v>
      </c>
      <c r="B114" s="112">
        <v>1.0620000000000001</v>
      </c>
      <c r="C114" s="108">
        <f t="shared" si="28"/>
        <v>-6.9999999999998952E-3</v>
      </c>
      <c r="D114" s="109">
        <f t="shared" si="29"/>
        <v>-6.9999999999998952E-3</v>
      </c>
      <c r="E114" s="109">
        <f ca="1">IF(表2_36716262930389121314152324[[#This Row],[累计净值]]/MAX(INDIRECT("B21:B" &amp; ROW()))-1&lt;E113,表2_36716262930389121314152324[[#This Row],[累计净值]]/MAX(INDIRECT("B21:B" &amp; ROW()))-1,E113)</f>
        <v>-9.2334494773519071E-2</v>
      </c>
      <c r="F114" s="110">
        <f>表2_36716262930389121314152324[[#This Row],[累计净值]]</f>
        <v>1.0620000000000001</v>
      </c>
      <c r="G114" s="20">
        <f>表2_36716262930389121314152324[[#This Row],[累计净值]]/$B$21-1</f>
        <v>-7.1678321678321555E-2</v>
      </c>
    </row>
    <row r="115" spans="1:7" x14ac:dyDescent="0.2">
      <c r="A115" s="15">
        <v>44166</v>
      </c>
      <c r="B115" s="112">
        <v>1.0760000000000001</v>
      </c>
      <c r="C115" s="108">
        <f t="shared" ref="C115:C120" si="30">IFERROR(B115-B114,0)</f>
        <v>1.4000000000000012E-2</v>
      </c>
      <c r="D115" s="109" t="str">
        <f t="shared" ref="D115:D120" si="31">IF(C115&lt;0,C115,"/")</f>
        <v>/</v>
      </c>
      <c r="E115" s="109">
        <f ca="1">IF(表2_36716262930389121314152324[[#This Row],[累计净值]]/MAX(INDIRECT("B21:B" &amp; ROW()))-1&lt;E114,表2_36716262930389121314152324[[#This Row],[累计净值]]/MAX(INDIRECT("B21:B" &amp; ROW()))-1,E114)</f>
        <v>-9.2334494773519071E-2</v>
      </c>
      <c r="F115" s="110">
        <f>表2_36716262930389121314152324[[#This Row],[累计净值]]</f>
        <v>1.0760000000000001</v>
      </c>
      <c r="G115" s="20">
        <f>表2_36716262930389121314152324[[#This Row],[累计净值]]/$B$21-1</f>
        <v>-5.944055944055926E-2</v>
      </c>
    </row>
    <row r="116" spans="1:7" x14ac:dyDescent="0.2">
      <c r="A116" s="15">
        <v>44167</v>
      </c>
      <c r="B116" s="112">
        <v>1.0820000000000001</v>
      </c>
      <c r="C116" s="108">
        <f t="shared" si="30"/>
        <v>6.0000000000000053E-3</v>
      </c>
      <c r="D116" s="109" t="str">
        <f t="shared" si="31"/>
        <v>/</v>
      </c>
      <c r="E116" s="109">
        <f ca="1">IF(表2_36716262930389121314152324[[#This Row],[累计净值]]/MAX(INDIRECT("B21:B" &amp; ROW()))-1&lt;E115,表2_36716262930389121314152324[[#This Row],[累计净值]]/MAX(INDIRECT("B21:B" &amp; ROW()))-1,E115)</f>
        <v>-9.2334494773519071E-2</v>
      </c>
      <c r="F116" s="110">
        <f>表2_36716262930389121314152324[[#This Row],[累计净值]]</f>
        <v>1.0820000000000001</v>
      </c>
      <c r="G116" s="20">
        <f>表2_36716262930389121314152324[[#This Row],[累计净值]]/$B$21-1</f>
        <v>-5.4195804195804054E-2</v>
      </c>
    </row>
    <row r="117" spans="1:7" x14ac:dyDescent="0.2">
      <c r="A117" s="15">
        <v>44168</v>
      </c>
      <c r="B117" s="112">
        <v>1.081</v>
      </c>
      <c r="C117" s="108">
        <f t="shared" si="30"/>
        <v>-1.0000000000001119E-3</v>
      </c>
      <c r="D117" s="109">
        <f t="shared" si="31"/>
        <v>-1.0000000000001119E-3</v>
      </c>
      <c r="E117" s="109">
        <f ca="1">IF(表2_36716262930389121314152324[[#This Row],[累计净值]]/MAX(INDIRECT("B21:B" &amp; ROW()))-1&lt;E116,表2_36716262930389121314152324[[#This Row],[累计净值]]/MAX(INDIRECT("B21:B" &amp; ROW()))-1,E116)</f>
        <v>-9.2334494773519071E-2</v>
      </c>
      <c r="F117" s="110">
        <f>表2_36716262930389121314152324[[#This Row],[累计净值]]</f>
        <v>1.081</v>
      </c>
      <c r="G117" s="20">
        <f>表2_36716262930389121314152324[[#This Row],[累计净值]]/$B$21-1</f>
        <v>-5.5069930069929995E-2</v>
      </c>
    </row>
    <row r="118" spans="1:7" x14ac:dyDescent="0.2">
      <c r="A118" s="15">
        <v>44169</v>
      </c>
      <c r="B118" s="112">
        <v>1.0920000000000001</v>
      </c>
      <c r="C118" s="108">
        <f t="shared" si="30"/>
        <v>1.1000000000000121E-2</v>
      </c>
      <c r="D118" s="109" t="str">
        <f t="shared" si="31"/>
        <v>/</v>
      </c>
      <c r="E118" s="109">
        <f ca="1">IF(表2_36716262930389121314152324[[#This Row],[累计净值]]/MAX(INDIRECT("B21:B" &amp; ROW()))-1&lt;E117,表2_36716262930389121314152324[[#This Row],[累计净值]]/MAX(INDIRECT("B21:B" &amp; ROW()))-1,E117)</f>
        <v>-9.2334494773519071E-2</v>
      </c>
      <c r="F118" s="110">
        <f>表2_36716262930389121314152324[[#This Row],[累计净值]]</f>
        <v>1.0920000000000001</v>
      </c>
      <c r="G118" s="20">
        <f>表2_36716262930389121314152324[[#This Row],[累计净值]]/$B$21-1</f>
        <v>-4.5454545454545303E-2</v>
      </c>
    </row>
    <row r="119" spans="1:7" x14ac:dyDescent="0.2">
      <c r="A119" s="15">
        <v>44172</v>
      </c>
      <c r="B119" s="112">
        <v>1.0960000000000001</v>
      </c>
      <c r="C119" s="108">
        <f t="shared" si="30"/>
        <v>4.0000000000000036E-3</v>
      </c>
      <c r="D119" s="109" t="str">
        <f t="shared" si="31"/>
        <v>/</v>
      </c>
      <c r="E119" s="109">
        <f ca="1">IF(表2_36716262930389121314152324[[#This Row],[累计净值]]/MAX(INDIRECT("B21:B" &amp; ROW()))-1&lt;E118,表2_36716262930389121314152324[[#This Row],[累计净值]]/MAX(INDIRECT("B21:B" &amp; ROW()))-1,E118)</f>
        <v>-9.2334494773519071E-2</v>
      </c>
      <c r="F119" s="110">
        <f>表2_36716262930389121314152324[[#This Row],[累计净值]]</f>
        <v>1.0960000000000001</v>
      </c>
      <c r="G119" s="20">
        <f>表2_36716262930389121314152324[[#This Row],[累计净值]]/$B$21-1</f>
        <v>-4.1958041958041759E-2</v>
      </c>
    </row>
    <row r="120" spans="1:7" x14ac:dyDescent="0.2">
      <c r="A120" s="15">
        <v>44173</v>
      </c>
      <c r="B120" s="112">
        <v>1.0900000000000001</v>
      </c>
      <c r="C120" s="108">
        <f t="shared" si="30"/>
        <v>-6.0000000000000053E-3</v>
      </c>
      <c r="D120" s="109">
        <f t="shared" si="31"/>
        <v>-6.0000000000000053E-3</v>
      </c>
      <c r="E120" s="109">
        <f ca="1">IF(表2_36716262930389121314152324[[#This Row],[累计净值]]/MAX(INDIRECT("B21:B" &amp; ROW()))-1&lt;E119,表2_36716262930389121314152324[[#This Row],[累计净值]]/MAX(INDIRECT("B21:B" &amp; ROW()))-1,E119)</f>
        <v>-9.2334494773519071E-2</v>
      </c>
      <c r="F120" s="110">
        <f>表2_36716262930389121314152324[[#This Row],[累计净值]]</f>
        <v>1.0900000000000001</v>
      </c>
      <c r="G120" s="20">
        <f>表2_36716262930389121314152324[[#This Row],[累计净值]]/$B$21-1</f>
        <v>-4.7202797202797075E-2</v>
      </c>
    </row>
    <row r="121" spans="1:7" x14ac:dyDescent="0.2">
      <c r="A121" s="15">
        <v>44174</v>
      </c>
      <c r="B121" s="112">
        <v>1.08</v>
      </c>
      <c r="C121" s="108">
        <f t="shared" ref="C121:C126" si="32">IFERROR(B121-B120,0)</f>
        <v>-1.0000000000000009E-2</v>
      </c>
      <c r="D121" s="109">
        <f t="shared" ref="D121:D126" si="33">IF(C121&lt;0,C121,"/")</f>
        <v>-1.0000000000000009E-2</v>
      </c>
      <c r="E121" s="109">
        <f ca="1">IF(表2_36716262930389121314152324[[#This Row],[累计净值]]/MAX(INDIRECT("B21:B" &amp; ROW()))-1&lt;E120,表2_36716262930389121314152324[[#This Row],[累计净值]]/MAX(INDIRECT("B21:B" &amp; ROW()))-1,E120)</f>
        <v>-9.2334494773519071E-2</v>
      </c>
      <c r="F121" s="110">
        <f>表2_36716262930389121314152324[[#This Row],[累计净值]]</f>
        <v>1.08</v>
      </c>
      <c r="G121" s="20">
        <f>表2_36716262930389121314152324[[#This Row],[累计净值]]/$B$21-1</f>
        <v>-5.5944055944055826E-2</v>
      </c>
    </row>
    <row r="122" spans="1:7" x14ac:dyDescent="0.2">
      <c r="A122" s="15">
        <v>44175</v>
      </c>
      <c r="B122" s="112">
        <v>1.091</v>
      </c>
      <c r="C122" s="108">
        <f t="shared" si="32"/>
        <v>1.0999999999999899E-2</v>
      </c>
      <c r="D122" s="109" t="str">
        <f t="shared" si="33"/>
        <v>/</v>
      </c>
      <c r="E122" s="109">
        <f ca="1">IF(表2_36716262930389121314152324[[#This Row],[累计净值]]/MAX(INDIRECT("B21:B" &amp; ROW()))-1&lt;E121,表2_36716262930389121314152324[[#This Row],[累计净值]]/MAX(INDIRECT("B21:B" &amp; ROW()))-1,E121)</f>
        <v>-9.2334494773519071E-2</v>
      </c>
      <c r="F122" s="110">
        <f>表2_36716262930389121314152324[[#This Row],[累计净值]]</f>
        <v>1.091</v>
      </c>
      <c r="G122" s="20">
        <f>表2_36716262930389121314152324[[#This Row],[累计净值]]/$B$21-1</f>
        <v>-4.6328671328671245E-2</v>
      </c>
    </row>
    <row r="123" spans="1:7" x14ac:dyDescent="0.2">
      <c r="A123" s="15">
        <v>44176</v>
      </c>
      <c r="B123" s="112">
        <v>1.0820000000000001</v>
      </c>
      <c r="C123" s="108">
        <f t="shared" si="32"/>
        <v>-8.999999999999897E-3</v>
      </c>
      <c r="D123" s="109">
        <f t="shared" si="33"/>
        <v>-8.999999999999897E-3</v>
      </c>
      <c r="E123" s="109">
        <f ca="1">IF(表2_36716262930389121314152324[[#This Row],[累计净值]]/MAX(INDIRECT("B21:B" &amp; ROW()))-1&lt;E122,表2_36716262930389121314152324[[#This Row],[累计净值]]/MAX(INDIRECT("B21:B" &amp; ROW()))-1,E122)</f>
        <v>-9.2334494773519071E-2</v>
      </c>
      <c r="F123" s="110">
        <f>表2_36716262930389121314152324[[#This Row],[累计净值]]</f>
        <v>1.0820000000000001</v>
      </c>
      <c r="G123" s="20">
        <f>表2_36716262930389121314152324[[#This Row],[累计净值]]/$B$21-1</f>
        <v>-5.4195804195804054E-2</v>
      </c>
    </row>
    <row r="124" spans="1:7" x14ac:dyDescent="0.2">
      <c r="A124" s="15">
        <v>44179</v>
      </c>
      <c r="B124" s="112">
        <v>1.0820000000000001</v>
      </c>
      <c r="C124" s="108">
        <f t="shared" si="32"/>
        <v>0</v>
      </c>
      <c r="D124" s="109" t="str">
        <f t="shared" si="33"/>
        <v>/</v>
      </c>
      <c r="E124" s="109">
        <f ca="1">IF(表2_36716262930389121314152324[[#This Row],[累计净值]]/MAX(INDIRECT("B21:B" &amp; ROW()))-1&lt;E123,表2_36716262930389121314152324[[#This Row],[累计净值]]/MAX(INDIRECT("B21:B" &amp; ROW()))-1,E123)</f>
        <v>-9.2334494773519071E-2</v>
      </c>
      <c r="F124" s="110">
        <f>表2_36716262930389121314152324[[#This Row],[累计净值]]</f>
        <v>1.0820000000000001</v>
      </c>
      <c r="G124" s="20">
        <f>表2_36716262930389121314152324[[#This Row],[累计净值]]/$B$21-1</f>
        <v>-5.4195804195804054E-2</v>
      </c>
    </row>
    <row r="125" spans="1:7" x14ac:dyDescent="0.2">
      <c r="A125" s="15">
        <v>44180</v>
      </c>
      <c r="B125" s="112">
        <v>1.079</v>
      </c>
      <c r="C125" s="108">
        <f t="shared" si="32"/>
        <v>-3.0000000000001137E-3</v>
      </c>
      <c r="D125" s="109">
        <f t="shared" si="33"/>
        <v>-3.0000000000001137E-3</v>
      </c>
      <c r="E125" s="109">
        <f ca="1">IF(表2_36716262930389121314152324[[#This Row],[累计净值]]/MAX(INDIRECT("B21:B" &amp; ROW()))-1&lt;E124,表2_36716262930389121314152324[[#This Row],[累计净值]]/MAX(INDIRECT("B21:B" &amp; ROW()))-1,E124)</f>
        <v>-9.2334494773519071E-2</v>
      </c>
      <c r="F125" s="110">
        <f>表2_36716262930389121314152324[[#This Row],[累计净值]]</f>
        <v>1.079</v>
      </c>
      <c r="G125" s="20">
        <f>表2_36716262930389121314152324[[#This Row],[累计净值]]/$B$21-1</f>
        <v>-5.6818181818181768E-2</v>
      </c>
    </row>
    <row r="126" spans="1:7" x14ac:dyDescent="0.2">
      <c r="A126" s="15">
        <v>44181</v>
      </c>
      <c r="B126" s="112">
        <v>1.0780000000000001</v>
      </c>
      <c r="C126" s="108">
        <f t="shared" si="32"/>
        <v>-9.9999999999988987E-4</v>
      </c>
      <c r="D126" s="109">
        <f t="shared" si="33"/>
        <v>-9.9999999999988987E-4</v>
      </c>
      <c r="E126" s="109">
        <f ca="1">IF(表2_36716262930389121314152324[[#This Row],[累计净值]]/MAX(INDIRECT("B21:B" &amp; ROW()))-1&lt;E125,表2_36716262930389121314152324[[#This Row],[累计净值]]/MAX(INDIRECT("B21:B" &amp; ROW()))-1,E125)</f>
        <v>-9.2334494773519071E-2</v>
      </c>
      <c r="F126" s="110">
        <f>表2_36716262930389121314152324[[#This Row],[累计净值]]</f>
        <v>1.0780000000000001</v>
      </c>
      <c r="G126" s="20">
        <f>表2_36716262930389121314152324[[#This Row],[累计净值]]/$B$21-1</f>
        <v>-5.7692307692307598E-2</v>
      </c>
    </row>
    <row r="127" spans="1:7" x14ac:dyDescent="0.2">
      <c r="A127" s="15">
        <v>44182</v>
      </c>
      <c r="B127" s="112">
        <v>1.083</v>
      </c>
      <c r="C127" s="108">
        <f>IFERROR(B127-B126,0)</f>
        <v>4.9999999999998934E-3</v>
      </c>
      <c r="D127" s="109" t="str">
        <f>IF(C127&lt;0,C127,"/")</f>
        <v>/</v>
      </c>
      <c r="E127" s="109">
        <f ca="1">IF(表2_36716262930389121314152324[[#This Row],[累计净值]]/MAX(INDIRECT("B21:B" &amp; ROW()))-1&lt;E126,表2_36716262930389121314152324[[#This Row],[累计净值]]/MAX(INDIRECT("B21:B" &amp; ROW()))-1,E126)</f>
        <v>-9.2334494773519071E-2</v>
      </c>
      <c r="F127" s="110">
        <f>表2_36716262930389121314152324[[#This Row],[累计净值]]</f>
        <v>1.083</v>
      </c>
      <c r="G127" s="20">
        <f>表2_36716262930389121314152324[[#This Row],[累计净值]]/$B$21-1</f>
        <v>-5.3321678321678223E-2</v>
      </c>
    </row>
    <row r="128" spans="1:7" x14ac:dyDescent="0.2">
      <c r="A128" s="15">
        <v>44183</v>
      </c>
      <c r="B128" s="112">
        <v>1.085</v>
      </c>
      <c r="C128" s="108">
        <f>IFERROR(B128-B127,0)</f>
        <v>2.0000000000000018E-3</v>
      </c>
      <c r="D128" s="109" t="str">
        <f>IF(C128&lt;0,C128,"/")</f>
        <v>/</v>
      </c>
      <c r="E128" s="109">
        <f ca="1">IF(表2_36716262930389121314152324[[#This Row],[累计净值]]/MAX(INDIRECT("B21:B" &amp; ROW()))-1&lt;E127,表2_36716262930389121314152324[[#This Row],[累计净值]]/MAX(INDIRECT("B21:B" &amp; ROW()))-1,E127)</f>
        <v>-9.2334494773519071E-2</v>
      </c>
      <c r="F128" s="110">
        <f>表2_36716262930389121314152324[[#This Row],[累计净值]]</f>
        <v>1.085</v>
      </c>
      <c r="G128" s="20">
        <f>表2_36716262930389121314152324[[#This Row],[累计净值]]/$B$21-1</f>
        <v>-5.1573426573426562E-2</v>
      </c>
    </row>
    <row r="129" spans="1:7" x14ac:dyDescent="0.2">
      <c r="A129" s="15">
        <v>44186</v>
      </c>
      <c r="B129" s="112">
        <v>1.1100000000000001</v>
      </c>
      <c r="C129" s="108">
        <f>IFERROR(B129-B128,0)</f>
        <v>2.5000000000000133E-2</v>
      </c>
      <c r="D129" s="109" t="str">
        <f>IF(C129&lt;0,C129,"/")</f>
        <v>/</v>
      </c>
      <c r="E129" s="109">
        <f ca="1">IF(表2_36716262930389121314152324[[#This Row],[累计净值]]/MAX(INDIRECT("B21:B" &amp; ROW()))-1&lt;E128,表2_36716262930389121314152324[[#This Row],[累计净值]]/MAX(INDIRECT("B21:B" &amp; ROW()))-1,E128)</f>
        <v>-9.2334494773519071E-2</v>
      </c>
      <c r="F129" s="110">
        <f>表2_36716262930389121314152324[[#This Row],[累计净值]]</f>
        <v>1.1100000000000001</v>
      </c>
      <c r="G129" s="20">
        <f>表2_36716262930389121314152324[[#This Row],[累计净值]]/$B$21-1</f>
        <v>-2.9720279720279574E-2</v>
      </c>
    </row>
    <row r="130" spans="1:7" x14ac:dyDescent="0.2">
      <c r="A130" s="15">
        <v>44187</v>
      </c>
      <c r="B130" s="112">
        <v>1.0900000000000001</v>
      </c>
      <c r="C130" s="108">
        <f>IFERROR(B130-B129,0)</f>
        <v>-2.0000000000000018E-2</v>
      </c>
      <c r="D130" s="109">
        <f>IF(C130&lt;0,C130,"/")</f>
        <v>-2.0000000000000018E-2</v>
      </c>
      <c r="E130" s="109">
        <f ca="1">IF(表2_36716262930389121314152324[[#This Row],[累计净值]]/MAX(INDIRECT("B21:B" &amp; ROW()))-1&lt;E129,表2_36716262930389121314152324[[#This Row],[累计净值]]/MAX(INDIRECT("B21:B" &amp; ROW()))-1,E129)</f>
        <v>-9.2334494773519071E-2</v>
      </c>
      <c r="F130" s="110">
        <f>表2_36716262930389121314152324[[#This Row],[累计净值]]</f>
        <v>1.0900000000000001</v>
      </c>
      <c r="G130" s="20">
        <f>表2_36716262930389121314152324[[#This Row],[累计净值]]/$B$21-1</f>
        <v>-4.7202797202797075E-2</v>
      </c>
    </row>
    <row r="131" spans="1:7" x14ac:dyDescent="0.2">
      <c r="A131" s="15">
        <v>44188</v>
      </c>
      <c r="B131" s="112">
        <v>1.095</v>
      </c>
      <c r="C131" s="108">
        <f>IFERROR(B131-B130,0)</f>
        <v>4.9999999999998934E-3</v>
      </c>
      <c r="D131" s="109" t="str">
        <f>IF(C131&lt;0,C131,"/")</f>
        <v>/</v>
      </c>
      <c r="E131" s="109">
        <f ca="1">IF(表2_36716262930389121314152324[[#This Row],[累计净值]]/MAX(INDIRECT("B21:B" &amp; ROW()))-1&lt;E130,表2_36716262930389121314152324[[#This Row],[累计净值]]/MAX(INDIRECT("B21:B" &amp; ROW()))-1,E130)</f>
        <v>-9.2334494773519071E-2</v>
      </c>
      <c r="F131" s="110">
        <f>表2_36716262930389121314152324[[#This Row],[累计净值]]</f>
        <v>1.095</v>
      </c>
      <c r="G131" s="20">
        <f>表2_36716262930389121314152324[[#This Row],[累计净值]]/$B$21-1</f>
        <v>-4.2832167832167811E-2</v>
      </c>
    </row>
    <row r="132" spans="1:7" x14ac:dyDescent="0.2">
      <c r="A132" s="15">
        <v>44189</v>
      </c>
      <c r="B132" s="112">
        <v>1.0820000000000001</v>
      </c>
      <c r="C132" s="108">
        <f t="shared" ref="C132:C133" si="34">IFERROR(B132-B131,0)</f>
        <v>-1.2999999999999901E-2</v>
      </c>
      <c r="D132" s="109">
        <f t="shared" ref="D132:D133" si="35">IF(C132&lt;0,C132,"/")</f>
        <v>-1.2999999999999901E-2</v>
      </c>
      <c r="E132" s="109">
        <f ca="1">IF(表2_36716262930389121314152324[[#This Row],[累计净值]]/MAX(INDIRECT("B21:B" &amp; ROW()))-1&lt;E131,表2_36716262930389121314152324[[#This Row],[累计净值]]/MAX(INDIRECT("B21:B" &amp; ROW()))-1,E131)</f>
        <v>-9.2334494773519071E-2</v>
      </c>
      <c r="F132" s="110">
        <f>表2_36716262930389121314152324[[#This Row],[累计净值]]</f>
        <v>1.0820000000000001</v>
      </c>
      <c r="G132" s="20">
        <f>表2_36716262930389121314152324[[#This Row],[累计净值]]/$B$21-1</f>
        <v>-5.4195804195804054E-2</v>
      </c>
    </row>
    <row r="133" spans="1:7" x14ac:dyDescent="0.2">
      <c r="A133" s="15">
        <v>44190</v>
      </c>
      <c r="B133" s="112">
        <v>1.093</v>
      </c>
      <c r="C133" s="108">
        <f t="shared" si="34"/>
        <v>1.0999999999999899E-2</v>
      </c>
      <c r="D133" s="109" t="str">
        <f t="shared" si="35"/>
        <v>/</v>
      </c>
      <c r="E133" s="109">
        <f ca="1">IF(表2_36716262930389121314152324[[#This Row],[累计净值]]/MAX(INDIRECT("B21:B" &amp; ROW()))-1&lt;E132,表2_36716262930389121314152324[[#This Row],[累计净值]]/MAX(INDIRECT("B21:B" &amp; ROW()))-1,E132)</f>
        <v>-9.2334494773519071E-2</v>
      </c>
      <c r="F133" s="110">
        <f>表2_36716262930389121314152324[[#This Row],[累计净值]]</f>
        <v>1.093</v>
      </c>
      <c r="G133" s="20">
        <f>表2_36716262930389121314152324[[#This Row],[累计净值]]/$B$21-1</f>
        <v>-4.4580419580419473E-2</v>
      </c>
    </row>
    <row r="134" spans="1:7" x14ac:dyDescent="0.2">
      <c r="A134" s="15">
        <v>44193</v>
      </c>
      <c r="B134" s="112">
        <v>1.0880000000000001</v>
      </c>
      <c r="C134" s="108">
        <f t="shared" ref="C134:C140" si="36">IFERROR(B134-B133,0)</f>
        <v>-4.9999999999998934E-3</v>
      </c>
      <c r="D134" s="109">
        <f t="shared" ref="D134:D140" si="37">IF(C134&lt;0,C134,"/")</f>
        <v>-4.9999999999998934E-3</v>
      </c>
      <c r="E134" s="109">
        <f ca="1">IF(表2_36716262930389121314152324[[#This Row],[累计净值]]/MAX(INDIRECT("B21:B" &amp; ROW()))-1&lt;E133,表2_36716262930389121314152324[[#This Row],[累计净值]]/MAX(INDIRECT("B21:B" &amp; ROW()))-1,E133)</f>
        <v>-9.2334494773519071E-2</v>
      </c>
      <c r="F134" s="110">
        <f>表2_36716262930389121314152324[[#This Row],[累计净值]]</f>
        <v>1.0880000000000001</v>
      </c>
      <c r="G134" s="20">
        <f>表2_36716262930389121314152324[[#This Row],[累计净值]]/$B$21-1</f>
        <v>-4.8951048951048848E-2</v>
      </c>
    </row>
    <row r="135" spans="1:7" x14ac:dyDescent="0.2">
      <c r="A135" s="15">
        <v>44194</v>
      </c>
      <c r="B135" s="112">
        <v>1.0780000000000001</v>
      </c>
      <c r="C135" s="108">
        <f t="shared" si="36"/>
        <v>-1.0000000000000009E-2</v>
      </c>
      <c r="D135" s="109">
        <f t="shared" si="37"/>
        <v>-1.0000000000000009E-2</v>
      </c>
      <c r="E135" s="109">
        <f ca="1">IF(表2_36716262930389121314152324[[#This Row],[累计净值]]/MAX(INDIRECT("B21:B" &amp; ROW()))-1&lt;E134,表2_36716262930389121314152324[[#This Row],[累计净值]]/MAX(INDIRECT("B21:B" &amp; ROW()))-1,E134)</f>
        <v>-9.2334494773519071E-2</v>
      </c>
      <c r="F135" s="110">
        <f>表2_36716262930389121314152324[[#This Row],[累计净值]]</f>
        <v>1.0780000000000001</v>
      </c>
      <c r="G135" s="20">
        <f>表2_36716262930389121314152324[[#This Row],[累计净值]]/$B$21-1</f>
        <v>-5.7692307692307598E-2</v>
      </c>
    </row>
    <row r="136" spans="1:7" x14ac:dyDescent="0.2">
      <c r="A136" s="15">
        <v>44195</v>
      </c>
      <c r="B136" s="112">
        <v>1.091</v>
      </c>
      <c r="C136" s="108">
        <f t="shared" si="36"/>
        <v>1.2999999999999901E-2</v>
      </c>
      <c r="D136" s="109" t="str">
        <f t="shared" si="37"/>
        <v>/</v>
      </c>
      <c r="E136" s="109">
        <f ca="1">IF(表2_36716262930389121314152324[[#This Row],[累计净值]]/MAX(INDIRECT("B21:B" &amp; ROW()))-1&lt;E135,表2_36716262930389121314152324[[#This Row],[累计净值]]/MAX(INDIRECT("B21:B" &amp; ROW()))-1,E135)</f>
        <v>-9.2334494773519071E-2</v>
      </c>
      <c r="F136" s="110">
        <f>表2_36716262930389121314152324[[#This Row],[累计净值]]</f>
        <v>1.091</v>
      </c>
      <c r="G136" s="20">
        <f>表2_36716262930389121314152324[[#This Row],[累计净值]]/$B$21-1</f>
        <v>-4.6328671328671245E-2</v>
      </c>
    </row>
    <row r="137" spans="1:7" x14ac:dyDescent="0.2">
      <c r="A137" s="15">
        <v>44196</v>
      </c>
      <c r="B137" s="112">
        <v>1.1120000000000001</v>
      </c>
      <c r="C137" s="108">
        <f t="shared" si="36"/>
        <v>2.100000000000013E-2</v>
      </c>
      <c r="D137" s="109" t="str">
        <f t="shared" si="37"/>
        <v>/</v>
      </c>
      <c r="E137" s="109">
        <f ca="1">IF(表2_36716262930389121314152324[[#This Row],[累计净值]]/MAX(INDIRECT("B21:B" &amp; ROW()))-1&lt;E136,表2_36716262930389121314152324[[#This Row],[累计净值]]/MAX(INDIRECT("B21:B" &amp; ROW()))-1,E136)</f>
        <v>-9.2334494773519071E-2</v>
      </c>
      <c r="F137" s="110">
        <f>表2_36716262930389121314152324[[#This Row],[累计净值]]</f>
        <v>1.1120000000000001</v>
      </c>
      <c r="G137" s="20">
        <f>表2_36716262930389121314152324[[#This Row],[累计净值]]/$B$21-1</f>
        <v>-2.7972027972027802E-2</v>
      </c>
    </row>
    <row r="138" spans="1:7" x14ac:dyDescent="0.2">
      <c r="A138" s="15">
        <v>44200</v>
      </c>
      <c r="B138" s="112">
        <v>1.135</v>
      </c>
      <c r="C138" s="108">
        <f t="shared" si="36"/>
        <v>2.2999999999999909E-2</v>
      </c>
      <c r="D138" s="109" t="str">
        <f t="shared" si="37"/>
        <v>/</v>
      </c>
      <c r="E138" s="109">
        <f ca="1">IF(表2_36716262930389121314152324[[#This Row],[累计净值]]/MAX(INDIRECT("B21:B" &amp; ROW()))-1&lt;E137,表2_36716262930389121314152324[[#This Row],[累计净值]]/MAX(INDIRECT("B21:B" &amp; ROW()))-1,E137)</f>
        <v>-9.2334494773519071E-2</v>
      </c>
      <c r="F138" s="110">
        <f>表2_36716262930389121314152324[[#This Row],[累计净值]]</f>
        <v>1.135</v>
      </c>
      <c r="G138" s="20">
        <f>表2_36716262930389121314152324[[#This Row],[累计净值]]/$B$21-1</f>
        <v>-7.8671328671328089E-3</v>
      </c>
    </row>
    <row r="139" spans="1:7" x14ac:dyDescent="0.2">
      <c r="A139" s="15">
        <v>44201</v>
      </c>
      <c r="B139" s="112">
        <v>1.145</v>
      </c>
      <c r="C139" s="108">
        <f t="shared" si="36"/>
        <v>1.0000000000000009E-2</v>
      </c>
      <c r="D139" s="109" t="str">
        <f t="shared" si="37"/>
        <v>/</v>
      </c>
      <c r="E139" s="109">
        <f ca="1">IF(表2_36716262930389121314152324[[#This Row],[累计净值]]/MAX(INDIRECT("B21:B" &amp; ROW()))-1&lt;E138,表2_36716262930389121314152324[[#This Row],[累计净值]]/MAX(INDIRECT("B21:B" &amp; ROW()))-1,E138)</f>
        <v>-9.2334494773519071E-2</v>
      </c>
      <c r="F139" s="110">
        <f>表2_36716262930389121314152324[[#This Row],[累计净值]]</f>
        <v>1.145</v>
      </c>
      <c r="G139" s="20">
        <f>表2_36716262930389121314152324[[#This Row],[累计净值]]/$B$21-1</f>
        <v>8.7412587412605269E-4</v>
      </c>
    </row>
    <row r="140" spans="1:7" x14ac:dyDescent="0.2">
      <c r="A140" s="15">
        <v>44202</v>
      </c>
      <c r="B140" s="112">
        <v>1.135</v>
      </c>
      <c r="C140" s="108">
        <f t="shared" si="36"/>
        <v>-1.0000000000000009E-2</v>
      </c>
      <c r="D140" s="109">
        <f t="shared" si="37"/>
        <v>-1.0000000000000009E-2</v>
      </c>
      <c r="E140" s="109">
        <f ca="1">IF(表2_36716262930389121314152324[[#This Row],[累计净值]]/MAX(INDIRECT("B21:B" &amp; ROW()))-1&lt;E139,表2_36716262930389121314152324[[#This Row],[累计净值]]/MAX(INDIRECT("B21:B" &amp; ROW()))-1,E139)</f>
        <v>-9.2334494773519071E-2</v>
      </c>
      <c r="F140" s="110">
        <f>表2_36716262930389121314152324[[#This Row],[累计净值]]</f>
        <v>1.135</v>
      </c>
      <c r="G140" s="20">
        <f>表2_36716262930389121314152324[[#This Row],[累计净值]]/$B$21-1</f>
        <v>-7.8671328671328089E-3</v>
      </c>
    </row>
    <row r="141" spans="1:7" x14ac:dyDescent="0.2">
      <c r="A141" s="15">
        <v>44203</v>
      </c>
      <c r="B141" s="112">
        <v>1.127</v>
      </c>
      <c r="C141" s="108">
        <f t="shared" ref="C141:C142" si="38">IFERROR(B141-B140,0)</f>
        <v>-8.0000000000000071E-3</v>
      </c>
      <c r="D141" s="109">
        <f t="shared" ref="D141:D142" si="39">IF(C141&lt;0,C141,"/")</f>
        <v>-8.0000000000000071E-3</v>
      </c>
      <c r="E141" s="109">
        <f ca="1">IF(表2_36716262930389121314152324[[#This Row],[累计净值]]/MAX(INDIRECT("B21:B" &amp; ROW()))-1&lt;E140,表2_36716262930389121314152324[[#This Row],[累计净值]]/MAX(INDIRECT("B21:B" &amp; ROW()))-1,E140)</f>
        <v>-9.2334494773519071E-2</v>
      </c>
      <c r="F141" s="110">
        <f>表2_36716262930389121314152324[[#This Row],[累计净值]]</f>
        <v>1.127</v>
      </c>
      <c r="G141" s="20">
        <f>表2_36716262930389121314152324[[#This Row],[累计净值]]/$B$21-1</f>
        <v>-1.4860139860139787E-2</v>
      </c>
    </row>
    <row r="142" spans="1:7" x14ac:dyDescent="0.2">
      <c r="A142" s="15">
        <v>44204</v>
      </c>
      <c r="B142" s="112">
        <v>1.1259999999999999</v>
      </c>
      <c r="C142" s="108">
        <f t="shared" si="38"/>
        <v>-1.0000000000001119E-3</v>
      </c>
      <c r="D142" s="109">
        <f t="shared" si="39"/>
        <v>-1.0000000000001119E-3</v>
      </c>
      <c r="E142" s="109">
        <f ca="1">IF(表2_36716262930389121314152324[[#This Row],[累计净值]]/MAX(INDIRECT("B21:B" &amp; ROW()))-1&lt;E141,表2_36716262930389121314152324[[#This Row],[累计净值]]/MAX(INDIRECT("B21:B" &amp; ROW()))-1,E141)</f>
        <v>-9.2334494773519071E-2</v>
      </c>
      <c r="F142" s="110">
        <f>表2_36716262930389121314152324[[#This Row],[累计净值]]</f>
        <v>1.1259999999999999</v>
      </c>
      <c r="G142" s="20">
        <f>表2_36716262930389121314152324[[#This Row],[累计净值]]/$B$21-1</f>
        <v>-1.5734265734265729E-2</v>
      </c>
    </row>
    <row r="143" spans="1:7" x14ac:dyDescent="0.2">
      <c r="A143" s="15">
        <v>44207</v>
      </c>
      <c r="B143" s="112">
        <v>1.123</v>
      </c>
      <c r="C143" s="108">
        <f t="shared" ref="C143:C148" si="40">IFERROR(B143-B142,0)</f>
        <v>-2.9999999999998916E-3</v>
      </c>
      <c r="D143" s="109">
        <f t="shared" ref="D143:D148" si="41">IF(C143&lt;0,C143,"/")</f>
        <v>-2.9999999999998916E-3</v>
      </c>
      <c r="E143" s="109">
        <f ca="1">IF(表2_36716262930389121314152324[[#This Row],[累计净值]]/MAX(INDIRECT("B21:B" &amp; ROW()))-1&lt;E142,表2_36716262930389121314152324[[#This Row],[累计净值]]/MAX(INDIRECT("B21:B" &amp; ROW()))-1,E142)</f>
        <v>-9.2334494773519071E-2</v>
      </c>
      <c r="F143" s="110">
        <f>表2_36716262930389121314152324[[#This Row],[累计净值]]</f>
        <v>1.123</v>
      </c>
      <c r="G143" s="20">
        <f>表2_36716262930389121314152324[[#This Row],[累计净值]]/$B$21-1</f>
        <v>-1.8356643356643332E-2</v>
      </c>
    </row>
    <row r="144" spans="1:7" x14ac:dyDescent="0.2">
      <c r="A144" s="15">
        <v>44208</v>
      </c>
      <c r="B144" s="112">
        <v>1.145</v>
      </c>
      <c r="C144" s="108">
        <f t="shared" si="40"/>
        <v>2.200000000000002E-2</v>
      </c>
      <c r="D144" s="109" t="str">
        <f t="shared" si="41"/>
        <v>/</v>
      </c>
      <c r="E144" s="109">
        <f ca="1">IF(表2_36716262930389121314152324[[#This Row],[累计净值]]/MAX(INDIRECT("B21:B" &amp; ROW()))-1&lt;E143,表2_36716262930389121314152324[[#This Row],[累计净值]]/MAX(INDIRECT("B21:B" &amp; ROW()))-1,E143)</f>
        <v>-9.2334494773519071E-2</v>
      </c>
      <c r="F144" s="110">
        <f>表2_36716262930389121314152324[[#This Row],[累计净值]]</f>
        <v>1.145</v>
      </c>
      <c r="G144" s="20">
        <f>表2_36716262930389121314152324[[#This Row],[累计净值]]/$B$21-1</f>
        <v>8.7412587412605269E-4</v>
      </c>
    </row>
    <row r="145" spans="1:7" x14ac:dyDescent="0.2">
      <c r="A145" s="15">
        <v>44209</v>
      </c>
      <c r="B145" s="112">
        <v>1.1439999999999999</v>
      </c>
      <c r="C145" s="108">
        <f t="shared" si="40"/>
        <v>-1.0000000000001119E-3</v>
      </c>
      <c r="D145" s="109">
        <f t="shared" si="41"/>
        <v>-1.0000000000001119E-3</v>
      </c>
      <c r="E145" s="109">
        <f ca="1">IF(表2_36716262930389121314152324[[#This Row],[累计净值]]/MAX(INDIRECT("B21:B" &amp; ROW()))-1&lt;E144,表2_36716262930389121314152324[[#This Row],[累计净值]]/MAX(INDIRECT("B21:B" &amp; ROW()))-1,E144)</f>
        <v>-9.2334494773519071E-2</v>
      </c>
      <c r="F145" s="110">
        <f>表2_36716262930389121314152324[[#This Row],[累计净值]]</f>
        <v>1.1439999999999999</v>
      </c>
      <c r="G145" s="20">
        <f>表2_36716262930389121314152324[[#This Row],[累计净值]]/$B$21-1</f>
        <v>0</v>
      </c>
    </row>
    <row r="146" spans="1:7" x14ac:dyDescent="0.2">
      <c r="A146" s="15">
        <v>44210</v>
      </c>
      <c r="B146" s="112">
        <v>1.125</v>
      </c>
      <c r="C146" s="108">
        <f t="shared" si="40"/>
        <v>-1.8999999999999906E-2</v>
      </c>
      <c r="D146" s="109">
        <f t="shared" si="41"/>
        <v>-1.8999999999999906E-2</v>
      </c>
      <c r="E146" s="109">
        <f ca="1">IF(表2_36716262930389121314152324[[#This Row],[累计净值]]/MAX(INDIRECT("B21:B" &amp; ROW()))-1&lt;E145,表2_36716262930389121314152324[[#This Row],[累计净值]]/MAX(INDIRECT("B21:B" &amp; ROW()))-1,E145)</f>
        <v>-9.2334494773519071E-2</v>
      </c>
      <c r="F146" s="110">
        <f>表2_36716262930389121314152324[[#This Row],[累计净值]]</f>
        <v>1.125</v>
      </c>
      <c r="G146" s="20">
        <f>表2_36716262930389121314152324[[#This Row],[累计净值]]/$B$21-1</f>
        <v>-1.6608391608391559E-2</v>
      </c>
    </row>
    <row r="147" spans="1:7" x14ac:dyDescent="0.2">
      <c r="A147" s="15">
        <v>44211</v>
      </c>
      <c r="B147" s="112">
        <v>1.1319999999999999</v>
      </c>
      <c r="C147" s="108">
        <f t="shared" si="40"/>
        <v>6.9999999999998952E-3</v>
      </c>
      <c r="D147" s="109" t="str">
        <f t="shared" si="41"/>
        <v>/</v>
      </c>
      <c r="E147" s="109">
        <f ca="1">IF(表2_36716262930389121314152324[[#This Row],[累计净值]]/MAX(INDIRECT("B21:B" &amp; ROW()))-1&lt;E146,表2_36716262930389121314152324[[#This Row],[累计净值]]/MAX(INDIRECT("B21:B" &amp; ROW()))-1,E146)</f>
        <v>-9.2334494773519071E-2</v>
      </c>
      <c r="F147" s="110">
        <f>表2_36716262930389121314152324[[#This Row],[累计净值]]</f>
        <v>1.1319999999999999</v>
      </c>
      <c r="G147" s="20">
        <f>表2_36716262930389121314152324[[#This Row],[累计净值]]/$B$21-1</f>
        <v>-1.0489510489510523E-2</v>
      </c>
    </row>
    <row r="148" spans="1:7" x14ac:dyDescent="0.2">
      <c r="A148" s="15">
        <v>44214</v>
      </c>
      <c r="B148" s="112">
        <v>1.1519999999999999</v>
      </c>
      <c r="C148" s="108">
        <f t="shared" si="40"/>
        <v>2.0000000000000018E-2</v>
      </c>
      <c r="D148" s="109" t="str">
        <f t="shared" si="41"/>
        <v>/</v>
      </c>
      <c r="E148" s="109">
        <f ca="1">IF(表2_36716262930389121314152324[[#This Row],[累计净值]]/MAX(INDIRECT("B21:B" &amp; ROW()))-1&lt;E147,表2_36716262930389121314152324[[#This Row],[累计净值]]/MAX(INDIRECT("B21:B" &amp; ROW()))-1,E147)</f>
        <v>-9.2334494773519071E-2</v>
      </c>
      <c r="F148" s="110">
        <f>表2_36716262930389121314152324[[#This Row],[累计净值]]</f>
        <v>1.1519999999999999</v>
      </c>
      <c r="G148" s="20">
        <f>表2_36716262930389121314152324[[#This Row],[累计净值]]/$B$21-1</f>
        <v>6.9930069930070893E-3</v>
      </c>
    </row>
    <row r="149" spans="1:7" x14ac:dyDescent="0.2">
      <c r="A149" s="15">
        <v>44215</v>
      </c>
      <c r="B149" s="112">
        <v>1.1319999999999999</v>
      </c>
      <c r="C149" s="108">
        <f t="shared" ref="C149:C154" si="42">IFERROR(B149-B148,0)</f>
        <v>-2.0000000000000018E-2</v>
      </c>
      <c r="D149" s="109">
        <f t="shared" ref="D149:D154" si="43">IF(C149&lt;0,C149,"/")</f>
        <v>-2.0000000000000018E-2</v>
      </c>
      <c r="E149" s="109">
        <f ca="1">IF(表2_36716262930389121314152324[[#This Row],[累计净值]]/MAX(INDIRECT("B21:B" &amp; ROW()))-1&lt;E148,表2_36716262930389121314152324[[#This Row],[累计净值]]/MAX(INDIRECT("B21:B" &amp; ROW()))-1,E148)</f>
        <v>-9.2334494773519071E-2</v>
      </c>
      <c r="F149" s="110">
        <f>表2_36716262930389121314152324[[#This Row],[累计净值]]</f>
        <v>1.1319999999999999</v>
      </c>
      <c r="G149" s="20">
        <f>表2_36716262930389121314152324[[#This Row],[累计净值]]/$B$21-1</f>
        <v>-1.0489510489510523E-2</v>
      </c>
    </row>
    <row r="150" spans="1:7" x14ac:dyDescent="0.2">
      <c r="A150" s="15">
        <v>44216</v>
      </c>
      <c r="B150" s="112">
        <v>1.143</v>
      </c>
      <c r="C150" s="108">
        <f t="shared" si="42"/>
        <v>1.1000000000000121E-2</v>
      </c>
      <c r="D150" s="109" t="str">
        <f t="shared" si="43"/>
        <v>/</v>
      </c>
      <c r="E150" s="109">
        <f ca="1">IF(表2_36716262930389121314152324[[#This Row],[累计净值]]/MAX(INDIRECT("B21:B" &amp; ROW()))-1&lt;E149,表2_36716262930389121314152324[[#This Row],[累计净值]]/MAX(INDIRECT("B21:B" &amp; ROW()))-1,E149)</f>
        <v>-9.2334494773519071E-2</v>
      </c>
      <c r="F150" s="110">
        <f>表2_36716262930389121314152324[[#This Row],[累计净值]]</f>
        <v>1.143</v>
      </c>
      <c r="G150" s="20">
        <f>表2_36716262930389121314152324[[#This Row],[累计净值]]/$B$21-1</f>
        <v>-8.7412587412583065E-4</v>
      </c>
    </row>
    <row r="151" spans="1:7" x14ac:dyDescent="0.2">
      <c r="A151" s="15">
        <v>44217</v>
      </c>
      <c r="B151" s="112">
        <v>1.157</v>
      </c>
      <c r="C151" s="108">
        <f t="shared" si="42"/>
        <v>1.4000000000000012E-2</v>
      </c>
      <c r="D151" s="109" t="str">
        <f t="shared" si="43"/>
        <v>/</v>
      </c>
      <c r="E151" s="109">
        <f ca="1">IF(表2_36716262930389121314152324[[#This Row],[累计净值]]/MAX(INDIRECT("B21:B" &amp; ROW()))-1&lt;E150,表2_36716262930389121314152324[[#This Row],[累计净值]]/MAX(INDIRECT("B21:B" &amp; ROW()))-1,E150)</f>
        <v>-9.2334494773519071E-2</v>
      </c>
      <c r="F151" s="110">
        <f>表2_36716262930389121314152324[[#This Row],[累计净值]]</f>
        <v>1.157</v>
      </c>
      <c r="G151" s="20">
        <f>表2_36716262930389121314152324[[#This Row],[累计净值]]/$B$21-1</f>
        <v>1.1363636363636465E-2</v>
      </c>
    </row>
    <row r="152" spans="1:7" x14ac:dyDescent="0.2">
      <c r="A152" s="15">
        <v>44218</v>
      </c>
      <c r="B152" s="112">
        <v>1.1659999999999999</v>
      </c>
      <c r="C152" s="108">
        <f t="shared" si="42"/>
        <v>8.999999999999897E-3</v>
      </c>
      <c r="D152" s="109" t="str">
        <f t="shared" si="43"/>
        <v>/</v>
      </c>
      <c r="E152" s="109">
        <f ca="1">IF(表2_36716262930389121314152324[[#This Row],[累计净值]]/MAX(INDIRECT("B21:B" &amp; ROW()))-1&lt;E151,表2_36716262930389121314152324[[#This Row],[累计净值]]/MAX(INDIRECT("B21:B" &amp; ROW()))-1,E151)</f>
        <v>-9.2334494773519071E-2</v>
      </c>
      <c r="F152" s="110">
        <f>表2_36716262930389121314152324[[#This Row],[累计净值]]</f>
        <v>1.1659999999999999</v>
      </c>
      <c r="G152" s="20">
        <f>表2_36716262930389121314152324[[#This Row],[累计净值]]/$B$21-1</f>
        <v>1.9230769230769162E-2</v>
      </c>
    </row>
    <row r="153" spans="1:7" x14ac:dyDescent="0.2">
      <c r="A153" s="15">
        <v>44221</v>
      </c>
      <c r="B153" s="112">
        <v>1.1719999999999999</v>
      </c>
      <c r="C153" s="108">
        <f t="shared" si="42"/>
        <v>6.0000000000000053E-3</v>
      </c>
      <c r="D153" s="109" t="str">
        <f t="shared" si="43"/>
        <v>/</v>
      </c>
      <c r="E153" s="109">
        <f ca="1">IF(表2_36716262930389121314152324[[#This Row],[累计净值]]/MAX(INDIRECT("B21:B" &amp; ROW()))-1&lt;E152,表2_36716262930389121314152324[[#This Row],[累计净值]]/MAX(INDIRECT("B21:B" &amp; ROW()))-1,E152)</f>
        <v>-9.2334494773519071E-2</v>
      </c>
      <c r="F153" s="110">
        <f>表2_36716262930389121314152324[[#This Row],[累计净值]]</f>
        <v>1.1719999999999999</v>
      </c>
      <c r="G153" s="20">
        <f>表2_36716262930389121314152324[[#This Row],[累计净值]]/$B$21-1</f>
        <v>2.447552447552459E-2</v>
      </c>
    </row>
    <row r="154" spans="1:7" x14ac:dyDescent="0.2">
      <c r="A154" s="15">
        <v>44222</v>
      </c>
      <c r="B154" s="112">
        <v>1.1639999999999999</v>
      </c>
      <c r="C154" s="108">
        <f t="shared" si="42"/>
        <v>-8.0000000000000071E-3</v>
      </c>
      <c r="D154" s="109">
        <f t="shared" si="43"/>
        <v>-8.0000000000000071E-3</v>
      </c>
      <c r="E154" s="109">
        <f ca="1">IF(表2_36716262930389121314152324[[#This Row],[累计净值]]/MAX(INDIRECT("B21:B" &amp; ROW()))-1&lt;E153,表2_36716262930389121314152324[[#This Row],[累计净值]]/MAX(INDIRECT("B21:B" &amp; ROW()))-1,E153)</f>
        <v>-9.2334494773519071E-2</v>
      </c>
      <c r="F154" s="110">
        <f>表2_36716262930389121314152324[[#This Row],[累计净值]]</f>
        <v>1.1639999999999999</v>
      </c>
      <c r="G154" s="20">
        <f>表2_36716262930389121314152324[[#This Row],[累计净值]]/$B$21-1</f>
        <v>1.7482517482517501E-2</v>
      </c>
    </row>
    <row r="155" spans="1:7" x14ac:dyDescent="0.2">
      <c r="A155" s="15">
        <v>44223</v>
      </c>
      <c r="B155" s="112">
        <v>1.17</v>
      </c>
      <c r="C155" s="108">
        <f t="shared" ref="C155:C160" si="44">IFERROR(B155-B154,0)</f>
        <v>6.0000000000000053E-3</v>
      </c>
      <c r="D155" s="109" t="str">
        <f t="shared" ref="D155:D160" si="45">IF(C155&lt;0,C155,"/")</f>
        <v>/</v>
      </c>
      <c r="E155" s="109">
        <f ca="1">IF(表2_36716262930389121314152324[[#This Row],[累计净值]]/MAX(INDIRECT("B21:B" &amp; ROW()))-1&lt;E154,表2_36716262930389121314152324[[#This Row],[累计净值]]/MAX(INDIRECT("B21:B" &amp; ROW()))-1,E154)</f>
        <v>-9.2334494773519071E-2</v>
      </c>
      <c r="F155" s="110">
        <f>表2_36716262930389121314152324[[#This Row],[累计净值]]</f>
        <v>1.17</v>
      </c>
      <c r="G155" s="20">
        <f>表2_36716262930389121314152324[[#This Row],[累计净值]]/$B$21-1</f>
        <v>2.2727272727272707E-2</v>
      </c>
    </row>
    <row r="156" spans="1:7" x14ac:dyDescent="0.2">
      <c r="A156" s="15">
        <v>44224</v>
      </c>
      <c r="B156" s="112">
        <v>1.1359999999999999</v>
      </c>
      <c r="C156" s="108">
        <f t="shared" si="44"/>
        <v>-3.400000000000003E-2</v>
      </c>
      <c r="D156" s="109">
        <f t="shared" si="45"/>
        <v>-3.400000000000003E-2</v>
      </c>
      <c r="E156" s="109">
        <f ca="1">IF(表2_36716262930389121314152324[[#This Row],[累计净值]]/MAX(INDIRECT("B21:B" &amp; ROW()))-1&lt;E155,表2_36716262930389121314152324[[#This Row],[累计净值]]/MAX(INDIRECT("B21:B" &amp; ROW()))-1,E155)</f>
        <v>-9.2334494773519071E-2</v>
      </c>
      <c r="F156" s="110">
        <f>表2_36716262930389121314152324[[#This Row],[累计净值]]</f>
        <v>1.1359999999999999</v>
      </c>
      <c r="G156" s="20">
        <f>表2_36716262930389121314152324[[#This Row],[累计净值]]/$B$21-1</f>
        <v>-6.9930069930069783E-3</v>
      </c>
    </row>
    <row r="157" spans="1:7" x14ac:dyDescent="0.2">
      <c r="A157" s="15">
        <v>44225</v>
      </c>
      <c r="B157" s="112">
        <v>1.1160000000000001</v>
      </c>
      <c r="C157" s="108">
        <f t="shared" si="44"/>
        <v>-1.9999999999999796E-2</v>
      </c>
      <c r="D157" s="109">
        <f t="shared" si="45"/>
        <v>-1.9999999999999796E-2</v>
      </c>
      <c r="E157" s="109">
        <f ca="1">IF(表2_36716262930389121314152324[[#This Row],[累计净值]]/MAX(INDIRECT("B21:B" &amp; ROW()))-1&lt;E156,表2_36716262930389121314152324[[#This Row],[累计净值]]/MAX(INDIRECT("B21:B" &amp; ROW()))-1,E156)</f>
        <v>-9.2334494773519071E-2</v>
      </c>
      <c r="F157" s="110">
        <f>表2_36716262930389121314152324[[#This Row],[累计净值]]</f>
        <v>1.1160000000000001</v>
      </c>
      <c r="G157" s="20">
        <f>表2_36716262930389121314152324[[#This Row],[累计净值]]/$B$21-1</f>
        <v>-2.4475524475524257E-2</v>
      </c>
    </row>
    <row r="158" spans="1:7" x14ac:dyDescent="0.2">
      <c r="A158" s="15">
        <v>44228</v>
      </c>
      <c r="B158" s="112">
        <v>1.133</v>
      </c>
      <c r="C158" s="108">
        <f t="shared" si="44"/>
        <v>1.6999999999999904E-2</v>
      </c>
      <c r="D158" s="109" t="str">
        <f t="shared" si="45"/>
        <v>/</v>
      </c>
      <c r="E158" s="109">
        <f ca="1">IF(表2_36716262930389121314152324[[#This Row],[累计净值]]/MAX(INDIRECT("B21:B" &amp; ROW()))-1&lt;E157,表2_36716262930389121314152324[[#This Row],[累计净值]]/MAX(INDIRECT("B21:B" &amp; ROW()))-1,E157)</f>
        <v>-9.2334494773519071E-2</v>
      </c>
      <c r="F158" s="110">
        <f>表2_36716262930389121314152324[[#This Row],[累计净值]]</f>
        <v>1.133</v>
      </c>
      <c r="G158" s="20">
        <f>表2_36716262930389121314152324[[#This Row],[累计净值]]/$B$21-1</f>
        <v>-9.6153846153845812E-3</v>
      </c>
    </row>
    <row r="159" spans="1:7" x14ac:dyDescent="0.2">
      <c r="A159" s="15">
        <v>44229</v>
      </c>
      <c r="B159" s="112">
        <v>1.141</v>
      </c>
      <c r="C159" s="108">
        <f t="shared" si="44"/>
        <v>8.0000000000000071E-3</v>
      </c>
      <c r="D159" s="109" t="str">
        <f t="shared" si="45"/>
        <v>/</v>
      </c>
      <c r="E159" s="109">
        <f ca="1">IF(表2_36716262930389121314152324[[#This Row],[累计净值]]/MAX(INDIRECT("B21:B" &amp; ROW()))-1&lt;E158,表2_36716262930389121314152324[[#This Row],[累计净值]]/MAX(INDIRECT("B21:B" &amp; ROW()))-1,E158)</f>
        <v>-9.2334494773519071E-2</v>
      </c>
      <c r="F159" s="110">
        <f>表2_36716262930389121314152324[[#This Row],[累计净值]]</f>
        <v>1.141</v>
      </c>
      <c r="G159" s="20">
        <f>表2_36716262930389121314152324[[#This Row],[累计净值]]/$B$21-1</f>
        <v>-2.6223776223774919E-3</v>
      </c>
    </row>
    <row r="160" spans="1:7" x14ac:dyDescent="0.2">
      <c r="A160" s="15">
        <v>44230</v>
      </c>
      <c r="B160" s="112">
        <v>1.129</v>
      </c>
      <c r="C160" s="108">
        <f t="shared" si="44"/>
        <v>-1.2000000000000011E-2</v>
      </c>
      <c r="D160" s="109">
        <f t="shared" si="45"/>
        <v>-1.2000000000000011E-2</v>
      </c>
      <c r="E160" s="109">
        <f ca="1">IF(表2_36716262930389121314152324[[#This Row],[累计净值]]/MAX(INDIRECT("B21:B" &amp; ROW()))-1&lt;E159,表2_36716262930389121314152324[[#This Row],[累计净值]]/MAX(INDIRECT("B21:B" &amp; ROW()))-1,E159)</f>
        <v>-9.2334494773519071E-2</v>
      </c>
      <c r="F160" s="110">
        <f>表2_36716262930389121314152324[[#This Row],[累计净值]]</f>
        <v>1.129</v>
      </c>
      <c r="G160" s="20">
        <f>表2_36716262930389121314152324[[#This Row],[累计净值]]/$B$21-1</f>
        <v>-1.3111888111888015E-2</v>
      </c>
    </row>
    <row r="161" spans="1:7" x14ac:dyDescent="0.2">
      <c r="A161" s="15">
        <v>44231</v>
      </c>
      <c r="B161" s="112">
        <v>1.1160000000000001</v>
      </c>
      <c r="C161" s="108">
        <f t="shared" ref="C161:C167" si="46">IFERROR(B161-B160,0)</f>
        <v>-1.2999999999999901E-2</v>
      </c>
      <c r="D161" s="109">
        <f t="shared" ref="D161:D167" si="47">IF(C161&lt;0,C161,"/")</f>
        <v>-1.2999999999999901E-2</v>
      </c>
      <c r="E161" s="109">
        <f ca="1">IF(表2_36716262930389121314152324[[#This Row],[累计净值]]/MAX(INDIRECT("B21:B" &amp; ROW()))-1&lt;E160,表2_36716262930389121314152324[[#This Row],[累计净值]]/MAX(INDIRECT("B21:B" &amp; ROW()))-1,E160)</f>
        <v>-9.2334494773519071E-2</v>
      </c>
      <c r="F161" s="110">
        <f>表2_36716262930389121314152324[[#This Row],[累计净值]]</f>
        <v>1.1160000000000001</v>
      </c>
      <c r="G161" s="20">
        <f>表2_36716262930389121314152324[[#This Row],[累计净值]]/$B$21-1</f>
        <v>-2.4475524475524257E-2</v>
      </c>
    </row>
    <row r="162" spans="1:7" x14ac:dyDescent="0.2">
      <c r="A162" s="15">
        <v>44232</v>
      </c>
      <c r="B162" s="112">
        <v>1.101</v>
      </c>
      <c r="C162" s="108">
        <f t="shared" si="46"/>
        <v>-1.5000000000000124E-2</v>
      </c>
      <c r="D162" s="109">
        <f t="shared" si="47"/>
        <v>-1.5000000000000124E-2</v>
      </c>
      <c r="E162" s="109">
        <f ca="1">IF(表2_36716262930389121314152324[[#This Row],[累计净值]]/MAX(INDIRECT("B21:B" &amp; ROW()))-1&lt;E161,表2_36716262930389121314152324[[#This Row],[累计净值]]/MAX(INDIRECT("B21:B" &amp; ROW()))-1,E161)</f>
        <v>-9.2334494773519071E-2</v>
      </c>
      <c r="F162" s="110">
        <f>表2_36716262930389121314152324[[#This Row],[累计净值]]</f>
        <v>1.101</v>
      </c>
      <c r="G162" s="20">
        <f>表2_36716262930389121314152324[[#This Row],[累计净值]]/$B$21-1</f>
        <v>-3.7587412587412494E-2</v>
      </c>
    </row>
    <row r="163" spans="1:7" x14ac:dyDescent="0.2">
      <c r="A163" s="15">
        <v>44235</v>
      </c>
      <c r="B163" s="112">
        <v>1.125</v>
      </c>
      <c r="C163" s="108">
        <f t="shared" si="46"/>
        <v>2.4000000000000021E-2</v>
      </c>
      <c r="D163" s="109" t="str">
        <f t="shared" si="47"/>
        <v>/</v>
      </c>
      <c r="E163" s="109">
        <f ca="1">IF(表2_36716262930389121314152324[[#This Row],[累计净值]]/MAX(INDIRECT("B21:B" &amp; ROW()))-1&lt;E162,表2_36716262930389121314152324[[#This Row],[累计净值]]/MAX(INDIRECT("B21:B" &amp; ROW()))-1,E162)</f>
        <v>-9.2334494773519071E-2</v>
      </c>
      <c r="F163" s="110">
        <f>表2_36716262930389121314152324[[#This Row],[累计净值]]</f>
        <v>1.125</v>
      </c>
      <c r="G163" s="20">
        <f>表2_36716262930389121314152324[[#This Row],[累计净值]]/$B$21-1</f>
        <v>-1.6608391608391559E-2</v>
      </c>
    </row>
    <row r="164" spans="1:7" x14ac:dyDescent="0.2">
      <c r="A164" s="15">
        <v>44236</v>
      </c>
      <c r="B164" s="112">
        <v>1.1519999999999999</v>
      </c>
      <c r="C164" s="108">
        <f t="shared" si="46"/>
        <v>2.6999999999999913E-2</v>
      </c>
      <c r="D164" s="109" t="str">
        <f t="shared" si="47"/>
        <v>/</v>
      </c>
      <c r="E164" s="109">
        <f ca="1">IF(表2_36716262930389121314152324[[#This Row],[累计净值]]/MAX(INDIRECT("B21:B" &amp; ROW()))-1&lt;E163,表2_36716262930389121314152324[[#This Row],[累计净值]]/MAX(INDIRECT("B21:B" &amp; ROW()))-1,E163)</f>
        <v>-9.2334494773519071E-2</v>
      </c>
      <c r="F164" s="110">
        <f>表2_36716262930389121314152324[[#This Row],[累计净值]]</f>
        <v>1.1519999999999999</v>
      </c>
      <c r="G164" s="20">
        <f>表2_36716262930389121314152324[[#This Row],[累计净值]]/$B$21-1</f>
        <v>6.9930069930070893E-3</v>
      </c>
    </row>
    <row r="165" spans="1:7" x14ac:dyDescent="0.2">
      <c r="A165" s="15">
        <v>44237</v>
      </c>
      <c r="B165" s="112">
        <v>1.167</v>
      </c>
      <c r="C165" s="108">
        <f t="shared" si="46"/>
        <v>1.5000000000000124E-2</v>
      </c>
      <c r="D165" s="109" t="str">
        <f t="shared" si="47"/>
        <v>/</v>
      </c>
      <c r="E165" s="109">
        <f ca="1">IF(表2_36716262930389121314152324[[#This Row],[累计净值]]/MAX(INDIRECT("B21:B" &amp; ROW()))-1&lt;E164,表2_36716262930389121314152324[[#This Row],[累计净值]]/MAX(INDIRECT("B21:B" &amp; ROW()))-1,E164)</f>
        <v>-9.2334494773519071E-2</v>
      </c>
      <c r="F165" s="110">
        <f>表2_36716262930389121314152324[[#This Row],[累计净值]]</f>
        <v>1.167</v>
      </c>
      <c r="G165" s="20">
        <f>表2_36716262930389121314152324[[#This Row],[累计净值]]/$B$21-1</f>
        <v>2.0104895104895215E-2</v>
      </c>
    </row>
    <row r="166" spans="1:7" x14ac:dyDescent="0.2">
      <c r="A166" s="15">
        <v>44245</v>
      </c>
      <c r="B166" s="112">
        <v>1.1850000000000001</v>
      </c>
      <c r="C166" s="108">
        <f t="shared" si="46"/>
        <v>1.8000000000000016E-2</v>
      </c>
      <c r="D166" s="109" t="str">
        <f t="shared" si="47"/>
        <v>/</v>
      </c>
      <c r="E166" s="109">
        <f ca="1">IF(表2_36716262930389121314152324[[#This Row],[累计净值]]/MAX(INDIRECT("B21:B" &amp; ROW()))-1&lt;E165,表2_36716262930389121314152324[[#This Row],[累计净值]]/MAX(INDIRECT("B21:B" &amp; ROW()))-1,E165)</f>
        <v>-9.2334494773519071E-2</v>
      </c>
      <c r="F166" s="110">
        <f>表2_36716262930389121314152324[[#This Row],[累计净值]]</f>
        <v>1.1850000000000001</v>
      </c>
      <c r="G166" s="20">
        <f>表2_36716262930389121314152324[[#This Row],[累计净值]]/$B$21-1</f>
        <v>3.5839160839161055E-2</v>
      </c>
    </row>
    <row r="167" spans="1:7" x14ac:dyDescent="0.2">
      <c r="A167" s="15">
        <v>44246</v>
      </c>
      <c r="B167" s="112">
        <v>1.204</v>
      </c>
      <c r="C167" s="108">
        <f t="shared" si="46"/>
        <v>1.8999999999999906E-2</v>
      </c>
      <c r="D167" s="109" t="str">
        <f t="shared" si="47"/>
        <v>/</v>
      </c>
      <c r="E167" s="109">
        <f ca="1">IF(表2_36716262930389121314152324[[#This Row],[累计净值]]/MAX(INDIRECT("B21:B" &amp; ROW()))-1&lt;E166,表2_36716262930389121314152324[[#This Row],[累计净值]]/MAX(INDIRECT("B21:B" &amp; ROW()))-1,E166)</f>
        <v>-9.2334494773519071E-2</v>
      </c>
      <c r="F167" s="110">
        <f>表2_36716262930389121314152324[[#This Row],[累计净值]]</f>
        <v>1.204</v>
      </c>
      <c r="G167" s="20">
        <f>表2_36716262930389121314152324[[#This Row],[累计净值]]/$B$21-1</f>
        <v>5.2447552447552503E-2</v>
      </c>
    </row>
    <row r="168" spans="1:7" x14ac:dyDescent="0.2">
      <c r="A168" s="15">
        <v>44249</v>
      </c>
      <c r="B168" s="112">
        <v>1.206</v>
      </c>
      <c r="C168" s="108">
        <f>IFERROR(B168-B167,0)</f>
        <v>2.0000000000000018E-3</v>
      </c>
      <c r="D168" s="109" t="str">
        <f>IF(C168&lt;0,C168,"/")</f>
        <v>/</v>
      </c>
      <c r="E168" s="109">
        <f ca="1">IF(表2_36716262930389121314152324[[#This Row],[累计净值]]/MAX(INDIRECT("B21:B" &amp; ROW()))-1&lt;E167,表2_36716262930389121314152324[[#This Row],[累计净值]]/MAX(INDIRECT("B21:B" &amp; ROW()))-1,E167)</f>
        <v>-9.2334494773519071E-2</v>
      </c>
      <c r="F168" s="110">
        <f>表2_36716262930389121314152324[[#This Row],[累计净值]]</f>
        <v>1.206</v>
      </c>
      <c r="G168" s="20">
        <f>表2_36716262930389121314152324[[#This Row],[累计净值]]/$B$21-1</f>
        <v>5.4195804195804165E-2</v>
      </c>
    </row>
    <row r="169" spans="1:7" x14ac:dyDescent="0.2">
      <c r="A169" s="15">
        <v>44250</v>
      </c>
      <c r="B169" s="112">
        <v>1.2010000000000001</v>
      </c>
      <c r="C169" s="108">
        <f t="shared" ref="C169:C172" si="48">IFERROR(B169-B168,0)</f>
        <v>-4.9999999999998934E-3</v>
      </c>
      <c r="D169" s="109">
        <f t="shared" ref="D169:D172" si="49">IF(C169&lt;0,C169,"/")</f>
        <v>-4.9999999999998934E-3</v>
      </c>
      <c r="E169" s="109">
        <f ca="1">IF(表2_36716262930389121314152324[[#This Row],[累计净值]]/MAX(INDIRECT("B21:B" &amp; ROW()))-1&lt;E168,表2_36716262930389121314152324[[#This Row],[累计净值]]/MAX(INDIRECT("B21:B" &amp; ROW()))-1,E168)</f>
        <v>-9.2334494773519071E-2</v>
      </c>
      <c r="F169" s="110">
        <f>表2_36716262930389121314152324[[#This Row],[累计净值]]</f>
        <v>1.2010000000000001</v>
      </c>
      <c r="G169" s="20">
        <f>表2_36716262930389121314152324[[#This Row],[累计净值]]/$B$21-1</f>
        <v>4.9825174825175012E-2</v>
      </c>
    </row>
    <row r="170" spans="1:7" x14ac:dyDescent="0.2">
      <c r="A170" s="15">
        <v>44251</v>
      </c>
      <c r="B170" s="112">
        <v>1.1779999999999999</v>
      </c>
      <c r="C170" s="108">
        <f t="shared" si="48"/>
        <v>-2.3000000000000131E-2</v>
      </c>
      <c r="D170" s="109">
        <f t="shared" si="49"/>
        <v>-2.3000000000000131E-2</v>
      </c>
      <c r="E170" s="109">
        <f ca="1">IF(表2_36716262930389121314152324[[#This Row],[累计净值]]/MAX(INDIRECT("B21:B" &amp; ROW()))-1&lt;E169,表2_36716262930389121314152324[[#This Row],[累计净值]]/MAX(INDIRECT("B21:B" &amp; ROW()))-1,E169)</f>
        <v>-9.2334494773519071E-2</v>
      </c>
      <c r="F170" s="110">
        <f>表2_36716262930389121314152324[[#This Row],[累计净值]]</f>
        <v>1.1779999999999999</v>
      </c>
      <c r="G170" s="20">
        <f>表2_36716262930389121314152324[[#This Row],[累计净值]]/$B$21-1</f>
        <v>2.9720279720279796E-2</v>
      </c>
    </row>
    <row r="171" spans="1:7" x14ac:dyDescent="0.2">
      <c r="A171" s="15">
        <v>44252</v>
      </c>
      <c r="B171" s="112">
        <v>1.18</v>
      </c>
      <c r="C171" s="108">
        <f t="shared" si="48"/>
        <v>2.0000000000000018E-3</v>
      </c>
      <c r="D171" s="109" t="str">
        <f t="shared" si="49"/>
        <v>/</v>
      </c>
      <c r="E171" s="109">
        <f ca="1">IF(表2_36716262930389121314152324[[#This Row],[累计净值]]/MAX(INDIRECT("B21:B" &amp; ROW()))-1&lt;E170,表2_36716262930389121314152324[[#This Row],[累计净值]]/MAX(INDIRECT("B21:B" &amp; ROW()))-1,E170)</f>
        <v>-9.2334494773519071E-2</v>
      </c>
      <c r="F171" s="110">
        <f>表2_36716262930389121314152324[[#This Row],[累计净值]]</f>
        <v>1.18</v>
      </c>
      <c r="G171" s="20">
        <f>表2_36716262930389121314152324[[#This Row],[累计净值]]/$B$21-1</f>
        <v>3.1468531468531458E-2</v>
      </c>
    </row>
    <row r="172" spans="1:7" x14ac:dyDescent="0.2">
      <c r="A172" s="15">
        <v>44253</v>
      </c>
      <c r="B172" s="112">
        <v>1.159</v>
      </c>
      <c r="C172" s="108">
        <f t="shared" si="48"/>
        <v>-2.0999999999999908E-2</v>
      </c>
      <c r="D172" s="109">
        <f t="shared" si="49"/>
        <v>-2.0999999999999908E-2</v>
      </c>
      <c r="E172" s="109">
        <f ca="1">IF(表2_36716262930389121314152324[[#This Row],[累计净值]]/MAX(INDIRECT("B21:B" &amp; ROW()))-1&lt;E171,表2_36716262930389121314152324[[#This Row],[累计净值]]/MAX(INDIRECT("B21:B" &amp; ROW()))-1,E171)</f>
        <v>-9.2334494773519071E-2</v>
      </c>
      <c r="F172" s="110">
        <f>表2_36716262930389121314152324[[#This Row],[累计净值]]</f>
        <v>1.159</v>
      </c>
      <c r="G172" s="20">
        <f>表2_36716262930389121314152324[[#This Row],[累计净值]]/$B$21-1</f>
        <v>1.3111888111888126E-2</v>
      </c>
    </row>
    <row r="173" spans="1:7" x14ac:dyDescent="0.2">
      <c r="A173" s="15">
        <v>44256</v>
      </c>
      <c r="B173" s="226">
        <v>1.1879999999999999</v>
      </c>
      <c r="C173" s="108">
        <f t="shared" ref="C173:C174" si="50">IFERROR(B173-B172,0)</f>
        <v>2.8999999999999915E-2</v>
      </c>
      <c r="D173" s="109" t="str">
        <f t="shared" ref="D173:D174" si="51">IF(C173&lt;0,C173,"/")</f>
        <v>/</v>
      </c>
      <c r="E173" s="109">
        <f ca="1">IF(表2_36716262930389121314152324[[#This Row],[累计净值]]/MAX(INDIRECT("B21:B" &amp; ROW()))-1&lt;E172,表2_36716262930389121314152324[[#This Row],[累计净值]]/MAX(INDIRECT("B21:B" &amp; ROW()))-1,E172)</f>
        <v>-9.2334494773519071E-2</v>
      </c>
      <c r="F173" s="110">
        <f>表2_36716262930389121314152324[[#This Row],[累计净值]]</f>
        <v>1.1879999999999999</v>
      </c>
      <c r="G173" s="20">
        <f>表2_36716262930389121314152324[[#This Row],[累计净值]]/$B$21-1</f>
        <v>3.8461538461538547E-2</v>
      </c>
    </row>
    <row r="174" spans="1:7" x14ac:dyDescent="0.2">
      <c r="A174" s="15">
        <v>44257</v>
      </c>
      <c r="B174" s="112">
        <v>1.173</v>
      </c>
      <c r="C174" s="108">
        <f t="shared" si="50"/>
        <v>-1.4999999999999902E-2</v>
      </c>
      <c r="D174" s="109">
        <f t="shared" si="51"/>
        <v>-1.4999999999999902E-2</v>
      </c>
      <c r="E174" s="109">
        <f ca="1">IF(表2_36716262930389121314152324[[#This Row],[累计净值]]/MAX(INDIRECT("B21:B" &amp; ROW()))-1&lt;E173,表2_36716262930389121314152324[[#This Row],[累计净值]]/MAX(INDIRECT("B21:B" &amp; ROW()))-1,E173)</f>
        <v>-9.2334494773519071E-2</v>
      </c>
      <c r="F174" s="110">
        <f>表2_36716262930389121314152324[[#This Row],[累计净值]]</f>
        <v>1.173</v>
      </c>
      <c r="G174" s="20">
        <f>表2_36716262930389121314152324[[#This Row],[累计净值]]/$B$21-1</f>
        <v>2.5349650349650421E-2</v>
      </c>
    </row>
    <row r="175" spans="1:7" x14ac:dyDescent="0.2">
      <c r="A175" s="15">
        <v>44258</v>
      </c>
      <c r="B175" s="112">
        <v>1.196</v>
      </c>
      <c r="C175" s="108">
        <f t="shared" ref="C175:C176" si="52">IFERROR(B175-B174,0)</f>
        <v>2.2999999999999909E-2</v>
      </c>
      <c r="D175" s="109" t="str">
        <f t="shared" ref="D175:D176" si="53">IF(C175&lt;0,C175,"/")</f>
        <v>/</v>
      </c>
      <c r="E175" s="109">
        <f ca="1">IF(表2_36716262930389121314152324[[#This Row],[累计净值]]/MAX(INDIRECT("B21:B" &amp; ROW()))-1&lt;E174,表2_36716262930389121314152324[[#This Row],[累计净值]]/MAX(INDIRECT("B21:B" &amp; ROW()))-1,E174)</f>
        <v>-9.2334494773519071E-2</v>
      </c>
      <c r="F175" s="110">
        <f>表2_36716262930389121314152324[[#This Row],[累计净值]]</f>
        <v>1.196</v>
      </c>
      <c r="G175" s="20">
        <f>表2_36716262930389121314152324[[#This Row],[累计净值]]/$B$21-1</f>
        <v>4.5454545454545414E-2</v>
      </c>
    </row>
    <row r="176" spans="1:7" x14ac:dyDescent="0.2">
      <c r="A176" s="15">
        <v>44259</v>
      </c>
      <c r="B176" s="112">
        <v>1.1739999999999999</v>
      </c>
      <c r="C176" s="108">
        <f t="shared" si="52"/>
        <v>-2.200000000000002E-2</v>
      </c>
      <c r="D176" s="109">
        <f t="shared" si="53"/>
        <v>-2.200000000000002E-2</v>
      </c>
      <c r="E176" s="109">
        <f ca="1">IF(表2_36716262930389121314152324[[#This Row],[累计净值]]/MAX(INDIRECT("B21:B" &amp; ROW()))-1&lt;E175,表2_36716262930389121314152324[[#This Row],[累计净值]]/MAX(INDIRECT("B21:B" &amp; ROW()))-1,E175)</f>
        <v>-9.2334494773519071E-2</v>
      </c>
      <c r="F176" s="110">
        <f>表2_36716262930389121314152324[[#This Row],[累计净值]]</f>
        <v>1.1739999999999999</v>
      </c>
      <c r="G176" s="20">
        <f>表2_36716262930389121314152324[[#This Row],[累计净值]]/$B$21-1</f>
        <v>2.6223776223776252E-2</v>
      </c>
    </row>
    <row r="177" spans="1:7" x14ac:dyDescent="0.2">
      <c r="A177" s="15">
        <v>44260</v>
      </c>
      <c r="B177" s="112">
        <v>1.167</v>
      </c>
      <c r="C177" s="108">
        <f>IFERROR(B177-B176,0)</f>
        <v>-6.9999999999998952E-3</v>
      </c>
      <c r="D177" s="109">
        <f>IF(C177&lt;0,C177,"/")</f>
        <v>-6.9999999999998952E-3</v>
      </c>
      <c r="E177" s="109">
        <f ca="1">IF(表2_36716262930389121314152324[[#This Row],[累计净值]]/MAX(INDIRECT("B21:B" &amp; ROW()))-1&lt;E176,表2_36716262930389121314152324[[#This Row],[累计净值]]/MAX(INDIRECT("B21:B" &amp; ROW()))-1,E176)</f>
        <v>-9.2334494773519071E-2</v>
      </c>
      <c r="F177" s="110">
        <f>表2_36716262930389121314152324[[#This Row],[累计净值]]</f>
        <v>1.167</v>
      </c>
      <c r="G177" s="20">
        <f>表2_36716262930389121314152324[[#This Row],[累计净值]]/$B$21-1</f>
        <v>2.0104895104895215E-2</v>
      </c>
    </row>
    <row r="178" spans="1:7" x14ac:dyDescent="0.2">
      <c r="A178" s="15">
        <v>44263</v>
      </c>
      <c r="B178" s="112">
        <v>1.153</v>
      </c>
      <c r="C178" s="108">
        <f t="shared" ref="C178:C182" si="54">IFERROR(B178-B177,0)</f>
        <v>-1.4000000000000012E-2</v>
      </c>
      <c r="D178" s="109">
        <f t="shared" ref="D178:D182" si="55">IF(C178&lt;0,C178,"/")</f>
        <v>-1.4000000000000012E-2</v>
      </c>
      <c r="E178" s="109">
        <f ca="1">IF(表2_36716262930389121314152324[[#This Row],[累计净值]]/MAX(INDIRECT("B21:B" &amp; ROW()))-1&lt;E177,表2_36716262930389121314152324[[#This Row],[累计净值]]/MAX(INDIRECT("B21:B" &amp; ROW()))-1,E177)</f>
        <v>-9.2334494773519071E-2</v>
      </c>
      <c r="F178" s="110">
        <f>表2_36716262930389121314152324[[#This Row],[累计净值]]</f>
        <v>1.153</v>
      </c>
      <c r="G178" s="20">
        <f>表2_36716262930389121314152324[[#This Row],[累计净值]]/$B$21-1</f>
        <v>7.8671328671329199E-3</v>
      </c>
    </row>
    <row r="179" spans="1:7" x14ac:dyDescent="0.2">
      <c r="A179" s="15">
        <v>44264</v>
      </c>
      <c r="B179" s="112">
        <v>1.1299999999999999</v>
      </c>
      <c r="C179" s="108">
        <f t="shared" si="54"/>
        <v>-2.3000000000000131E-2</v>
      </c>
      <c r="D179" s="109">
        <f t="shared" si="55"/>
        <v>-2.3000000000000131E-2</v>
      </c>
      <c r="E179" s="109">
        <f ca="1">IF(表2_36716262930389121314152324[[#This Row],[累计净值]]/MAX(INDIRECT("B21:B" &amp; ROW()))-1&lt;E178,表2_36716262930389121314152324[[#This Row],[累计净值]]/MAX(INDIRECT("B21:B" &amp; ROW()))-1,E178)</f>
        <v>-9.2334494773519071E-2</v>
      </c>
      <c r="F179" s="110">
        <f>表2_36716262930389121314152324[[#This Row],[累计净值]]</f>
        <v>1.1299999999999999</v>
      </c>
      <c r="G179" s="20">
        <f>表2_36716262930389121314152324[[#This Row],[累计净值]]/$B$21-1</f>
        <v>-1.2237762237762295E-2</v>
      </c>
    </row>
    <row r="180" spans="1:7" x14ac:dyDescent="0.2">
      <c r="A180" s="15">
        <v>44265</v>
      </c>
      <c r="B180" s="112">
        <v>1.1180000000000001</v>
      </c>
      <c r="C180" s="108">
        <f t="shared" si="54"/>
        <v>-1.1999999999999789E-2</v>
      </c>
      <c r="D180" s="109">
        <f t="shared" si="55"/>
        <v>-1.1999999999999789E-2</v>
      </c>
      <c r="E180" s="109">
        <f ca="1">IF(表2_36716262930389121314152324[[#This Row],[累计净值]]/MAX(INDIRECT("B21:B" &amp; ROW()))-1&lt;E179,表2_36716262930389121314152324[[#This Row],[累计净值]]/MAX(INDIRECT("B21:B" &amp; ROW()))-1,E179)</f>
        <v>-9.2334494773519071E-2</v>
      </c>
      <c r="F180" s="110">
        <f>表2_36716262930389121314152324[[#This Row],[累计净值]]</f>
        <v>1.1180000000000001</v>
      </c>
      <c r="G180" s="20">
        <f>表2_36716262930389121314152324[[#This Row],[累计净值]]/$B$21-1</f>
        <v>-2.2727272727272596E-2</v>
      </c>
    </row>
    <row r="181" spans="1:7" x14ac:dyDescent="0.2">
      <c r="A181" s="15">
        <v>44266</v>
      </c>
      <c r="B181" s="112">
        <v>1.151</v>
      </c>
      <c r="C181" s="108">
        <f t="shared" si="54"/>
        <v>3.2999999999999918E-2</v>
      </c>
      <c r="D181" s="109" t="str">
        <f t="shared" si="55"/>
        <v>/</v>
      </c>
      <c r="E181" s="109">
        <f ca="1">IF(表2_36716262930389121314152324[[#This Row],[累计净值]]/MAX(INDIRECT("B21:B" &amp; ROW()))-1&lt;E180,表2_36716262930389121314152324[[#This Row],[累计净值]]/MAX(INDIRECT("B21:B" &amp; ROW()))-1,E180)</f>
        <v>-9.2334494773519071E-2</v>
      </c>
      <c r="F181" s="110">
        <f>表2_36716262930389121314152324[[#This Row],[累计净值]]</f>
        <v>1.151</v>
      </c>
      <c r="G181" s="20">
        <f>表2_36716262930389121314152324[[#This Row],[累计净值]]/$B$21-1</f>
        <v>6.1188811188812586E-3</v>
      </c>
    </row>
    <row r="182" spans="1:7" x14ac:dyDescent="0.2">
      <c r="A182" s="15">
        <v>44267</v>
      </c>
      <c r="B182" s="112">
        <v>1.163</v>
      </c>
      <c r="C182" s="108">
        <f t="shared" si="54"/>
        <v>1.2000000000000011E-2</v>
      </c>
      <c r="D182" s="109" t="str">
        <f t="shared" si="55"/>
        <v>/</v>
      </c>
      <c r="E182" s="109">
        <f ca="1">IF(表2_36716262930389121314152324[[#This Row],[累计净值]]/MAX(INDIRECT("B21:B" &amp; ROW()))-1&lt;E181,表2_36716262930389121314152324[[#This Row],[累计净值]]/MAX(INDIRECT("B21:B" &amp; ROW()))-1,E181)</f>
        <v>-9.2334494773519071E-2</v>
      </c>
      <c r="F182" s="110">
        <f>表2_36716262930389121314152324[[#This Row],[累计净值]]</f>
        <v>1.163</v>
      </c>
      <c r="G182" s="20">
        <f>表2_36716262930389121314152324[[#This Row],[累计净值]]/$B$21-1</f>
        <v>1.6608391608391671E-2</v>
      </c>
    </row>
    <row r="183" spans="1:7" x14ac:dyDescent="0.2">
      <c r="A183" s="15">
        <v>44270</v>
      </c>
      <c r="B183" s="112">
        <v>1.1559999999999999</v>
      </c>
      <c r="C183" s="108">
        <f t="shared" ref="C183:C188" si="56">IFERROR(B183-B182,0)</f>
        <v>-7.0000000000001172E-3</v>
      </c>
      <c r="D183" s="109">
        <f t="shared" ref="D183:D188" si="57">IF(C183&lt;0,C183,"/")</f>
        <v>-7.0000000000001172E-3</v>
      </c>
      <c r="E183" s="109">
        <f ca="1">IF(表2_36716262930389121314152324[[#This Row],[累计净值]]/MAX(INDIRECT("B21:B" &amp; ROW()))-1&lt;E182,表2_36716262930389121314152324[[#This Row],[累计净值]]/MAX(INDIRECT("B21:B" &amp; ROW()))-1,E182)</f>
        <v>-9.2334494773519071E-2</v>
      </c>
      <c r="F183" s="110">
        <f>表2_36716262930389121314152324[[#This Row],[累计净值]]</f>
        <v>1.1559999999999999</v>
      </c>
      <c r="G183" s="20">
        <f>表2_36716262930389121314152324[[#This Row],[累计净值]]/$B$21-1</f>
        <v>1.0489510489510412E-2</v>
      </c>
    </row>
    <row r="184" spans="1:7" x14ac:dyDescent="0.2">
      <c r="A184" s="15">
        <v>44271</v>
      </c>
      <c r="B184" s="112">
        <v>1.1599999999999999</v>
      </c>
      <c r="C184" s="108">
        <f t="shared" si="56"/>
        <v>4.0000000000000036E-3</v>
      </c>
      <c r="D184" s="109" t="str">
        <f t="shared" si="57"/>
        <v>/</v>
      </c>
      <c r="E184" s="109">
        <f ca="1">IF(表2_36716262930389121314152324[[#This Row],[累计净值]]/MAX(INDIRECT("B21:B" &amp; ROW()))-1&lt;E183,表2_36716262930389121314152324[[#This Row],[累计净值]]/MAX(INDIRECT("B21:B" &amp; ROW()))-1,E183)</f>
        <v>-9.2334494773519071E-2</v>
      </c>
      <c r="F184" s="110">
        <f>表2_36716262930389121314152324[[#This Row],[累计净值]]</f>
        <v>1.1599999999999999</v>
      </c>
      <c r="G184" s="20">
        <f>表2_36716262930389121314152324[[#This Row],[累计净值]]/$B$21-1</f>
        <v>1.3986013986013957E-2</v>
      </c>
    </row>
    <row r="185" spans="1:7" x14ac:dyDescent="0.2">
      <c r="A185" s="15">
        <v>44272</v>
      </c>
      <c r="B185" s="112">
        <v>1.163</v>
      </c>
      <c r="C185" s="108">
        <f t="shared" si="56"/>
        <v>3.0000000000001137E-3</v>
      </c>
      <c r="D185" s="109" t="str">
        <f t="shared" si="57"/>
        <v>/</v>
      </c>
      <c r="E185" s="109">
        <f ca="1">IF(表2_36716262930389121314152324[[#This Row],[累计净值]]/MAX(INDIRECT("B21:B" &amp; ROW()))-1&lt;E184,表2_36716262930389121314152324[[#This Row],[累计净值]]/MAX(INDIRECT("B21:B" &amp; ROW()))-1,E184)</f>
        <v>-9.2334494773519071E-2</v>
      </c>
      <c r="F185" s="110">
        <f>表2_36716262930389121314152324[[#This Row],[累计净值]]</f>
        <v>1.163</v>
      </c>
      <c r="G185" s="20">
        <f>表2_36716262930389121314152324[[#This Row],[累计净值]]/$B$21-1</f>
        <v>1.6608391608391671E-2</v>
      </c>
    </row>
    <row r="186" spans="1:7" x14ac:dyDescent="0.2">
      <c r="A186" s="15">
        <v>44273</v>
      </c>
      <c r="B186" s="112">
        <v>1.169</v>
      </c>
      <c r="C186" s="108">
        <f t="shared" si="56"/>
        <v>6.0000000000000053E-3</v>
      </c>
      <c r="D186" s="109" t="str">
        <f t="shared" si="57"/>
        <v>/</v>
      </c>
      <c r="E186" s="109">
        <f ca="1">IF(表2_36716262930389121314152324[[#This Row],[累计净值]]/MAX(INDIRECT("B21:B" &amp; ROW()))-1&lt;E185,表2_36716262930389121314152324[[#This Row],[累计净值]]/MAX(INDIRECT("B21:B" &amp; ROW()))-1,E185)</f>
        <v>-9.2334494773519071E-2</v>
      </c>
      <c r="F186" s="110">
        <f>表2_36716262930389121314152324[[#This Row],[累计净值]]</f>
        <v>1.169</v>
      </c>
      <c r="G186" s="20">
        <f>表2_36716262930389121314152324[[#This Row],[累计净值]]/$B$21-1</f>
        <v>2.1853146853146876E-2</v>
      </c>
    </row>
    <row r="187" spans="1:7" x14ac:dyDescent="0.2">
      <c r="A187" s="15">
        <v>44274</v>
      </c>
      <c r="B187" s="112">
        <v>1.157</v>
      </c>
      <c r="C187" s="108">
        <f t="shared" si="56"/>
        <v>-1.2000000000000011E-2</v>
      </c>
      <c r="D187" s="109">
        <f t="shared" si="57"/>
        <v>-1.2000000000000011E-2</v>
      </c>
      <c r="E187" s="109">
        <f ca="1">IF(表2_36716262930389121314152324[[#This Row],[累计净值]]/MAX(INDIRECT("B21:B" &amp; ROW()))-1&lt;E186,表2_36716262930389121314152324[[#This Row],[累计净值]]/MAX(INDIRECT("B21:B" &amp; ROW()))-1,E186)</f>
        <v>-9.2334494773519071E-2</v>
      </c>
      <c r="F187" s="110">
        <f>表2_36716262930389121314152324[[#This Row],[累计净值]]</f>
        <v>1.157</v>
      </c>
      <c r="G187" s="20">
        <f>表2_36716262930389121314152324[[#This Row],[累计净值]]/$B$21-1</f>
        <v>1.1363636363636465E-2</v>
      </c>
    </row>
    <row r="188" spans="1:7" x14ac:dyDescent="0.2">
      <c r="A188" s="15">
        <v>44277</v>
      </c>
      <c r="B188" s="112">
        <v>1.173</v>
      </c>
      <c r="C188" s="108">
        <f t="shared" si="56"/>
        <v>1.6000000000000014E-2</v>
      </c>
      <c r="D188" s="109" t="str">
        <f t="shared" si="57"/>
        <v>/</v>
      </c>
      <c r="E188" s="109">
        <f ca="1">IF(表2_36716262930389121314152324[[#This Row],[累计净值]]/MAX(INDIRECT("B21:B" &amp; ROW()))-1&lt;E187,表2_36716262930389121314152324[[#This Row],[累计净值]]/MAX(INDIRECT("B21:B" &amp; ROW()))-1,E187)</f>
        <v>-9.2334494773519071E-2</v>
      </c>
      <c r="F188" s="110">
        <f>表2_36716262930389121314152324[[#This Row],[累计净值]]</f>
        <v>1.173</v>
      </c>
      <c r="G188" s="20">
        <f>表2_36716262930389121314152324[[#This Row],[累计净值]]/$B$21-1</f>
        <v>2.5349650349650421E-2</v>
      </c>
    </row>
    <row r="189" spans="1:7" x14ac:dyDescent="0.2">
      <c r="A189" s="15">
        <v>44278</v>
      </c>
      <c r="B189" s="112">
        <v>1.145</v>
      </c>
      <c r="C189" s="108">
        <f>IFERROR(B189-B188,0)</f>
        <v>-2.8000000000000025E-2</v>
      </c>
      <c r="D189" s="109">
        <f>IF(C189&lt;0,C189,"/")</f>
        <v>-2.8000000000000025E-2</v>
      </c>
      <c r="E189" s="109">
        <f ca="1">IF(表2_36716262930389121314152324[[#This Row],[累计净值]]/MAX(INDIRECT("B21:B" &amp; ROW()))-1&lt;E188,表2_36716262930389121314152324[[#This Row],[累计净值]]/MAX(INDIRECT("B21:B" &amp; ROW()))-1,E188)</f>
        <v>-9.2334494773519071E-2</v>
      </c>
      <c r="F189" s="110">
        <f>表2_36716262930389121314152324[[#This Row],[累计净值]]</f>
        <v>1.145</v>
      </c>
      <c r="G189" s="20">
        <f>表2_36716262930389121314152324[[#This Row],[累计净值]]/$B$21-1</f>
        <v>8.7412587412605269E-4</v>
      </c>
    </row>
    <row r="190" spans="1:7" x14ac:dyDescent="0.2">
      <c r="A190" s="15">
        <v>44279</v>
      </c>
      <c r="B190" s="112">
        <v>1.1200000000000001</v>
      </c>
      <c r="C190" s="108">
        <f t="shared" ref="C190:C192" si="58">IFERROR(B190-B189,0)</f>
        <v>-2.4999999999999911E-2</v>
      </c>
      <c r="D190" s="109">
        <f t="shared" ref="D190:D192" si="59">IF(C190&lt;0,C190,"/")</f>
        <v>-2.4999999999999911E-2</v>
      </c>
      <c r="E190" s="109">
        <f ca="1">IF(表2_36716262930389121314152324[[#This Row],[累计净值]]/MAX(INDIRECT("B21:B" &amp; ROW()))-1&lt;E189,表2_36716262930389121314152324[[#This Row],[累计净值]]/MAX(INDIRECT("B21:B" &amp; ROW()))-1,E189)</f>
        <v>-9.2334494773519071E-2</v>
      </c>
      <c r="F190" s="110">
        <f>表2_36716262930389121314152324[[#This Row],[累计净值]]</f>
        <v>1.1200000000000001</v>
      </c>
      <c r="G190" s="20">
        <f>表2_36716262930389121314152324[[#This Row],[累计净值]]/$B$21-1</f>
        <v>-2.0979020979020824E-2</v>
      </c>
    </row>
    <row r="191" spans="1:7" x14ac:dyDescent="0.2">
      <c r="A191" s="15">
        <v>44280</v>
      </c>
      <c r="B191" s="112">
        <v>1.119</v>
      </c>
      <c r="C191" s="108">
        <f t="shared" si="58"/>
        <v>-1.0000000000001119E-3</v>
      </c>
      <c r="D191" s="109">
        <f t="shared" si="59"/>
        <v>-1.0000000000001119E-3</v>
      </c>
      <c r="E191" s="109">
        <f ca="1">IF(表2_36716262930389121314152324[[#This Row],[累计净值]]/MAX(INDIRECT("B21:B" &amp; ROW()))-1&lt;E190,表2_36716262930389121314152324[[#This Row],[累计净值]]/MAX(INDIRECT("B21:B" &amp; ROW()))-1,E190)</f>
        <v>-9.2334494773519071E-2</v>
      </c>
      <c r="F191" s="110">
        <f>表2_36716262930389121314152324[[#This Row],[累计净值]]</f>
        <v>1.119</v>
      </c>
      <c r="G191" s="20">
        <f>表2_36716262930389121314152324[[#This Row],[累计净值]]/$B$21-1</f>
        <v>-2.1853146853146765E-2</v>
      </c>
    </row>
    <row r="192" spans="1:7" x14ac:dyDescent="0.2">
      <c r="A192" s="15">
        <v>44281</v>
      </c>
      <c r="B192" s="112">
        <v>1.135</v>
      </c>
      <c r="C192" s="108">
        <f t="shared" si="58"/>
        <v>1.6000000000000014E-2</v>
      </c>
      <c r="D192" s="109" t="str">
        <f t="shared" si="59"/>
        <v>/</v>
      </c>
      <c r="E192" s="109">
        <f ca="1">IF(表2_36716262930389121314152324[[#This Row],[累计净值]]/MAX(INDIRECT("B21:B" &amp; ROW()))-1&lt;E191,表2_36716262930389121314152324[[#This Row],[累计净值]]/MAX(INDIRECT("B21:B" &amp; ROW()))-1,E191)</f>
        <v>-9.2334494773519071E-2</v>
      </c>
      <c r="F192" s="110">
        <f>表2_36716262930389121314152324[[#This Row],[累计净值]]</f>
        <v>1.135</v>
      </c>
      <c r="G192" s="20">
        <f>表2_36716262930389121314152324[[#This Row],[累计净值]]/$B$21-1</f>
        <v>-7.8671328671328089E-3</v>
      </c>
    </row>
    <row r="193" spans="1:7" x14ac:dyDescent="0.2">
      <c r="A193" s="15">
        <v>44284</v>
      </c>
      <c r="B193" s="112">
        <v>1.137</v>
      </c>
      <c r="C193" s="108">
        <f t="shared" ref="C193:C198" si="60">IFERROR(B193-B192,0)</f>
        <v>2.0000000000000018E-3</v>
      </c>
      <c r="D193" s="109" t="str">
        <f t="shared" ref="D193:D198" si="61">IF(C193&lt;0,C193,"/")</f>
        <v>/</v>
      </c>
      <c r="E193" s="109">
        <f ca="1">IF(表2_36716262930389121314152324[[#This Row],[累计净值]]/MAX(INDIRECT("B21:B" &amp; ROW()))-1&lt;E192,表2_36716262930389121314152324[[#This Row],[累计净值]]/MAX(INDIRECT("B21:B" &amp; ROW()))-1,E192)</f>
        <v>-9.2334494773519071E-2</v>
      </c>
      <c r="F193" s="110">
        <f>表2_36716262930389121314152324[[#This Row],[累计净值]]</f>
        <v>1.137</v>
      </c>
      <c r="G193" s="20">
        <f>表2_36716262930389121314152324[[#This Row],[累计净值]]/$B$21-1</f>
        <v>-6.1188811188810366E-3</v>
      </c>
    </row>
    <row r="194" spans="1:7" x14ac:dyDescent="0.2">
      <c r="A194" s="15">
        <v>44285</v>
      </c>
      <c r="B194" s="112">
        <v>1.135</v>
      </c>
      <c r="C194" s="108">
        <f t="shared" si="60"/>
        <v>-2.0000000000000018E-3</v>
      </c>
      <c r="D194" s="109">
        <f t="shared" si="61"/>
        <v>-2.0000000000000018E-3</v>
      </c>
      <c r="E194" s="109">
        <f ca="1">IF(表2_36716262930389121314152324[[#This Row],[累计净值]]/MAX(INDIRECT("B21:B" &amp; ROW()))-1&lt;E193,表2_36716262930389121314152324[[#This Row],[累计净值]]/MAX(INDIRECT("B21:B" &amp; ROW()))-1,E193)</f>
        <v>-9.2334494773519071E-2</v>
      </c>
      <c r="F194" s="110">
        <f>表2_36716262930389121314152324[[#This Row],[累计净值]]</f>
        <v>1.135</v>
      </c>
      <c r="G194" s="20">
        <f>表2_36716262930389121314152324[[#This Row],[累计净值]]/$B$21-1</f>
        <v>-7.8671328671328089E-3</v>
      </c>
    </row>
    <row r="195" spans="1:7" x14ac:dyDescent="0.2">
      <c r="A195" s="15">
        <v>44286</v>
      </c>
      <c r="B195" s="112">
        <v>1.135</v>
      </c>
      <c r="C195" s="108">
        <f t="shared" si="60"/>
        <v>0</v>
      </c>
      <c r="D195" s="109" t="str">
        <f t="shared" si="61"/>
        <v>/</v>
      </c>
      <c r="E195" s="109">
        <f ca="1">IF(表2_36716262930389121314152324[[#This Row],[累计净值]]/MAX(INDIRECT("B21:B" &amp; ROW()))-1&lt;E194,表2_36716262930389121314152324[[#This Row],[累计净值]]/MAX(INDIRECT("B21:B" &amp; ROW()))-1,E194)</f>
        <v>-9.2334494773519071E-2</v>
      </c>
      <c r="F195" s="110">
        <f>表2_36716262930389121314152324[[#This Row],[累计净值]]</f>
        <v>1.135</v>
      </c>
      <c r="G195" s="20">
        <f>表2_36716262930389121314152324[[#This Row],[累计净值]]/$B$21-1</f>
        <v>-7.8671328671328089E-3</v>
      </c>
    </row>
    <row r="196" spans="1:7" x14ac:dyDescent="0.2">
      <c r="A196" s="15">
        <v>44287</v>
      </c>
      <c r="B196" s="112">
        <v>1.143</v>
      </c>
      <c r="C196" s="108">
        <f t="shared" si="60"/>
        <v>8.0000000000000071E-3</v>
      </c>
      <c r="D196" s="109" t="str">
        <f t="shared" si="61"/>
        <v>/</v>
      </c>
      <c r="E196" s="109">
        <f ca="1">IF(表2_36716262930389121314152324[[#This Row],[累计净值]]/MAX(INDIRECT("B21:B" &amp; ROW()))-1&lt;E195,表2_36716262930389121314152324[[#This Row],[累计净值]]/MAX(INDIRECT("B21:B" &amp; ROW()))-1,E195)</f>
        <v>-9.2334494773519071E-2</v>
      </c>
      <c r="F196" s="110">
        <f>表2_36716262930389121314152324[[#This Row],[累计净值]]</f>
        <v>1.143</v>
      </c>
      <c r="G196" s="20">
        <f>表2_36716262930389121314152324[[#This Row],[累计净值]]/$B$21-1</f>
        <v>-8.7412587412583065E-4</v>
      </c>
    </row>
    <row r="197" spans="1:7" x14ac:dyDescent="0.2">
      <c r="A197" s="15">
        <v>44288</v>
      </c>
      <c r="B197" s="112">
        <v>1.1479999999999999</v>
      </c>
      <c r="C197" s="108">
        <f t="shared" si="60"/>
        <v>4.9999999999998934E-3</v>
      </c>
      <c r="D197" s="109" t="str">
        <f t="shared" si="61"/>
        <v>/</v>
      </c>
      <c r="E197" s="109">
        <f ca="1">IF(表2_36716262930389121314152324[[#This Row],[累计净值]]/MAX(INDIRECT("B21:B" &amp; ROW()))-1&lt;E196,表2_36716262930389121314152324[[#This Row],[累计净值]]/MAX(INDIRECT("B21:B" &amp; ROW()))-1,E196)</f>
        <v>-9.2334494773519071E-2</v>
      </c>
      <c r="F197" s="110">
        <f>表2_36716262930389121314152324[[#This Row],[累计净值]]</f>
        <v>1.1479999999999999</v>
      </c>
      <c r="G197" s="20">
        <f>表2_36716262930389121314152324[[#This Row],[累计净值]]/$B$21-1</f>
        <v>3.4965034965035446E-3</v>
      </c>
    </row>
    <row r="198" spans="1:7" x14ac:dyDescent="0.2">
      <c r="A198" s="15">
        <v>44292</v>
      </c>
      <c r="B198" s="112">
        <v>1.157</v>
      </c>
      <c r="C198" s="108">
        <f t="shared" si="60"/>
        <v>9.000000000000119E-3</v>
      </c>
      <c r="D198" s="109" t="str">
        <f t="shared" si="61"/>
        <v>/</v>
      </c>
      <c r="E198" s="109">
        <f ca="1">IF(表2_36716262930389121314152324[[#This Row],[累计净值]]/MAX(INDIRECT("B21:B" &amp; ROW()))-1&lt;E197,表2_36716262930389121314152324[[#This Row],[累计净值]]/MAX(INDIRECT("B21:B" &amp; ROW()))-1,E197)</f>
        <v>-9.2334494773519071E-2</v>
      </c>
      <c r="F198" s="110">
        <f>表2_36716262930389121314152324[[#This Row],[累计净值]]</f>
        <v>1.157</v>
      </c>
      <c r="G198" s="20">
        <f>表2_36716262930389121314152324[[#This Row],[累计净值]]/$B$21-1</f>
        <v>1.1363636363636465E-2</v>
      </c>
    </row>
    <row r="199" spans="1:7" x14ac:dyDescent="0.2">
      <c r="A199" s="15">
        <v>44293</v>
      </c>
      <c r="B199" s="112">
        <v>1.1579999999999999</v>
      </c>
      <c r="C199" s="108">
        <f t="shared" ref="C199:C204" si="62">IFERROR(B199-B198,0)</f>
        <v>9.9999999999988987E-4</v>
      </c>
      <c r="D199" s="109" t="str">
        <f t="shared" ref="D199:D204" si="63">IF(C199&lt;0,C199,"/")</f>
        <v>/</v>
      </c>
      <c r="E199" s="109">
        <f ca="1">IF(表2_36716262930389121314152324[[#This Row],[累计净值]]/MAX(INDIRECT("B21:B" &amp; ROW()))-1&lt;E198,表2_36716262930389121314152324[[#This Row],[累计净值]]/MAX(INDIRECT("B21:B" &amp; ROW()))-1,E198)</f>
        <v>-9.2334494773519071E-2</v>
      </c>
      <c r="F199" s="110">
        <f>表2_36716262930389121314152324[[#This Row],[累计净值]]</f>
        <v>1.1579999999999999</v>
      </c>
      <c r="G199" s="20">
        <f>表2_36716262930389121314152324[[#This Row],[累计净值]]/$B$21-1</f>
        <v>1.2237762237762295E-2</v>
      </c>
    </row>
    <row r="200" spans="1:7" x14ac:dyDescent="0.2">
      <c r="A200" s="15">
        <v>44294</v>
      </c>
      <c r="B200" s="112">
        <v>1.157</v>
      </c>
      <c r="C200" s="108">
        <f t="shared" si="62"/>
        <v>-9.9999999999988987E-4</v>
      </c>
      <c r="D200" s="109">
        <f t="shared" si="63"/>
        <v>-9.9999999999988987E-4</v>
      </c>
      <c r="E200" s="109">
        <f ca="1">IF(表2_36716262930389121314152324[[#This Row],[累计净值]]/MAX(INDIRECT("B21:B" &amp; ROW()))-1&lt;E199,表2_36716262930389121314152324[[#This Row],[累计净值]]/MAX(INDIRECT("B21:B" &amp; ROW()))-1,E199)</f>
        <v>-9.2334494773519071E-2</v>
      </c>
      <c r="F200" s="110">
        <f>表2_36716262930389121314152324[[#This Row],[累计净值]]</f>
        <v>1.157</v>
      </c>
      <c r="G200" s="20">
        <f>表2_36716262930389121314152324[[#This Row],[累计净值]]/$B$21-1</f>
        <v>1.1363636363636465E-2</v>
      </c>
    </row>
    <row r="201" spans="1:7" x14ac:dyDescent="0.2">
      <c r="A201" s="15">
        <v>44295</v>
      </c>
      <c r="B201" s="112">
        <v>1.1539999999999999</v>
      </c>
      <c r="C201" s="108">
        <f t="shared" si="62"/>
        <v>-3.0000000000001137E-3</v>
      </c>
      <c r="D201" s="109">
        <f t="shared" si="63"/>
        <v>-3.0000000000001137E-3</v>
      </c>
      <c r="E201" s="109">
        <f ca="1">IF(表2_36716262930389121314152324[[#This Row],[累计净值]]/MAX(INDIRECT("B21:B" &amp; ROW()))-1&lt;E200,表2_36716262930389121314152324[[#This Row],[累计净值]]/MAX(INDIRECT("B21:B" &amp; ROW()))-1,E200)</f>
        <v>-9.2334494773519071E-2</v>
      </c>
      <c r="F201" s="110">
        <f>表2_36716262930389121314152324[[#This Row],[累计净值]]</f>
        <v>1.1539999999999999</v>
      </c>
      <c r="G201" s="20">
        <f>表2_36716262930389121314152324[[#This Row],[累计净值]]/$B$21-1</f>
        <v>8.7412587412587506E-3</v>
      </c>
    </row>
    <row r="202" spans="1:7" x14ac:dyDescent="0.2">
      <c r="A202" s="15">
        <v>44298</v>
      </c>
      <c r="B202" s="112">
        <v>1.127</v>
      </c>
      <c r="C202" s="108">
        <f t="shared" si="62"/>
        <v>-2.6999999999999913E-2</v>
      </c>
      <c r="D202" s="109">
        <f t="shared" si="63"/>
        <v>-2.6999999999999913E-2</v>
      </c>
      <c r="E202" s="109">
        <f ca="1">IF(表2_36716262930389121314152324[[#This Row],[累计净值]]/MAX(INDIRECT("B21:B" &amp; ROW()))-1&lt;E201,表2_36716262930389121314152324[[#This Row],[累计净值]]/MAX(INDIRECT("B21:B" &amp; ROW()))-1,E201)</f>
        <v>-9.2334494773519071E-2</v>
      </c>
      <c r="F202" s="110">
        <f>表2_36716262930389121314152324[[#This Row],[累计净值]]</f>
        <v>1.127</v>
      </c>
      <c r="G202" s="20">
        <f>表2_36716262930389121314152324[[#This Row],[累计净值]]/$B$21-1</f>
        <v>-1.4860139860139787E-2</v>
      </c>
    </row>
    <row r="203" spans="1:7" x14ac:dyDescent="0.2">
      <c r="A203" s="15">
        <v>44299</v>
      </c>
      <c r="B203" s="112">
        <v>1.123</v>
      </c>
      <c r="C203" s="108">
        <f t="shared" si="62"/>
        <v>-4.0000000000000036E-3</v>
      </c>
      <c r="D203" s="109">
        <f t="shared" si="63"/>
        <v>-4.0000000000000036E-3</v>
      </c>
      <c r="E203" s="109">
        <f ca="1">IF(表2_36716262930389121314152324[[#This Row],[累计净值]]/MAX(INDIRECT("B21:B" &amp; ROW()))-1&lt;E202,表2_36716262930389121314152324[[#This Row],[累计净值]]/MAX(INDIRECT("B21:B" &amp; ROW()))-1,E202)</f>
        <v>-9.2334494773519071E-2</v>
      </c>
      <c r="F203" s="110">
        <f>表2_36716262930389121314152324[[#This Row],[累计净值]]</f>
        <v>1.123</v>
      </c>
      <c r="G203" s="20">
        <f>表2_36716262930389121314152324[[#This Row],[累计净值]]/$B$21-1</f>
        <v>-1.8356643356643332E-2</v>
      </c>
    </row>
    <row r="204" spans="1:7" x14ac:dyDescent="0.2">
      <c r="A204" s="15">
        <v>44300</v>
      </c>
      <c r="B204" s="112">
        <v>1.135</v>
      </c>
      <c r="C204" s="108">
        <f t="shared" si="62"/>
        <v>1.2000000000000011E-2</v>
      </c>
      <c r="D204" s="109" t="str">
        <f t="shared" si="63"/>
        <v>/</v>
      </c>
      <c r="E204" s="109">
        <f ca="1">IF(表2_36716262930389121314152324[[#This Row],[累计净值]]/MAX(INDIRECT("B21:B" &amp; ROW()))-1&lt;E203,表2_36716262930389121314152324[[#This Row],[累计净值]]/MAX(INDIRECT("B21:B" &amp; ROW()))-1,E203)</f>
        <v>-9.2334494773519071E-2</v>
      </c>
      <c r="F204" s="110">
        <f>表2_36716262930389121314152324[[#This Row],[累计净值]]</f>
        <v>1.135</v>
      </c>
      <c r="G204" s="20">
        <f>表2_36716262930389121314152324[[#This Row],[累计净值]]/$B$21-1</f>
        <v>-7.8671328671328089E-3</v>
      </c>
    </row>
    <row r="205" spans="1:7" x14ac:dyDescent="0.2">
      <c r="A205" s="15">
        <v>44301</v>
      </c>
      <c r="B205" s="112">
        <v>1.1319999999999999</v>
      </c>
      <c r="C205" s="108">
        <f t="shared" ref="C205:C210" si="64">IFERROR(B205-B204,0)</f>
        <v>-3.0000000000001137E-3</v>
      </c>
      <c r="D205" s="109">
        <f t="shared" ref="D205:D210" si="65">IF(C205&lt;0,C205,"/")</f>
        <v>-3.0000000000001137E-3</v>
      </c>
      <c r="E205" s="109">
        <f ca="1">IF(表2_36716262930389121314152324[[#This Row],[累计净值]]/MAX(INDIRECT("B21:B" &amp; ROW()))-1&lt;E204,表2_36716262930389121314152324[[#This Row],[累计净值]]/MAX(INDIRECT("B21:B" &amp; ROW()))-1,E204)</f>
        <v>-9.2334494773519071E-2</v>
      </c>
      <c r="F205" s="110">
        <f>表2_36716262930389121314152324[[#This Row],[累计净值]]</f>
        <v>1.1319999999999999</v>
      </c>
      <c r="G205" s="20">
        <f>表2_36716262930389121314152324[[#This Row],[累计净值]]/$B$21-1</f>
        <v>-1.0489510489510523E-2</v>
      </c>
    </row>
    <row r="206" spans="1:7" x14ac:dyDescent="0.2">
      <c r="A206" s="15">
        <v>44302</v>
      </c>
      <c r="B206" s="112">
        <v>1.143</v>
      </c>
      <c r="C206" s="108">
        <f t="shared" si="64"/>
        <v>1.1000000000000121E-2</v>
      </c>
      <c r="D206" s="109" t="str">
        <f t="shared" si="65"/>
        <v>/</v>
      </c>
      <c r="E206" s="109">
        <f ca="1">IF(表2_36716262930389121314152324[[#This Row],[累计净值]]/MAX(INDIRECT("B21:B" &amp; ROW()))-1&lt;E205,表2_36716262930389121314152324[[#This Row],[累计净值]]/MAX(INDIRECT("B21:B" &amp; ROW()))-1,E205)</f>
        <v>-9.2334494773519071E-2</v>
      </c>
      <c r="F206" s="110">
        <f>表2_36716262930389121314152324[[#This Row],[累计净值]]</f>
        <v>1.143</v>
      </c>
      <c r="G206" s="20">
        <f>表2_36716262930389121314152324[[#This Row],[累计净值]]/$B$21-1</f>
        <v>-8.7412587412583065E-4</v>
      </c>
    </row>
    <row r="207" spans="1:7" x14ac:dyDescent="0.2">
      <c r="A207" s="15">
        <v>44305</v>
      </c>
      <c r="B207" s="112">
        <v>1.155</v>
      </c>
      <c r="C207" s="108">
        <f t="shared" si="64"/>
        <v>1.2000000000000011E-2</v>
      </c>
      <c r="D207" s="109" t="str">
        <f t="shared" si="65"/>
        <v>/</v>
      </c>
      <c r="E207" s="109">
        <f ca="1">IF(表2_36716262930389121314152324[[#This Row],[累计净值]]/MAX(INDIRECT("B21:B" &amp; ROW()))-1&lt;E206,表2_36716262930389121314152324[[#This Row],[累计净值]]/MAX(INDIRECT("B21:B" &amp; ROW()))-1,E206)</f>
        <v>-9.2334494773519071E-2</v>
      </c>
      <c r="F207" s="110">
        <f>表2_36716262930389121314152324[[#This Row],[累计净值]]</f>
        <v>1.155</v>
      </c>
      <c r="G207" s="20">
        <f>表2_36716262930389121314152324[[#This Row],[累计净值]]/$B$21-1</f>
        <v>9.6153846153848033E-3</v>
      </c>
    </row>
    <row r="208" spans="1:7" x14ac:dyDescent="0.2">
      <c r="A208" s="15">
        <v>44306</v>
      </c>
      <c r="B208" s="112">
        <v>1.1559999999999999</v>
      </c>
      <c r="C208" s="108">
        <f t="shared" si="64"/>
        <v>9.9999999999988987E-4</v>
      </c>
      <c r="D208" s="109" t="str">
        <f t="shared" si="65"/>
        <v>/</v>
      </c>
      <c r="E208" s="109">
        <f ca="1">IF(表2_36716262930389121314152324[[#This Row],[累计净值]]/MAX(INDIRECT("B21:B" &amp; ROW()))-1&lt;E207,表2_36716262930389121314152324[[#This Row],[累计净值]]/MAX(INDIRECT("B21:B" &amp; ROW()))-1,E207)</f>
        <v>-9.2334494773519071E-2</v>
      </c>
      <c r="F208" s="110">
        <f>表2_36716262930389121314152324[[#This Row],[累计净值]]</f>
        <v>1.1559999999999999</v>
      </c>
      <c r="G208" s="20">
        <f>表2_36716262930389121314152324[[#This Row],[累计净值]]/$B$21-1</f>
        <v>1.0489510489510412E-2</v>
      </c>
    </row>
    <row r="209" spans="1:7" x14ac:dyDescent="0.2">
      <c r="A209" s="15">
        <v>44307</v>
      </c>
      <c r="B209" s="112">
        <v>1.1539999999999999</v>
      </c>
      <c r="C209" s="108">
        <f t="shared" si="64"/>
        <v>-2.0000000000000018E-3</v>
      </c>
      <c r="D209" s="109">
        <f t="shared" si="65"/>
        <v>-2.0000000000000018E-3</v>
      </c>
      <c r="E209" s="109">
        <f ca="1">IF(表2_36716262930389121314152324[[#This Row],[累计净值]]/MAX(INDIRECT("B21:B" &amp; ROW()))-1&lt;E208,表2_36716262930389121314152324[[#This Row],[累计净值]]/MAX(INDIRECT("B21:B" &amp; ROW()))-1,E208)</f>
        <v>-9.2334494773519071E-2</v>
      </c>
      <c r="F209" s="110">
        <f>表2_36716262930389121314152324[[#This Row],[累计净值]]</f>
        <v>1.1539999999999999</v>
      </c>
      <c r="G209" s="20">
        <f>表2_36716262930389121314152324[[#This Row],[累计净值]]/$B$21-1</f>
        <v>8.7412587412587506E-3</v>
      </c>
    </row>
    <row r="210" spans="1:7" x14ac:dyDescent="0.2">
      <c r="A210" s="15">
        <v>44308</v>
      </c>
      <c r="B210" s="112">
        <v>1.159</v>
      </c>
      <c r="C210" s="108">
        <f t="shared" si="64"/>
        <v>5.0000000000001155E-3</v>
      </c>
      <c r="D210" s="109" t="str">
        <f t="shared" si="65"/>
        <v>/</v>
      </c>
      <c r="E210" s="109">
        <f ca="1">IF(表2_36716262930389121314152324[[#This Row],[累计净值]]/MAX(INDIRECT("B21:B" &amp; ROW()))-1&lt;E209,表2_36716262930389121314152324[[#This Row],[累计净值]]/MAX(INDIRECT("B21:B" &amp; ROW()))-1,E209)</f>
        <v>-9.2334494773519071E-2</v>
      </c>
      <c r="F210" s="110">
        <f>表2_36716262930389121314152324[[#This Row],[累计净值]]</f>
        <v>1.159</v>
      </c>
      <c r="G210" s="20">
        <f>表2_36716262930389121314152324[[#This Row],[累计净值]]/$B$21-1</f>
        <v>1.3111888111888126E-2</v>
      </c>
    </row>
    <row r="211" spans="1:7" x14ac:dyDescent="0.2">
      <c r="A211" s="15">
        <v>44309</v>
      </c>
      <c r="B211" s="112">
        <v>1.165</v>
      </c>
      <c r="C211" s="108">
        <f>IFERROR(B211-B210,0)</f>
        <v>6.0000000000000053E-3</v>
      </c>
      <c r="D211" s="109" t="str">
        <f>IF(C211&lt;0,C211,"/")</f>
        <v>/</v>
      </c>
      <c r="E211" s="109">
        <f ca="1">IF(表2_36716262930389121314152324[[#This Row],[累计净值]]/MAX(INDIRECT("B21:B" &amp; ROW()))-1&lt;E210,表2_36716262930389121314152324[[#This Row],[累计净值]]/MAX(INDIRECT("B21:B" &amp; ROW()))-1,E210)</f>
        <v>-9.2334494773519071E-2</v>
      </c>
      <c r="F211" s="110">
        <f>表2_36716262930389121314152324[[#This Row],[累计净值]]</f>
        <v>1.165</v>
      </c>
      <c r="G211" s="20">
        <f>表2_36716262930389121314152324[[#This Row],[累计净值]]/$B$21-1</f>
        <v>1.8356643356643554E-2</v>
      </c>
    </row>
    <row r="212" spans="1:7" x14ac:dyDescent="0.2">
      <c r="A212" s="15">
        <v>44312</v>
      </c>
      <c r="B212" s="112">
        <v>1.1679999999999999</v>
      </c>
      <c r="C212" s="108">
        <f>IFERROR(B212-B211,0)</f>
        <v>2.9999999999998916E-3</v>
      </c>
      <c r="D212" s="109" t="str">
        <f>IF(C212&lt;0,C212,"/")</f>
        <v>/</v>
      </c>
      <c r="E212" s="109">
        <f ca="1">IF(表2_36716262930389121314152324[[#This Row],[累计净值]]/MAX(INDIRECT("B21:B" &amp; ROW()))-1&lt;E211,表2_36716262930389121314152324[[#This Row],[累计净值]]/MAX(INDIRECT("B21:B" &amp; ROW()))-1,E211)</f>
        <v>-9.2334494773519071E-2</v>
      </c>
      <c r="F212" s="110">
        <f>表2_36716262930389121314152324[[#This Row],[累计净值]]</f>
        <v>1.1679999999999999</v>
      </c>
      <c r="G212" s="20">
        <f>表2_36716262930389121314152324[[#This Row],[累计净值]]/$B$21-1</f>
        <v>2.0979020979021046E-2</v>
      </c>
    </row>
    <row r="213" spans="1:7" x14ac:dyDescent="0.2">
      <c r="A213" s="15">
        <v>44313</v>
      </c>
      <c r="B213" s="112">
        <v>1.1659999999999999</v>
      </c>
      <c r="C213" s="108">
        <f>IFERROR(B213-B212,0)</f>
        <v>-2.0000000000000018E-3</v>
      </c>
      <c r="D213" s="109">
        <f>IF(C213&lt;0,C213,"/")</f>
        <v>-2.0000000000000018E-3</v>
      </c>
      <c r="E213" s="109">
        <f ca="1">IF(表2_36716262930389121314152324[[#This Row],[累计净值]]/MAX(INDIRECT("B21:B" &amp; ROW()))-1&lt;E212,表2_36716262930389121314152324[[#This Row],[累计净值]]/MAX(INDIRECT("B21:B" &amp; ROW()))-1,E212)</f>
        <v>-9.2334494773519071E-2</v>
      </c>
      <c r="F213" s="110">
        <f>表2_36716262930389121314152324[[#This Row],[累计净值]]</f>
        <v>1.1659999999999999</v>
      </c>
      <c r="G213" s="20">
        <f>表2_36716262930389121314152324[[#This Row],[累计净值]]/$B$21-1</f>
        <v>1.9230769230769162E-2</v>
      </c>
    </row>
    <row r="214" spans="1:7" x14ac:dyDescent="0.2">
      <c r="A214" s="15">
        <v>44314</v>
      </c>
      <c r="B214" s="112">
        <v>1.175</v>
      </c>
      <c r="C214" s="108">
        <f>IFERROR(B214-B213,0)</f>
        <v>9.000000000000119E-3</v>
      </c>
      <c r="D214" s="109" t="str">
        <f>IF(C214&lt;0,C214,"/")</f>
        <v>/</v>
      </c>
      <c r="E214" s="109">
        <f ca="1">IF(表2_36716262930389121314152324[[#This Row],[累计净值]]/MAX(INDIRECT("B21:B" &amp; ROW()))-1&lt;E213,表2_36716262930389121314152324[[#This Row],[累计净值]]/MAX(INDIRECT("B21:B" &amp; ROW()))-1,E213)</f>
        <v>-9.2334494773519071E-2</v>
      </c>
      <c r="F214" s="110">
        <f>表2_36716262930389121314152324[[#This Row],[累计净值]]</f>
        <v>1.175</v>
      </c>
      <c r="G214" s="20">
        <f>表2_36716262930389121314152324[[#This Row],[累计净值]]/$B$21-1</f>
        <v>2.7097902097902304E-2</v>
      </c>
    </row>
    <row r="215" spans="1:7" x14ac:dyDescent="0.2">
      <c r="A215" s="15">
        <v>44315</v>
      </c>
      <c r="B215" s="112">
        <v>1.175</v>
      </c>
      <c r="C215" s="108">
        <f>IFERROR(B215-B214,0)</f>
        <v>0</v>
      </c>
      <c r="D215" s="109" t="str">
        <f>IF(C215&lt;0,C215,"/")</f>
        <v>/</v>
      </c>
      <c r="E215" s="109">
        <f ca="1">IF(表2_36716262930389121314152324[[#This Row],[累计净值]]/MAX(INDIRECT("B21:B" &amp; ROW()))-1&lt;E214,表2_36716262930389121314152324[[#This Row],[累计净值]]/MAX(INDIRECT("B21:B" &amp; ROW()))-1,E214)</f>
        <v>-9.2334494773519071E-2</v>
      </c>
      <c r="F215" s="110">
        <f>表2_36716262930389121314152324[[#This Row],[累计净值]]</f>
        <v>1.175</v>
      </c>
      <c r="G215" s="20">
        <f>表2_36716262930389121314152324[[#This Row],[累计净值]]/$B$21-1</f>
        <v>2.7097902097902304E-2</v>
      </c>
    </row>
    <row r="216" spans="1:7" x14ac:dyDescent="0.2">
      <c r="A216" s="15">
        <v>44316</v>
      </c>
      <c r="B216" s="112">
        <v>1.1659999999999999</v>
      </c>
      <c r="C216" s="108">
        <f t="shared" ref="C216:C217" si="66">IFERROR(B216-B215,0)</f>
        <v>-9.000000000000119E-3</v>
      </c>
      <c r="D216" s="109">
        <f t="shared" ref="D216:D217" si="67">IF(C216&lt;0,C216,"/")</f>
        <v>-9.000000000000119E-3</v>
      </c>
      <c r="E216" s="109">
        <f ca="1">IF(表2_36716262930389121314152324[[#This Row],[累计净值]]/MAX(INDIRECT("B21:B" &amp; ROW()))-1&lt;E215,表2_36716262930389121314152324[[#This Row],[累计净值]]/MAX(INDIRECT("B21:B" &amp; ROW()))-1,E215)</f>
        <v>-9.2334494773519071E-2</v>
      </c>
      <c r="F216" s="110">
        <f>表2_36716262930389121314152324[[#This Row],[累计净值]]</f>
        <v>1.1659999999999999</v>
      </c>
      <c r="G216" s="20">
        <f>表2_36716262930389121314152324[[#This Row],[累计净值]]/$B$21-1</f>
        <v>1.9230769230769162E-2</v>
      </c>
    </row>
    <row r="217" spans="1:7" x14ac:dyDescent="0.2">
      <c r="A217" s="15">
        <v>44322</v>
      </c>
      <c r="B217" s="112">
        <v>1.1879999999999999</v>
      </c>
      <c r="C217" s="108">
        <f t="shared" si="66"/>
        <v>2.200000000000002E-2</v>
      </c>
      <c r="D217" s="109" t="str">
        <f t="shared" si="67"/>
        <v>/</v>
      </c>
      <c r="E217" s="109">
        <f ca="1">IF(表2_36716262930389121314152324[[#This Row],[累计净值]]/MAX(INDIRECT("B21:B" &amp; ROW()))-1&lt;E216,表2_36716262930389121314152324[[#This Row],[累计净值]]/MAX(INDIRECT("B21:B" &amp; ROW()))-1,E216)</f>
        <v>-9.2334494773519071E-2</v>
      </c>
      <c r="F217" s="110">
        <f>表2_36716262930389121314152324[[#This Row],[累计净值]]</f>
        <v>1.1879999999999999</v>
      </c>
      <c r="G217" s="20">
        <f>表2_36716262930389121314152324[[#This Row],[累计净值]]/$B$21-1</f>
        <v>3.8461538461538547E-2</v>
      </c>
    </row>
    <row r="218" spans="1:7" x14ac:dyDescent="0.2">
      <c r="A218" s="15">
        <v>44323</v>
      </c>
      <c r="B218" s="112">
        <v>1.179</v>
      </c>
      <c r="C218" s="108">
        <f t="shared" ref="C218:C224" si="68">IFERROR(B218-B217,0)</f>
        <v>-8.999999999999897E-3</v>
      </c>
      <c r="D218" s="109">
        <f t="shared" ref="D218:D224" si="69">IF(C218&lt;0,C218,"/")</f>
        <v>-8.999999999999897E-3</v>
      </c>
      <c r="E218" s="109">
        <f ca="1">IF(表2_36716262930389121314152324[[#This Row],[累计净值]]/MAX(INDIRECT("B21:B" &amp; ROW()))-1&lt;E217,表2_36716262930389121314152324[[#This Row],[累计净值]]/MAX(INDIRECT("B21:B" &amp; ROW()))-1,E217)</f>
        <v>-9.2334494773519071E-2</v>
      </c>
      <c r="F218" s="110">
        <f>表2_36716262930389121314152324[[#This Row],[累计净值]]</f>
        <v>1.179</v>
      </c>
      <c r="G218" s="20">
        <f>表2_36716262930389121314152324[[#This Row],[累计净值]]/$B$21-1</f>
        <v>3.0594405594405627E-2</v>
      </c>
    </row>
    <row r="219" spans="1:7" x14ac:dyDescent="0.2">
      <c r="A219" s="15">
        <v>44326</v>
      </c>
      <c r="B219" s="112">
        <v>1.1830000000000001</v>
      </c>
      <c r="C219" s="108">
        <f t="shared" si="68"/>
        <v>4.0000000000000036E-3</v>
      </c>
      <c r="D219" s="109" t="str">
        <f t="shared" si="69"/>
        <v>/</v>
      </c>
      <c r="E219" s="109">
        <f ca="1">IF(表2_36716262930389121314152324[[#This Row],[累计净值]]/MAX(INDIRECT("B21:B" &amp; ROW()))-1&lt;E218,表2_36716262930389121314152324[[#This Row],[累计净值]]/MAX(INDIRECT("B21:B" &amp; ROW()))-1,E218)</f>
        <v>-9.2334494773519071E-2</v>
      </c>
      <c r="F219" s="110">
        <f>表2_36716262930389121314152324[[#This Row],[累计净值]]</f>
        <v>1.1830000000000001</v>
      </c>
      <c r="G219" s="20">
        <f>表2_36716262930389121314152324[[#This Row],[累计净值]]/$B$21-1</f>
        <v>3.4090909090909172E-2</v>
      </c>
    </row>
    <row r="220" spans="1:7" x14ac:dyDescent="0.2">
      <c r="A220" s="15">
        <v>44327</v>
      </c>
      <c r="B220" s="112">
        <v>1.179</v>
      </c>
      <c r="C220" s="108">
        <f t="shared" si="68"/>
        <v>-4.0000000000000036E-3</v>
      </c>
      <c r="D220" s="109">
        <f t="shared" si="69"/>
        <v>-4.0000000000000036E-3</v>
      </c>
      <c r="E220" s="109">
        <f ca="1">IF(表2_36716262930389121314152324[[#This Row],[累计净值]]/MAX(INDIRECT("B21:B" &amp; ROW()))-1&lt;E219,表2_36716262930389121314152324[[#This Row],[累计净值]]/MAX(INDIRECT("B21:B" &amp; ROW()))-1,E219)</f>
        <v>-9.2334494773519071E-2</v>
      </c>
      <c r="F220" s="110">
        <f>表2_36716262930389121314152324[[#This Row],[累计净值]]</f>
        <v>1.179</v>
      </c>
      <c r="G220" s="20">
        <f>表2_36716262930389121314152324[[#This Row],[累计净值]]/$B$21-1</f>
        <v>3.0594405594405627E-2</v>
      </c>
    </row>
    <row r="221" spans="1:7" x14ac:dyDescent="0.2">
      <c r="A221" s="15">
        <v>44328</v>
      </c>
      <c r="B221" s="112">
        <v>1.1970000000000001</v>
      </c>
      <c r="C221" s="108">
        <f t="shared" si="68"/>
        <v>1.8000000000000016E-2</v>
      </c>
      <c r="D221" s="109" t="str">
        <f t="shared" si="69"/>
        <v>/</v>
      </c>
      <c r="E221" s="109">
        <f ca="1">IF(表2_36716262930389121314152324[[#This Row],[累计净值]]/MAX(INDIRECT("B21:B" &amp; ROW()))-1&lt;E220,表2_36716262930389121314152324[[#This Row],[累计净值]]/MAX(INDIRECT("B21:B" &amp; ROW()))-1,E220)</f>
        <v>-9.2334494773519071E-2</v>
      </c>
      <c r="F221" s="110">
        <f>表2_36716262930389121314152324[[#This Row],[累计净值]]</f>
        <v>1.1970000000000001</v>
      </c>
      <c r="G221" s="20">
        <f>表2_36716262930389121314152324[[#This Row],[累计净值]]/$B$21-1</f>
        <v>4.6328671328671467E-2</v>
      </c>
    </row>
    <row r="222" spans="1:7" x14ac:dyDescent="0.2">
      <c r="A222" s="15">
        <v>44329</v>
      </c>
      <c r="B222" s="112">
        <v>1.1839999999999999</v>
      </c>
      <c r="C222" s="108">
        <f t="shared" si="68"/>
        <v>-1.3000000000000123E-2</v>
      </c>
      <c r="D222" s="109">
        <f t="shared" si="69"/>
        <v>-1.3000000000000123E-2</v>
      </c>
      <c r="E222" s="109">
        <f ca="1">IF(表2_36716262930389121314152324[[#This Row],[累计净值]]/MAX(INDIRECT("B21:B" &amp; ROW()))-1&lt;E221,表2_36716262930389121314152324[[#This Row],[累计净值]]/MAX(INDIRECT("B21:B" &amp; ROW()))-1,E221)</f>
        <v>-9.2334494773519071E-2</v>
      </c>
      <c r="F222" s="110">
        <f>表2_36716262930389121314152324[[#This Row],[累计净值]]</f>
        <v>1.1839999999999999</v>
      </c>
      <c r="G222" s="20">
        <f>表2_36716262930389121314152324[[#This Row],[累计净值]]/$B$21-1</f>
        <v>3.4965034965035002E-2</v>
      </c>
    </row>
    <row r="223" spans="1:7" x14ac:dyDescent="0.2">
      <c r="A223" s="15">
        <v>44330</v>
      </c>
      <c r="B223" s="112">
        <v>1.1919999999999999</v>
      </c>
      <c r="C223" s="108">
        <f t="shared" si="68"/>
        <v>8.0000000000000071E-3</v>
      </c>
      <c r="D223" s="109" t="str">
        <f t="shared" si="69"/>
        <v>/</v>
      </c>
      <c r="E223" s="109">
        <f ca="1">IF(表2_36716262930389121314152324[[#This Row],[累计净值]]/MAX(INDIRECT("B21:B" &amp; ROW()))-1&lt;E222,表2_36716262930389121314152324[[#This Row],[累计净值]]/MAX(INDIRECT("B21:B" &amp; ROW()))-1,E222)</f>
        <v>-9.2334494773519071E-2</v>
      </c>
      <c r="F223" s="110">
        <f>表2_36716262930389121314152324[[#This Row],[累计净值]]</f>
        <v>1.1919999999999999</v>
      </c>
      <c r="G223" s="20">
        <f>表2_36716262930389121314152324[[#This Row],[累计净值]]/$B$21-1</f>
        <v>4.1958041958042092E-2</v>
      </c>
    </row>
    <row r="224" spans="1:7" x14ac:dyDescent="0.2">
      <c r="A224" s="15">
        <v>44333</v>
      </c>
      <c r="B224" s="112">
        <v>1.2010000000000001</v>
      </c>
      <c r="C224" s="108">
        <f t="shared" si="68"/>
        <v>9.000000000000119E-3</v>
      </c>
      <c r="D224" s="109" t="str">
        <f t="shared" si="69"/>
        <v>/</v>
      </c>
      <c r="E224" s="109">
        <f ca="1">IF(表2_36716262930389121314152324[[#This Row],[累计净值]]/MAX(INDIRECT("B21:B" &amp; ROW()))-1&lt;E223,表2_36716262930389121314152324[[#This Row],[累计净值]]/MAX(INDIRECT("B21:B" &amp; ROW()))-1,E223)</f>
        <v>-9.2334494773519071E-2</v>
      </c>
      <c r="F224" s="110">
        <f>表2_36716262930389121314152324[[#This Row],[累计净值]]</f>
        <v>1.2010000000000001</v>
      </c>
      <c r="G224" s="20">
        <f>表2_36716262930389121314152324[[#This Row],[累计净值]]/$B$21-1</f>
        <v>4.9825174825175012E-2</v>
      </c>
    </row>
  </sheetData>
  <mergeCells count="1">
    <mergeCell ref="G2:G3"/>
  </mergeCells>
  <phoneticPr fontId="24" type="noConversion"/>
  <pageMargins left="0.7" right="0.7" top="0.75" bottom="0.75" header="0.3" footer="0.3"/>
  <pageSetup paperSize="9" orientation="portrait" horizontalDpi="200" verticalDpi="200" r:id="rId1"/>
  <drawing r:id="rId2"/>
  <tableParts count="1"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G221"/>
  <sheetViews>
    <sheetView workbookViewId="0">
      <pane xSplit="1" ySplit="20" topLeftCell="B208" activePane="bottomRight" state="frozen"/>
      <selection pane="topRight" activeCell="B1" sqref="B1"/>
      <selection pane="bottomLeft" activeCell="A21" sqref="A21"/>
      <selection pane="bottomRight" activeCell="D223" sqref="D223"/>
    </sheetView>
  </sheetViews>
  <sheetFormatPr defaultColWidth="9" defaultRowHeight="14.25" x14ac:dyDescent="0.2"/>
  <cols>
    <col min="1" max="1" width="11.625" style="1" bestFit="1" customWidth="1"/>
    <col min="2" max="2" width="13" style="1" customWidth="1"/>
    <col min="3" max="4" width="13.5" style="1" bestFit="1" customWidth="1"/>
    <col min="5" max="5" width="10.75" style="1" customWidth="1"/>
    <col min="6" max="6" width="11.125" style="1" customWidth="1"/>
    <col min="7" max="7" width="18.875" style="2" customWidth="1"/>
    <col min="8" max="8" width="14.25" style="1" customWidth="1"/>
    <col min="9" max="9" width="12" style="1" bestFit="1" customWidth="1"/>
    <col min="10" max="16384" width="9" style="1"/>
  </cols>
  <sheetData>
    <row r="1" spans="1:7" ht="15" thickBot="1" x14ac:dyDescent="0.25"/>
    <row r="2" spans="1:7" ht="15" thickBot="1" x14ac:dyDescent="0.25">
      <c r="A2" s="23" t="s">
        <v>0</v>
      </c>
      <c r="B2" s="24">
        <f>COUNT(表2_3671626293038912131415232425[每日盈亏])</f>
        <v>201</v>
      </c>
      <c r="C2" s="27"/>
      <c r="D2" s="3" t="s">
        <v>1</v>
      </c>
      <c r="E2" s="28"/>
      <c r="F2" s="1" t="s">
        <v>2</v>
      </c>
      <c r="G2" s="394" t="s">
        <v>3</v>
      </c>
    </row>
    <row r="3" spans="1:7" x14ac:dyDescent="0.2">
      <c r="A3" s="25" t="s">
        <v>4</v>
      </c>
      <c r="B3" s="26">
        <f>COUNTIF(表2_3671626293038912131415232425[每日盈亏],"&gt;0")</f>
        <v>108</v>
      </c>
      <c r="C3" s="29"/>
      <c r="D3" s="30" t="s">
        <v>5</v>
      </c>
      <c r="E3" s="31">
        <f>245^0.5*(B10-0.025/365)/E10</f>
        <v>0.46443616802263715</v>
      </c>
      <c r="G3" s="394"/>
    </row>
    <row r="4" spans="1:7" x14ac:dyDescent="0.2">
      <c r="A4" s="25" t="s">
        <v>6</v>
      </c>
      <c r="B4" s="26">
        <f>COUNTIF(表2_3671626293038912131415232425[每日盈亏],"&lt;0")</f>
        <v>87</v>
      </c>
      <c r="C4" s="29"/>
      <c r="D4" s="32" t="s">
        <v>7</v>
      </c>
      <c r="E4" s="31">
        <f ca="1">-B9/E8</f>
        <v>0.77641095009660654</v>
      </c>
      <c r="G4" s="2">
        <f>LOOKUP(999^10,表2_3671626293038912131415232425[累计净值])</f>
        <v>1.329</v>
      </c>
    </row>
    <row r="5" spans="1:7" x14ac:dyDescent="0.2">
      <c r="A5" s="25" t="s">
        <v>8</v>
      </c>
      <c r="B5" s="26">
        <f>B2-B3-B4</f>
        <v>6</v>
      </c>
      <c r="C5" s="29"/>
      <c r="D5" s="33" t="s">
        <v>9</v>
      </c>
      <c r="E5" s="4">
        <f>245^0.5*(B10-0.025/365)/E9</f>
        <v>0.71067509549474872</v>
      </c>
    </row>
    <row r="6" spans="1:7" ht="15" thickBot="1" x14ac:dyDescent="0.25">
      <c r="A6" s="34"/>
      <c r="B6" s="35"/>
      <c r="C6" s="35"/>
      <c r="D6" s="35"/>
      <c r="E6" s="36"/>
    </row>
    <row r="7" spans="1:7" ht="15" thickBot="1" x14ac:dyDescent="0.25">
      <c r="A7" s="5" t="s">
        <v>10</v>
      </c>
      <c r="B7" s="35"/>
      <c r="C7" s="35"/>
      <c r="D7" s="3" t="s">
        <v>11</v>
      </c>
      <c r="E7" s="37"/>
    </row>
    <row r="8" spans="1:7" x14ac:dyDescent="0.2">
      <c r="A8" s="38" t="s">
        <v>12</v>
      </c>
      <c r="B8" s="39">
        <f>LOOKUP(999^10,表2_3671626293038912131415232425[累计净值])/$B$21-1</f>
        <v>9.8347107438016446E-2</v>
      </c>
      <c r="C8" s="40"/>
      <c r="D8" s="30" t="s">
        <v>13</v>
      </c>
      <c r="E8" s="41">
        <f ca="1">MIN(表2_3671626293038912131415232425[最大回撤])</f>
        <v>-0.15439739413680775</v>
      </c>
    </row>
    <row r="9" spans="1:7" x14ac:dyDescent="0.2">
      <c r="A9" s="25" t="s">
        <v>14</v>
      </c>
      <c r="B9" s="32">
        <f>B8*245/B2</f>
        <v>0.11987582747419914</v>
      </c>
      <c r="C9" s="40"/>
      <c r="D9" s="33" t="s">
        <v>15</v>
      </c>
      <c r="E9" s="6">
        <f>STDEV(表2_3671626293038912131415232425[下跌幅度])</f>
        <v>1.1531009526504947E-2</v>
      </c>
    </row>
    <row r="10" spans="1:7" x14ac:dyDescent="0.2">
      <c r="A10" s="42" t="s">
        <v>16</v>
      </c>
      <c r="B10" s="43">
        <f>AVERAGE(表2_3671626293038912131415232425[每日盈亏])</f>
        <v>5.920398009950248E-4</v>
      </c>
      <c r="C10" s="44"/>
      <c r="D10" s="33" t="s">
        <v>17</v>
      </c>
      <c r="E10" s="6">
        <f>STDEV(表2_3671626293038912131415232425[每日盈亏])</f>
        <v>1.7644623439405212E-2</v>
      </c>
    </row>
    <row r="11" spans="1:7" x14ac:dyDescent="0.2">
      <c r="A11" s="7" t="s">
        <v>18</v>
      </c>
      <c r="B11" s="32">
        <f>B3/B2</f>
        <v>0.53731343283582089</v>
      </c>
      <c r="C11" s="40"/>
      <c r="D11" s="32" t="s">
        <v>19</v>
      </c>
      <c r="E11" s="41">
        <f>245^0.5*E10</f>
        <v>0.27618204213527336</v>
      </c>
    </row>
    <row r="12" spans="1:7" ht="15" thickBot="1" x14ac:dyDescent="0.25">
      <c r="A12" s="45" t="s">
        <v>20</v>
      </c>
      <c r="B12" s="46">
        <f>-(SUMIF(表2_3671626293038912131415232425[每日盈亏],"&gt;=0")/B3)/(SUMIF(表2_3671626293038912131415232425[每日盈亏],"&lt;0")/B4)</f>
        <v>0.87709369817578775</v>
      </c>
      <c r="C12" s="47"/>
      <c r="D12" s="48"/>
      <c r="E12" s="49"/>
    </row>
    <row r="14" spans="1:7" ht="28.5" x14ac:dyDescent="0.2">
      <c r="A14" s="50" t="s">
        <v>21</v>
      </c>
      <c r="B14" s="50" t="s">
        <v>14</v>
      </c>
      <c r="C14" s="51" t="s">
        <v>19</v>
      </c>
      <c r="D14" s="51" t="s">
        <v>13</v>
      </c>
      <c r="E14" s="51" t="s">
        <v>5</v>
      </c>
      <c r="F14" s="51" t="s">
        <v>7</v>
      </c>
    </row>
    <row r="15" spans="1:7" x14ac:dyDescent="0.2">
      <c r="A15" s="78">
        <f>B2</f>
        <v>201</v>
      </c>
      <c r="B15" s="53">
        <f>B9</f>
        <v>0.11987582747419914</v>
      </c>
      <c r="C15" s="53">
        <f>E11</f>
        <v>0.27618204213527336</v>
      </c>
      <c r="D15" s="53">
        <f ca="1">E8</f>
        <v>-0.15439739413680775</v>
      </c>
      <c r="E15" s="54">
        <f>E3</f>
        <v>0.46443616802263715</v>
      </c>
      <c r="F15" s="54">
        <f ca="1">E4</f>
        <v>0.77641095009660654</v>
      </c>
    </row>
    <row r="19" spans="1:7" x14ac:dyDescent="0.2">
      <c r="A19" s="8"/>
      <c r="B19" s="1" t="s">
        <v>22</v>
      </c>
    </row>
    <row r="20" spans="1:7" ht="15.75" x14ac:dyDescent="0.2">
      <c r="A20" s="22" t="s">
        <v>23</v>
      </c>
      <c r="B20" s="22" t="s">
        <v>24</v>
      </c>
      <c r="C20" s="22" t="s">
        <v>25</v>
      </c>
      <c r="D20" s="22" t="s">
        <v>26</v>
      </c>
      <c r="E20" s="22" t="s">
        <v>27</v>
      </c>
      <c r="F20" s="22" t="s">
        <v>28</v>
      </c>
      <c r="G20" s="22" t="s">
        <v>29</v>
      </c>
    </row>
    <row r="21" spans="1:7" x14ac:dyDescent="0.2">
      <c r="A21" s="15">
        <v>44029</v>
      </c>
      <c r="B21" s="16">
        <v>1.21</v>
      </c>
      <c r="C21" s="11">
        <f t="shared" ref="C21:C26" si="0">IFERROR(B21-B20,0)</f>
        <v>0</v>
      </c>
      <c r="D21" s="12" t="str">
        <f t="shared" ref="D21:D26" si="1">IF(C21&lt;0,C21,"/")</f>
        <v>/</v>
      </c>
      <c r="E21" s="12">
        <f ca="1">IF(表2_3671626293038912131415232425[[#This Row],[累计净值]]/MAX(INDIRECT("B21:B" &amp; ROW()))-1&lt;E20,表2_3671626293038912131415232425[[#This Row],[累计净值]]/MAX(INDIRECT("B21:B" &amp; ROW()))-1,E20)</f>
        <v>0</v>
      </c>
      <c r="F21" s="13">
        <f>表2_3671626293038912131415232425[[#This Row],[累计净值]]-0.21</f>
        <v>1</v>
      </c>
      <c r="G21" s="194" t="s">
        <v>30</v>
      </c>
    </row>
    <row r="22" spans="1:7" x14ac:dyDescent="0.2">
      <c r="A22" s="15">
        <v>44032</v>
      </c>
      <c r="B22" s="16">
        <v>1.2270000000000001</v>
      </c>
      <c r="C22" s="17">
        <f t="shared" si="0"/>
        <v>1.7000000000000126E-2</v>
      </c>
      <c r="D22" s="18" t="str">
        <f t="shared" si="1"/>
        <v>/</v>
      </c>
      <c r="E22" s="18">
        <f ca="1">IF(表2_3671626293038912131415232425[[#This Row],[累计净值]]/MAX(INDIRECT("B21:B" &amp; ROW()))-1&lt;E21,表2_3671626293038912131415232425[[#This Row],[累计净值]]/MAX(INDIRECT("B21:B" &amp; ROW()))-1,E21)</f>
        <v>0</v>
      </c>
      <c r="F22" s="19">
        <f>表2_3671626293038912131415232425[[#This Row],[累计净值]]-0.21</f>
        <v>1.0170000000000001</v>
      </c>
      <c r="G22" s="20">
        <f>表2_3671626293038912131415232425[[#This Row],[累计净值]]/$B$21-1</f>
        <v>1.4049586776859524E-2</v>
      </c>
    </row>
    <row r="23" spans="1:7" x14ac:dyDescent="0.2">
      <c r="A23" s="15">
        <v>44033</v>
      </c>
      <c r="B23" s="16">
        <v>1.258</v>
      </c>
      <c r="C23" s="73">
        <f t="shared" si="0"/>
        <v>3.0999999999999917E-2</v>
      </c>
      <c r="D23" s="18" t="str">
        <f t="shared" si="1"/>
        <v>/</v>
      </c>
      <c r="E23" s="18">
        <f ca="1">IF(表2_3671626293038912131415232425[[#This Row],[累计净值]]/MAX(INDIRECT("B21:B" &amp; ROW()))-1&lt;E22,表2_3671626293038912131415232425[[#This Row],[累计净值]]/MAX(INDIRECT("B21:B" &amp; ROW()))-1,E22)</f>
        <v>0</v>
      </c>
      <c r="F23" s="62">
        <f>表2_3671626293038912131415232425[[#This Row],[累计净值]]-0.21</f>
        <v>1.048</v>
      </c>
      <c r="G23" s="20">
        <f>表2_3671626293038912131415232425[[#This Row],[累计净值]]/$B$21-1</f>
        <v>3.966942148760344E-2</v>
      </c>
    </row>
    <row r="24" spans="1:7" x14ac:dyDescent="0.2">
      <c r="A24" s="15">
        <v>44034</v>
      </c>
      <c r="B24" s="16">
        <v>1.2330000000000001</v>
      </c>
      <c r="C24" s="73">
        <f t="shared" si="0"/>
        <v>-2.4999999999999911E-2</v>
      </c>
      <c r="D24" s="18">
        <f t="shared" si="1"/>
        <v>-2.4999999999999911E-2</v>
      </c>
      <c r="E24" s="18">
        <f ca="1">IF(表2_3671626293038912131415232425[[#This Row],[累计净值]]/MAX(INDIRECT("B21:B" &amp; ROW()))-1&lt;E23,表2_3671626293038912131415232425[[#This Row],[累计净值]]/MAX(INDIRECT("B21:B" &amp; ROW()))-1,E23)</f>
        <v>-1.9872813990460925E-2</v>
      </c>
      <c r="F24" s="62">
        <f>表2_3671626293038912131415232425[[#This Row],[累计净值]]-0.21</f>
        <v>1.0230000000000001</v>
      </c>
      <c r="G24" s="20">
        <f>表2_3671626293038912131415232425[[#This Row],[累计净值]]/$B$21-1</f>
        <v>1.9008264462810009E-2</v>
      </c>
    </row>
    <row r="25" spans="1:7" x14ac:dyDescent="0.2">
      <c r="A25" s="15">
        <v>44035</v>
      </c>
      <c r="B25" s="112">
        <v>1.258</v>
      </c>
      <c r="C25" s="108">
        <f t="shared" si="0"/>
        <v>2.4999999999999911E-2</v>
      </c>
      <c r="D25" s="109" t="str">
        <f t="shared" si="1"/>
        <v>/</v>
      </c>
      <c r="E25" s="109">
        <f ca="1">IF(表2_3671626293038912131415232425[[#This Row],[累计净值]]/MAX(INDIRECT("B21:B" &amp; ROW()))-1&lt;E24,表2_3671626293038912131415232425[[#This Row],[累计净值]]/MAX(INDIRECT("B21:B" &amp; ROW()))-1,E24)</f>
        <v>-1.9872813990460925E-2</v>
      </c>
      <c r="F25" s="110">
        <f>表2_3671626293038912131415232425[[#This Row],[累计净值]]-0.21</f>
        <v>1.048</v>
      </c>
      <c r="G25" s="20">
        <f>表2_3671626293038912131415232425[[#This Row],[累计净值]]/$B$21-1</f>
        <v>3.966942148760344E-2</v>
      </c>
    </row>
    <row r="26" spans="1:7" x14ac:dyDescent="0.2">
      <c r="A26" s="15">
        <v>44036</v>
      </c>
      <c r="B26" s="112">
        <v>1.202</v>
      </c>
      <c r="C26" s="108">
        <f t="shared" si="0"/>
        <v>-5.600000000000005E-2</v>
      </c>
      <c r="D26" s="109">
        <f t="shared" si="1"/>
        <v>-5.600000000000005E-2</v>
      </c>
      <c r="E26" s="109">
        <f ca="1">IF(表2_3671626293038912131415232425[[#This Row],[累计净值]]/MAX(INDIRECT("B21:B" &amp; ROW()))-1&lt;E25,表2_3671626293038912131415232425[[#This Row],[累计净值]]/MAX(INDIRECT("B21:B" &amp; ROW()))-1,E25)</f>
        <v>-4.4515103338632844E-2</v>
      </c>
      <c r="F26" s="110">
        <f>表2_3671626293038912131415232425[[#This Row],[累计净值]]-0.21</f>
        <v>0.99199999999999999</v>
      </c>
      <c r="G26" s="20">
        <f>表2_3671626293038912131415232425[[#This Row],[累计净值]]/$B$21-1</f>
        <v>-6.6115702479339067E-3</v>
      </c>
    </row>
    <row r="27" spans="1:7" x14ac:dyDescent="0.2">
      <c r="A27" s="15">
        <v>44039</v>
      </c>
      <c r="B27" s="112">
        <v>1.198</v>
      </c>
      <c r="C27" s="108">
        <f t="shared" ref="C27:C32" si="2">IFERROR(B27-B26,0)</f>
        <v>-4.0000000000000036E-3</v>
      </c>
      <c r="D27" s="109">
        <f t="shared" ref="D27:D32" si="3">IF(C27&lt;0,C27,"/")</f>
        <v>-4.0000000000000036E-3</v>
      </c>
      <c r="E27" s="109">
        <f ca="1">IF(表2_3671626293038912131415232425[[#This Row],[累计净值]]/MAX(INDIRECT("B21:B" &amp; ROW()))-1&lt;E26,表2_3671626293038912131415232425[[#This Row],[累计净值]]/MAX(INDIRECT("B21:B" &amp; ROW()))-1,E26)</f>
        <v>-4.7694753577106508E-2</v>
      </c>
      <c r="F27" s="110">
        <f>表2_3671626293038912131415232425[[#This Row],[累计净值]]-0.21</f>
        <v>0.98799999999999999</v>
      </c>
      <c r="G27" s="20">
        <f>表2_3671626293038912131415232425[[#This Row],[累计净值]]/$B$21-1</f>
        <v>-9.91735537190086E-3</v>
      </c>
    </row>
    <row r="28" spans="1:7" x14ac:dyDescent="0.2">
      <c r="A28" s="15">
        <v>44040</v>
      </c>
      <c r="B28" s="112">
        <v>1.2230000000000001</v>
      </c>
      <c r="C28" s="108">
        <f t="shared" si="2"/>
        <v>2.5000000000000133E-2</v>
      </c>
      <c r="D28" s="109" t="str">
        <f t="shared" si="3"/>
        <v>/</v>
      </c>
      <c r="E28" s="109">
        <f ca="1">IF(表2_3671626293038912131415232425[[#This Row],[累计净值]]/MAX(INDIRECT("B21:B" &amp; ROW()))-1&lt;E27,表2_3671626293038912131415232425[[#This Row],[累计净值]]/MAX(INDIRECT("B21:B" &amp; ROW()))-1,E27)</f>
        <v>-4.7694753577106508E-2</v>
      </c>
      <c r="F28" s="110">
        <f>表2_3671626293038912131415232425[[#This Row],[累计净值]]-0.21</f>
        <v>1.0130000000000001</v>
      </c>
      <c r="G28" s="20">
        <f>表2_3671626293038912131415232425[[#This Row],[累计净值]]/$B$21-1</f>
        <v>1.0743801652892682E-2</v>
      </c>
    </row>
    <row r="29" spans="1:7" x14ac:dyDescent="0.2">
      <c r="A29" s="15">
        <v>44041</v>
      </c>
      <c r="B29" s="112">
        <v>1.23</v>
      </c>
      <c r="C29" s="108">
        <f t="shared" si="2"/>
        <v>6.9999999999998952E-3</v>
      </c>
      <c r="D29" s="109" t="str">
        <f t="shared" si="3"/>
        <v>/</v>
      </c>
      <c r="E29" s="109">
        <f ca="1">IF(表2_3671626293038912131415232425[[#This Row],[累计净值]]/MAX(INDIRECT("B21:B" &amp; ROW()))-1&lt;E28,表2_3671626293038912131415232425[[#This Row],[累计净值]]/MAX(INDIRECT("B21:B" &amp; ROW()))-1,E28)</f>
        <v>-4.7694753577106508E-2</v>
      </c>
      <c r="F29" s="110">
        <f>表2_3671626293038912131415232425[[#This Row],[累计净值]]-0.21</f>
        <v>1.02</v>
      </c>
      <c r="G29" s="20">
        <f>表2_3671626293038912131415232425[[#This Row],[累计净值]]/$B$21-1</f>
        <v>1.6528925619834656E-2</v>
      </c>
    </row>
    <row r="30" spans="1:7" x14ac:dyDescent="0.2">
      <c r="A30" s="15">
        <v>44042</v>
      </c>
      <c r="B30" s="112">
        <v>1.2310000000000001</v>
      </c>
      <c r="C30" s="108">
        <f t="shared" si="2"/>
        <v>1.0000000000001119E-3</v>
      </c>
      <c r="D30" s="109" t="str">
        <f t="shared" si="3"/>
        <v>/</v>
      </c>
      <c r="E30" s="109">
        <f ca="1">IF(表2_3671626293038912131415232425[[#This Row],[累计净值]]/MAX(INDIRECT("B21:B" &amp; ROW()))-1&lt;E29,表2_3671626293038912131415232425[[#This Row],[累计净值]]/MAX(INDIRECT("B21:B" &amp; ROW()))-1,E29)</f>
        <v>-4.7694753577106508E-2</v>
      </c>
      <c r="F30" s="110">
        <f>表2_3671626293038912131415232425[[#This Row],[累计净值]]-0.21</f>
        <v>1.0210000000000001</v>
      </c>
      <c r="G30" s="20">
        <f>表2_3671626293038912131415232425[[#This Row],[累计净值]]/$B$21-1</f>
        <v>1.7355371900826588E-2</v>
      </c>
    </row>
    <row r="31" spans="1:7" x14ac:dyDescent="0.2">
      <c r="A31" s="15">
        <v>44043</v>
      </c>
      <c r="B31" s="112">
        <v>1.2330000000000001</v>
      </c>
      <c r="C31" s="108">
        <f t="shared" si="2"/>
        <v>2.0000000000000018E-3</v>
      </c>
      <c r="D31" s="109" t="str">
        <f t="shared" si="3"/>
        <v>/</v>
      </c>
      <c r="E31" s="109">
        <f ca="1">IF(表2_3671626293038912131415232425[[#This Row],[累计净值]]/MAX(INDIRECT("B21:B" &amp; ROW()))-1&lt;E30,表2_3671626293038912131415232425[[#This Row],[累计净值]]/MAX(INDIRECT("B21:B" &amp; ROW()))-1,E30)</f>
        <v>-4.7694753577106508E-2</v>
      </c>
      <c r="F31" s="110">
        <f>表2_3671626293038912131415232425[[#This Row],[累计净值]]-0.21</f>
        <v>1.0230000000000001</v>
      </c>
      <c r="G31" s="20">
        <f>表2_3671626293038912131415232425[[#This Row],[累计净值]]/$B$21-1</f>
        <v>1.9008264462810009E-2</v>
      </c>
    </row>
    <row r="32" spans="1:7" x14ac:dyDescent="0.2">
      <c r="A32" s="15">
        <v>44046</v>
      </c>
      <c r="B32" s="112">
        <v>1.252</v>
      </c>
      <c r="C32" s="108">
        <f t="shared" si="2"/>
        <v>1.8999999999999906E-2</v>
      </c>
      <c r="D32" s="109" t="str">
        <f t="shared" si="3"/>
        <v>/</v>
      </c>
      <c r="E32" s="109">
        <f ca="1">IF(表2_3671626293038912131415232425[[#This Row],[累计净值]]/MAX(INDIRECT("B21:B" &amp; ROW()))-1&lt;E31,表2_3671626293038912131415232425[[#This Row],[累计净值]]/MAX(INDIRECT("B21:B" &amp; ROW()))-1,E31)</f>
        <v>-4.7694753577106508E-2</v>
      </c>
      <c r="F32" s="110">
        <f>表2_3671626293038912131415232425[[#This Row],[累计净值]]-0.21</f>
        <v>1.042</v>
      </c>
      <c r="G32" s="20">
        <f>表2_3671626293038912131415232425[[#This Row],[累计净值]]/$B$21-1</f>
        <v>3.4710743801652955E-2</v>
      </c>
    </row>
    <row r="33" spans="1:7" x14ac:dyDescent="0.2">
      <c r="A33" s="15">
        <v>44047</v>
      </c>
      <c r="B33" s="112">
        <v>1.2729999999999999</v>
      </c>
      <c r="C33" s="108">
        <f t="shared" ref="C33:C38" si="4">IFERROR(B33-B32,0)</f>
        <v>2.0999999999999908E-2</v>
      </c>
      <c r="D33" s="109" t="str">
        <f t="shared" ref="D33:D38" si="5">IF(C33&lt;0,C33,"/")</f>
        <v>/</v>
      </c>
      <c r="E33" s="109">
        <f ca="1">IF(表2_3671626293038912131415232425[[#This Row],[累计净值]]/MAX(INDIRECT("B21:B" &amp; ROW()))-1&lt;E32,表2_3671626293038912131415232425[[#This Row],[累计净值]]/MAX(INDIRECT("B21:B" &amp; ROW()))-1,E32)</f>
        <v>-4.7694753577106508E-2</v>
      </c>
      <c r="F33" s="110">
        <f>表2_3671626293038912131415232425[[#This Row],[累计净值]]-0.21</f>
        <v>1.0629999999999999</v>
      </c>
      <c r="G33" s="20">
        <f>表2_3671626293038912131415232425[[#This Row],[累计净值]]/$B$21-1</f>
        <v>5.2066115702479321E-2</v>
      </c>
    </row>
    <row r="34" spans="1:7" x14ac:dyDescent="0.2">
      <c r="A34" s="15">
        <v>44048</v>
      </c>
      <c r="B34" s="112">
        <v>1.2769999999999999</v>
      </c>
      <c r="C34" s="108">
        <f t="shared" si="4"/>
        <v>4.0000000000000036E-3</v>
      </c>
      <c r="D34" s="109" t="str">
        <f t="shared" si="5"/>
        <v>/</v>
      </c>
      <c r="E34" s="109">
        <f ca="1">IF(表2_3671626293038912131415232425[[#This Row],[累计净值]]/MAX(INDIRECT("B21:B" &amp; ROW()))-1&lt;E33,表2_3671626293038912131415232425[[#This Row],[累计净值]]/MAX(INDIRECT("B21:B" &amp; ROW()))-1,E33)</f>
        <v>-4.7694753577106508E-2</v>
      </c>
      <c r="F34" s="110">
        <f>表2_3671626293038912131415232425[[#This Row],[累计净值]]-0.21</f>
        <v>1.0669999999999999</v>
      </c>
      <c r="G34" s="20">
        <f>表2_3671626293038912131415232425[[#This Row],[累计净值]]/$B$21-1</f>
        <v>5.5371900826446163E-2</v>
      </c>
    </row>
    <row r="35" spans="1:7" x14ac:dyDescent="0.2">
      <c r="A35" s="15">
        <v>44049</v>
      </c>
      <c r="B35" s="112">
        <v>1.2669999999999999</v>
      </c>
      <c r="C35" s="108">
        <f t="shared" si="4"/>
        <v>-1.0000000000000009E-2</v>
      </c>
      <c r="D35" s="109">
        <f t="shared" si="5"/>
        <v>-1.0000000000000009E-2</v>
      </c>
      <c r="E35" s="109">
        <f ca="1">IF(表2_3671626293038912131415232425[[#This Row],[累计净值]]/MAX(INDIRECT("B21:B" &amp; ROW()))-1&lt;E34,表2_3671626293038912131415232425[[#This Row],[累计净值]]/MAX(INDIRECT("B21:B" &amp; ROW()))-1,E34)</f>
        <v>-4.7694753577106508E-2</v>
      </c>
      <c r="F35" s="110">
        <f>表2_3671626293038912131415232425[[#This Row],[累计净值]]-0.21</f>
        <v>1.0569999999999999</v>
      </c>
      <c r="G35" s="20">
        <f>表2_3671626293038912131415232425[[#This Row],[累计净值]]/$B$21-1</f>
        <v>4.7107438016528835E-2</v>
      </c>
    </row>
    <row r="36" spans="1:7" x14ac:dyDescent="0.2">
      <c r="A36" s="15">
        <v>44050</v>
      </c>
      <c r="B36" s="112">
        <v>1.25</v>
      </c>
      <c r="C36" s="108">
        <f t="shared" si="4"/>
        <v>-1.6999999999999904E-2</v>
      </c>
      <c r="D36" s="109">
        <f t="shared" si="5"/>
        <v>-1.6999999999999904E-2</v>
      </c>
      <c r="E36" s="109">
        <f ca="1">IF(表2_3671626293038912131415232425[[#This Row],[累计净值]]/MAX(INDIRECT("B21:B" &amp; ROW()))-1&lt;E35,表2_3671626293038912131415232425[[#This Row],[累计净值]]/MAX(INDIRECT("B21:B" &amp; ROW()))-1,E35)</f>
        <v>-4.7694753577106508E-2</v>
      </c>
      <c r="F36" s="110">
        <f>表2_3671626293038912131415232425[[#This Row],[累计净值]]-0.21</f>
        <v>1.04</v>
      </c>
      <c r="G36" s="20">
        <f>表2_3671626293038912131415232425[[#This Row],[累计净值]]/$B$21-1</f>
        <v>3.3057851239669533E-2</v>
      </c>
    </row>
    <row r="37" spans="1:7" x14ac:dyDescent="0.2">
      <c r="A37" s="15">
        <v>44053</v>
      </c>
      <c r="B37" s="112">
        <v>1.242</v>
      </c>
      <c r="C37" s="108">
        <f t="shared" si="4"/>
        <v>-8.0000000000000071E-3</v>
      </c>
      <c r="D37" s="109">
        <f t="shared" si="5"/>
        <v>-8.0000000000000071E-3</v>
      </c>
      <c r="E37" s="109">
        <f ca="1">IF(表2_3671626293038912131415232425[[#This Row],[累计净值]]/MAX(INDIRECT("B21:B" &amp; ROW()))-1&lt;E36,表2_3671626293038912131415232425[[#This Row],[累计净值]]/MAX(INDIRECT("B21:B" &amp; ROW()))-1,E36)</f>
        <v>-4.7694753577106508E-2</v>
      </c>
      <c r="F37" s="110">
        <f>表2_3671626293038912131415232425[[#This Row],[累计净值]]-0.21</f>
        <v>1.032</v>
      </c>
      <c r="G37" s="20">
        <f>表2_3671626293038912131415232425[[#This Row],[累计净值]]/$B$21-1</f>
        <v>2.6446280991735627E-2</v>
      </c>
    </row>
    <row r="38" spans="1:7" x14ac:dyDescent="0.2">
      <c r="A38" s="15">
        <v>44054</v>
      </c>
      <c r="B38" s="112">
        <v>1.2470000000000001</v>
      </c>
      <c r="C38" s="108">
        <f t="shared" si="4"/>
        <v>5.0000000000001155E-3</v>
      </c>
      <c r="D38" s="109" t="str">
        <f t="shared" si="5"/>
        <v>/</v>
      </c>
      <c r="E38" s="109">
        <f ca="1">IF(表2_3671626293038912131415232425[[#This Row],[累计净值]]/MAX(INDIRECT("B21:B" &amp; ROW()))-1&lt;E37,表2_3671626293038912131415232425[[#This Row],[累计净值]]/MAX(INDIRECT("B21:B" &amp; ROW()))-1,E37)</f>
        <v>-4.7694753577106508E-2</v>
      </c>
      <c r="F38" s="110">
        <f>表2_3671626293038912131415232425[[#This Row],[累计净值]]-0.21</f>
        <v>1.0370000000000001</v>
      </c>
      <c r="G38" s="20">
        <f>表2_3671626293038912131415232425[[#This Row],[累计净值]]/$B$21-1</f>
        <v>3.0578512396694402E-2</v>
      </c>
    </row>
    <row r="39" spans="1:7" x14ac:dyDescent="0.2">
      <c r="A39" s="15">
        <v>44055</v>
      </c>
      <c r="B39" s="112">
        <v>1.23</v>
      </c>
      <c r="C39" s="108">
        <f t="shared" ref="C39:C44" si="6">IFERROR(B39-B38,0)</f>
        <v>-1.7000000000000126E-2</v>
      </c>
      <c r="D39" s="109">
        <f t="shared" ref="D39:D44" si="7">IF(C39&lt;0,C39,"/")</f>
        <v>-1.7000000000000126E-2</v>
      </c>
      <c r="E39" s="109">
        <f ca="1">IF(表2_3671626293038912131415232425[[#This Row],[累计净值]]/MAX(INDIRECT("B21:B" &amp; ROW()))-1&lt;E38,表2_3671626293038912131415232425[[#This Row],[累计净值]]/MAX(INDIRECT("B21:B" &amp; ROW()))-1,E38)</f>
        <v>-4.7694753577106508E-2</v>
      </c>
      <c r="F39" s="110">
        <f>表2_3671626293038912131415232425[[#This Row],[累计净值]]-0.21</f>
        <v>1.02</v>
      </c>
      <c r="G39" s="20">
        <f>表2_3671626293038912131415232425[[#This Row],[累计净值]]/$B$21-1</f>
        <v>1.6528925619834656E-2</v>
      </c>
    </row>
    <row r="40" spans="1:7" x14ac:dyDescent="0.2">
      <c r="A40" s="15">
        <v>44056</v>
      </c>
      <c r="B40" s="112">
        <v>1.228</v>
      </c>
      <c r="C40" s="108">
        <f t="shared" si="6"/>
        <v>-2.0000000000000018E-3</v>
      </c>
      <c r="D40" s="109">
        <f t="shared" si="7"/>
        <v>-2.0000000000000018E-3</v>
      </c>
      <c r="E40" s="109">
        <f ca="1">IF(表2_3671626293038912131415232425[[#This Row],[累计净值]]/MAX(INDIRECT("B21:B" &amp; ROW()))-1&lt;E39,表2_3671626293038912131415232425[[#This Row],[累计净值]]/MAX(INDIRECT("B21:B" &amp; ROW()))-1,E39)</f>
        <v>-4.7694753577106508E-2</v>
      </c>
      <c r="F40" s="110">
        <f>表2_3671626293038912131415232425[[#This Row],[累计净值]]-0.21</f>
        <v>1.018</v>
      </c>
      <c r="G40" s="20">
        <f>表2_3671626293038912131415232425[[#This Row],[累计净值]]/$B$21-1</f>
        <v>1.4876033057851235E-2</v>
      </c>
    </row>
    <row r="41" spans="1:7" x14ac:dyDescent="0.2">
      <c r="A41" s="15">
        <v>44057</v>
      </c>
      <c r="B41" s="112">
        <v>1.248</v>
      </c>
      <c r="C41" s="108">
        <f t="shared" si="6"/>
        <v>2.0000000000000018E-2</v>
      </c>
      <c r="D41" s="109" t="str">
        <f t="shared" si="7"/>
        <v>/</v>
      </c>
      <c r="E41" s="109">
        <f ca="1">IF(表2_3671626293038912131415232425[[#This Row],[累计净值]]/MAX(INDIRECT("B21:B" &amp; ROW()))-1&lt;E40,表2_3671626293038912131415232425[[#This Row],[累计净值]]/MAX(INDIRECT("B21:B" &amp; ROW()))-1,E40)</f>
        <v>-4.7694753577106508E-2</v>
      </c>
      <c r="F41" s="110">
        <f>表2_3671626293038912131415232425[[#This Row],[累计净值]]-0.21</f>
        <v>1.038</v>
      </c>
      <c r="G41" s="20">
        <f>表2_3671626293038912131415232425[[#This Row],[累计净值]]/$B$21-1</f>
        <v>3.140495867768589E-2</v>
      </c>
    </row>
    <row r="42" spans="1:7" x14ac:dyDescent="0.2">
      <c r="A42" s="15">
        <v>44060</v>
      </c>
      <c r="B42" s="112">
        <v>1.2529999999999999</v>
      </c>
      <c r="C42" s="108">
        <f t="shared" si="6"/>
        <v>4.9999999999998934E-3</v>
      </c>
      <c r="D42" s="109" t="str">
        <f t="shared" si="7"/>
        <v>/</v>
      </c>
      <c r="E42" s="109">
        <f ca="1">IF(表2_3671626293038912131415232425[[#This Row],[累计净值]]/MAX(INDIRECT("B21:B" &amp; ROW()))-1&lt;E41,表2_3671626293038912131415232425[[#This Row],[累计净值]]/MAX(INDIRECT("B21:B" &amp; ROW()))-1,E41)</f>
        <v>-4.7694753577106508E-2</v>
      </c>
      <c r="F42" s="110">
        <f>表2_3671626293038912131415232425[[#This Row],[累计净值]]-0.21</f>
        <v>1.0429999999999999</v>
      </c>
      <c r="G42" s="20">
        <f>表2_3671626293038912131415232425[[#This Row],[累计净值]]/$B$21-1</f>
        <v>3.5537190082644665E-2</v>
      </c>
    </row>
    <row r="43" spans="1:7" x14ac:dyDescent="0.2">
      <c r="A43" s="15">
        <v>44061</v>
      </c>
      <c r="B43" s="112">
        <v>1.2669999999999999</v>
      </c>
      <c r="C43" s="108">
        <f t="shared" si="6"/>
        <v>1.4000000000000012E-2</v>
      </c>
      <c r="D43" s="109" t="str">
        <f t="shared" si="7"/>
        <v>/</v>
      </c>
      <c r="E43" s="109">
        <f ca="1">IF(表2_3671626293038912131415232425[[#This Row],[累计净值]]/MAX(INDIRECT("B21:B" &amp; ROW()))-1&lt;E42,表2_3671626293038912131415232425[[#This Row],[累计净值]]/MAX(INDIRECT("B21:B" &amp; ROW()))-1,E42)</f>
        <v>-4.7694753577106508E-2</v>
      </c>
      <c r="F43" s="110">
        <f>表2_3671626293038912131415232425[[#This Row],[累计净值]]-0.21</f>
        <v>1.0569999999999999</v>
      </c>
      <c r="G43" s="20">
        <f>表2_3671626293038912131415232425[[#This Row],[累计净值]]/$B$21-1</f>
        <v>4.7107438016528835E-2</v>
      </c>
    </row>
    <row r="44" spans="1:7" x14ac:dyDescent="0.2">
      <c r="A44" s="15">
        <v>44062</v>
      </c>
      <c r="B44" s="112">
        <v>1.248</v>
      </c>
      <c r="C44" s="108">
        <f t="shared" si="6"/>
        <v>-1.8999999999999906E-2</v>
      </c>
      <c r="D44" s="109">
        <f t="shared" si="7"/>
        <v>-1.8999999999999906E-2</v>
      </c>
      <c r="E44" s="109">
        <f ca="1">IF(表2_3671626293038912131415232425[[#This Row],[累计净值]]/MAX(INDIRECT("B21:B" &amp; ROW()))-1&lt;E43,表2_3671626293038912131415232425[[#This Row],[累计净值]]/MAX(INDIRECT("B21:B" &amp; ROW()))-1,E43)</f>
        <v>-4.7694753577106508E-2</v>
      </c>
      <c r="F44" s="110">
        <f>表2_3671626293038912131415232425[[#This Row],[累计净值]]-0.21</f>
        <v>1.038</v>
      </c>
      <c r="G44" s="20">
        <f>表2_3671626293038912131415232425[[#This Row],[累计净值]]/$B$21-1</f>
        <v>3.140495867768589E-2</v>
      </c>
    </row>
    <row r="45" spans="1:7" x14ac:dyDescent="0.2">
      <c r="A45" s="15">
        <v>44063</v>
      </c>
      <c r="B45" s="112">
        <v>1.2370000000000001</v>
      </c>
      <c r="C45" s="108">
        <f t="shared" ref="C45:C50" si="8">IFERROR(B45-B44,0)</f>
        <v>-1.0999999999999899E-2</v>
      </c>
      <c r="D45" s="109">
        <f t="shared" ref="D45:D50" si="9">IF(C45&lt;0,C45,"/")</f>
        <v>-1.0999999999999899E-2</v>
      </c>
      <c r="E45" s="109">
        <f ca="1">IF(表2_3671626293038912131415232425[[#This Row],[累计净值]]/MAX(INDIRECT("B21:B" &amp; ROW()))-1&lt;E44,表2_3671626293038912131415232425[[#This Row],[累计净值]]/MAX(INDIRECT("B21:B" &amp; ROW()))-1,E44)</f>
        <v>-4.7694753577106508E-2</v>
      </c>
      <c r="F45" s="110">
        <f>表2_3671626293038912131415232425[[#This Row],[累计净值]]-0.21</f>
        <v>1.0270000000000001</v>
      </c>
      <c r="G45" s="20">
        <f>表2_3671626293038912131415232425[[#This Row],[累计净值]]/$B$21-1</f>
        <v>2.2314049586777074E-2</v>
      </c>
    </row>
    <row r="46" spans="1:7" x14ac:dyDescent="0.2">
      <c r="A46" s="15">
        <v>44064</v>
      </c>
      <c r="B46" s="112">
        <v>1.258</v>
      </c>
      <c r="C46" s="108">
        <f t="shared" si="8"/>
        <v>2.0999999999999908E-2</v>
      </c>
      <c r="D46" s="109" t="str">
        <f t="shared" si="9"/>
        <v>/</v>
      </c>
      <c r="E46" s="109">
        <f ca="1">IF(表2_3671626293038912131415232425[[#This Row],[累计净值]]/MAX(INDIRECT("B21:B" &amp; ROW()))-1&lt;E45,表2_3671626293038912131415232425[[#This Row],[累计净值]]/MAX(INDIRECT("B21:B" &amp; ROW()))-1,E45)</f>
        <v>-4.7694753577106508E-2</v>
      </c>
      <c r="F46" s="110">
        <f>表2_3671626293038912131415232425[[#This Row],[累计净值]]-0.21</f>
        <v>1.048</v>
      </c>
      <c r="G46" s="20">
        <f>表2_3671626293038912131415232425[[#This Row],[累计净值]]/$B$21-1</f>
        <v>3.966942148760344E-2</v>
      </c>
    </row>
    <row r="47" spans="1:7" x14ac:dyDescent="0.2">
      <c r="A47" s="15">
        <v>44067</v>
      </c>
      <c r="B47" s="112">
        <v>1.2949999999999999</v>
      </c>
      <c r="C47" s="108">
        <f t="shared" si="8"/>
        <v>3.6999999999999922E-2</v>
      </c>
      <c r="D47" s="109" t="str">
        <f t="shared" si="9"/>
        <v>/</v>
      </c>
      <c r="E47" s="109">
        <f ca="1">IF(表2_3671626293038912131415232425[[#This Row],[累计净值]]/MAX(INDIRECT("B21:B" &amp; ROW()))-1&lt;E46,表2_3671626293038912131415232425[[#This Row],[累计净值]]/MAX(INDIRECT("B21:B" &amp; ROW()))-1,E46)</f>
        <v>-4.7694753577106508E-2</v>
      </c>
      <c r="F47" s="110">
        <f>表2_3671626293038912131415232425[[#This Row],[累计净值]]-0.21</f>
        <v>1.085</v>
      </c>
      <c r="G47" s="20">
        <f>表2_3671626293038912131415232425[[#This Row],[累计净值]]/$B$21-1</f>
        <v>7.0247933884297398E-2</v>
      </c>
    </row>
    <row r="48" spans="1:7" x14ac:dyDescent="0.2">
      <c r="A48" s="15">
        <v>44068</v>
      </c>
      <c r="B48" s="112">
        <v>1.294</v>
      </c>
      <c r="C48" s="108">
        <f t="shared" si="8"/>
        <v>-9.9999999999988987E-4</v>
      </c>
      <c r="D48" s="109">
        <f t="shared" si="9"/>
        <v>-9.9999999999988987E-4</v>
      </c>
      <c r="E48" s="109">
        <f ca="1">IF(表2_3671626293038912131415232425[[#This Row],[累计净值]]/MAX(INDIRECT("B21:B" &amp; ROW()))-1&lt;E47,表2_3671626293038912131415232425[[#This Row],[累计净值]]/MAX(INDIRECT("B21:B" &amp; ROW()))-1,E47)</f>
        <v>-4.7694753577106508E-2</v>
      </c>
      <c r="F48" s="110">
        <f>表2_3671626293038912131415232425[[#This Row],[累计净值]]-0.21</f>
        <v>1.0840000000000001</v>
      </c>
      <c r="G48" s="20">
        <f>表2_3671626293038912131415232425[[#This Row],[累计净值]]/$B$21-1</f>
        <v>6.9421487603305909E-2</v>
      </c>
    </row>
    <row r="49" spans="1:7" x14ac:dyDescent="0.2">
      <c r="A49" s="15">
        <v>44069</v>
      </c>
      <c r="B49" s="112">
        <v>1.2969999999999999</v>
      </c>
      <c r="C49" s="108">
        <f t="shared" si="8"/>
        <v>2.9999999999998916E-3</v>
      </c>
      <c r="D49" s="109" t="str">
        <f t="shared" si="9"/>
        <v>/</v>
      </c>
      <c r="E49" s="109">
        <f ca="1">IF(表2_3671626293038912131415232425[[#This Row],[累计净值]]/MAX(INDIRECT("B21:B" &amp; ROW()))-1&lt;E48,表2_3671626293038912131415232425[[#This Row],[累计净值]]/MAX(INDIRECT("B21:B" &amp; ROW()))-1,E48)</f>
        <v>-4.7694753577106508E-2</v>
      </c>
      <c r="F49" s="110">
        <f>表2_3671626293038912131415232425[[#This Row],[累计净值]]-0.21</f>
        <v>1.087</v>
      </c>
      <c r="G49" s="20">
        <f>表2_3671626293038912131415232425[[#This Row],[累计净值]]/$B$21-1</f>
        <v>7.1900826446281041E-2</v>
      </c>
    </row>
    <row r="50" spans="1:7" x14ac:dyDescent="0.2">
      <c r="A50" s="15">
        <v>44070</v>
      </c>
      <c r="B50" s="112">
        <v>1.3109999999999999</v>
      </c>
      <c r="C50" s="108">
        <f t="shared" si="8"/>
        <v>1.4000000000000012E-2</v>
      </c>
      <c r="D50" s="109" t="str">
        <f t="shared" si="9"/>
        <v>/</v>
      </c>
      <c r="E50" s="109">
        <f ca="1">IF(表2_3671626293038912131415232425[[#This Row],[累计净值]]/MAX(INDIRECT("B21:B" &amp; ROW()))-1&lt;E49,表2_3671626293038912131415232425[[#This Row],[累计净值]]/MAX(INDIRECT("B21:B" &amp; ROW()))-1,E49)</f>
        <v>-4.7694753577106508E-2</v>
      </c>
      <c r="F50" s="110">
        <f>表2_3671626293038912131415232425[[#This Row],[累计净值]]-0.21</f>
        <v>1.101</v>
      </c>
      <c r="G50" s="20">
        <f>表2_3671626293038912131415232425[[#This Row],[累计净值]]/$B$21-1</f>
        <v>8.3471074380165211E-2</v>
      </c>
    </row>
    <row r="51" spans="1:7" x14ac:dyDescent="0.2">
      <c r="A51" s="15">
        <v>44071</v>
      </c>
      <c r="B51" s="112">
        <v>1.3149999999999999</v>
      </c>
      <c r="C51" s="108">
        <f t="shared" ref="C51:C56" si="10">IFERROR(B51-B50,0)</f>
        <v>4.0000000000000036E-3</v>
      </c>
      <c r="D51" s="109" t="str">
        <f t="shared" ref="D51:D56" si="11">IF(C51&lt;0,C51,"/")</f>
        <v>/</v>
      </c>
      <c r="E51" s="109">
        <f ca="1">IF(表2_3671626293038912131415232425[[#This Row],[累计净值]]/MAX(INDIRECT("B21:B" &amp; ROW()))-1&lt;E50,表2_3671626293038912131415232425[[#This Row],[累计净值]]/MAX(INDIRECT("B21:B" &amp; ROW()))-1,E50)</f>
        <v>-4.7694753577106508E-2</v>
      </c>
      <c r="F51" s="110">
        <f>表2_3671626293038912131415232425[[#This Row],[累计净值]]-0.21</f>
        <v>1.105</v>
      </c>
      <c r="G51" s="20">
        <f>表2_3671626293038912131415232425[[#This Row],[累计净值]]/$B$21-1</f>
        <v>8.6776859504132275E-2</v>
      </c>
    </row>
    <row r="52" spans="1:7" x14ac:dyDescent="0.2">
      <c r="A52" s="15">
        <v>44074</v>
      </c>
      <c r="B52" s="112">
        <v>1.294</v>
      </c>
      <c r="C52" s="108">
        <f t="shared" si="10"/>
        <v>-2.0999999999999908E-2</v>
      </c>
      <c r="D52" s="109">
        <f t="shared" si="11"/>
        <v>-2.0999999999999908E-2</v>
      </c>
      <c r="E52" s="109">
        <f ca="1">IF(表2_3671626293038912131415232425[[#This Row],[累计净值]]/MAX(INDIRECT("B21:B" &amp; ROW()))-1&lt;E51,表2_3671626293038912131415232425[[#This Row],[累计净值]]/MAX(INDIRECT("B21:B" &amp; ROW()))-1,E51)</f>
        <v>-4.7694753577106508E-2</v>
      </c>
      <c r="F52" s="110">
        <f>表2_3671626293038912131415232425[[#This Row],[累计净值]]-0.21</f>
        <v>1.0840000000000001</v>
      </c>
      <c r="G52" s="20">
        <f>表2_3671626293038912131415232425[[#This Row],[累计净值]]/$B$21-1</f>
        <v>6.9421487603305909E-2</v>
      </c>
    </row>
    <row r="53" spans="1:7" x14ac:dyDescent="0.2">
      <c r="A53" s="15">
        <v>44075</v>
      </c>
      <c r="B53" s="112">
        <v>1.3089999999999999</v>
      </c>
      <c r="C53" s="108">
        <f t="shared" si="10"/>
        <v>1.4999999999999902E-2</v>
      </c>
      <c r="D53" s="109" t="str">
        <f t="shared" si="11"/>
        <v>/</v>
      </c>
      <c r="E53" s="109">
        <f ca="1">IF(表2_3671626293038912131415232425[[#This Row],[累计净值]]/MAX(INDIRECT("B21:B" &amp; ROW()))-1&lt;E52,表2_3671626293038912131415232425[[#This Row],[累计净值]]/MAX(INDIRECT("B21:B" &amp; ROW()))-1,E52)</f>
        <v>-4.7694753577106508E-2</v>
      </c>
      <c r="F53" s="110">
        <f>表2_3671626293038912131415232425[[#This Row],[累计净值]]-0.21</f>
        <v>1.099</v>
      </c>
      <c r="G53" s="20">
        <f>表2_3671626293038912131415232425[[#This Row],[累计净值]]/$B$21-1</f>
        <v>8.181818181818179E-2</v>
      </c>
    </row>
    <row r="54" spans="1:7" x14ac:dyDescent="0.2">
      <c r="A54" s="15">
        <v>44076</v>
      </c>
      <c r="B54" s="117">
        <v>1.321</v>
      </c>
      <c r="C54" s="108">
        <f t="shared" si="10"/>
        <v>1.2000000000000011E-2</v>
      </c>
      <c r="D54" s="109" t="str">
        <f t="shared" si="11"/>
        <v>/</v>
      </c>
      <c r="E54" s="109">
        <f ca="1">IF(表2_3671626293038912131415232425[[#This Row],[累计净值]]/MAX(INDIRECT("B21:B" &amp; ROW()))-1&lt;E53,表2_3671626293038912131415232425[[#This Row],[累计净值]]/MAX(INDIRECT("B21:B" &amp; ROW()))-1,E53)</f>
        <v>-4.7694753577106508E-2</v>
      </c>
      <c r="F54" s="110">
        <f>表2_3671626293038912131415232425[[#This Row],[累计净值]]-0.21</f>
        <v>1.111</v>
      </c>
      <c r="G54" s="20">
        <f>表2_3671626293038912131415232425[[#This Row],[累计净值]]/$B$21-1</f>
        <v>9.1735537190082539E-2</v>
      </c>
    </row>
    <row r="55" spans="1:7" x14ac:dyDescent="0.2">
      <c r="A55" s="15">
        <v>44077</v>
      </c>
      <c r="B55" s="112">
        <v>1.2969999999999999</v>
      </c>
      <c r="C55" s="108">
        <f t="shared" si="10"/>
        <v>-2.4000000000000021E-2</v>
      </c>
      <c r="D55" s="109">
        <f t="shared" si="11"/>
        <v>-2.4000000000000021E-2</v>
      </c>
      <c r="E55" s="109">
        <f ca="1">IF(表2_3671626293038912131415232425[[#This Row],[累计净值]]/MAX(INDIRECT("B21:B" &amp; ROW()))-1&lt;E54,表2_3671626293038912131415232425[[#This Row],[累计净值]]/MAX(INDIRECT("B21:B" &amp; ROW()))-1,E54)</f>
        <v>-4.7694753577106508E-2</v>
      </c>
      <c r="F55" s="110">
        <f>表2_3671626293038912131415232425[[#This Row],[累计净值]]-0.21</f>
        <v>1.087</v>
      </c>
      <c r="G55" s="20">
        <f>表2_3671626293038912131415232425[[#This Row],[累计净值]]/$B$21-1</f>
        <v>7.1900826446281041E-2</v>
      </c>
    </row>
    <row r="56" spans="1:7" x14ac:dyDescent="0.2">
      <c r="A56" s="15">
        <v>44078</v>
      </c>
      <c r="B56" s="112">
        <v>1.28</v>
      </c>
      <c r="C56" s="108">
        <f t="shared" si="10"/>
        <v>-1.6999999999999904E-2</v>
      </c>
      <c r="D56" s="109">
        <f t="shared" si="11"/>
        <v>-1.6999999999999904E-2</v>
      </c>
      <c r="E56" s="109">
        <f ca="1">IF(表2_3671626293038912131415232425[[#This Row],[累计净值]]/MAX(INDIRECT("B21:B" &amp; ROW()))-1&lt;E55,表2_3671626293038912131415232425[[#This Row],[累计净值]]/MAX(INDIRECT("B21:B" &amp; ROW()))-1,E55)</f>
        <v>-4.7694753577106508E-2</v>
      </c>
      <c r="F56" s="110">
        <f>表2_3671626293038912131415232425[[#This Row],[累计净值]]-0.21</f>
        <v>1.07</v>
      </c>
      <c r="G56" s="20">
        <f>表2_3671626293038912131415232425[[#This Row],[累计净值]]/$B$21-1</f>
        <v>5.7851239669421517E-2</v>
      </c>
    </row>
    <row r="57" spans="1:7" x14ac:dyDescent="0.2">
      <c r="A57" s="15">
        <v>44081</v>
      </c>
      <c r="B57" s="112">
        <v>1.2569999999999999</v>
      </c>
      <c r="C57" s="108">
        <f t="shared" ref="C57:C62" si="12">IFERROR(B57-B56,0)</f>
        <v>-2.3000000000000131E-2</v>
      </c>
      <c r="D57" s="109">
        <f t="shared" ref="D57:D62" si="13">IF(C57&lt;0,C57,"/")</f>
        <v>-2.3000000000000131E-2</v>
      </c>
      <c r="E57" s="109">
        <f ca="1">IF(表2_3671626293038912131415232425[[#This Row],[累计净值]]/MAX(INDIRECT("B21:B" &amp; ROW()))-1&lt;E56,表2_3671626293038912131415232425[[#This Row],[累计净值]]/MAX(INDIRECT("B21:B" &amp; ROW()))-1,E56)</f>
        <v>-4.8448145344436089E-2</v>
      </c>
      <c r="F57" s="110">
        <f>表2_3671626293038912131415232425[[#This Row],[累计净值]]-0.21</f>
        <v>1.0469999999999999</v>
      </c>
      <c r="G57" s="20">
        <f>表2_3671626293038912131415232425[[#This Row],[累计净值]]/$B$21-1</f>
        <v>3.8842975206611507E-2</v>
      </c>
    </row>
    <row r="58" spans="1:7" x14ac:dyDescent="0.2">
      <c r="A58" s="15">
        <v>44082</v>
      </c>
      <c r="B58" s="112">
        <v>1.252</v>
      </c>
      <c r="C58" s="108">
        <f t="shared" si="12"/>
        <v>-4.9999999999998934E-3</v>
      </c>
      <c r="D58" s="109">
        <f t="shared" si="13"/>
        <v>-4.9999999999998934E-3</v>
      </c>
      <c r="E58" s="109">
        <f ca="1">IF(表2_3671626293038912131415232425[[#This Row],[累计净值]]/MAX(INDIRECT("B21:B" &amp; ROW()))-1&lt;E57,表2_3671626293038912131415232425[[#This Row],[累计净值]]/MAX(INDIRECT("B21:B" &amp; ROW()))-1,E57)</f>
        <v>-5.223315669947004E-2</v>
      </c>
      <c r="F58" s="110">
        <f>表2_3671626293038912131415232425[[#This Row],[累计净值]]-0.21</f>
        <v>1.042</v>
      </c>
      <c r="G58" s="20">
        <f>表2_3671626293038912131415232425[[#This Row],[累计净值]]/$B$21-1</f>
        <v>3.4710743801652955E-2</v>
      </c>
    </row>
    <row r="59" spans="1:7" x14ac:dyDescent="0.2">
      <c r="A59" s="15">
        <v>44083</v>
      </c>
      <c r="B59" s="112">
        <v>1.234</v>
      </c>
      <c r="C59" s="108">
        <f t="shared" si="12"/>
        <v>-1.8000000000000016E-2</v>
      </c>
      <c r="D59" s="109">
        <f t="shared" si="13"/>
        <v>-1.8000000000000016E-2</v>
      </c>
      <c r="E59" s="109">
        <f ca="1">IF(表2_3671626293038912131415232425[[#This Row],[累计净值]]/MAX(INDIRECT("B21:B" &amp; ROW()))-1&lt;E58,表2_3671626293038912131415232425[[#This Row],[累计净值]]/MAX(INDIRECT("B21:B" &amp; ROW()))-1,E58)</f>
        <v>-6.5859197577592732E-2</v>
      </c>
      <c r="F59" s="110">
        <f>表2_3671626293038912131415232425[[#This Row],[累计净值]]-0.21</f>
        <v>1.024</v>
      </c>
      <c r="G59" s="20">
        <f>表2_3671626293038912131415232425[[#This Row],[累计净值]]/$B$21-1</f>
        <v>1.983471074380172E-2</v>
      </c>
    </row>
    <row r="60" spans="1:7" x14ac:dyDescent="0.2">
      <c r="A60" s="15">
        <v>44084</v>
      </c>
      <c r="B60" s="112">
        <v>1.2370000000000001</v>
      </c>
      <c r="C60" s="108">
        <f t="shared" si="12"/>
        <v>3.0000000000001137E-3</v>
      </c>
      <c r="D60" s="109" t="str">
        <f t="shared" si="13"/>
        <v>/</v>
      </c>
      <c r="E60" s="109">
        <f ca="1">IF(表2_3671626293038912131415232425[[#This Row],[累计净值]]/MAX(INDIRECT("B21:B" &amp; ROW()))-1&lt;E59,表2_3671626293038912131415232425[[#This Row],[累计净值]]/MAX(INDIRECT("B21:B" &amp; ROW()))-1,E59)</f>
        <v>-6.5859197577592732E-2</v>
      </c>
      <c r="F60" s="110">
        <f>表2_3671626293038912131415232425[[#This Row],[累计净值]]-0.21</f>
        <v>1.0270000000000001</v>
      </c>
      <c r="G60" s="20">
        <f>表2_3671626293038912131415232425[[#This Row],[累计净值]]/$B$21-1</f>
        <v>2.2314049586777074E-2</v>
      </c>
    </row>
    <row r="61" spans="1:7" x14ac:dyDescent="0.2">
      <c r="A61" s="15">
        <v>44085</v>
      </c>
      <c r="B61" s="112">
        <v>1.256</v>
      </c>
      <c r="C61" s="108">
        <f t="shared" si="12"/>
        <v>1.8999999999999906E-2</v>
      </c>
      <c r="D61" s="109" t="str">
        <f t="shared" si="13"/>
        <v>/</v>
      </c>
      <c r="E61" s="109">
        <f ca="1">IF(表2_3671626293038912131415232425[[#This Row],[累计净值]]/MAX(INDIRECT("B21:B" &amp; ROW()))-1&lt;E60,表2_3671626293038912131415232425[[#This Row],[累计净值]]/MAX(INDIRECT("B21:B" &amp; ROW()))-1,E60)</f>
        <v>-6.5859197577592732E-2</v>
      </c>
      <c r="F61" s="110">
        <f>表2_3671626293038912131415232425[[#This Row],[累计净值]]-0.21</f>
        <v>1.046</v>
      </c>
      <c r="G61" s="20">
        <f>表2_3671626293038912131415232425[[#This Row],[累计净值]]/$B$21-1</f>
        <v>3.8016528925619797E-2</v>
      </c>
    </row>
    <row r="62" spans="1:7" x14ac:dyDescent="0.2">
      <c r="A62" s="15">
        <v>44088</v>
      </c>
      <c r="B62" s="112">
        <v>1.268</v>
      </c>
      <c r="C62" s="108">
        <f t="shared" si="12"/>
        <v>1.2000000000000011E-2</v>
      </c>
      <c r="D62" s="109" t="str">
        <f t="shared" si="13"/>
        <v>/</v>
      </c>
      <c r="E62" s="109">
        <f ca="1">IF(表2_3671626293038912131415232425[[#This Row],[累计净值]]/MAX(INDIRECT("B21:B" &amp; ROW()))-1&lt;E61,表2_3671626293038912131415232425[[#This Row],[累计净值]]/MAX(INDIRECT("B21:B" &amp; ROW()))-1,E61)</f>
        <v>-6.5859197577592732E-2</v>
      </c>
      <c r="F62" s="110">
        <f>表2_3671626293038912131415232425[[#This Row],[累计净值]]-0.21</f>
        <v>1.0580000000000001</v>
      </c>
      <c r="G62" s="20">
        <f>表2_3671626293038912131415232425[[#This Row],[累计净值]]/$B$21-1</f>
        <v>4.7933884297520768E-2</v>
      </c>
    </row>
    <row r="63" spans="1:7" x14ac:dyDescent="0.2">
      <c r="A63" s="15">
        <v>44089</v>
      </c>
      <c r="B63" s="112">
        <v>1.274</v>
      </c>
      <c r="C63" s="108">
        <f t="shared" ref="C63:C68" si="14">IFERROR(B63-B62,0)</f>
        <v>6.0000000000000053E-3</v>
      </c>
      <c r="D63" s="109" t="str">
        <f t="shared" ref="D63:D68" si="15">IF(C63&lt;0,C63,"/")</f>
        <v>/</v>
      </c>
      <c r="E63" s="109">
        <f ca="1">IF(表2_3671626293038912131415232425[[#This Row],[累计净值]]/MAX(INDIRECT("B21:B" &amp; ROW()))-1&lt;E62,表2_3671626293038912131415232425[[#This Row],[累计净值]]/MAX(INDIRECT("B21:B" &amp; ROW()))-1,E62)</f>
        <v>-6.5859197577592732E-2</v>
      </c>
      <c r="F63" s="110">
        <f>表2_3671626293038912131415232425[[#This Row],[累计净值]]-0.21</f>
        <v>1.0640000000000001</v>
      </c>
      <c r="G63" s="20">
        <f>表2_3671626293038912131415232425[[#This Row],[累计净值]]/$B$21-1</f>
        <v>5.2892561983471031E-2</v>
      </c>
    </row>
    <row r="64" spans="1:7" x14ac:dyDescent="0.2">
      <c r="A64" s="15">
        <v>44090</v>
      </c>
      <c r="B64" s="112">
        <v>1.2749999999999999</v>
      </c>
      <c r="C64" s="108">
        <f t="shared" si="14"/>
        <v>9.9999999999988987E-4</v>
      </c>
      <c r="D64" s="109" t="str">
        <f t="shared" si="15"/>
        <v>/</v>
      </c>
      <c r="E64" s="109">
        <f ca="1">IF(表2_3671626293038912131415232425[[#This Row],[累计净值]]/MAX(INDIRECT("B21:B" &amp; ROW()))-1&lt;E63,表2_3671626293038912131415232425[[#This Row],[累计净值]]/MAX(INDIRECT("B21:B" &amp; ROW()))-1,E63)</f>
        <v>-6.5859197577592732E-2</v>
      </c>
      <c r="F64" s="110">
        <f>表2_3671626293038912131415232425[[#This Row],[累计净值]]-0.21</f>
        <v>1.0649999999999999</v>
      </c>
      <c r="G64" s="20">
        <f>表2_3671626293038912131415232425[[#This Row],[累计净值]]/$B$21-1</f>
        <v>5.3719008264462742E-2</v>
      </c>
    </row>
    <row r="65" spans="1:7" x14ac:dyDescent="0.2">
      <c r="A65" s="15">
        <v>44091</v>
      </c>
      <c r="B65" s="112">
        <v>1.26</v>
      </c>
      <c r="C65" s="108">
        <f t="shared" si="14"/>
        <v>-1.4999999999999902E-2</v>
      </c>
      <c r="D65" s="109">
        <f t="shared" si="15"/>
        <v>-1.4999999999999902E-2</v>
      </c>
      <c r="E65" s="109">
        <f ca="1">IF(表2_3671626293038912131415232425[[#This Row],[累计净值]]/MAX(INDIRECT("B21:B" &amp; ROW()))-1&lt;E64,表2_3671626293038912131415232425[[#This Row],[累计净值]]/MAX(INDIRECT("B21:B" &amp; ROW()))-1,E64)</f>
        <v>-6.5859197577592732E-2</v>
      </c>
      <c r="F65" s="110">
        <f>表2_3671626293038912131415232425[[#This Row],[累计净值]]-0.21</f>
        <v>1.05</v>
      </c>
      <c r="G65" s="20">
        <f>表2_3671626293038912131415232425[[#This Row],[累计净值]]/$B$21-1</f>
        <v>4.1322314049586861E-2</v>
      </c>
    </row>
    <row r="66" spans="1:7" x14ac:dyDescent="0.2">
      <c r="A66" s="15">
        <v>44092</v>
      </c>
      <c r="B66" s="112">
        <v>1.2789999999999999</v>
      </c>
      <c r="C66" s="108">
        <f t="shared" si="14"/>
        <v>1.8999999999999906E-2</v>
      </c>
      <c r="D66" s="109" t="str">
        <f t="shared" si="15"/>
        <v>/</v>
      </c>
      <c r="E66" s="109">
        <f ca="1">IF(表2_3671626293038912131415232425[[#This Row],[累计净值]]/MAX(INDIRECT("B21:B" &amp; ROW()))-1&lt;E65,表2_3671626293038912131415232425[[#This Row],[累计净值]]/MAX(INDIRECT("B21:B" &amp; ROW()))-1,E65)</f>
        <v>-6.5859197577592732E-2</v>
      </c>
      <c r="F66" s="110">
        <f>表2_3671626293038912131415232425[[#This Row],[累计净值]]-0.21</f>
        <v>1.069</v>
      </c>
      <c r="G66" s="20">
        <f>表2_3671626293038912131415232425[[#This Row],[累计净值]]/$B$21-1</f>
        <v>5.7024793388429806E-2</v>
      </c>
    </row>
    <row r="67" spans="1:7" x14ac:dyDescent="0.2">
      <c r="A67" s="15">
        <v>44095</v>
      </c>
      <c r="B67" s="112">
        <v>1.2629999999999999</v>
      </c>
      <c r="C67" s="108">
        <f t="shared" si="14"/>
        <v>-1.6000000000000014E-2</v>
      </c>
      <c r="D67" s="109">
        <f t="shared" si="15"/>
        <v>-1.6000000000000014E-2</v>
      </c>
      <c r="E67" s="109">
        <f ca="1">IF(表2_3671626293038912131415232425[[#This Row],[累计净值]]/MAX(INDIRECT("B21:B" &amp; ROW()))-1&lt;E66,表2_3671626293038912131415232425[[#This Row],[累计净值]]/MAX(INDIRECT("B21:B" &amp; ROW()))-1,E66)</f>
        <v>-6.5859197577592732E-2</v>
      </c>
      <c r="F67" s="110">
        <f>表2_3671626293038912131415232425[[#This Row],[累计净值]]-0.21</f>
        <v>1.0529999999999999</v>
      </c>
      <c r="G67" s="20">
        <f>表2_3671626293038912131415232425[[#This Row],[累计净值]]/$B$21-1</f>
        <v>4.3801652892561993E-2</v>
      </c>
    </row>
    <row r="68" spans="1:7" x14ac:dyDescent="0.2">
      <c r="A68" s="15">
        <v>44096</v>
      </c>
      <c r="B68" s="112">
        <v>1.256</v>
      </c>
      <c r="C68" s="108">
        <f t="shared" si="14"/>
        <v>-6.9999999999998952E-3</v>
      </c>
      <c r="D68" s="109">
        <f t="shared" si="15"/>
        <v>-6.9999999999998952E-3</v>
      </c>
      <c r="E68" s="109">
        <f ca="1">IF(表2_3671626293038912131415232425[[#This Row],[累计净值]]/MAX(INDIRECT("B21:B" &amp; ROW()))-1&lt;E67,表2_3671626293038912131415232425[[#This Row],[累计净值]]/MAX(INDIRECT("B21:B" &amp; ROW()))-1,E67)</f>
        <v>-6.5859197577592732E-2</v>
      </c>
      <c r="F68" s="110">
        <f>表2_3671626293038912131415232425[[#This Row],[累计净值]]-0.21</f>
        <v>1.046</v>
      </c>
      <c r="G68" s="20">
        <f>表2_3671626293038912131415232425[[#This Row],[累计净值]]/$B$21-1</f>
        <v>3.8016528925619797E-2</v>
      </c>
    </row>
    <row r="69" spans="1:7" x14ac:dyDescent="0.2">
      <c r="A69" s="15">
        <v>44097</v>
      </c>
      <c r="B69" s="112">
        <v>1.262</v>
      </c>
      <c r="C69" s="108">
        <f t="shared" ref="C69:C74" si="16">IFERROR(B69-B68,0)</f>
        <v>6.0000000000000053E-3</v>
      </c>
      <c r="D69" s="109" t="str">
        <f t="shared" ref="D69:D74" si="17">IF(C69&lt;0,C69,"/")</f>
        <v>/</v>
      </c>
      <c r="E69" s="109">
        <f ca="1">IF(表2_3671626293038912131415232425[[#This Row],[累计净值]]/MAX(INDIRECT("B21:B" &amp; ROW()))-1&lt;E68,表2_3671626293038912131415232425[[#This Row],[累计净值]]/MAX(INDIRECT("B21:B" &amp; ROW()))-1,E68)</f>
        <v>-6.5859197577592732E-2</v>
      </c>
      <c r="F69" s="110">
        <f>表2_3671626293038912131415232425[[#This Row],[累计净值]]-0.21</f>
        <v>1.052</v>
      </c>
      <c r="G69" s="20">
        <f>表2_3671626293038912131415232425[[#This Row],[累计净值]]/$B$21-1</f>
        <v>4.2975206611570282E-2</v>
      </c>
    </row>
    <row r="70" spans="1:7" x14ac:dyDescent="0.2">
      <c r="A70" s="15">
        <v>44098</v>
      </c>
      <c r="B70" s="112">
        <v>1.236</v>
      </c>
      <c r="C70" s="108">
        <f t="shared" si="16"/>
        <v>-2.6000000000000023E-2</v>
      </c>
      <c r="D70" s="109">
        <f t="shared" si="17"/>
        <v>-2.6000000000000023E-2</v>
      </c>
      <c r="E70" s="109">
        <f ca="1">IF(表2_3671626293038912131415232425[[#This Row],[累计净值]]/MAX(INDIRECT("B21:B" &amp; ROW()))-1&lt;E69,表2_3671626293038912131415232425[[#This Row],[累计净值]]/MAX(INDIRECT("B21:B" &amp; ROW()))-1,E69)</f>
        <v>-6.5859197577592732E-2</v>
      </c>
      <c r="F70" s="110">
        <f>表2_3671626293038912131415232425[[#This Row],[累计净值]]-0.21</f>
        <v>1.026</v>
      </c>
      <c r="G70" s="20">
        <f>表2_3671626293038912131415232425[[#This Row],[累计净值]]/$B$21-1</f>
        <v>2.1487603305785141E-2</v>
      </c>
    </row>
    <row r="71" spans="1:7" x14ac:dyDescent="0.2">
      <c r="A71" s="15">
        <v>44099</v>
      </c>
      <c r="B71" s="112">
        <v>1.236</v>
      </c>
      <c r="C71" s="108">
        <f t="shared" si="16"/>
        <v>0</v>
      </c>
      <c r="D71" s="109" t="str">
        <f t="shared" si="17"/>
        <v>/</v>
      </c>
      <c r="E71" s="109">
        <f ca="1">IF(表2_3671626293038912131415232425[[#This Row],[累计净值]]/MAX(INDIRECT("B21:B" &amp; ROW()))-1&lt;E70,表2_3671626293038912131415232425[[#This Row],[累计净值]]/MAX(INDIRECT("B21:B" &amp; ROW()))-1,E70)</f>
        <v>-6.5859197577592732E-2</v>
      </c>
      <c r="F71" s="110">
        <f>表2_3671626293038912131415232425[[#This Row],[累计净值]]-0.21</f>
        <v>1.026</v>
      </c>
      <c r="G71" s="20">
        <f>表2_3671626293038912131415232425[[#This Row],[累计净值]]/$B$21-1</f>
        <v>2.1487603305785141E-2</v>
      </c>
    </row>
    <row r="72" spans="1:7" x14ac:dyDescent="0.2">
      <c r="A72" s="15">
        <v>44102</v>
      </c>
      <c r="B72" s="112">
        <v>1.2509999999999999</v>
      </c>
      <c r="C72" s="108">
        <f t="shared" si="16"/>
        <v>1.4999999999999902E-2</v>
      </c>
      <c r="D72" s="109" t="str">
        <f t="shared" si="17"/>
        <v>/</v>
      </c>
      <c r="E72" s="109">
        <f ca="1">IF(表2_3671626293038912131415232425[[#This Row],[累计净值]]/MAX(INDIRECT("B21:B" &amp; ROW()))-1&lt;E71,表2_3671626293038912131415232425[[#This Row],[累计净值]]/MAX(INDIRECT("B21:B" &amp; ROW()))-1,E71)</f>
        <v>-6.5859197577592732E-2</v>
      </c>
      <c r="F72" s="110">
        <f>表2_3671626293038912131415232425[[#This Row],[累计净值]]-0.21</f>
        <v>1.0409999999999999</v>
      </c>
      <c r="G72" s="20">
        <f>表2_3671626293038912131415232425[[#This Row],[累计净值]]/$B$21-1</f>
        <v>3.3884297520661022E-2</v>
      </c>
    </row>
    <row r="73" spans="1:7" x14ac:dyDescent="0.2">
      <c r="A73" s="15">
        <v>44103</v>
      </c>
      <c r="B73" s="112">
        <v>1.246</v>
      </c>
      <c r="C73" s="108">
        <f t="shared" si="16"/>
        <v>-4.9999999999998934E-3</v>
      </c>
      <c r="D73" s="109">
        <f t="shared" si="17"/>
        <v>-4.9999999999998934E-3</v>
      </c>
      <c r="E73" s="109">
        <f ca="1">IF(表2_3671626293038912131415232425[[#This Row],[累计净值]]/MAX(INDIRECT("B21:B" &amp; ROW()))-1&lt;E72,表2_3671626293038912131415232425[[#This Row],[累计净值]]/MAX(INDIRECT("B21:B" &amp; ROW()))-1,E72)</f>
        <v>-6.5859197577592732E-2</v>
      </c>
      <c r="F73" s="110">
        <f>表2_3671626293038912131415232425[[#This Row],[累计净值]]-0.21</f>
        <v>1.036</v>
      </c>
      <c r="G73" s="20">
        <f>表2_3671626293038912131415232425[[#This Row],[累计净值]]/$B$21-1</f>
        <v>2.9752066115702469E-2</v>
      </c>
    </row>
    <row r="74" spans="1:7" x14ac:dyDescent="0.2">
      <c r="A74" s="15">
        <v>44104</v>
      </c>
      <c r="B74" s="112">
        <v>1.252</v>
      </c>
      <c r="C74" s="108">
        <f t="shared" si="16"/>
        <v>6.0000000000000053E-3</v>
      </c>
      <c r="D74" s="109" t="str">
        <f t="shared" si="17"/>
        <v>/</v>
      </c>
      <c r="E74" s="109">
        <f ca="1">IF(表2_3671626293038912131415232425[[#This Row],[累计净值]]/MAX(INDIRECT("B21:B" &amp; ROW()))-1&lt;E73,表2_3671626293038912131415232425[[#This Row],[累计净值]]/MAX(INDIRECT("B21:B" &amp; ROW()))-1,E73)</f>
        <v>-6.5859197577592732E-2</v>
      </c>
      <c r="F74" s="110">
        <f>表2_3671626293038912131415232425[[#This Row],[累计净值]]-0.21</f>
        <v>1.042</v>
      </c>
      <c r="G74" s="20">
        <f>表2_3671626293038912131415232425[[#This Row],[累计净值]]/$B$21-1</f>
        <v>3.4710743801652955E-2</v>
      </c>
    </row>
    <row r="75" spans="1:7" x14ac:dyDescent="0.2">
      <c r="A75" s="15">
        <v>44113</v>
      </c>
      <c r="B75" s="112">
        <v>1.288</v>
      </c>
      <c r="C75" s="108">
        <f t="shared" ref="C75:C80" si="18">IFERROR(B75-B74,0)</f>
        <v>3.6000000000000032E-2</v>
      </c>
      <c r="D75" s="109" t="str">
        <f t="shared" ref="D75:D80" si="19">IF(C75&lt;0,C75,"/")</f>
        <v>/</v>
      </c>
      <c r="E75" s="109">
        <f ca="1">IF(表2_3671626293038912131415232425[[#This Row],[累计净值]]/MAX(INDIRECT("B21:B" &amp; ROW()))-1&lt;E74,表2_3671626293038912131415232425[[#This Row],[累计净值]]/MAX(INDIRECT("B21:B" &amp; ROW()))-1,E74)</f>
        <v>-6.5859197577592732E-2</v>
      </c>
      <c r="F75" s="110">
        <f>表2_3671626293038912131415232425[[#This Row],[累计净值]]-0.21</f>
        <v>1.0780000000000001</v>
      </c>
      <c r="G75" s="20">
        <f>表2_3671626293038912131415232425[[#This Row],[累计净值]]/$B$21-1</f>
        <v>6.4462809917355424E-2</v>
      </c>
    </row>
    <row r="76" spans="1:7" x14ac:dyDescent="0.2">
      <c r="A76" s="15">
        <v>44116</v>
      </c>
      <c r="B76" s="112">
        <v>1.3069999999999999</v>
      </c>
      <c r="C76" s="108">
        <f t="shared" si="18"/>
        <v>1.8999999999999906E-2</v>
      </c>
      <c r="D76" s="109" t="str">
        <f t="shared" si="19"/>
        <v>/</v>
      </c>
      <c r="E76" s="109">
        <f ca="1">IF(表2_3671626293038912131415232425[[#This Row],[累计净值]]/MAX(INDIRECT("B21:B" &amp; ROW()))-1&lt;E75,表2_3671626293038912131415232425[[#This Row],[累计净值]]/MAX(INDIRECT("B21:B" &amp; ROW()))-1,E75)</f>
        <v>-6.5859197577592732E-2</v>
      </c>
      <c r="F76" s="110">
        <f>表2_3671626293038912131415232425[[#This Row],[累计净值]]-0.21</f>
        <v>1.097</v>
      </c>
      <c r="G76" s="20">
        <f>表2_3671626293038912131415232425[[#This Row],[累计净值]]/$B$21-1</f>
        <v>8.0165289256198369E-2</v>
      </c>
    </row>
    <row r="77" spans="1:7" x14ac:dyDescent="0.2">
      <c r="A77" s="15">
        <v>44117</v>
      </c>
      <c r="B77" s="112">
        <v>1.3129999999999999</v>
      </c>
      <c r="C77" s="108">
        <f t="shared" si="18"/>
        <v>6.0000000000000053E-3</v>
      </c>
      <c r="D77" s="109" t="str">
        <f t="shared" si="19"/>
        <v>/</v>
      </c>
      <c r="E77" s="109">
        <f ca="1">IF(表2_3671626293038912131415232425[[#This Row],[累计净值]]/MAX(INDIRECT("B21:B" &amp; ROW()))-1&lt;E76,表2_3671626293038912131415232425[[#This Row],[累计净值]]/MAX(INDIRECT("B21:B" &amp; ROW()))-1,E76)</f>
        <v>-6.5859197577592732E-2</v>
      </c>
      <c r="F77" s="110">
        <f>表2_3671626293038912131415232425[[#This Row],[累计净值]]-0.21</f>
        <v>1.103</v>
      </c>
      <c r="G77" s="20">
        <f>表2_3671626293038912131415232425[[#This Row],[累计净值]]/$B$21-1</f>
        <v>8.5123966942148854E-2</v>
      </c>
    </row>
    <row r="78" spans="1:7" x14ac:dyDescent="0.2">
      <c r="A78" s="15">
        <v>44118</v>
      </c>
      <c r="B78" s="112">
        <v>1.3169999999999999</v>
      </c>
      <c r="C78" s="108">
        <f t="shared" si="18"/>
        <v>4.0000000000000036E-3</v>
      </c>
      <c r="D78" s="109" t="str">
        <f t="shared" si="19"/>
        <v>/</v>
      </c>
      <c r="E78" s="109">
        <f ca="1">IF(表2_3671626293038912131415232425[[#This Row],[累计净值]]/MAX(INDIRECT("B21:B" &amp; ROW()))-1&lt;E77,表2_3671626293038912131415232425[[#This Row],[累计净值]]/MAX(INDIRECT("B21:B" &amp; ROW()))-1,E77)</f>
        <v>-6.5859197577592732E-2</v>
      </c>
      <c r="F78" s="110">
        <f>表2_3671626293038912131415232425[[#This Row],[累计净值]]-0.21</f>
        <v>1.107</v>
      </c>
      <c r="G78" s="20">
        <f>表2_3671626293038912131415232425[[#This Row],[累计净值]]/$B$21-1</f>
        <v>8.8429752066115697E-2</v>
      </c>
    </row>
    <row r="79" spans="1:7" x14ac:dyDescent="0.2">
      <c r="A79" s="15">
        <v>44119</v>
      </c>
      <c r="B79" s="112">
        <v>1.2969999999999999</v>
      </c>
      <c r="C79" s="108">
        <f t="shared" si="18"/>
        <v>-2.0000000000000018E-2</v>
      </c>
      <c r="D79" s="109">
        <f t="shared" si="19"/>
        <v>-2.0000000000000018E-2</v>
      </c>
      <c r="E79" s="109">
        <f ca="1">IF(表2_3671626293038912131415232425[[#This Row],[累计净值]]/MAX(INDIRECT("B21:B" &amp; ROW()))-1&lt;E78,表2_3671626293038912131415232425[[#This Row],[累计净值]]/MAX(INDIRECT("B21:B" &amp; ROW()))-1,E78)</f>
        <v>-6.5859197577592732E-2</v>
      </c>
      <c r="F79" s="110">
        <f>表2_3671626293038912131415232425[[#This Row],[累计净值]]-0.21</f>
        <v>1.087</v>
      </c>
      <c r="G79" s="20">
        <f>表2_3671626293038912131415232425[[#This Row],[累计净值]]/$B$21-1</f>
        <v>7.1900826446281041E-2</v>
      </c>
    </row>
    <row r="80" spans="1:7" x14ac:dyDescent="0.2">
      <c r="A80" s="15">
        <v>44120</v>
      </c>
      <c r="B80" s="112">
        <v>1.3029999999999999</v>
      </c>
      <c r="C80" s="108">
        <f t="shared" si="18"/>
        <v>6.0000000000000053E-3</v>
      </c>
      <c r="D80" s="109" t="str">
        <f t="shared" si="19"/>
        <v>/</v>
      </c>
      <c r="E80" s="109">
        <f ca="1">IF(表2_3671626293038912131415232425[[#This Row],[累计净值]]/MAX(INDIRECT("B21:B" &amp; ROW()))-1&lt;E79,表2_3671626293038912131415232425[[#This Row],[累计净值]]/MAX(INDIRECT("B21:B" &amp; ROW()))-1,E79)</f>
        <v>-6.5859197577592732E-2</v>
      </c>
      <c r="F80" s="110">
        <f>表2_3671626293038912131415232425[[#This Row],[累计净值]]-0.21</f>
        <v>1.093</v>
      </c>
      <c r="G80" s="20">
        <f>表2_3671626293038912131415232425[[#This Row],[累计净值]]/$B$21-1</f>
        <v>7.6859504132231304E-2</v>
      </c>
    </row>
    <row r="81" spans="1:7" x14ac:dyDescent="0.2">
      <c r="A81" s="15">
        <v>44123</v>
      </c>
      <c r="B81" s="112">
        <v>1.2889999999999999</v>
      </c>
      <c r="C81" s="108">
        <f>IFERROR(B81-B80,0)</f>
        <v>-1.4000000000000012E-2</v>
      </c>
      <c r="D81" s="109">
        <f>IF(C81&lt;0,C81,"/")</f>
        <v>-1.4000000000000012E-2</v>
      </c>
      <c r="E81" s="109">
        <f ca="1">IF(表2_3671626293038912131415232425[[#This Row],[累计净值]]/MAX(INDIRECT("B21:B" &amp; ROW()))-1&lt;E80,表2_3671626293038912131415232425[[#This Row],[累计净值]]/MAX(INDIRECT("B21:B" &amp; ROW()))-1,E80)</f>
        <v>-6.5859197577592732E-2</v>
      </c>
      <c r="F81" s="110">
        <f>表2_3671626293038912131415232425[[#This Row],[累计净值]]-0.21</f>
        <v>1.079</v>
      </c>
      <c r="G81" s="20">
        <f>表2_3671626293038912131415232425[[#This Row],[累计净值]]/$B$21-1</f>
        <v>6.5289256198347134E-2</v>
      </c>
    </row>
    <row r="82" spans="1:7" x14ac:dyDescent="0.2">
      <c r="A82" s="15">
        <v>44124</v>
      </c>
      <c r="B82" s="112">
        <v>1.2969999999999999</v>
      </c>
      <c r="C82" s="108">
        <f>IFERROR(B82-B81,0)</f>
        <v>8.0000000000000071E-3</v>
      </c>
      <c r="D82" s="109" t="str">
        <f>IF(C82&lt;0,C82,"/")</f>
        <v>/</v>
      </c>
      <c r="E82" s="109">
        <f ca="1">IF(表2_3671626293038912131415232425[[#This Row],[累计净值]]/MAX(INDIRECT("B21:B" &amp; ROW()))-1&lt;E81,表2_3671626293038912131415232425[[#This Row],[累计净值]]/MAX(INDIRECT("B21:B" &amp; ROW()))-1,E81)</f>
        <v>-6.5859197577592732E-2</v>
      </c>
      <c r="F82" s="110">
        <f>表2_3671626293038912131415232425[[#This Row],[累计净值]]-0.21</f>
        <v>1.087</v>
      </c>
      <c r="G82" s="20">
        <f>表2_3671626293038912131415232425[[#This Row],[累计净值]]/$B$21-1</f>
        <v>7.1900826446281041E-2</v>
      </c>
    </row>
    <row r="83" spans="1:7" x14ac:dyDescent="0.2">
      <c r="A83" s="15">
        <v>44125</v>
      </c>
      <c r="B83" s="112">
        <v>1.2969999999999999</v>
      </c>
      <c r="C83" s="108">
        <f t="shared" ref="C83:C85" si="20">IFERROR(B83-B82,0)</f>
        <v>0</v>
      </c>
      <c r="D83" s="109" t="str">
        <f t="shared" ref="D83:D85" si="21">IF(C83&lt;0,C83,"/")</f>
        <v>/</v>
      </c>
      <c r="E83" s="109">
        <f ca="1">IF(表2_3671626293038912131415232425[[#This Row],[累计净值]]/MAX(INDIRECT("B21:B" &amp; ROW()))-1&lt;E82,表2_3671626293038912131415232425[[#This Row],[累计净值]]/MAX(INDIRECT("B21:B" &amp; ROW()))-1,E82)</f>
        <v>-6.5859197577592732E-2</v>
      </c>
      <c r="F83" s="110">
        <f>表2_3671626293038912131415232425[[#This Row],[累计净值]]-0.21</f>
        <v>1.087</v>
      </c>
      <c r="G83" s="20">
        <f>表2_3671626293038912131415232425[[#This Row],[累计净值]]/$B$21-1</f>
        <v>7.1900826446281041E-2</v>
      </c>
    </row>
    <row r="84" spans="1:7" x14ac:dyDescent="0.2">
      <c r="A84" s="15">
        <v>44126</v>
      </c>
      <c r="B84" s="112">
        <v>1.2929999999999999</v>
      </c>
      <c r="C84" s="108">
        <f t="shared" si="20"/>
        <v>-4.0000000000000036E-3</v>
      </c>
      <c r="D84" s="109">
        <f t="shared" si="21"/>
        <v>-4.0000000000000036E-3</v>
      </c>
      <c r="E84" s="109">
        <f ca="1">IF(表2_3671626293038912131415232425[[#This Row],[累计净值]]/MAX(INDIRECT("B21:B" &amp; ROW()))-1&lt;E83,表2_3671626293038912131415232425[[#This Row],[累计净值]]/MAX(INDIRECT("B21:B" &amp; ROW()))-1,E83)</f>
        <v>-6.5859197577592732E-2</v>
      </c>
      <c r="F84" s="110">
        <f>表2_3671626293038912131415232425[[#This Row],[累计净值]]-0.21</f>
        <v>1.083</v>
      </c>
      <c r="G84" s="20">
        <f>表2_3671626293038912131415232425[[#This Row],[累计净值]]/$B$21-1</f>
        <v>6.8595041322313977E-2</v>
      </c>
    </row>
    <row r="85" spans="1:7" x14ac:dyDescent="0.2">
      <c r="A85" s="15">
        <v>44127</v>
      </c>
      <c r="B85" s="112">
        <v>1.2889999999999999</v>
      </c>
      <c r="C85" s="108">
        <f t="shared" si="20"/>
        <v>-4.0000000000000036E-3</v>
      </c>
      <c r="D85" s="109">
        <f t="shared" si="21"/>
        <v>-4.0000000000000036E-3</v>
      </c>
      <c r="E85" s="109">
        <f ca="1">IF(表2_3671626293038912131415232425[[#This Row],[累计净值]]/MAX(INDIRECT("B21:B" &amp; ROW()))-1&lt;E84,表2_3671626293038912131415232425[[#This Row],[累计净值]]/MAX(INDIRECT("B21:B" &amp; ROW()))-1,E84)</f>
        <v>-6.5859197577592732E-2</v>
      </c>
      <c r="F85" s="110">
        <f>表2_3671626293038912131415232425[[#This Row],[累计净值]]-0.21</f>
        <v>1.079</v>
      </c>
      <c r="G85" s="20">
        <f>表2_3671626293038912131415232425[[#This Row],[累计净值]]/$B$21-1</f>
        <v>6.5289256198347134E-2</v>
      </c>
    </row>
    <row r="86" spans="1:7" x14ac:dyDescent="0.2">
      <c r="A86" s="15">
        <v>44130</v>
      </c>
      <c r="B86" s="112">
        <v>1.278</v>
      </c>
      <c r="C86" s="108">
        <f t="shared" ref="C86:C92" si="22">IFERROR(B86-B85,0)</f>
        <v>-1.0999999999999899E-2</v>
      </c>
      <c r="D86" s="109">
        <f t="shared" ref="D86:D92" si="23">IF(C86&lt;0,C86,"/")</f>
        <v>-1.0999999999999899E-2</v>
      </c>
      <c r="E86" s="109">
        <f ca="1">IF(表2_3671626293038912131415232425[[#This Row],[累计净值]]/MAX(INDIRECT("B21:B" &amp; ROW()))-1&lt;E85,表2_3671626293038912131415232425[[#This Row],[累计净值]]/MAX(INDIRECT("B21:B" &amp; ROW()))-1,E85)</f>
        <v>-6.5859197577592732E-2</v>
      </c>
      <c r="F86" s="110">
        <f>表2_3671626293038912131415232425[[#This Row],[累计净值]]-0.21</f>
        <v>1.0680000000000001</v>
      </c>
      <c r="G86" s="20">
        <f>表2_3671626293038912131415232425[[#This Row],[累计净值]]/$B$21-1</f>
        <v>5.6198347107438096E-2</v>
      </c>
    </row>
    <row r="87" spans="1:7" x14ac:dyDescent="0.2">
      <c r="A87" s="15">
        <v>44131</v>
      </c>
      <c r="B87" s="112">
        <v>1.28</v>
      </c>
      <c r="C87" s="108">
        <f t="shared" si="22"/>
        <v>2.0000000000000018E-3</v>
      </c>
      <c r="D87" s="109" t="str">
        <f t="shared" si="23"/>
        <v>/</v>
      </c>
      <c r="E87" s="109">
        <f ca="1">IF(表2_3671626293038912131415232425[[#This Row],[累计净值]]/MAX(INDIRECT("B21:B" &amp; ROW()))-1&lt;E86,表2_3671626293038912131415232425[[#This Row],[累计净值]]/MAX(INDIRECT("B21:B" &amp; ROW()))-1,E86)</f>
        <v>-6.5859197577592732E-2</v>
      </c>
      <c r="F87" s="110">
        <f>表2_3671626293038912131415232425[[#This Row],[累计净值]]-0.21</f>
        <v>1.07</v>
      </c>
      <c r="G87" s="20">
        <f>表2_3671626293038912131415232425[[#This Row],[累计净值]]/$B$21-1</f>
        <v>5.7851239669421517E-2</v>
      </c>
    </row>
    <row r="88" spans="1:7" x14ac:dyDescent="0.2">
      <c r="A88" s="15">
        <v>44132</v>
      </c>
      <c r="B88" s="112">
        <v>1.2969999999999999</v>
      </c>
      <c r="C88" s="108">
        <f t="shared" si="22"/>
        <v>1.6999999999999904E-2</v>
      </c>
      <c r="D88" s="109" t="str">
        <f t="shared" si="23"/>
        <v>/</v>
      </c>
      <c r="E88" s="109">
        <f ca="1">IF(表2_3671626293038912131415232425[[#This Row],[累计净值]]/MAX(INDIRECT("B21:B" &amp; ROW()))-1&lt;E87,表2_3671626293038912131415232425[[#This Row],[累计净值]]/MAX(INDIRECT("B21:B" &amp; ROW()))-1,E87)</f>
        <v>-6.5859197577592732E-2</v>
      </c>
      <c r="F88" s="110">
        <f>表2_3671626293038912131415232425[[#This Row],[累计净值]]-0.21</f>
        <v>1.087</v>
      </c>
      <c r="G88" s="20">
        <f>表2_3671626293038912131415232425[[#This Row],[累计净值]]/$B$21-1</f>
        <v>7.1900826446281041E-2</v>
      </c>
    </row>
    <row r="89" spans="1:7" x14ac:dyDescent="0.2">
      <c r="A89" s="15">
        <v>44133</v>
      </c>
      <c r="B89" s="112">
        <v>1.3129999999999999</v>
      </c>
      <c r="C89" s="108">
        <f t="shared" si="22"/>
        <v>1.6000000000000014E-2</v>
      </c>
      <c r="D89" s="109" t="str">
        <f t="shared" si="23"/>
        <v>/</v>
      </c>
      <c r="E89" s="109">
        <f ca="1">IF(表2_3671626293038912131415232425[[#This Row],[累计净值]]/MAX(INDIRECT("B21:B" &amp; ROW()))-1&lt;E88,表2_3671626293038912131415232425[[#This Row],[累计净值]]/MAX(INDIRECT("B21:B" &amp; ROW()))-1,E88)</f>
        <v>-6.5859197577592732E-2</v>
      </c>
      <c r="F89" s="110">
        <f>表2_3671626293038912131415232425[[#This Row],[累计净值]]-0.21</f>
        <v>1.103</v>
      </c>
      <c r="G89" s="20">
        <f>表2_3671626293038912131415232425[[#This Row],[累计净值]]/$B$21-1</f>
        <v>8.5123966942148854E-2</v>
      </c>
    </row>
    <row r="90" spans="1:7" x14ac:dyDescent="0.2">
      <c r="A90" s="15">
        <v>44134</v>
      </c>
      <c r="B90" s="112">
        <v>1.288</v>
      </c>
      <c r="C90" s="108">
        <f t="shared" si="22"/>
        <v>-2.4999999999999911E-2</v>
      </c>
      <c r="D90" s="109">
        <f t="shared" si="23"/>
        <v>-2.4999999999999911E-2</v>
      </c>
      <c r="E90" s="109">
        <f ca="1">IF(表2_3671626293038912131415232425[[#This Row],[累计净值]]/MAX(INDIRECT("B21:B" &amp; ROW()))-1&lt;E89,表2_3671626293038912131415232425[[#This Row],[累计净值]]/MAX(INDIRECT("B21:B" &amp; ROW()))-1,E89)</f>
        <v>-6.5859197577592732E-2</v>
      </c>
      <c r="F90" s="110">
        <f>表2_3671626293038912131415232425[[#This Row],[累计净值]]-0.21</f>
        <v>1.0780000000000001</v>
      </c>
      <c r="G90" s="20">
        <f>表2_3671626293038912131415232425[[#This Row],[累计净值]]/$B$21-1</f>
        <v>6.4462809917355424E-2</v>
      </c>
    </row>
    <row r="91" spans="1:7" x14ac:dyDescent="0.2">
      <c r="A91" s="15">
        <v>44137</v>
      </c>
      <c r="B91" s="112">
        <v>1.2889999999999999</v>
      </c>
      <c r="C91" s="108">
        <f t="shared" si="22"/>
        <v>9.9999999999988987E-4</v>
      </c>
      <c r="D91" s="109" t="str">
        <f t="shared" si="23"/>
        <v>/</v>
      </c>
      <c r="E91" s="109">
        <f ca="1">IF(表2_3671626293038912131415232425[[#This Row],[累计净值]]/MAX(INDIRECT("B21:B" &amp; ROW()))-1&lt;E90,表2_3671626293038912131415232425[[#This Row],[累计净值]]/MAX(INDIRECT("B21:B" &amp; ROW()))-1,E90)</f>
        <v>-6.5859197577592732E-2</v>
      </c>
      <c r="F91" s="110">
        <f>表2_3671626293038912131415232425[[#This Row],[累计净值]]-0.21</f>
        <v>1.079</v>
      </c>
      <c r="G91" s="20">
        <f>表2_3671626293038912131415232425[[#This Row],[累计净值]]/$B$21-1</f>
        <v>6.5289256198347134E-2</v>
      </c>
    </row>
    <row r="92" spans="1:7" x14ac:dyDescent="0.2">
      <c r="A92" s="15">
        <v>44138</v>
      </c>
      <c r="B92" s="112">
        <v>1.3</v>
      </c>
      <c r="C92" s="108">
        <f t="shared" si="22"/>
        <v>1.1000000000000121E-2</v>
      </c>
      <c r="D92" s="109" t="str">
        <f t="shared" si="23"/>
        <v>/</v>
      </c>
      <c r="E92" s="109">
        <f ca="1">IF(表2_3671626293038912131415232425[[#This Row],[累计净值]]/MAX(INDIRECT("B21:B" &amp; ROW()))-1&lt;E91,表2_3671626293038912131415232425[[#This Row],[累计净值]]/MAX(INDIRECT("B21:B" &amp; ROW()))-1,E91)</f>
        <v>-6.5859197577592732E-2</v>
      </c>
      <c r="F92" s="110">
        <f>表2_3671626293038912131415232425[[#This Row],[累计净值]]-0.21</f>
        <v>1.0900000000000001</v>
      </c>
      <c r="G92" s="20">
        <f>表2_3671626293038912131415232425[[#This Row],[累计净值]]/$B$21-1</f>
        <v>7.4380165289256173E-2</v>
      </c>
    </row>
    <row r="93" spans="1:7" x14ac:dyDescent="0.2">
      <c r="A93" s="15">
        <v>44139</v>
      </c>
      <c r="B93" s="112">
        <v>1.31</v>
      </c>
      <c r="C93" s="108">
        <f t="shared" ref="C93:C98" si="24">IFERROR(B93-B92,0)</f>
        <v>1.0000000000000009E-2</v>
      </c>
      <c r="D93" s="109" t="str">
        <f t="shared" ref="D93:D98" si="25">IF(C93&lt;0,C93,"/")</f>
        <v>/</v>
      </c>
      <c r="E93" s="109">
        <f ca="1">IF(表2_3671626293038912131415232425[[#This Row],[累计净值]]/MAX(INDIRECT("B21:B" &amp; ROW()))-1&lt;E92,表2_3671626293038912131415232425[[#This Row],[累计净值]]/MAX(INDIRECT("B21:B" &amp; ROW()))-1,E92)</f>
        <v>-6.5859197577592732E-2</v>
      </c>
      <c r="F93" s="110">
        <f>表2_3671626293038912131415232425[[#This Row],[累计净值]]-0.21</f>
        <v>1.1000000000000001</v>
      </c>
      <c r="G93" s="20">
        <f>表2_3671626293038912131415232425[[#This Row],[累计净值]]/$B$21-1</f>
        <v>8.2644628099173723E-2</v>
      </c>
    </row>
    <row r="94" spans="1:7" x14ac:dyDescent="0.2">
      <c r="A94" s="15">
        <v>44140</v>
      </c>
      <c r="B94" s="117">
        <v>1.349</v>
      </c>
      <c r="C94" s="108">
        <f t="shared" si="24"/>
        <v>3.8999999999999924E-2</v>
      </c>
      <c r="D94" s="109" t="str">
        <f t="shared" si="25"/>
        <v>/</v>
      </c>
      <c r="E94" s="109">
        <f ca="1">IF(表2_3671626293038912131415232425[[#This Row],[累计净值]]/MAX(INDIRECT("B21:B" &amp; ROW()))-1&lt;E93,表2_3671626293038912131415232425[[#This Row],[累计净值]]/MAX(INDIRECT("B21:B" &amp; ROW()))-1,E93)</f>
        <v>-6.5859197577592732E-2</v>
      </c>
      <c r="F94" s="110">
        <f>表2_3671626293038912131415232425[[#This Row],[累计净值]]-0.21</f>
        <v>1.139</v>
      </c>
      <c r="G94" s="20">
        <f>表2_3671626293038912131415232425[[#This Row],[累计净值]]/$B$21-1</f>
        <v>0.11487603305785132</v>
      </c>
    </row>
    <row r="95" spans="1:7" x14ac:dyDescent="0.2">
      <c r="A95" s="15">
        <v>44141</v>
      </c>
      <c r="B95" s="112">
        <v>1.3260000000000001</v>
      </c>
      <c r="C95" s="108">
        <f t="shared" si="24"/>
        <v>-2.2999999999999909E-2</v>
      </c>
      <c r="D95" s="109">
        <f t="shared" si="25"/>
        <v>-2.2999999999999909E-2</v>
      </c>
      <c r="E95" s="109">
        <f ca="1">IF(表2_3671626293038912131415232425[[#This Row],[累计净值]]/MAX(INDIRECT("B21:B" &amp; ROW()))-1&lt;E94,表2_3671626293038912131415232425[[#This Row],[累计净值]]/MAX(INDIRECT("B21:B" &amp; ROW()))-1,E94)</f>
        <v>-6.5859197577592732E-2</v>
      </c>
      <c r="F95" s="110">
        <f>表2_3671626293038912131415232425[[#This Row],[累计净值]]-0.21</f>
        <v>1.1160000000000001</v>
      </c>
      <c r="G95" s="20">
        <f>表2_3671626293038912131415232425[[#This Row],[累计净值]]/$B$21-1</f>
        <v>9.5867768595041314E-2</v>
      </c>
    </row>
    <row r="96" spans="1:7" x14ac:dyDescent="0.2">
      <c r="A96" s="15">
        <v>44144</v>
      </c>
      <c r="B96" s="112">
        <v>1.347</v>
      </c>
      <c r="C96" s="108">
        <f t="shared" si="24"/>
        <v>2.0999999999999908E-2</v>
      </c>
      <c r="D96" s="109" t="str">
        <f t="shared" si="25"/>
        <v>/</v>
      </c>
      <c r="E96" s="109">
        <f ca="1">IF(表2_3671626293038912131415232425[[#This Row],[累计净值]]/MAX(INDIRECT("B21:B" &amp; ROW()))-1&lt;E95,表2_3671626293038912131415232425[[#This Row],[累计净值]]/MAX(INDIRECT("B21:B" &amp; ROW()))-1,E95)</f>
        <v>-6.5859197577592732E-2</v>
      </c>
      <c r="F96" s="110">
        <f>表2_3671626293038912131415232425[[#This Row],[累计净值]]-0.21</f>
        <v>1.137</v>
      </c>
      <c r="G96" s="20">
        <f>表2_3671626293038912131415232425[[#This Row],[累计净值]]/$B$21-1</f>
        <v>0.11322314049586768</v>
      </c>
    </row>
    <row r="97" spans="1:7" x14ac:dyDescent="0.2">
      <c r="A97" s="15">
        <v>44145</v>
      </c>
      <c r="B97" s="112">
        <v>1.3140000000000001</v>
      </c>
      <c r="C97" s="108">
        <f t="shared" si="24"/>
        <v>-3.2999999999999918E-2</v>
      </c>
      <c r="D97" s="109">
        <f t="shared" si="25"/>
        <v>-3.2999999999999918E-2</v>
      </c>
      <c r="E97" s="109">
        <f ca="1">IF(表2_3671626293038912131415232425[[#This Row],[累计净值]]/MAX(INDIRECT("B21:B" &amp; ROW()))-1&lt;E96,表2_3671626293038912131415232425[[#This Row],[累计净值]]/MAX(INDIRECT("B21:B" &amp; ROW()))-1,E96)</f>
        <v>-6.5859197577592732E-2</v>
      </c>
      <c r="F97" s="110">
        <f>表2_3671626293038912131415232425[[#This Row],[累计净值]]-0.21</f>
        <v>1.1040000000000001</v>
      </c>
      <c r="G97" s="20">
        <f>表2_3671626293038912131415232425[[#This Row],[累计净值]]/$B$21-1</f>
        <v>8.5950413223140565E-2</v>
      </c>
    </row>
    <row r="98" spans="1:7" x14ac:dyDescent="0.2">
      <c r="A98" s="15">
        <v>44146</v>
      </c>
      <c r="B98" s="112">
        <v>1.2769999999999999</v>
      </c>
      <c r="C98" s="108">
        <f t="shared" si="24"/>
        <v>-3.7000000000000144E-2</v>
      </c>
      <c r="D98" s="109">
        <f t="shared" si="25"/>
        <v>-3.7000000000000144E-2</v>
      </c>
      <c r="E98" s="109">
        <f ca="1">IF(表2_3671626293038912131415232425[[#This Row],[累计净值]]/MAX(INDIRECT("B21:B" &amp; ROW()))-1&lt;E97,表2_3671626293038912131415232425[[#This Row],[累计净值]]/MAX(INDIRECT("B21:B" &amp; ROW()))-1,E97)</f>
        <v>-6.5859197577592732E-2</v>
      </c>
      <c r="F98" s="110">
        <f>表2_3671626293038912131415232425[[#This Row],[累计净值]]-0.21</f>
        <v>1.0669999999999999</v>
      </c>
      <c r="G98" s="20">
        <f>表2_3671626293038912131415232425[[#This Row],[累计净值]]/$B$21-1</f>
        <v>5.5371900826446163E-2</v>
      </c>
    </row>
    <row r="99" spans="1:7" x14ac:dyDescent="0.2">
      <c r="A99" s="15">
        <v>44147</v>
      </c>
      <c r="B99" s="113">
        <v>1.302</v>
      </c>
      <c r="C99" s="108">
        <f t="shared" ref="C99:C104" si="26">IFERROR(B99-B98,0)</f>
        <v>2.5000000000000133E-2</v>
      </c>
      <c r="D99" s="109" t="str">
        <f t="shared" ref="D99:D104" si="27">IF(C99&lt;0,C99,"/")</f>
        <v>/</v>
      </c>
      <c r="E99" s="109">
        <f ca="1">IF(表2_3671626293038912131415232425[[#This Row],[累计净值]]/MAX(INDIRECT("B21:B" &amp; ROW()))-1&lt;E98,表2_3671626293038912131415232425[[#This Row],[累计净值]]/MAX(INDIRECT("B21:B" &amp; ROW()))-1,E98)</f>
        <v>-6.5859197577592732E-2</v>
      </c>
      <c r="F99" s="110">
        <f>表2_3671626293038912131415232425[[#This Row],[累计净值]]-0.21</f>
        <v>1.0920000000000001</v>
      </c>
      <c r="G99" s="20">
        <f>表2_3671626293038912131415232425[[#This Row],[累计净值]]/$B$21-1</f>
        <v>7.6033057851239816E-2</v>
      </c>
    </row>
    <row r="100" spans="1:7" x14ac:dyDescent="0.2">
      <c r="A100" s="15">
        <v>44148</v>
      </c>
      <c r="B100" s="112">
        <v>1.3169999999999999</v>
      </c>
      <c r="C100" s="108">
        <f t="shared" si="26"/>
        <v>1.4999999999999902E-2</v>
      </c>
      <c r="D100" s="109" t="str">
        <f t="shared" si="27"/>
        <v>/</v>
      </c>
      <c r="E100" s="109">
        <f ca="1">IF(表2_3671626293038912131415232425[[#This Row],[累计净值]]/MAX(INDIRECT("B21:B" &amp; ROW()))-1&lt;E99,表2_3671626293038912131415232425[[#This Row],[累计净值]]/MAX(INDIRECT("B21:B" &amp; ROW()))-1,E99)</f>
        <v>-6.5859197577592732E-2</v>
      </c>
      <c r="F100" s="110">
        <f>表2_3671626293038912131415232425[[#This Row],[累计净值]]-0.21</f>
        <v>1.107</v>
      </c>
      <c r="G100" s="20">
        <f>表2_3671626293038912131415232425[[#This Row],[累计净值]]/$B$21-1</f>
        <v>8.8429752066115697E-2</v>
      </c>
    </row>
    <row r="101" spans="1:7" x14ac:dyDescent="0.2">
      <c r="A101" s="15">
        <v>44151</v>
      </c>
      <c r="B101" s="112">
        <v>1.331</v>
      </c>
      <c r="C101" s="108">
        <f t="shared" si="26"/>
        <v>1.4000000000000012E-2</v>
      </c>
      <c r="D101" s="109" t="str">
        <f t="shared" si="27"/>
        <v>/</v>
      </c>
      <c r="E101" s="109">
        <f ca="1">IF(表2_3671626293038912131415232425[[#This Row],[累计净值]]/MAX(INDIRECT("B21:B" &amp; ROW()))-1&lt;E100,表2_3671626293038912131415232425[[#This Row],[累计净值]]/MAX(INDIRECT("B21:B" &amp; ROW()))-1,E100)</f>
        <v>-6.5859197577592732E-2</v>
      </c>
      <c r="F101" s="110">
        <f>表2_3671626293038912131415232425[[#This Row],[累计净值]]-0.21</f>
        <v>1.121</v>
      </c>
      <c r="G101" s="20">
        <f>表2_3671626293038912131415232425[[#This Row],[累计净值]]/$B$21-1</f>
        <v>0.10000000000000009</v>
      </c>
    </row>
    <row r="102" spans="1:7" x14ac:dyDescent="0.2">
      <c r="A102" s="15">
        <v>44152</v>
      </c>
      <c r="B102" s="112">
        <v>1.3120000000000001</v>
      </c>
      <c r="C102" s="108">
        <f t="shared" si="26"/>
        <v>-1.8999999999999906E-2</v>
      </c>
      <c r="D102" s="109">
        <f t="shared" si="27"/>
        <v>-1.8999999999999906E-2</v>
      </c>
      <c r="E102" s="109">
        <f ca="1">IF(表2_3671626293038912131415232425[[#This Row],[累计净值]]/MAX(INDIRECT("B21:B" &amp; ROW()))-1&lt;E101,表2_3671626293038912131415232425[[#This Row],[累计净值]]/MAX(INDIRECT("B21:B" &amp; ROW()))-1,E101)</f>
        <v>-6.5859197577592732E-2</v>
      </c>
      <c r="F102" s="110">
        <f>表2_3671626293038912131415232425[[#This Row],[累计净值]]-0.21</f>
        <v>1.1020000000000001</v>
      </c>
      <c r="G102" s="20">
        <f>表2_3671626293038912131415232425[[#This Row],[累计净值]]/$B$21-1</f>
        <v>8.4297520661157144E-2</v>
      </c>
    </row>
    <row r="103" spans="1:7" x14ac:dyDescent="0.2">
      <c r="A103" s="15">
        <v>44153</v>
      </c>
      <c r="B103" s="112">
        <v>1.3120000000000001</v>
      </c>
      <c r="C103" s="108">
        <f t="shared" si="26"/>
        <v>0</v>
      </c>
      <c r="D103" s="109" t="str">
        <f t="shared" si="27"/>
        <v>/</v>
      </c>
      <c r="E103" s="109">
        <f ca="1">IF(表2_3671626293038912131415232425[[#This Row],[累计净值]]/MAX(INDIRECT("B21:B" &amp; ROW()))-1&lt;E102,表2_3671626293038912131415232425[[#This Row],[累计净值]]/MAX(INDIRECT("B21:B" &amp; ROW()))-1,E102)</f>
        <v>-6.5859197577592732E-2</v>
      </c>
      <c r="F103" s="110">
        <f>表2_3671626293038912131415232425[[#This Row],[累计净值]]-0.21</f>
        <v>1.1020000000000001</v>
      </c>
      <c r="G103" s="20">
        <f>表2_3671626293038912131415232425[[#This Row],[累计净值]]/$B$21-1</f>
        <v>8.4297520661157144E-2</v>
      </c>
    </row>
    <row r="104" spans="1:7" x14ac:dyDescent="0.2">
      <c r="A104" s="15">
        <v>44154</v>
      </c>
      <c r="B104" s="112">
        <v>1.3080000000000001</v>
      </c>
      <c r="C104" s="108">
        <f t="shared" si="26"/>
        <v>-4.0000000000000036E-3</v>
      </c>
      <c r="D104" s="109">
        <f t="shared" si="27"/>
        <v>-4.0000000000000036E-3</v>
      </c>
      <c r="E104" s="109">
        <f ca="1">IF(表2_3671626293038912131415232425[[#This Row],[累计净值]]/MAX(INDIRECT("B21:B" &amp; ROW()))-1&lt;E103,表2_3671626293038912131415232425[[#This Row],[累计净值]]/MAX(INDIRECT("B21:B" &amp; ROW()))-1,E103)</f>
        <v>-6.5859197577592732E-2</v>
      </c>
      <c r="F104" s="110">
        <f>表2_3671626293038912131415232425[[#This Row],[累计净值]]-0.21</f>
        <v>1.0980000000000001</v>
      </c>
      <c r="G104" s="20">
        <f>表2_3671626293038912131415232425[[#This Row],[累计净值]]/$B$21-1</f>
        <v>8.0991735537190079E-2</v>
      </c>
    </row>
    <row r="105" spans="1:7" x14ac:dyDescent="0.2">
      <c r="A105" s="15">
        <v>44155</v>
      </c>
      <c r="B105" s="112">
        <v>1.325</v>
      </c>
      <c r="C105" s="108">
        <f t="shared" ref="C105:C110" si="28">IFERROR(B105-B104,0)</f>
        <v>1.6999999999999904E-2</v>
      </c>
      <c r="D105" s="109" t="str">
        <f t="shared" ref="D105:D110" si="29">IF(C105&lt;0,C105,"/")</f>
        <v>/</v>
      </c>
      <c r="E105" s="109">
        <f ca="1">IF(表2_3671626293038912131415232425[[#This Row],[累计净值]]/MAX(INDIRECT("B21:B" &amp; ROW()))-1&lt;E104,表2_3671626293038912131415232425[[#This Row],[累计净值]]/MAX(INDIRECT("B21:B" &amp; ROW()))-1,E104)</f>
        <v>-6.5859197577592732E-2</v>
      </c>
      <c r="F105" s="110">
        <f>表2_3671626293038912131415232425[[#This Row],[累计净值]]-0.21</f>
        <v>1.115</v>
      </c>
      <c r="G105" s="20">
        <f>表2_3671626293038912131415232425[[#This Row],[累计净值]]/$B$21-1</f>
        <v>9.5041322314049603E-2</v>
      </c>
    </row>
    <row r="106" spans="1:7" x14ac:dyDescent="0.2">
      <c r="A106" s="15">
        <v>44158</v>
      </c>
      <c r="B106" s="112">
        <v>1.3280000000000001</v>
      </c>
      <c r="C106" s="108">
        <f t="shared" si="28"/>
        <v>3.0000000000001137E-3</v>
      </c>
      <c r="D106" s="109" t="str">
        <f t="shared" si="29"/>
        <v>/</v>
      </c>
      <c r="E106" s="109">
        <f ca="1">IF(表2_3671626293038912131415232425[[#This Row],[累计净值]]/MAX(INDIRECT("B21:B" &amp; ROW()))-1&lt;E105,表2_3671626293038912131415232425[[#This Row],[累计净值]]/MAX(INDIRECT("B21:B" &amp; ROW()))-1,E105)</f>
        <v>-6.5859197577592732E-2</v>
      </c>
      <c r="F106" s="110">
        <f>表2_3671626293038912131415232425[[#This Row],[累计净值]]-0.21</f>
        <v>1.1180000000000001</v>
      </c>
      <c r="G106" s="20">
        <f>表2_3671626293038912131415232425[[#This Row],[累计净值]]/$B$21-1</f>
        <v>9.7520661157024957E-2</v>
      </c>
    </row>
    <row r="107" spans="1:7" x14ac:dyDescent="0.2">
      <c r="A107" s="15">
        <v>44159</v>
      </c>
      <c r="B107" s="112">
        <v>1.3160000000000001</v>
      </c>
      <c r="C107" s="108">
        <f t="shared" si="28"/>
        <v>-1.2000000000000011E-2</v>
      </c>
      <c r="D107" s="109">
        <f t="shared" si="29"/>
        <v>-1.2000000000000011E-2</v>
      </c>
      <c r="E107" s="109">
        <f ca="1">IF(表2_3671626293038912131415232425[[#This Row],[累计净值]]/MAX(INDIRECT("B21:B" &amp; ROW()))-1&lt;E106,表2_3671626293038912131415232425[[#This Row],[累计净值]]/MAX(INDIRECT("B21:B" &amp; ROW()))-1,E106)</f>
        <v>-6.5859197577592732E-2</v>
      </c>
      <c r="F107" s="110">
        <f>表2_3671626293038912131415232425[[#This Row],[累计净值]]-0.21</f>
        <v>1.1060000000000001</v>
      </c>
      <c r="G107" s="20">
        <f>表2_3671626293038912131415232425[[#This Row],[累计净值]]/$B$21-1</f>
        <v>8.7603305785123986E-2</v>
      </c>
    </row>
    <row r="108" spans="1:7" x14ac:dyDescent="0.2">
      <c r="A108" s="15">
        <v>44160</v>
      </c>
      <c r="B108" s="112">
        <v>1.3</v>
      </c>
      <c r="C108" s="108">
        <f t="shared" si="28"/>
        <v>-1.6000000000000014E-2</v>
      </c>
      <c r="D108" s="109">
        <f t="shared" si="29"/>
        <v>-1.6000000000000014E-2</v>
      </c>
      <c r="E108" s="109">
        <f ca="1">IF(表2_3671626293038912131415232425[[#This Row],[累计净值]]/MAX(INDIRECT("B21:B" &amp; ROW()))-1&lt;E107,表2_3671626293038912131415232425[[#This Row],[累计净值]]/MAX(INDIRECT("B21:B" &amp; ROW()))-1,E107)</f>
        <v>-6.5859197577592732E-2</v>
      </c>
      <c r="F108" s="110">
        <f>表2_3671626293038912131415232425[[#This Row],[累计净值]]-0.21</f>
        <v>1.0900000000000001</v>
      </c>
      <c r="G108" s="20">
        <f>表2_3671626293038912131415232425[[#This Row],[累计净值]]/$B$21-1</f>
        <v>7.4380165289256173E-2</v>
      </c>
    </row>
    <row r="109" spans="1:7" x14ac:dyDescent="0.2">
      <c r="A109" s="15">
        <v>44161</v>
      </c>
      <c r="B109" s="112">
        <v>1.323</v>
      </c>
      <c r="C109" s="108">
        <f t="shared" si="28"/>
        <v>2.2999999999999909E-2</v>
      </c>
      <c r="D109" s="109" t="str">
        <f t="shared" si="29"/>
        <v>/</v>
      </c>
      <c r="E109" s="109">
        <f ca="1">IF(表2_3671626293038912131415232425[[#This Row],[累计净值]]/MAX(INDIRECT("B21:B" &amp; ROW()))-1&lt;E108,表2_3671626293038912131415232425[[#This Row],[累计净值]]/MAX(INDIRECT("B21:B" &amp; ROW()))-1,E108)</f>
        <v>-6.5859197577592732E-2</v>
      </c>
      <c r="F109" s="110">
        <f>表2_3671626293038912131415232425[[#This Row],[累计净值]]-0.21</f>
        <v>1.113</v>
      </c>
      <c r="G109" s="20">
        <f>表2_3671626293038912131415232425[[#This Row],[累计净值]]/$B$21-1</f>
        <v>9.3388429752066182E-2</v>
      </c>
    </row>
    <row r="110" spans="1:7" x14ac:dyDescent="0.2">
      <c r="A110" s="15">
        <v>44162</v>
      </c>
      <c r="B110" s="112">
        <v>1.327</v>
      </c>
      <c r="C110" s="108">
        <f t="shared" si="28"/>
        <v>4.0000000000000036E-3</v>
      </c>
      <c r="D110" s="109" t="str">
        <f t="shared" si="29"/>
        <v>/</v>
      </c>
      <c r="E110" s="109">
        <f ca="1">IF(表2_3671626293038912131415232425[[#This Row],[累计净值]]/MAX(INDIRECT("B21:B" &amp; ROW()))-1&lt;E109,表2_3671626293038912131415232425[[#This Row],[累计净值]]/MAX(INDIRECT("B21:B" &amp; ROW()))-1,E109)</f>
        <v>-6.5859197577592732E-2</v>
      </c>
      <c r="F110" s="110">
        <f>表2_3671626293038912131415232425[[#This Row],[累计净值]]-0.21</f>
        <v>1.117</v>
      </c>
      <c r="G110" s="20">
        <f>表2_3671626293038912131415232425[[#This Row],[累计净值]]/$B$21-1</f>
        <v>9.6694214876033024E-2</v>
      </c>
    </row>
    <row r="111" spans="1:7" x14ac:dyDescent="0.2">
      <c r="A111" s="15">
        <v>44165</v>
      </c>
      <c r="B111" s="112">
        <v>1.3080000000000001</v>
      </c>
      <c r="C111" s="108">
        <f t="shared" ref="C111:C116" si="30">IFERROR(B111-B110,0)</f>
        <v>-1.8999999999999906E-2</v>
      </c>
      <c r="D111" s="109">
        <f t="shared" ref="D111:D116" si="31">IF(C111&lt;0,C111,"/")</f>
        <v>-1.8999999999999906E-2</v>
      </c>
      <c r="E111" s="109">
        <f ca="1">IF(表2_3671626293038912131415232425[[#This Row],[累计净值]]/MAX(INDIRECT("B21:B" &amp; ROW()))-1&lt;E110,表2_3671626293038912131415232425[[#This Row],[累计净值]]/MAX(INDIRECT("B21:B" &amp; ROW()))-1,E110)</f>
        <v>-6.5859197577592732E-2</v>
      </c>
      <c r="F111" s="110">
        <f>表2_3671626293038912131415232425[[#This Row],[累计净值]]-0.21</f>
        <v>1.0980000000000001</v>
      </c>
      <c r="G111" s="20">
        <f>表2_3671626293038912131415232425[[#This Row],[累计净值]]/$B$21-1</f>
        <v>8.0991735537190079E-2</v>
      </c>
    </row>
    <row r="112" spans="1:7" x14ac:dyDescent="0.2">
      <c r="A112" s="15">
        <v>44166</v>
      </c>
      <c r="B112" s="112">
        <v>1.323</v>
      </c>
      <c r="C112" s="108">
        <f t="shared" si="30"/>
        <v>1.4999999999999902E-2</v>
      </c>
      <c r="D112" s="109" t="str">
        <f t="shared" si="31"/>
        <v>/</v>
      </c>
      <c r="E112" s="109">
        <f ca="1">IF(表2_3671626293038912131415232425[[#This Row],[累计净值]]/MAX(INDIRECT("B21:B" &amp; ROW()))-1&lt;E111,表2_3671626293038912131415232425[[#This Row],[累计净值]]/MAX(INDIRECT("B21:B" &amp; ROW()))-1,E111)</f>
        <v>-6.5859197577592732E-2</v>
      </c>
      <c r="F112" s="110">
        <f>表2_3671626293038912131415232425[[#This Row],[累计净值]]-0.21</f>
        <v>1.113</v>
      </c>
      <c r="G112" s="20">
        <f>表2_3671626293038912131415232425[[#This Row],[累计净值]]/$B$21-1</f>
        <v>9.3388429752066182E-2</v>
      </c>
    </row>
    <row r="113" spans="1:7" x14ac:dyDescent="0.2">
      <c r="A113" s="15">
        <v>44167</v>
      </c>
      <c r="B113" s="112">
        <v>1.3169999999999999</v>
      </c>
      <c r="C113" s="108">
        <f t="shared" si="30"/>
        <v>-6.0000000000000053E-3</v>
      </c>
      <c r="D113" s="109">
        <f t="shared" si="31"/>
        <v>-6.0000000000000053E-3</v>
      </c>
      <c r="E113" s="109">
        <f ca="1">IF(表2_3671626293038912131415232425[[#This Row],[累计净值]]/MAX(INDIRECT("B21:B" &amp; ROW()))-1&lt;E112,表2_3671626293038912131415232425[[#This Row],[累计净值]]/MAX(INDIRECT("B21:B" &amp; ROW()))-1,E112)</f>
        <v>-6.5859197577592732E-2</v>
      </c>
      <c r="F113" s="110">
        <f>表2_3671626293038912131415232425[[#This Row],[累计净值]]-0.21</f>
        <v>1.107</v>
      </c>
      <c r="G113" s="20">
        <f>表2_3671626293038912131415232425[[#This Row],[累计净值]]/$B$21-1</f>
        <v>8.8429752066115697E-2</v>
      </c>
    </row>
    <row r="114" spans="1:7" x14ac:dyDescent="0.2">
      <c r="A114" s="15">
        <v>44168</v>
      </c>
      <c r="B114" s="112">
        <v>1.3260000000000001</v>
      </c>
      <c r="C114" s="108">
        <f t="shared" si="30"/>
        <v>9.000000000000119E-3</v>
      </c>
      <c r="D114" s="109" t="str">
        <f t="shared" si="31"/>
        <v>/</v>
      </c>
      <c r="E114" s="109">
        <f ca="1">IF(表2_3671626293038912131415232425[[#This Row],[累计净值]]/MAX(INDIRECT("B21:B" &amp; ROW()))-1&lt;E113,表2_3671626293038912131415232425[[#This Row],[累计净值]]/MAX(INDIRECT("B21:B" &amp; ROW()))-1,E113)</f>
        <v>-6.5859197577592732E-2</v>
      </c>
      <c r="F114" s="110">
        <f>表2_3671626293038912131415232425[[#This Row],[累计净值]]-0.21</f>
        <v>1.1160000000000001</v>
      </c>
      <c r="G114" s="20">
        <f>表2_3671626293038912131415232425[[#This Row],[累计净值]]/$B$21-1</f>
        <v>9.5867768595041314E-2</v>
      </c>
    </row>
    <row r="115" spans="1:7" x14ac:dyDescent="0.2">
      <c r="A115" s="15">
        <v>44169</v>
      </c>
      <c r="B115" s="112">
        <v>1.3440000000000001</v>
      </c>
      <c r="C115" s="108">
        <f t="shared" si="30"/>
        <v>1.8000000000000016E-2</v>
      </c>
      <c r="D115" s="109" t="str">
        <f t="shared" si="31"/>
        <v>/</v>
      </c>
      <c r="E115" s="109">
        <f ca="1">IF(表2_3671626293038912131415232425[[#This Row],[累计净值]]/MAX(INDIRECT("B21:B" &amp; ROW()))-1&lt;E114,表2_3671626293038912131415232425[[#This Row],[累计净值]]/MAX(INDIRECT("B21:B" &amp; ROW()))-1,E114)</f>
        <v>-6.5859197577592732E-2</v>
      </c>
      <c r="F115" s="110">
        <f>表2_3671626293038912131415232425[[#This Row],[累计净值]]-0.21</f>
        <v>1.1340000000000001</v>
      </c>
      <c r="G115" s="20">
        <f>表2_3671626293038912131415232425[[#This Row],[累计净值]]/$B$21-1</f>
        <v>0.11074380165289277</v>
      </c>
    </row>
    <row r="116" spans="1:7" x14ac:dyDescent="0.2">
      <c r="A116" s="15">
        <v>44172</v>
      </c>
      <c r="B116" s="112">
        <v>1.33</v>
      </c>
      <c r="C116" s="108">
        <f t="shared" si="30"/>
        <v>-1.4000000000000012E-2</v>
      </c>
      <c r="D116" s="109">
        <f t="shared" si="31"/>
        <v>-1.4000000000000012E-2</v>
      </c>
      <c r="E116" s="109">
        <f ca="1">IF(表2_3671626293038912131415232425[[#This Row],[累计净值]]/MAX(INDIRECT("B21:B" &amp; ROW()))-1&lt;E115,表2_3671626293038912131415232425[[#This Row],[累计净值]]/MAX(INDIRECT("B21:B" &amp; ROW()))-1,E115)</f>
        <v>-6.5859197577592732E-2</v>
      </c>
      <c r="F116" s="110">
        <f>表2_3671626293038912131415232425[[#This Row],[累计净值]]-0.21</f>
        <v>1.1200000000000001</v>
      </c>
      <c r="G116" s="20">
        <f>表2_3671626293038912131415232425[[#This Row],[累计净值]]/$B$21-1</f>
        <v>9.9173553719008378E-2</v>
      </c>
    </row>
    <row r="117" spans="1:7" x14ac:dyDescent="0.2">
      <c r="A117" s="15">
        <v>44173</v>
      </c>
      <c r="B117" s="112">
        <v>1.3280000000000001</v>
      </c>
      <c r="C117" s="108">
        <f t="shared" ref="C117:C122" si="32">IFERROR(B117-B116,0)</f>
        <v>-2.0000000000000018E-3</v>
      </c>
      <c r="D117" s="109">
        <f t="shared" ref="D117:D122" si="33">IF(C117&lt;0,C117,"/")</f>
        <v>-2.0000000000000018E-3</v>
      </c>
      <c r="E117" s="109">
        <f ca="1">IF(表2_3671626293038912131415232425[[#This Row],[累计净值]]/MAX(INDIRECT("B21:B" &amp; ROW()))-1&lt;E116,表2_3671626293038912131415232425[[#This Row],[累计净值]]/MAX(INDIRECT("B21:B" &amp; ROW()))-1,E116)</f>
        <v>-6.5859197577592732E-2</v>
      </c>
      <c r="F117" s="110">
        <f>表2_3671626293038912131415232425[[#This Row],[累计净值]]-0.21</f>
        <v>1.1180000000000001</v>
      </c>
      <c r="G117" s="20">
        <f>表2_3671626293038912131415232425[[#This Row],[累计净值]]/$B$21-1</f>
        <v>9.7520661157024957E-2</v>
      </c>
    </row>
    <row r="118" spans="1:7" x14ac:dyDescent="0.2">
      <c r="A118" s="15">
        <v>44174</v>
      </c>
      <c r="B118" s="112">
        <v>1.32</v>
      </c>
      <c r="C118" s="108">
        <f t="shared" si="32"/>
        <v>-8.0000000000000071E-3</v>
      </c>
      <c r="D118" s="109">
        <f t="shared" si="33"/>
        <v>-8.0000000000000071E-3</v>
      </c>
      <c r="E118" s="109">
        <f ca="1">IF(表2_3671626293038912131415232425[[#This Row],[累计净值]]/MAX(INDIRECT("B21:B" &amp; ROW()))-1&lt;E117,表2_3671626293038912131415232425[[#This Row],[累计净值]]/MAX(INDIRECT("B21:B" &amp; ROW()))-1,E117)</f>
        <v>-6.5859197577592732E-2</v>
      </c>
      <c r="F118" s="110">
        <f>表2_3671626293038912131415232425[[#This Row],[累计净值]]-0.21</f>
        <v>1.1100000000000001</v>
      </c>
      <c r="G118" s="20">
        <f>表2_3671626293038912131415232425[[#This Row],[累计净值]]/$B$21-1</f>
        <v>9.090909090909105E-2</v>
      </c>
    </row>
    <row r="119" spans="1:7" x14ac:dyDescent="0.2">
      <c r="A119" s="15">
        <v>44175</v>
      </c>
      <c r="B119" s="112">
        <v>1.3160000000000001</v>
      </c>
      <c r="C119" s="108">
        <f t="shared" si="32"/>
        <v>-4.0000000000000036E-3</v>
      </c>
      <c r="D119" s="109">
        <f t="shared" si="33"/>
        <v>-4.0000000000000036E-3</v>
      </c>
      <c r="E119" s="109">
        <f ca="1">IF(表2_3671626293038912131415232425[[#This Row],[累计净值]]/MAX(INDIRECT("B21:B" &amp; ROW()))-1&lt;E118,表2_3671626293038912131415232425[[#This Row],[累计净值]]/MAX(INDIRECT("B21:B" &amp; ROW()))-1,E118)</f>
        <v>-6.5859197577592732E-2</v>
      </c>
      <c r="F119" s="110">
        <f>表2_3671626293038912131415232425[[#This Row],[累计净值]]-0.21</f>
        <v>1.1060000000000001</v>
      </c>
      <c r="G119" s="20">
        <f>表2_3671626293038912131415232425[[#This Row],[累计净值]]/$B$21-1</f>
        <v>8.7603305785123986E-2</v>
      </c>
    </row>
    <row r="120" spans="1:7" x14ac:dyDescent="0.2">
      <c r="A120" s="15">
        <v>44176</v>
      </c>
      <c r="B120" s="112">
        <v>1.321</v>
      </c>
      <c r="C120" s="108">
        <f t="shared" si="32"/>
        <v>4.9999999999998934E-3</v>
      </c>
      <c r="D120" s="109" t="str">
        <f t="shared" si="33"/>
        <v>/</v>
      </c>
      <c r="E120" s="109">
        <f ca="1">IF(表2_3671626293038912131415232425[[#This Row],[累计净值]]/MAX(INDIRECT("B21:B" &amp; ROW()))-1&lt;E119,表2_3671626293038912131415232425[[#This Row],[累计净值]]/MAX(INDIRECT("B21:B" &amp; ROW()))-1,E119)</f>
        <v>-6.5859197577592732E-2</v>
      </c>
      <c r="F120" s="110">
        <f>表2_3671626293038912131415232425[[#This Row],[累计净值]]-0.21</f>
        <v>1.111</v>
      </c>
      <c r="G120" s="20">
        <f>表2_3671626293038912131415232425[[#This Row],[累计净值]]/$B$21-1</f>
        <v>9.1735537190082539E-2</v>
      </c>
    </row>
    <row r="121" spans="1:7" x14ac:dyDescent="0.2">
      <c r="A121" s="15">
        <v>44179</v>
      </c>
      <c r="B121" s="112">
        <v>1.3129999999999999</v>
      </c>
      <c r="C121" s="108">
        <f t="shared" si="32"/>
        <v>-8.0000000000000071E-3</v>
      </c>
      <c r="D121" s="109">
        <f t="shared" si="33"/>
        <v>-8.0000000000000071E-3</v>
      </c>
      <c r="E121" s="109">
        <f ca="1">IF(表2_3671626293038912131415232425[[#This Row],[累计净值]]/MAX(INDIRECT("B21:B" &amp; ROW()))-1&lt;E120,表2_3671626293038912131415232425[[#This Row],[累计净值]]/MAX(INDIRECT("B21:B" &amp; ROW()))-1,E120)</f>
        <v>-6.5859197577592732E-2</v>
      </c>
      <c r="F121" s="110">
        <f>表2_3671626293038912131415232425[[#This Row],[累计净值]]-0.21</f>
        <v>1.103</v>
      </c>
      <c r="G121" s="20">
        <f>表2_3671626293038912131415232425[[#This Row],[累计净值]]/$B$21-1</f>
        <v>8.5123966942148854E-2</v>
      </c>
    </row>
    <row r="122" spans="1:7" x14ac:dyDescent="0.2">
      <c r="A122" s="15">
        <v>44180</v>
      </c>
      <c r="B122" s="112">
        <v>1.302</v>
      </c>
      <c r="C122" s="108">
        <f t="shared" si="32"/>
        <v>-1.0999999999999899E-2</v>
      </c>
      <c r="D122" s="109">
        <f t="shared" si="33"/>
        <v>-1.0999999999999899E-2</v>
      </c>
      <c r="E122" s="109">
        <f ca="1">IF(表2_3671626293038912131415232425[[#This Row],[累计净值]]/MAX(INDIRECT("B21:B" &amp; ROW()))-1&lt;E121,表2_3671626293038912131415232425[[#This Row],[累计净值]]/MAX(INDIRECT("B21:B" &amp; ROW()))-1,E121)</f>
        <v>-6.5859197577592732E-2</v>
      </c>
      <c r="F122" s="110">
        <f>表2_3671626293038912131415232425[[#This Row],[累计净值]]-0.21</f>
        <v>1.0920000000000001</v>
      </c>
      <c r="G122" s="20">
        <f>表2_3671626293038912131415232425[[#This Row],[累计净值]]/$B$21-1</f>
        <v>7.6033057851239816E-2</v>
      </c>
    </row>
    <row r="123" spans="1:7" x14ac:dyDescent="0.2">
      <c r="A123" s="15">
        <v>44181</v>
      </c>
      <c r="B123" s="112">
        <v>1.3109999999999999</v>
      </c>
      <c r="C123" s="108">
        <f t="shared" ref="C123:C128" si="34">IFERROR(B123-B122,0)</f>
        <v>8.999999999999897E-3</v>
      </c>
      <c r="D123" s="109" t="str">
        <f t="shared" ref="D123:D128" si="35">IF(C123&lt;0,C123,"/")</f>
        <v>/</v>
      </c>
      <c r="E123" s="109">
        <f ca="1">IF(表2_3671626293038912131415232425[[#This Row],[累计净值]]/MAX(INDIRECT("B21:B" &amp; ROW()))-1&lt;E122,表2_3671626293038912131415232425[[#This Row],[累计净值]]/MAX(INDIRECT("B21:B" &amp; ROW()))-1,E122)</f>
        <v>-6.5859197577592732E-2</v>
      </c>
      <c r="F123" s="110">
        <f>表2_3671626293038912131415232425[[#This Row],[累计净值]]-0.21</f>
        <v>1.101</v>
      </c>
      <c r="G123" s="20">
        <f>表2_3671626293038912131415232425[[#This Row],[累计净值]]/$B$21-1</f>
        <v>8.3471074380165211E-2</v>
      </c>
    </row>
    <row r="124" spans="1:7" x14ac:dyDescent="0.2">
      <c r="A124" s="15">
        <v>44182</v>
      </c>
      <c r="B124" s="112">
        <v>1.327</v>
      </c>
      <c r="C124" s="108">
        <f t="shared" si="34"/>
        <v>1.6000000000000014E-2</v>
      </c>
      <c r="D124" s="109" t="str">
        <f t="shared" si="35"/>
        <v>/</v>
      </c>
      <c r="E124" s="109">
        <f ca="1">IF(表2_3671626293038912131415232425[[#This Row],[累计净值]]/MAX(INDIRECT("B21:B" &amp; ROW()))-1&lt;E123,表2_3671626293038912131415232425[[#This Row],[累计净值]]/MAX(INDIRECT("B21:B" &amp; ROW()))-1,E123)</f>
        <v>-6.5859197577592732E-2</v>
      </c>
      <c r="F124" s="110">
        <f>表2_3671626293038912131415232425[[#This Row],[累计净值]]-0.21</f>
        <v>1.117</v>
      </c>
      <c r="G124" s="20">
        <f>表2_3671626293038912131415232425[[#This Row],[累计净值]]/$B$21-1</f>
        <v>9.6694214876033024E-2</v>
      </c>
    </row>
    <row r="125" spans="1:7" x14ac:dyDescent="0.2">
      <c r="A125" s="15">
        <v>44183</v>
      </c>
      <c r="B125" s="112">
        <v>1.3129999999999999</v>
      </c>
      <c r="C125" s="108">
        <f t="shared" si="34"/>
        <v>-1.4000000000000012E-2</v>
      </c>
      <c r="D125" s="109">
        <f t="shared" si="35"/>
        <v>-1.4000000000000012E-2</v>
      </c>
      <c r="E125" s="109">
        <f ca="1">IF(表2_3671626293038912131415232425[[#This Row],[累计净值]]/MAX(INDIRECT("B21:B" &amp; ROW()))-1&lt;E124,表2_3671626293038912131415232425[[#This Row],[累计净值]]/MAX(INDIRECT("B21:B" &amp; ROW()))-1,E124)</f>
        <v>-6.5859197577592732E-2</v>
      </c>
      <c r="F125" s="110">
        <f>表2_3671626293038912131415232425[[#This Row],[累计净值]]-0.21</f>
        <v>1.103</v>
      </c>
      <c r="G125" s="20">
        <f>表2_3671626293038912131415232425[[#This Row],[累计净值]]/$B$21-1</f>
        <v>8.5123966942148854E-2</v>
      </c>
    </row>
    <row r="126" spans="1:7" x14ac:dyDescent="0.2">
      <c r="A126" s="15">
        <v>44186</v>
      </c>
      <c r="B126" s="112">
        <v>1.3129999999999999</v>
      </c>
      <c r="C126" s="108">
        <f t="shared" si="34"/>
        <v>0</v>
      </c>
      <c r="D126" s="109" t="str">
        <f t="shared" si="35"/>
        <v>/</v>
      </c>
      <c r="E126" s="109">
        <f ca="1">IF(表2_3671626293038912131415232425[[#This Row],[累计净值]]/MAX(INDIRECT("B21:B" &amp; ROW()))-1&lt;E125,表2_3671626293038912131415232425[[#This Row],[累计净值]]/MAX(INDIRECT("B21:B" &amp; ROW()))-1,E125)</f>
        <v>-6.5859197577592732E-2</v>
      </c>
      <c r="F126" s="110">
        <f>表2_3671626293038912131415232425[[#This Row],[累计净值]]-0.21</f>
        <v>1.103</v>
      </c>
      <c r="G126" s="20">
        <f>表2_3671626293038912131415232425[[#This Row],[累计净值]]/$B$21-1</f>
        <v>8.5123966942148854E-2</v>
      </c>
    </row>
    <row r="127" spans="1:7" x14ac:dyDescent="0.2">
      <c r="A127" s="15">
        <v>44187</v>
      </c>
      <c r="B127" s="112">
        <v>1.306</v>
      </c>
      <c r="C127" s="108">
        <f t="shared" si="34"/>
        <v>-6.9999999999998952E-3</v>
      </c>
      <c r="D127" s="109">
        <f t="shared" si="35"/>
        <v>-6.9999999999998952E-3</v>
      </c>
      <c r="E127" s="109">
        <f ca="1">IF(表2_3671626293038912131415232425[[#This Row],[累计净值]]/MAX(INDIRECT("B21:B" &amp; ROW()))-1&lt;E126,表2_3671626293038912131415232425[[#This Row],[累计净值]]/MAX(INDIRECT("B21:B" &amp; ROW()))-1,E126)</f>
        <v>-6.5859197577592732E-2</v>
      </c>
      <c r="F127" s="110">
        <f>表2_3671626293038912131415232425[[#This Row],[累计净值]]-0.21</f>
        <v>1.0960000000000001</v>
      </c>
      <c r="G127" s="20">
        <f>表2_3671626293038912131415232425[[#This Row],[累计净值]]/$B$21-1</f>
        <v>7.9338842975206658E-2</v>
      </c>
    </row>
    <row r="128" spans="1:7" x14ac:dyDescent="0.2">
      <c r="A128" s="15">
        <v>44188</v>
      </c>
      <c r="B128" s="112">
        <v>1.3149999999999999</v>
      </c>
      <c r="C128" s="108">
        <f t="shared" si="34"/>
        <v>8.999999999999897E-3</v>
      </c>
      <c r="D128" s="109" t="str">
        <f t="shared" si="35"/>
        <v>/</v>
      </c>
      <c r="E128" s="109">
        <f ca="1">IF(表2_3671626293038912131415232425[[#This Row],[累计净值]]/MAX(INDIRECT("B21:B" &amp; ROW()))-1&lt;E127,表2_3671626293038912131415232425[[#This Row],[累计净值]]/MAX(INDIRECT("B21:B" &amp; ROW()))-1,E127)</f>
        <v>-6.5859197577592732E-2</v>
      </c>
      <c r="F128" s="110">
        <f>表2_3671626293038912131415232425[[#This Row],[累计净值]]-0.21</f>
        <v>1.105</v>
      </c>
      <c r="G128" s="20">
        <f>表2_3671626293038912131415232425[[#This Row],[累计净值]]/$B$21-1</f>
        <v>8.6776859504132275E-2</v>
      </c>
    </row>
    <row r="129" spans="1:7" x14ac:dyDescent="0.2">
      <c r="A129" s="15">
        <v>44189</v>
      </c>
      <c r="B129" s="112">
        <v>1.3069999999999999</v>
      </c>
      <c r="C129" s="108">
        <f t="shared" ref="C129:C134" si="36">IFERROR(B129-B128,0)</f>
        <v>-8.0000000000000071E-3</v>
      </c>
      <c r="D129" s="109">
        <f t="shared" ref="D129:D134" si="37">IF(C129&lt;0,C129,"/")</f>
        <v>-8.0000000000000071E-3</v>
      </c>
      <c r="E129" s="109">
        <f ca="1">IF(表2_3671626293038912131415232425[[#This Row],[累计净值]]/MAX(INDIRECT("B21:B" &amp; ROW()))-1&lt;E128,表2_3671626293038912131415232425[[#This Row],[累计净值]]/MAX(INDIRECT("B21:B" &amp; ROW()))-1,E128)</f>
        <v>-6.5859197577592732E-2</v>
      </c>
      <c r="F129" s="110">
        <f>表2_3671626293038912131415232425[[#This Row],[累计净值]]-0.21</f>
        <v>1.097</v>
      </c>
      <c r="G129" s="20">
        <f>表2_3671626293038912131415232425[[#This Row],[累计净值]]/$B$21-1</f>
        <v>8.0165289256198369E-2</v>
      </c>
    </row>
    <row r="130" spans="1:7" x14ac:dyDescent="0.2">
      <c r="A130" s="15">
        <v>44190</v>
      </c>
      <c r="B130" s="112">
        <v>1.3089999999999999</v>
      </c>
      <c r="C130" s="108">
        <f t="shared" si="36"/>
        <v>2.0000000000000018E-3</v>
      </c>
      <c r="D130" s="109" t="str">
        <f t="shared" si="37"/>
        <v>/</v>
      </c>
      <c r="E130" s="109">
        <f ca="1">IF(表2_3671626293038912131415232425[[#This Row],[累计净值]]/MAX(INDIRECT("B21:B" &amp; ROW()))-1&lt;E129,表2_3671626293038912131415232425[[#This Row],[累计净值]]/MAX(INDIRECT("B21:B" &amp; ROW()))-1,E129)</f>
        <v>-6.5859197577592732E-2</v>
      </c>
      <c r="F130" s="110">
        <f>表2_3671626293038912131415232425[[#This Row],[累计净值]]-0.21</f>
        <v>1.099</v>
      </c>
      <c r="G130" s="20">
        <f>表2_3671626293038912131415232425[[#This Row],[累计净值]]/$B$21-1</f>
        <v>8.181818181818179E-2</v>
      </c>
    </row>
    <row r="131" spans="1:7" x14ac:dyDescent="0.2">
      <c r="A131" s="15">
        <v>44193</v>
      </c>
      <c r="B131" s="112">
        <v>1.2869999999999999</v>
      </c>
      <c r="C131" s="108">
        <f t="shared" si="36"/>
        <v>-2.200000000000002E-2</v>
      </c>
      <c r="D131" s="109">
        <f t="shared" si="37"/>
        <v>-2.200000000000002E-2</v>
      </c>
      <c r="E131" s="109">
        <f ca="1">IF(表2_3671626293038912131415232425[[#This Row],[累计净值]]/MAX(INDIRECT("B21:B" &amp; ROW()))-1&lt;E130,表2_3671626293038912131415232425[[#This Row],[累计净值]]/MAX(INDIRECT("B21:B" &amp; ROW()))-1,E130)</f>
        <v>-6.5859197577592732E-2</v>
      </c>
      <c r="F131" s="110">
        <f>表2_3671626293038912131415232425[[#This Row],[累计净值]]-0.21</f>
        <v>1.077</v>
      </c>
      <c r="G131" s="20">
        <f>表2_3671626293038912131415232425[[#This Row],[累计净值]]/$B$21-1</f>
        <v>6.3636363636363713E-2</v>
      </c>
    </row>
    <row r="132" spans="1:7" x14ac:dyDescent="0.2">
      <c r="A132" s="15">
        <v>44194</v>
      </c>
      <c r="B132" s="112">
        <v>1.3049999999999999</v>
      </c>
      <c r="C132" s="108">
        <f t="shared" si="36"/>
        <v>1.8000000000000016E-2</v>
      </c>
      <c r="D132" s="109" t="str">
        <f t="shared" si="37"/>
        <v>/</v>
      </c>
      <c r="E132" s="109">
        <f ca="1">IF(表2_3671626293038912131415232425[[#This Row],[累计净值]]/MAX(INDIRECT("B21:B" &amp; ROW()))-1&lt;E131,表2_3671626293038912131415232425[[#This Row],[累计净值]]/MAX(INDIRECT("B21:B" &amp; ROW()))-1,E131)</f>
        <v>-6.5859197577592732E-2</v>
      </c>
      <c r="F132" s="110">
        <f>表2_3671626293038912131415232425[[#This Row],[累计净值]]-0.21</f>
        <v>1.095</v>
      </c>
      <c r="G132" s="20">
        <f>表2_3671626293038912131415232425[[#This Row],[累计净值]]/$B$21-1</f>
        <v>7.8512396694214948E-2</v>
      </c>
    </row>
    <row r="133" spans="1:7" x14ac:dyDescent="0.2">
      <c r="A133" s="15">
        <v>44195</v>
      </c>
      <c r="B133" s="112">
        <v>1.329</v>
      </c>
      <c r="C133" s="108">
        <f t="shared" si="36"/>
        <v>2.4000000000000021E-2</v>
      </c>
      <c r="D133" s="109" t="str">
        <f t="shared" si="37"/>
        <v>/</v>
      </c>
      <c r="E133" s="109">
        <f ca="1">IF(表2_3671626293038912131415232425[[#This Row],[累计净值]]/MAX(INDIRECT("B21:B" &amp; ROW()))-1&lt;E132,表2_3671626293038912131415232425[[#This Row],[累计净值]]/MAX(INDIRECT("B21:B" &amp; ROW()))-1,E132)</f>
        <v>-6.5859197577592732E-2</v>
      </c>
      <c r="F133" s="110">
        <f>表2_3671626293038912131415232425[[#This Row],[累计净值]]-0.21</f>
        <v>1.119</v>
      </c>
      <c r="G133" s="20">
        <f>表2_3671626293038912131415232425[[#This Row],[累计净值]]/$B$21-1</f>
        <v>9.8347107438016446E-2</v>
      </c>
    </row>
    <row r="134" spans="1:7" x14ac:dyDescent="0.2">
      <c r="A134" s="15">
        <v>44196</v>
      </c>
      <c r="B134" s="112">
        <v>1.347</v>
      </c>
      <c r="C134" s="108">
        <f t="shared" si="36"/>
        <v>1.8000000000000016E-2</v>
      </c>
      <c r="D134" s="109" t="str">
        <f t="shared" si="37"/>
        <v>/</v>
      </c>
      <c r="E134" s="109">
        <f ca="1">IF(表2_3671626293038912131415232425[[#This Row],[累计净值]]/MAX(INDIRECT("B21:B" &amp; ROW()))-1&lt;E133,表2_3671626293038912131415232425[[#This Row],[累计净值]]/MAX(INDIRECT("B21:B" &amp; ROW()))-1,E133)</f>
        <v>-6.5859197577592732E-2</v>
      </c>
      <c r="F134" s="110">
        <f>表2_3671626293038912131415232425[[#This Row],[累计净值]]-0.21</f>
        <v>1.137</v>
      </c>
      <c r="G134" s="20">
        <f>表2_3671626293038912131415232425[[#This Row],[累计净值]]/$B$21-1</f>
        <v>0.11322314049586768</v>
      </c>
    </row>
    <row r="135" spans="1:7" x14ac:dyDescent="0.2">
      <c r="A135" s="15">
        <v>44200</v>
      </c>
      <c r="B135" s="112">
        <v>1.349</v>
      </c>
      <c r="C135" s="108">
        <f>IFERROR(B135-B134,0)</f>
        <v>2.0000000000000018E-3</v>
      </c>
      <c r="D135" s="109" t="str">
        <f>IF(C135&lt;0,C135,"/")</f>
        <v>/</v>
      </c>
      <c r="E135" s="109">
        <f ca="1">IF(表2_3671626293038912131415232425[[#This Row],[累计净值]]/MAX(INDIRECT("B21:B" &amp; ROW()))-1&lt;E134,表2_3671626293038912131415232425[[#This Row],[累计净值]]/MAX(INDIRECT("B21:B" &amp; ROW()))-1,E134)</f>
        <v>-6.5859197577592732E-2</v>
      </c>
      <c r="F135" s="110">
        <f>表2_3671626293038912131415232425[[#This Row],[累计净值]]-0.21</f>
        <v>1.139</v>
      </c>
      <c r="G135" s="20">
        <f>表2_3671626293038912131415232425[[#This Row],[累计净值]]/$B$21-1</f>
        <v>0.11487603305785132</v>
      </c>
    </row>
    <row r="136" spans="1:7" x14ac:dyDescent="0.2">
      <c r="A136" s="15">
        <v>44201</v>
      </c>
      <c r="B136" s="112">
        <v>1.355</v>
      </c>
      <c r="C136" s="108">
        <f>IFERROR(B136-B135,0)</f>
        <v>6.0000000000000053E-3</v>
      </c>
      <c r="D136" s="109" t="str">
        <f>IF(C136&lt;0,C136,"/")</f>
        <v>/</v>
      </c>
      <c r="E136" s="109">
        <f ca="1">IF(表2_3671626293038912131415232425[[#This Row],[累计净值]]/MAX(INDIRECT("B21:B" &amp; ROW()))-1&lt;E135,表2_3671626293038912131415232425[[#This Row],[累计净值]]/MAX(INDIRECT("B21:B" &amp; ROW()))-1,E135)</f>
        <v>-6.5859197577592732E-2</v>
      </c>
      <c r="F136" s="110">
        <f>表2_3671626293038912131415232425[[#This Row],[累计净值]]-0.21</f>
        <v>1.145</v>
      </c>
      <c r="G136" s="20">
        <f>表2_3671626293038912131415232425[[#This Row],[累计净值]]/$B$21-1</f>
        <v>0.11983471074380159</v>
      </c>
    </row>
    <row r="137" spans="1:7" x14ac:dyDescent="0.2">
      <c r="A137" s="15">
        <v>44202</v>
      </c>
      <c r="B137" s="112">
        <v>1.367</v>
      </c>
      <c r="C137" s="108">
        <f>IFERROR(B137-B136,0)</f>
        <v>1.2000000000000011E-2</v>
      </c>
      <c r="D137" s="109" t="str">
        <f>IF(C137&lt;0,C137,"/")</f>
        <v>/</v>
      </c>
      <c r="E137" s="109">
        <f ca="1">IF(表2_3671626293038912131415232425[[#This Row],[累计净值]]/MAX(INDIRECT("B21:B" &amp; ROW()))-1&lt;E136,表2_3671626293038912131415232425[[#This Row],[累计净值]]/MAX(INDIRECT("B21:B" &amp; ROW()))-1,E136)</f>
        <v>-6.5859197577592732E-2</v>
      </c>
      <c r="F137" s="110">
        <f>表2_3671626293038912131415232425[[#This Row],[累计净值]]-0.21</f>
        <v>1.157</v>
      </c>
      <c r="G137" s="20">
        <f>表2_3671626293038912131415232425[[#This Row],[累计净值]]/$B$21-1</f>
        <v>0.12975206611570256</v>
      </c>
    </row>
    <row r="138" spans="1:7" x14ac:dyDescent="0.2">
      <c r="A138" s="15">
        <v>44203</v>
      </c>
      <c r="B138" s="112">
        <v>1.3660000000000001</v>
      </c>
      <c r="C138" s="108">
        <f t="shared" ref="C138:C141" si="38">IFERROR(B138-B137,0)</f>
        <v>-9.9999999999988987E-4</v>
      </c>
      <c r="D138" s="109">
        <f t="shared" ref="D138:D141" si="39">IF(C138&lt;0,C138,"/")</f>
        <v>-9.9999999999988987E-4</v>
      </c>
      <c r="E138" s="109">
        <f ca="1">IF(表2_3671626293038912131415232425[[#This Row],[累计净值]]/MAX(INDIRECT("B21:B" &amp; ROW()))-1&lt;E137,表2_3671626293038912131415232425[[#This Row],[累计净值]]/MAX(INDIRECT("B21:B" &amp; ROW()))-1,E137)</f>
        <v>-6.5859197577592732E-2</v>
      </c>
      <c r="F138" s="110">
        <f>表2_3671626293038912131415232425[[#This Row],[累计净值]]-0.21</f>
        <v>1.1560000000000001</v>
      </c>
      <c r="G138" s="20">
        <f>表2_3671626293038912131415232425[[#This Row],[累计净值]]/$B$21-1</f>
        <v>0.12892561983471085</v>
      </c>
    </row>
    <row r="139" spans="1:7" x14ac:dyDescent="0.2">
      <c r="A139" s="15">
        <v>44204</v>
      </c>
      <c r="B139" s="112">
        <v>1.371</v>
      </c>
      <c r="C139" s="108">
        <f t="shared" si="38"/>
        <v>4.9999999999998934E-3</v>
      </c>
      <c r="D139" s="109" t="str">
        <f t="shared" si="39"/>
        <v>/</v>
      </c>
      <c r="E139" s="109">
        <f ca="1">IF(表2_3671626293038912131415232425[[#This Row],[累计净值]]/MAX(INDIRECT("B21:B" &amp; ROW()))-1&lt;E138,表2_3671626293038912131415232425[[#This Row],[累计净值]]/MAX(INDIRECT("B21:B" &amp; ROW()))-1,E138)</f>
        <v>-6.5859197577592732E-2</v>
      </c>
      <c r="F139" s="110">
        <f>表2_3671626293038912131415232425[[#This Row],[累计净值]]-0.21</f>
        <v>1.161</v>
      </c>
      <c r="G139" s="20">
        <f>表2_3671626293038912131415232425[[#This Row],[累计净值]]/$B$21-1</f>
        <v>0.1330578512396694</v>
      </c>
    </row>
    <row r="140" spans="1:7" x14ac:dyDescent="0.2">
      <c r="A140" s="15">
        <v>44207</v>
      </c>
      <c r="B140" s="112">
        <v>1.3680000000000001</v>
      </c>
      <c r="C140" s="108">
        <f t="shared" si="38"/>
        <v>-2.9999999999998916E-3</v>
      </c>
      <c r="D140" s="109">
        <f t="shared" si="39"/>
        <v>-2.9999999999998916E-3</v>
      </c>
      <c r="E140" s="109">
        <f ca="1">IF(表2_3671626293038912131415232425[[#This Row],[累计净值]]/MAX(INDIRECT("B21:B" &amp; ROW()))-1&lt;E139,表2_3671626293038912131415232425[[#This Row],[累计净值]]/MAX(INDIRECT("B21:B" &amp; ROW()))-1,E139)</f>
        <v>-6.5859197577592732E-2</v>
      </c>
      <c r="F140" s="110">
        <f>表2_3671626293038912131415232425[[#This Row],[累计净值]]-0.21</f>
        <v>1.1580000000000001</v>
      </c>
      <c r="G140" s="20">
        <f>表2_3671626293038912131415232425[[#This Row],[累计净值]]/$B$21-1</f>
        <v>0.13057851239669427</v>
      </c>
    </row>
    <row r="141" spans="1:7" x14ac:dyDescent="0.2">
      <c r="A141" s="15">
        <v>44208</v>
      </c>
      <c r="B141" s="112">
        <v>1.389</v>
      </c>
      <c r="C141" s="108">
        <f t="shared" si="38"/>
        <v>2.0999999999999908E-2</v>
      </c>
      <c r="D141" s="109" t="str">
        <f t="shared" si="39"/>
        <v>/</v>
      </c>
      <c r="E141" s="109">
        <f ca="1">IF(表2_3671626293038912131415232425[[#This Row],[累计净值]]/MAX(INDIRECT("B21:B" &amp; ROW()))-1&lt;E140,表2_3671626293038912131415232425[[#This Row],[累计净值]]/MAX(INDIRECT("B21:B" &amp; ROW()))-1,E140)</f>
        <v>-6.5859197577592732E-2</v>
      </c>
      <c r="F141" s="110">
        <f>表2_3671626293038912131415232425[[#This Row],[累计净值]]-0.21</f>
        <v>1.179</v>
      </c>
      <c r="G141" s="20">
        <f>表2_3671626293038912131415232425[[#This Row],[累计净值]]/$B$21-1</f>
        <v>0.14793388429752063</v>
      </c>
    </row>
    <row r="142" spans="1:7" x14ac:dyDescent="0.2">
      <c r="A142" s="15">
        <v>44209</v>
      </c>
      <c r="B142" s="112">
        <v>1.3859999999999999</v>
      </c>
      <c r="C142" s="108">
        <f t="shared" ref="C142:C147" si="40">IFERROR(B142-B141,0)</f>
        <v>-3.0000000000001137E-3</v>
      </c>
      <c r="D142" s="109">
        <f t="shared" ref="D142:D147" si="41">IF(C142&lt;0,C142,"/")</f>
        <v>-3.0000000000001137E-3</v>
      </c>
      <c r="E142" s="109">
        <f ca="1">IF(表2_3671626293038912131415232425[[#This Row],[累计净值]]/MAX(INDIRECT("B21:B" &amp; ROW()))-1&lt;E141,表2_3671626293038912131415232425[[#This Row],[累计净值]]/MAX(INDIRECT("B21:B" &amp; ROW()))-1,E141)</f>
        <v>-6.5859197577592732E-2</v>
      </c>
      <c r="F142" s="110">
        <f>表2_3671626293038912131415232425[[#This Row],[累计净值]]-0.21</f>
        <v>1.1759999999999999</v>
      </c>
      <c r="G142" s="20">
        <f>表2_3671626293038912131415232425[[#This Row],[累计净值]]/$B$21-1</f>
        <v>0.1454545454545455</v>
      </c>
    </row>
    <row r="143" spans="1:7" x14ac:dyDescent="0.2">
      <c r="A143" s="15">
        <v>44210</v>
      </c>
      <c r="B143" s="112">
        <v>1.393</v>
      </c>
      <c r="C143" s="108">
        <f t="shared" si="40"/>
        <v>7.0000000000001172E-3</v>
      </c>
      <c r="D143" s="109" t="str">
        <f t="shared" si="41"/>
        <v>/</v>
      </c>
      <c r="E143" s="109">
        <f ca="1">IF(表2_3671626293038912131415232425[[#This Row],[累计净值]]/MAX(INDIRECT("B21:B" &amp; ROW()))-1&lt;E142,表2_3671626293038912131415232425[[#This Row],[累计净值]]/MAX(INDIRECT("B21:B" &amp; ROW()))-1,E142)</f>
        <v>-6.5859197577592732E-2</v>
      </c>
      <c r="F143" s="110">
        <f>表2_3671626293038912131415232425[[#This Row],[累计净值]]-0.21</f>
        <v>1.1830000000000001</v>
      </c>
      <c r="G143" s="20">
        <f>表2_3671626293038912131415232425[[#This Row],[累计净值]]/$B$21-1</f>
        <v>0.1512396694214877</v>
      </c>
    </row>
    <row r="144" spans="1:7" x14ac:dyDescent="0.2">
      <c r="A144" s="15">
        <v>44211</v>
      </c>
      <c r="B144" s="112">
        <v>1.3979999999999999</v>
      </c>
      <c r="C144" s="108">
        <f t="shared" si="40"/>
        <v>4.9999999999998934E-3</v>
      </c>
      <c r="D144" s="109" t="str">
        <f t="shared" si="41"/>
        <v>/</v>
      </c>
      <c r="E144" s="109">
        <f ca="1">IF(表2_3671626293038912131415232425[[#This Row],[累计净值]]/MAX(INDIRECT("B21:B" &amp; ROW()))-1&lt;E143,表2_3671626293038912131415232425[[#This Row],[累计净值]]/MAX(INDIRECT("B21:B" &amp; ROW()))-1,E143)</f>
        <v>-6.5859197577592732E-2</v>
      </c>
      <c r="F144" s="110">
        <f>表2_3671626293038912131415232425[[#This Row],[累计净值]]-0.21</f>
        <v>1.1879999999999999</v>
      </c>
      <c r="G144" s="20">
        <f>表2_3671626293038912131415232425[[#This Row],[累计净值]]/$B$21-1</f>
        <v>0.15537190082644625</v>
      </c>
    </row>
    <row r="145" spans="1:7" x14ac:dyDescent="0.2">
      <c r="A145" s="15">
        <v>44214</v>
      </c>
      <c r="B145" s="112">
        <v>1.407</v>
      </c>
      <c r="C145" s="108">
        <f t="shared" si="40"/>
        <v>9.000000000000119E-3</v>
      </c>
      <c r="D145" s="109" t="str">
        <f t="shared" si="41"/>
        <v>/</v>
      </c>
      <c r="E145" s="109">
        <f ca="1">IF(表2_3671626293038912131415232425[[#This Row],[累计净值]]/MAX(INDIRECT("B21:B" &amp; ROW()))-1&lt;E144,表2_3671626293038912131415232425[[#This Row],[累计净值]]/MAX(INDIRECT("B21:B" &amp; ROW()))-1,E144)</f>
        <v>-6.5859197577592732E-2</v>
      </c>
      <c r="F145" s="110">
        <f>表2_3671626293038912131415232425[[#This Row],[累计净值]]-0.21</f>
        <v>1.1970000000000001</v>
      </c>
      <c r="G145" s="20">
        <f>表2_3671626293038912131415232425[[#This Row],[累计净值]]/$B$21-1</f>
        <v>0.16280991735537187</v>
      </c>
    </row>
    <row r="146" spans="1:7" x14ac:dyDescent="0.2">
      <c r="A146" s="15">
        <v>44215</v>
      </c>
      <c r="B146" s="112">
        <v>1.417</v>
      </c>
      <c r="C146" s="108">
        <f t="shared" si="40"/>
        <v>1.0000000000000009E-2</v>
      </c>
      <c r="D146" s="109" t="str">
        <f t="shared" si="41"/>
        <v>/</v>
      </c>
      <c r="E146" s="109">
        <f ca="1">IF(表2_3671626293038912131415232425[[#This Row],[累计净值]]/MAX(INDIRECT("B21:B" &amp; ROW()))-1&lt;E145,表2_3671626293038912131415232425[[#This Row],[累计净值]]/MAX(INDIRECT("B21:B" &amp; ROW()))-1,E145)</f>
        <v>-6.5859197577592732E-2</v>
      </c>
      <c r="F146" s="110">
        <f>表2_3671626293038912131415232425[[#This Row],[累计净值]]-0.21</f>
        <v>1.2070000000000001</v>
      </c>
      <c r="G146" s="20">
        <f>表2_3671626293038912131415232425[[#This Row],[累计净值]]/$B$21-1</f>
        <v>0.17107438016528942</v>
      </c>
    </row>
    <row r="147" spans="1:7" x14ac:dyDescent="0.2">
      <c r="A147" s="15">
        <v>44216</v>
      </c>
      <c r="B147" s="112">
        <v>1.4370000000000001</v>
      </c>
      <c r="C147" s="108">
        <f t="shared" si="40"/>
        <v>2.0000000000000018E-2</v>
      </c>
      <c r="D147" s="109" t="str">
        <f t="shared" si="41"/>
        <v>/</v>
      </c>
      <c r="E147" s="109">
        <f ca="1">IF(表2_3671626293038912131415232425[[#This Row],[累计净值]]/MAX(INDIRECT("B21:B" &amp; ROW()))-1&lt;E146,表2_3671626293038912131415232425[[#This Row],[累计净值]]/MAX(INDIRECT("B21:B" &amp; ROW()))-1,E146)</f>
        <v>-6.5859197577592732E-2</v>
      </c>
      <c r="F147" s="110">
        <f>表2_3671626293038912131415232425[[#This Row],[累计净值]]-0.21</f>
        <v>1.2270000000000001</v>
      </c>
      <c r="G147" s="20">
        <f>表2_3671626293038912131415232425[[#This Row],[累计净值]]/$B$21-1</f>
        <v>0.18760330578512407</v>
      </c>
    </row>
    <row r="148" spans="1:7" x14ac:dyDescent="0.2">
      <c r="A148" s="15">
        <v>44217</v>
      </c>
      <c r="B148" s="112">
        <v>1.4379999999999999</v>
      </c>
      <c r="C148" s="108">
        <f t="shared" ref="C148:C153" si="42">IFERROR(B148-B147,0)</f>
        <v>9.9999999999988987E-4</v>
      </c>
      <c r="D148" s="109" t="str">
        <f t="shared" ref="D148:D153" si="43">IF(C148&lt;0,C148,"/")</f>
        <v>/</v>
      </c>
      <c r="E148" s="109">
        <f ca="1">IF(表2_3671626293038912131415232425[[#This Row],[累计净值]]/MAX(INDIRECT("B21:B" &amp; ROW()))-1&lt;E147,表2_3671626293038912131415232425[[#This Row],[累计净值]]/MAX(INDIRECT("B21:B" &amp; ROW()))-1,E147)</f>
        <v>-6.5859197577592732E-2</v>
      </c>
      <c r="F148" s="110">
        <f>表2_3671626293038912131415232425[[#This Row],[累计净值]]-0.21</f>
        <v>1.228</v>
      </c>
      <c r="G148" s="20">
        <f>表2_3671626293038912131415232425[[#This Row],[累计净值]]/$B$21-1</f>
        <v>0.18842975206611579</v>
      </c>
    </row>
    <row r="149" spans="1:7" x14ac:dyDescent="0.2">
      <c r="A149" s="15">
        <v>44218</v>
      </c>
      <c r="B149" s="112">
        <v>1.4450000000000001</v>
      </c>
      <c r="C149" s="108">
        <f t="shared" si="42"/>
        <v>7.0000000000001172E-3</v>
      </c>
      <c r="D149" s="109" t="str">
        <f t="shared" si="43"/>
        <v>/</v>
      </c>
      <c r="E149" s="109">
        <f ca="1">IF(表2_3671626293038912131415232425[[#This Row],[累计净值]]/MAX(INDIRECT("B21:B" &amp; ROW()))-1&lt;E148,表2_3671626293038912131415232425[[#This Row],[累计净值]]/MAX(INDIRECT("B21:B" &amp; ROW()))-1,E148)</f>
        <v>-6.5859197577592732E-2</v>
      </c>
      <c r="F149" s="110">
        <f>表2_3671626293038912131415232425[[#This Row],[累计净值]]-0.21</f>
        <v>1.2350000000000001</v>
      </c>
      <c r="G149" s="20">
        <f>表2_3671626293038912131415232425[[#This Row],[累计净值]]/$B$21-1</f>
        <v>0.19421487603305798</v>
      </c>
    </row>
    <row r="150" spans="1:7" x14ac:dyDescent="0.2">
      <c r="A150" s="15">
        <v>44221</v>
      </c>
      <c r="B150" s="117">
        <v>1.4970000000000001</v>
      </c>
      <c r="C150" s="108">
        <f t="shared" si="42"/>
        <v>5.2000000000000046E-2</v>
      </c>
      <c r="D150" s="109" t="str">
        <f t="shared" si="43"/>
        <v>/</v>
      </c>
      <c r="E150" s="109">
        <f ca="1">IF(表2_3671626293038912131415232425[[#This Row],[累计净值]]/MAX(INDIRECT("B21:B" &amp; ROW()))-1&lt;E149,表2_3671626293038912131415232425[[#This Row],[累计净值]]/MAX(INDIRECT("B21:B" &amp; ROW()))-1,E149)</f>
        <v>-6.5859197577592732E-2</v>
      </c>
      <c r="F150" s="110">
        <f>表2_3671626293038912131415232425[[#This Row],[累计净值]]-0.21</f>
        <v>1.2870000000000001</v>
      </c>
      <c r="G150" s="20">
        <f>表2_3671626293038912131415232425[[#This Row],[累计净值]]/$B$21-1</f>
        <v>0.23719008264462826</v>
      </c>
    </row>
    <row r="151" spans="1:7" x14ac:dyDescent="0.2">
      <c r="A151" s="15">
        <v>44222</v>
      </c>
      <c r="B151" s="112">
        <v>1.46</v>
      </c>
      <c r="C151" s="108">
        <f t="shared" si="42"/>
        <v>-3.7000000000000144E-2</v>
      </c>
      <c r="D151" s="109">
        <f t="shared" si="43"/>
        <v>-3.7000000000000144E-2</v>
      </c>
      <c r="E151" s="109">
        <f ca="1">IF(表2_3671626293038912131415232425[[#This Row],[累计净值]]/MAX(INDIRECT("B21:B" &amp; ROW()))-1&lt;E150,表2_3671626293038912131415232425[[#This Row],[累计净值]]/MAX(INDIRECT("B21:B" &amp; ROW()))-1,E150)</f>
        <v>-6.5859197577592732E-2</v>
      </c>
      <c r="F151" s="110">
        <f>表2_3671626293038912131415232425[[#This Row],[累计净值]]-0.21</f>
        <v>1.25</v>
      </c>
      <c r="G151" s="20">
        <f>表2_3671626293038912131415232425[[#This Row],[累计净值]]/$B$21-1</f>
        <v>0.20661157024793386</v>
      </c>
    </row>
    <row r="152" spans="1:7" x14ac:dyDescent="0.2">
      <c r="A152" s="15">
        <v>44223</v>
      </c>
      <c r="B152" s="112">
        <v>1.4410000000000001</v>
      </c>
      <c r="C152" s="108">
        <f t="shared" si="42"/>
        <v>-1.8999999999999906E-2</v>
      </c>
      <c r="D152" s="109">
        <f t="shared" si="43"/>
        <v>-1.8999999999999906E-2</v>
      </c>
      <c r="E152" s="109">
        <f ca="1">IF(表2_3671626293038912131415232425[[#This Row],[累计净值]]/MAX(INDIRECT("B21:B" &amp; ROW()))-1&lt;E151,表2_3671626293038912131415232425[[#This Row],[累计净值]]/MAX(INDIRECT("B21:B" &amp; ROW()))-1,E151)</f>
        <v>-6.5859197577592732E-2</v>
      </c>
      <c r="F152" s="110">
        <f>表2_3671626293038912131415232425[[#This Row],[累计净值]]-0.21</f>
        <v>1.2310000000000001</v>
      </c>
      <c r="G152" s="20">
        <f>表2_3671626293038912131415232425[[#This Row],[累计净值]]/$B$21-1</f>
        <v>0.19090909090909092</v>
      </c>
    </row>
    <row r="153" spans="1:7" x14ac:dyDescent="0.2">
      <c r="A153" s="15">
        <v>44224</v>
      </c>
      <c r="B153" s="112">
        <v>1.42</v>
      </c>
      <c r="C153" s="108">
        <f t="shared" si="42"/>
        <v>-2.100000000000013E-2</v>
      </c>
      <c r="D153" s="109">
        <f t="shared" si="43"/>
        <v>-2.100000000000013E-2</v>
      </c>
      <c r="E153" s="109">
        <f ca="1">IF(表2_3671626293038912131415232425[[#This Row],[累计净值]]/MAX(INDIRECT("B21:B" &amp; ROW()))-1&lt;E152,表2_3671626293038912131415232425[[#This Row],[累计净值]]/MAX(INDIRECT("B21:B" &amp; ROW()))-1,E152)</f>
        <v>-6.5859197577592732E-2</v>
      </c>
      <c r="F153" s="110">
        <f>表2_3671626293038912131415232425[[#This Row],[累计净值]]-0.21</f>
        <v>1.21</v>
      </c>
      <c r="G153" s="20">
        <f>表2_3671626293038912131415232425[[#This Row],[累计净值]]/$B$21-1</f>
        <v>0.17355371900826433</v>
      </c>
    </row>
    <row r="154" spans="1:7" x14ac:dyDescent="0.2">
      <c r="A154" s="15">
        <v>44225</v>
      </c>
      <c r="B154" s="112">
        <v>1.419</v>
      </c>
      <c r="C154" s="108">
        <f t="shared" ref="C154:C159" si="44">IFERROR(B154-B153,0)</f>
        <v>-9.9999999999988987E-4</v>
      </c>
      <c r="D154" s="109">
        <f t="shared" ref="D154:D159" si="45">IF(C154&lt;0,C154,"/")</f>
        <v>-9.9999999999988987E-4</v>
      </c>
      <c r="E154" s="109">
        <f ca="1">IF(表2_3671626293038912131415232425[[#This Row],[累计净值]]/MAX(INDIRECT("B21:B" &amp; ROW()))-1&lt;E153,表2_3671626293038912131415232425[[#This Row],[累计净值]]/MAX(INDIRECT("B21:B" &amp; ROW()))-1,E153)</f>
        <v>-6.5859197577592732E-2</v>
      </c>
      <c r="F154" s="110">
        <f>表2_3671626293038912131415232425[[#This Row],[累计净值]]-0.21</f>
        <v>1.2090000000000001</v>
      </c>
      <c r="G154" s="20">
        <f>表2_3671626293038912131415232425[[#This Row],[累计净值]]/$B$21-1</f>
        <v>0.17272727272727284</v>
      </c>
    </row>
    <row r="155" spans="1:7" x14ac:dyDescent="0.2">
      <c r="A155" s="15">
        <v>44228</v>
      </c>
      <c r="B155" s="112">
        <v>1.4450000000000001</v>
      </c>
      <c r="C155" s="108">
        <f t="shared" si="44"/>
        <v>2.6000000000000023E-2</v>
      </c>
      <c r="D155" s="109" t="str">
        <f t="shared" si="45"/>
        <v>/</v>
      </c>
      <c r="E155" s="109">
        <f ca="1">IF(表2_3671626293038912131415232425[[#This Row],[累计净值]]/MAX(INDIRECT("B21:B" &amp; ROW()))-1&lt;E154,表2_3671626293038912131415232425[[#This Row],[累计净值]]/MAX(INDIRECT("B21:B" &amp; ROW()))-1,E154)</f>
        <v>-6.5859197577592732E-2</v>
      </c>
      <c r="F155" s="110">
        <f>表2_3671626293038912131415232425[[#This Row],[累计净值]]-0.21</f>
        <v>1.2350000000000001</v>
      </c>
      <c r="G155" s="20">
        <f>表2_3671626293038912131415232425[[#This Row],[累计净值]]/$B$21-1</f>
        <v>0.19421487603305798</v>
      </c>
    </row>
    <row r="156" spans="1:7" x14ac:dyDescent="0.2">
      <c r="A156" s="15">
        <v>44229</v>
      </c>
      <c r="B156" s="112">
        <v>1.4650000000000001</v>
      </c>
      <c r="C156" s="108">
        <f t="shared" si="44"/>
        <v>2.0000000000000018E-2</v>
      </c>
      <c r="D156" s="109" t="str">
        <f t="shared" si="45"/>
        <v>/</v>
      </c>
      <c r="E156" s="109">
        <f ca="1">IF(表2_3671626293038912131415232425[[#This Row],[累计净值]]/MAX(INDIRECT("B21:B" &amp; ROW()))-1&lt;E155,表2_3671626293038912131415232425[[#This Row],[累计净值]]/MAX(INDIRECT("B21:B" &amp; ROW()))-1,E155)</f>
        <v>-6.5859197577592732E-2</v>
      </c>
      <c r="F156" s="110">
        <f>表2_3671626293038912131415232425[[#This Row],[累计净值]]-0.21</f>
        <v>1.2550000000000001</v>
      </c>
      <c r="G156" s="20">
        <f>表2_3671626293038912131415232425[[#This Row],[累计净值]]/$B$21-1</f>
        <v>0.21074380165289264</v>
      </c>
    </row>
    <row r="157" spans="1:7" x14ac:dyDescent="0.2">
      <c r="A157" s="15">
        <v>44230</v>
      </c>
      <c r="B157" s="112">
        <v>1.4750000000000001</v>
      </c>
      <c r="C157" s="108">
        <f t="shared" si="44"/>
        <v>1.0000000000000009E-2</v>
      </c>
      <c r="D157" s="109" t="str">
        <f t="shared" si="45"/>
        <v>/</v>
      </c>
      <c r="E157" s="109">
        <f ca="1">IF(表2_3671626293038912131415232425[[#This Row],[累计净值]]/MAX(INDIRECT("B21:B" &amp; ROW()))-1&lt;E156,表2_3671626293038912131415232425[[#This Row],[累计净值]]/MAX(INDIRECT("B21:B" &amp; ROW()))-1,E156)</f>
        <v>-6.5859197577592732E-2</v>
      </c>
      <c r="F157" s="110">
        <f>表2_3671626293038912131415232425[[#This Row],[累计净值]]-0.21</f>
        <v>1.2650000000000001</v>
      </c>
      <c r="G157" s="20">
        <f>表2_3671626293038912131415232425[[#This Row],[累计净值]]/$B$21-1</f>
        <v>0.21900826446280997</v>
      </c>
    </row>
    <row r="158" spans="1:7" x14ac:dyDescent="0.2">
      <c r="A158" s="15">
        <v>44231</v>
      </c>
      <c r="B158" s="112">
        <v>1.482</v>
      </c>
      <c r="C158" s="108">
        <f t="shared" si="44"/>
        <v>6.9999999999998952E-3</v>
      </c>
      <c r="D158" s="109" t="str">
        <f t="shared" si="45"/>
        <v>/</v>
      </c>
      <c r="E158" s="109">
        <f ca="1">IF(表2_3671626293038912131415232425[[#This Row],[累计净值]]/MAX(INDIRECT("B21:B" &amp; ROW()))-1&lt;E157,表2_3671626293038912131415232425[[#This Row],[累计净值]]/MAX(INDIRECT("B21:B" &amp; ROW()))-1,E157)</f>
        <v>-6.5859197577592732E-2</v>
      </c>
      <c r="F158" s="110">
        <f>表2_3671626293038912131415232425[[#This Row],[累计净值]]-0.21</f>
        <v>1.272</v>
      </c>
      <c r="G158" s="20">
        <f>表2_3671626293038912131415232425[[#This Row],[累计净值]]/$B$21-1</f>
        <v>0.22479338842975216</v>
      </c>
    </row>
    <row r="159" spans="1:7" x14ac:dyDescent="0.2">
      <c r="A159" s="15">
        <v>44232</v>
      </c>
      <c r="B159" s="112">
        <v>1.482</v>
      </c>
      <c r="C159" s="108">
        <f t="shared" si="44"/>
        <v>0</v>
      </c>
      <c r="D159" s="109" t="str">
        <f t="shared" si="45"/>
        <v>/</v>
      </c>
      <c r="E159" s="109">
        <f ca="1">IF(表2_3671626293038912131415232425[[#This Row],[累计净值]]/MAX(INDIRECT("B21:B" &amp; ROW()))-1&lt;E158,表2_3671626293038912131415232425[[#This Row],[累计净值]]/MAX(INDIRECT("B21:B" &amp; ROW()))-1,E158)</f>
        <v>-6.5859197577592732E-2</v>
      </c>
      <c r="F159" s="110">
        <f>表2_3671626293038912131415232425[[#This Row],[累计净值]]-0.21</f>
        <v>1.272</v>
      </c>
      <c r="G159" s="20">
        <f>表2_3671626293038912131415232425[[#This Row],[累计净值]]/$B$21-1</f>
        <v>0.22479338842975216</v>
      </c>
    </row>
    <row r="160" spans="1:7" x14ac:dyDescent="0.2">
      <c r="A160" s="15">
        <v>44235</v>
      </c>
      <c r="B160" s="112">
        <v>1.4970000000000001</v>
      </c>
      <c r="C160" s="108">
        <f t="shared" ref="C160:C165" si="46">IFERROR(B160-B159,0)</f>
        <v>1.5000000000000124E-2</v>
      </c>
      <c r="D160" s="109" t="str">
        <f t="shared" ref="D160:D165" si="47">IF(C160&lt;0,C160,"/")</f>
        <v>/</v>
      </c>
      <c r="E160" s="109">
        <f ca="1">IF(表2_3671626293038912131415232425[[#This Row],[累计净值]]/MAX(INDIRECT("B21:B" &amp; ROW()))-1&lt;E159,表2_3671626293038912131415232425[[#This Row],[累计净值]]/MAX(INDIRECT("B21:B" &amp; ROW()))-1,E159)</f>
        <v>-6.5859197577592732E-2</v>
      </c>
      <c r="F160" s="110">
        <f>表2_3671626293038912131415232425[[#This Row],[累计净值]]-0.21</f>
        <v>1.2870000000000001</v>
      </c>
      <c r="G160" s="20">
        <f>表2_3671626293038912131415232425[[#This Row],[累计净值]]/$B$21-1</f>
        <v>0.23719008264462826</v>
      </c>
    </row>
    <row r="161" spans="1:7" x14ac:dyDescent="0.2">
      <c r="A161" s="15">
        <v>44236</v>
      </c>
      <c r="B161" s="112">
        <v>1.4990000000000001</v>
      </c>
      <c r="C161" s="108">
        <f t="shared" si="46"/>
        <v>2.0000000000000018E-3</v>
      </c>
      <c r="D161" s="109" t="str">
        <f t="shared" si="47"/>
        <v>/</v>
      </c>
      <c r="E161" s="109">
        <f ca="1">IF(表2_3671626293038912131415232425[[#This Row],[累计净值]]/MAX(INDIRECT("B21:B" &amp; ROW()))-1&lt;E160,表2_3671626293038912131415232425[[#This Row],[累计净值]]/MAX(INDIRECT("B21:B" &amp; ROW()))-1,E160)</f>
        <v>-6.5859197577592732E-2</v>
      </c>
      <c r="F161" s="110">
        <f>表2_3671626293038912131415232425[[#This Row],[累计净值]]-0.21</f>
        <v>1.2890000000000001</v>
      </c>
      <c r="G161" s="20">
        <f>表2_3671626293038912131415232425[[#This Row],[累计净值]]/$B$21-1</f>
        <v>0.23884297520661169</v>
      </c>
    </row>
    <row r="162" spans="1:7" x14ac:dyDescent="0.2">
      <c r="A162" s="15">
        <v>44237</v>
      </c>
      <c r="B162" s="112">
        <v>1.5309999999999999</v>
      </c>
      <c r="C162" s="108">
        <f t="shared" si="46"/>
        <v>3.1999999999999806E-2</v>
      </c>
      <c r="D162" s="109" t="str">
        <f t="shared" si="47"/>
        <v>/</v>
      </c>
      <c r="E162" s="109">
        <f ca="1">IF(表2_3671626293038912131415232425[[#This Row],[累计净值]]/MAX(INDIRECT("B21:B" &amp; ROW()))-1&lt;E161,表2_3671626293038912131415232425[[#This Row],[累计净值]]/MAX(INDIRECT("B21:B" &amp; ROW()))-1,E161)</f>
        <v>-6.5859197577592732E-2</v>
      </c>
      <c r="F162" s="110">
        <f>表2_3671626293038912131415232425[[#This Row],[累计净值]]-0.21</f>
        <v>1.321</v>
      </c>
      <c r="G162" s="20">
        <f>表2_3671626293038912131415232425[[#This Row],[累计净值]]/$B$21-1</f>
        <v>0.26528925619834709</v>
      </c>
    </row>
    <row r="163" spans="1:7" x14ac:dyDescent="0.2">
      <c r="A163" s="15">
        <v>44245</v>
      </c>
      <c r="B163" s="112">
        <v>1.524</v>
      </c>
      <c r="C163" s="108">
        <f t="shared" si="46"/>
        <v>-6.9999999999998952E-3</v>
      </c>
      <c r="D163" s="109">
        <f t="shared" si="47"/>
        <v>-6.9999999999998952E-3</v>
      </c>
      <c r="E163" s="109">
        <f ca="1">IF(表2_3671626293038912131415232425[[#This Row],[累计净值]]/MAX(INDIRECT("B21:B" &amp; ROW()))-1&lt;E162,表2_3671626293038912131415232425[[#This Row],[累计净值]]/MAX(INDIRECT("B21:B" &amp; ROW()))-1,E162)</f>
        <v>-6.5859197577592732E-2</v>
      </c>
      <c r="F163" s="110">
        <f>表2_3671626293038912131415232425[[#This Row],[累计净值]]-0.21</f>
        <v>1.3140000000000001</v>
      </c>
      <c r="G163" s="20">
        <f>表2_3671626293038912131415232425[[#This Row],[累计净值]]/$B$21-1</f>
        <v>0.25950413223140512</v>
      </c>
    </row>
    <row r="164" spans="1:7" x14ac:dyDescent="0.2">
      <c r="A164" s="15">
        <v>44246</v>
      </c>
      <c r="B164" s="112">
        <v>1.5349999999999999</v>
      </c>
      <c r="C164" s="108">
        <f t="shared" si="46"/>
        <v>1.0999999999999899E-2</v>
      </c>
      <c r="D164" s="109" t="str">
        <f t="shared" si="47"/>
        <v>/</v>
      </c>
      <c r="E164" s="109">
        <f ca="1">IF(表2_3671626293038912131415232425[[#This Row],[累计净值]]/MAX(INDIRECT("B21:B" &amp; ROW()))-1&lt;E163,表2_3671626293038912131415232425[[#This Row],[累计净值]]/MAX(INDIRECT("B21:B" &amp; ROW()))-1,E163)</f>
        <v>-6.5859197577592732E-2</v>
      </c>
      <c r="F164" s="110">
        <f>表2_3671626293038912131415232425[[#This Row],[累计净值]]-0.21</f>
        <v>1.325</v>
      </c>
      <c r="G164" s="20">
        <f>表2_3671626293038912131415232425[[#This Row],[累计净值]]/$B$21-1</f>
        <v>0.26859504132231393</v>
      </c>
    </row>
    <row r="165" spans="1:7" x14ac:dyDescent="0.2">
      <c r="A165" s="15">
        <v>44249</v>
      </c>
      <c r="B165" s="112">
        <v>1.482</v>
      </c>
      <c r="C165" s="108">
        <f t="shared" si="46"/>
        <v>-5.2999999999999936E-2</v>
      </c>
      <c r="D165" s="109">
        <f t="shared" si="47"/>
        <v>-5.2999999999999936E-2</v>
      </c>
      <c r="E165" s="109">
        <f ca="1">IF(表2_3671626293038912131415232425[[#This Row],[累计净值]]/MAX(INDIRECT("B21:B" &amp; ROW()))-1&lt;E164,表2_3671626293038912131415232425[[#This Row],[累计净值]]/MAX(INDIRECT("B21:B" &amp; ROW()))-1,E164)</f>
        <v>-6.5859197577592732E-2</v>
      </c>
      <c r="F165" s="110">
        <f>表2_3671626293038912131415232425[[#This Row],[累计净值]]-0.21</f>
        <v>1.272</v>
      </c>
      <c r="G165" s="20">
        <f>表2_3671626293038912131415232425[[#This Row],[累计净值]]/$B$21-1</f>
        <v>0.22479338842975216</v>
      </c>
    </row>
    <row r="166" spans="1:7" x14ac:dyDescent="0.2">
      <c r="A166" s="15">
        <v>44250</v>
      </c>
      <c r="B166" s="112">
        <v>1.486</v>
      </c>
      <c r="C166" s="108">
        <f>IFERROR(B166-B165,0)</f>
        <v>4.0000000000000036E-3</v>
      </c>
      <c r="D166" s="109" t="str">
        <f>IF(C166&lt;0,C166,"/")</f>
        <v>/</v>
      </c>
      <c r="E166" s="109">
        <f ca="1">IF(表2_3671626293038912131415232425[[#This Row],[累计净值]]/MAX(INDIRECT("B21:B" &amp; ROW()))-1&lt;E165,表2_3671626293038912131415232425[[#This Row],[累计净值]]/MAX(INDIRECT("B21:B" &amp; ROW()))-1,E165)</f>
        <v>-6.5859197577592732E-2</v>
      </c>
      <c r="F166" s="110">
        <f>表2_3671626293038912131415232425[[#This Row],[累计净值]]-0.21</f>
        <v>1.276</v>
      </c>
      <c r="G166" s="20">
        <f>表2_3671626293038912131415232425[[#This Row],[累计净值]]/$B$21-1</f>
        <v>0.228099173553719</v>
      </c>
    </row>
    <row r="167" spans="1:7" x14ac:dyDescent="0.2">
      <c r="A167" s="15">
        <v>44251</v>
      </c>
      <c r="B167" s="112">
        <v>1.45</v>
      </c>
      <c r="C167" s="108">
        <f>IFERROR(B167-B166,0)</f>
        <v>-3.6000000000000032E-2</v>
      </c>
      <c r="D167" s="109">
        <f>IF(C167&lt;0,C167,"/")</f>
        <v>-3.6000000000000032E-2</v>
      </c>
      <c r="E167" s="109">
        <f ca="1">IF(表2_3671626293038912131415232425[[#This Row],[累计净值]]/MAX(INDIRECT("B21:B" &amp; ROW()))-1&lt;E166,表2_3671626293038912131415232425[[#This Row],[累计净值]]/MAX(INDIRECT("B21:B" &amp; ROW()))-1,E166)</f>
        <v>-6.5859197577592732E-2</v>
      </c>
      <c r="F167" s="110">
        <f>表2_3671626293038912131415232425[[#This Row],[累计净值]]-0.21</f>
        <v>1.24</v>
      </c>
      <c r="G167" s="20">
        <f>表2_3671626293038912131415232425[[#This Row],[累计净值]]/$B$21-1</f>
        <v>0.19834710743801653</v>
      </c>
    </row>
    <row r="168" spans="1:7" x14ac:dyDescent="0.2">
      <c r="A168" s="15">
        <v>44252</v>
      </c>
      <c r="B168" s="112">
        <v>1.4610000000000001</v>
      </c>
      <c r="C168" s="108">
        <f t="shared" ref="C168:C169" si="48">IFERROR(B168-B167,0)</f>
        <v>1.1000000000000121E-2</v>
      </c>
      <c r="D168" s="109" t="str">
        <f t="shared" ref="D168:D169" si="49">IF(C168&lt;0,C168,"/")</f>
        <v>/</v>
      </c>
      <c r="E168" s="109">
        <f ca="1">IF(表2_3671626293038912131415232425[[#This Row],[累计净值]]/MAX(INDIRECT("B21:B" &amp; ROW()))-1&lt;E167,表2_3671626293038912131415232425[[#This Row],[累计净值]]/MAX(INDIRECT("B21:B" &amp; ROW()))-1,E167)</f>
        <v>-6.5859197577592732E-2</v>
      </c>
      <c r="F168" s="110">
        <f>表2_3671626293038912131415232425[[#This Row],[累计净值]]-0.21</f>
        <v>1.2510000000000001</v>
      </c>
      <c r="G168" s="20">
        <f>表2_3671626293038912131415232425[[#This Row],[累计净值]]/$B$21-1</f>
        <v>0.20743801652892579</v>
      </c>
    </row>
    <row r="169" spans="1:7" x14ac:dyDescent="0.2">
      <c r="A169" s="15">
        <v>44253</v>
      </c>
      <c r="B169" s="112">
        <v>1.4179999999999999</v>
      </c>
      <c r="C169" s="108">
        <f t="shared" si="48"/>
        <v>-4.3000000000000149E-2</v>
      </c>
      <c r="D169" s="109">
        <f t="shared" si="49"/>
        <v>-4.3000000000000149E-2</v>
      </c>
      <c r="E169" s="109">
        <f ca="1">IF(表2_3671626293038912131415232425[[#This Row],[累计净值]]/MAX(INDIRECT("B21:B" &amp; ROW()))-1&lt;E168,表2_3671626293038912131415232425[[#This Row],[累计净值]]/MAX(INDIRECT("B21:B" &amp; ROW()))-1,E168)</f>
        <v>-7.6221498371335517E-2</v>
      </c>
      <c r="F169" s="110">
        <f>表2_3671626293038912131415232425[[#This Row],[累计净值]]-0.21</f>
        <v>1.208</v>
      </c>
      <c r="G169" s="20">
        <f>表2_3671626293038912131415232425[[#This Row],[累计净值]]/$B$21-1</f>
        <v>0.17190082644628091</v>
      </c>
    </row>
    <row r="170" spans="1:7" x14ac:dyDescent="0.2">
      <c r="A170" s="15">
        <v>44256</v>
      </c>
      <c r="B170" s="112">
        <v>1.4510000000000001</v>
      </c>
      <c r="C170" s="108">
        <f>IFERROR(B170-B169,0)</f>
        <v>3.300000000000014E-2</v>
      </c>
      <c r="D170" s="109" t="str">
        <f>IF(C170&lt;0,C170,"/")</f>
        <v>/</v>
      </c>
      <c r="E170" s="109">
        <f ca="1">IF(表2_3671626293038912131415232425[[#This Row],[累计净值]]/MAX(INDIRECT("B21:B" &amp; ROW()))-1&lt;E169,表2_3671626293038912131415232425[[#This Row],[累计净值]]/MAX(INDIRECT("B21:B" &amp; ROW()))-1,E169)</f>
        <v>-7.6221498371335517E-2</v>
      </c>
      <c r="F170" s="110">
        <f>表2_3671626293038912131415232425[[#This Row],[累计净值]]-0.21</f>
        <v>1.2410000000000001</v>
      </c>
      <c r="G170" s="20">
        <f>表2_3671626293038912131415232425[[#This Row],[累计净值]]/$B$21-1</f>
        <v>0.19917355371900825</v>
      </c>
    </row>
    <row r="171" spans="1:7" x14ac:dyDescent="0.2">
      <c r="A171" s="15">
        <v>44257</v>
      </c>
      <c r="B171" s="112">
        <v>1.44</v>
      </c>
      <c r="C171" s="108">
        <f t="shared" ref="C171" si="50">IFERROR(B171-B170,0)</f>
        <v>-1.1000000000000121E-2</v>
      </c>
      <c r="D171" s="109">
        <f t="shared" ref="D171" si="51">IF(C171&lt;0,C171,"/")</f>
        <v>-1.1000000000000121E-2</v>
      </c>
      <c r="E171" s="109">
        <f ca="1">IF(表2_3671626293038912131415232425[[#This Row],[累计净值]]/MAX(INDIRECT("B21:B" &amp; ROW()))-1&lt;E170,表2_3671626293038912131415232425[[#This Row],[累计净值]]/MAX(INDIRECT("B21:B" &amp; ROW()))-1,E170)</f>
        <v>-7.6221498371335517E-2</v>
      </c>
      <c r="F171" s="110">
        <f>表2_3671626293038912131415232425[[#This Row],[累计净值]]-0.21</f>
        <v>1.23</v>
      </c>
      <c r="G171" s="20">
        <f>表2_3671626293038912131415232425[[#This Row],[累计净值]]/$B$21-1</f>
        <v>0.19008264462809921</v>
      </c>
    </row>
    <row r="172" spans="1:7" x14ac:dyDescent="0.2">
      <c r="A172" s="15">
        <v>44258</v>
      </c>
      <c r="B172" s="112">
        <v>1.47</v>
      </c>
      <c r="C172" s="108">
        <f t="shared" ref="C172:C173" si="52">IFERROR(B172-B171,0)</f>
        <v>3.0000000000000027E-2</v>
      </c>
      <c r="D172" s="109" t="str">
        <f t="shared" ref="D172:D173" si="53">IF(C172&lt;0,C172,"/")</f>
        <v>/</v>
      </c>
      <c r="E172" s="109">
        <f ca="1">IF(表2_3671626293038912131415232425[[#This Row],[累计净值]]/MAX(INDIRECT("B21:B" &amp; ROW()))-1&lt;E171,表2_3671626293038912131415232425[[#This Row],[累计净值]]/MAX(INDIRECT("B21:B" &amp; ROW()))-1,E171)</f>
        <v>-7.6221498371335517E-2</v>
      </c>
      <c r="F172" s="110">
        <f>表2_3671626293038912131415232425[[#This Row],[累计净值]]-0.21</f>
        <v>1.26</v>
      </c>
      <c r="G172" s="20">
        <f>表2_3671626293038912131415232425[[#This Row],[累计净值]]/$B$21-1</f>
        <v>0.21487603305785119</v>
      </c>
    </row>
    <row r="173" spans="1:7" x14ac:dyDescent="0.2">
      <c r="A173" s="15">
        <v>44259</v>
      </c>
      <c r="B173" s="112">
        <v>1.425</v>
      </c>
      <c r="C173" s="108">
        <f t="shared" si="52"/>
        <v>-4.4999999999999929E-2</v>
      </c>
      <c r="D173" s="109">
        <f t="shared" si="53"/>
        <v>-4.4999999999999929E-2</v>
      </c>
      <c r="E173" s="109">
        <f ca="1">IF(表2_3671626293038912131415232425[[#This Row],[累计净值]]/MAX(INDIRECT("B21:B" &amp; ROW()))-1&lt;E172,表2_3671626293038912131415232425[[#This Row],[累计净值]]/MAX(INDIRECT("B21:B" &amp; ROW()))-1,E172)</f>
        <v>-7.6221498371335517E-2</v>
      </c>
      <c r="F173" s="110">
        <f>表2_3671626293038912131415232425[[#This Row],[累计净值]]-0.21</f>
        <v>1.2150000000000001</v>
      </c>
      <c r="G173" s="20">
        <f>表2_3671626293038912131415232425[[#This Row],[累计净值]]/$B$21-1</f>
        <v>0.1776859504132231</v>
      </c>
    </row>
    <row r="174" spans="1:7" x14ac:dyDescent="0.2">
      <c r="A174" s="15">
        <v>44260</v>
      </c>
      <c r="B174" s="112">
        <v>1.413</v>
      </c>
      <c r="C174" s="108">
        <f t="shared" ref="C174:C180" si="54">IFERROR(B174-B173,0)</f>
        <v>-1.2000000000000011E-2</v>
      </c>
      <c r="D174" s="109">
        <f t="shared" ref="D174:D180" si="55">IF(C174&lt;0,C174,"/")</f>
        <v>-1.2000000000000011E-2</v>
      </c>
      <c r="E174" s="109">
        <f ca="1">IF(表2_3671626293038912131415232425[[#This Row],[累计净值]]/MAX(INDIRECT("B21:B" &amp; ROW()))-1&lt;E173,表2_3671626293038912131415232425[[#This Row],[累计净值]]/MAX(INDIRECT("B21:B" &amp; ROW()))-1,E173)</f>
        <v>-7.947882736156342E-2</v>
      </c>
      <c r="F174" s="110">
        <f>表2_3671626293038912131415232425[[#This Row],[累计净值]]-0.21</f>
        <v>1.2030000000000001</v>
      </c>
      <c r="G174" s="20">
        <f>表2_3671626293038912131415232425[[#This Row],[累计净值]]/$B$21-1</f>
        <v>0.16776859504132235</v>
      </c>
    </row>
    <row r="175" spans="1:7" x14ac:dyDescent="0.2">
      <c r="A175" s="15">
        <v>44263</v>
      </c>
      <c r="B175" s="112">
        <v>1.3759999999999999</v>
      </c>
      <c r="C175" s="108">
        <f t="shared" si="54"/>
        <v>-3.7000000000000144E-2</v>
      </c>
      <c r="D175" s="109">
        <f t="shared" si="55"/>
        <v>-3.7000000000000144E-2</v>
      </c>
      <c r="E175" s="109">
        <f ca="1">IF(表2_3671626293038912131415232425[[#This Row],[累计净值]]/MAX(INDIRECT("B21:B" &amp; ROW()))-1&lt;E174,表2_3671626293038912131415232425[[#This Row],[累计净值]]/MAX(INDIRECT("B21:B" &amp; ROW()))-1,E174)</f>
        <v>-0.10358306188925082</v>
      </c>
      <c r="F175" s="110">
        <f>表2_3671626293038912131415232425[[#This Row],[累计净值]]-0.21</f>
        <v>1.1659999999999999</v>
      </c>
      <c r="G175" s="20">
        <f>表2_3671626293038912131415232425[[#This Row],[累计净值]]/$B$21-1</f>
        <v>0.13719008264462795</v>
      </c>
    </row>
    <row r="176" spans="1:7" x14ac:dyDescent="0.2">
      <c r="A176" s="15">
        <v>44264</v>
      </c>
      <c r="B176" s="112">
        <v>1.381</v>
      </c>
      <c r="C176" s="108">
        <f t="shared" si="54"/>
        <v>5.0000000000001155E-3</v>
      </c>
      <c r="D176" s="109" t="str">
        <f t="shared" si="55"/>
        <v>/</v>
      </c>
      <c r="E176" s="109">
        <f ca="1">IF(表2_3671626293038912131415232425[[#This Row],[累计净值]]/MAX(INDIRECT("B21:B" &amp; ROW()))-1&lt;E175,表2_3671626293038912131415232425[[#This Row],[累计净值]]/MAX(INDIRECT("B21:B" &amp; ROW()))-1,E175)</f>
        <v>-0.10358306188925082</v>
      </c>
      <c r="F176" s="110">
        <f>表2_3671626293038912131415232425[[#This Row],[累计净值]]-0.21</f>
        <v>1.171</v>
      </c>
      <c r="G176" s="20">
        <f>表2_3671626293038912131415232425[[#This Row],[累计净值]]/$B$21-1</f>
        <v>0.14132231404958673</v>
      </c>
    </row>
    <row r="177" spans="1:7" x14ac:dyDescent="0.2">
      <c r="A177" s="15">
        <v>44265</v>
      </c>
      <c r="B177" s="112">
        <v>1.3879999999999999</v>
      </c>
      <c r="C177" s="108">
        <f t="shared" si="54"/>
        <v>6.9999999999998952E-3</v>
      </c>
      <c r="D177" s="109" t="str">
        <f t="shared" si="55"/>
        <v>/</v>
      </c>
      <c r="E177" s="109">
        <f ca="1">IF(表2_3671626293038912131415232425[[#This Row],[累计净值]]/MAX(INDIRECT("B21:B" &amp; ROW()))-1&lt;E176,表2_3671626293038912131415232425[[#This Row],[累计净值]]/MAX(INDIRECT("B21:B" &amp; ROW()))-1,E176)</f>
        <v>-0.10358306188925082</v>
      </c>
      <c r="F177" s="110">
        <f>表2_3671626293038912131415232425[[#This Row],[累计净值]]-0.21</f>
        <v>1.1779999999999999</v>
      </c>
      <c r="G177" s="20">
        <f>表2_3671626293038912131415232425[[#This Row],[累计净值]]/$B$21-1</f>
        <v>0.14710743801652892</v>
      </c>
    </row>
    <row r="178" spans="1:7" x14ac:dyDescent="0.2">
      <c r="A178" s="15">
        <v>44266</v>
      </c>
      <c r="B178" s="112">
        <v>1.423</v>
      </c>
      <c r="C178" s="108">
        <f t="shared" si="54"/>
        <v>3.5000000000000142E-2</v>
      </c>
      <c r="D178" s="109" t="str">
        <f t="shared" si="55"/>
        <v>/</v>
      </c>
      <c r="E178" s="109">
        <f ca="1">IF(表2_3671626293038912131415232425[[#This Row],[累计净值]]/MAX(INDIRECT("B21:B" &amp; ROW()))-1&lt;E177,表2_3671626293038912131415232425[[#This Row],[累计净值]]/MAX(INDIRECT("B21:B" &amp; ROW()))-1,E177)</f>
        <v>-0.10358306188925082</v>
      </c>
      <c r="F178" s="110">
        <f>表2_3671626293038912131415232425[[#This Row],[累计净值]]-0.21</f>
        <v>1.2130000000000001</v>
      </c>
      <c r="G178" s="20">
        <f>表2_3671626293038912131415232425[[#This Row],[累计净值]]/$B$21-1</f>
        <v>0.17603305785123968</v>
      </c>
    </row>
    <row r="179" spans="1:7" x14ac:dyDescent="0.2">
      <c r="A179" s="15">
        <v>44267</v>
      </c>
      <c r="B179" s="112">
        <v>1.403</v>
      </c>
      <c r="C179" s="108">
        <f t="shared" si="54"/>
        <v>-2.0000000000000018E-2</v>
      </c>
      <c r="D179" s="109">
        <f t="shared" si="55"/>
        <v>-2.0000000000000018E-2</v>
      </c>
      <c r="E179" s="109">
        <f ca="1">IF(表2_3671626293038912131415232425[[#This Row],[累计净值]]/MAX(INDIRECT("B21:B" &amp; ROW()))-1&lt;E178,表2_3671626293038912131415232425[[#This Row],[累计净值]]/MAX(INDIRECT("B21:B" &amp; ROW()))-1,E178)</f>
        <v>-0.10358306188925082</v>
      </c>
      <c r="F179" s="110">
        <f>表2_3671626293038912131415232425[[#This Row],[累计净值]]-0.21</f>
        <v>1.1930000000000001</v>
      </c>
      <c r="G179" s="20">
        <f>表2_3671626293038912131415232425[[#This Row],[累计净值]]/$B$21-1</f>
        <v>0.15950413223140503</v>
      </c>
    </row>
    <row r="180" spans="1:7" x14ac:dyDescent="0.2">
      <c r="A180" s="15">
        <v>44270</v>
      </c>
      <c r="B180" s="112">
        <v>1.385</v>
      </c>
      <c r="C180" s="108">
        <f t="shared" si="54"/>
        <v>-1.8000000000000016E-2</v>
      </c>
      <c r="D180" s="109">
        <f t="shared" si="55"/>
        <v>-1.8000000000000016E-2</v>
      </c>
      <c r="E180" s="109">
        <f ca="1">IF(表2_3671626293038912131415232425[[#This Row],[累计净值]]/MAX(INDIRECT("B21:B" &amp; ROW()))-1&lt;E179,表2_3671626293038912131415232425[[#This Row],[累计净值]]/MAX(INDIRECT("B21:B" &amp; ROW()))-1,E179)</f>
        <v>-0.10358306188925082</v>
      </c>
      <c r="F180" s="110">
        <f>表2_3671626293038912131415232425[[#This Row],[累计净值]]-0.21</f>
        <v>1.175</v>
      </c>
      <c r="G180" s="20">
        <f>表2_3671626293038912131415232425[[#This Row],[累计净值]]/$B$21-1</f>
        <v>0.14462809917355379</v>
      </c>
    </row>
    <row r="181" spans="1:7" x14ac:dyDescent="0.2">
      <c r="A181" s="15">
        <v>44271</v>
      </c>
      <c r="B181" s="112">
        <v>1.399</v>
      </c>
      <c r="C181" s="108">
        <f>IFERROR(B181-B180,0)</f>
        <v>1.4000000000000012E-2</v>
      </c>
      <c r="D181" s="109" t="str">
        <f>IF(C181&lt;0,C181,"/")</f>
        <v>/</v>
      </c>
      <c r="E181" s="109">
        <f ca="1">IF(表2_3671626293038912131415232425[[#This Row],[累计净值]]/MAX(INDIRECT("B21:B" &amp; ROW()))-1&lt;E180,表2_3671626293038912131415232425[[#This Row],[累计净值]]/MAX(INDIRECT("B21:B" &amp; ROW()))-1,E180)</f>
        <v>-0.10358306188925082</v>
      </c>
      <c r="F181" s="110">
        <f>表2_3671626293038912131415232425[[#This Row],[累计净值]]-0.21</f>
        <v>1.1890000000000001</v>
      </c>
      <c r="G181" s="20">
        <f>表2_3671626293038912131415232425[[#This Row],[累计净值]]/$B$21-1</f>
        <v>0.15619834710743796</v>
      </c>
    </row>
    <row r="182" spans="1:7" x14ac:dyDescent="0.2">
      <c r="A182" s="15">
        <v>44272</v>
      </c>
      <c r="B182" s="112">
        <v>1.4019999999999999</v>
      </c>
      <c r="C182" s="108">
        <f>IFERROR(B182-B181,0)</f>
        <v>2.9999999999998916E-3</v>
      </c>
      <c r="D182" s="109" t="str">
        <f>IF(C182&lt;0,C182,"/")</f>
        <v>/</v>
      </c>
      <c r="E182" s="109">
        <f ca="1">IF(表2_3671626293038912131415232425[[#This Row],[累计净值]]/MAX(INDIRECT("B21:B" &amp; ROW()))-1&lt;E181,表2_3671626293038912131415232425[[#This Row],[累计净值]]/MAX(INDIRECT("B21:B" &amp; ROW()))-1,E181)</f>
        <v>-0.10358306188925082</v>
      </c>
      <c r="F182" s="110">
        <f>表2_3671626293038912131415232425[[#This Row],[累计净值]]-0.21</f>
        <v>1.1919999999999999</v>
      </c>
      <c r="G182" s="20">
        <f>表2_3671626293038912131415232425[[#This Row],[累计净值]]/$B$21-1</f>
        <v>0.15867768595041309</v>
      </c>
    </row>
    <row r="183" spans="1:7" x14ac:dyDescent="0.2">
      <c r="A183" s="15">
        <v>44273</v>
      </c>
      <c r="B183" s="112">
        <v>1.4179999999999999</v>
      </c>
      <c r="C183" s="108">
        <f>IFERROR(B183-B182,0)</f>
        <v>1.6000000000000014E-2</v>
      </c>
      <c r="D183" s="109" t="str">
        <f>IF(C183&lt;0,C183,"/")</f>
        <v>/</v>
      </c>
      <c r="E183" s="109">
        <f ca="1">IF(表2_3671626293038912131415232425[[#This Row],[累计净值]]/MAX(INDIRECT("B21:B" &amp; ROW()))-1&lt;E182,表2_3671626293038912131415232425[[#This Row],[累计净值]]/MAX(INDIRECT("B21:B" &amp; ROW()))-1,E182)</f>
        <v>-0.10358306188925082</v>
      </c>
      <c r="F183" s="110">
        <f>表2_3671626293038912131415232425[[#This Row],[累计净值]]-0.21</f>
        <v>1.208</v>
      </c>
      <c r="G183" s="20">
        <f>表2_3671626293038912131415232425[[#This Row],[累计净值]]/$B$21-1</f>
        <v>0.17190082644628091</v>
      </c>
    </row>
    <row r="184" spans="1:7" x14ac:dyDescent="0.2">
      <c r="A184" s="15">
        <v>44274</v>
      </c>
      <c r="B184" s="112">
        <v>1.3979999999999999</v>
      </c>
      <c r="C184" s="108">
        <f>IFERROR(B184-B183,0)</f>
        <v>-2.0000000000000018E-2</v>
      </c>
      <c r="D184" s="109">
        <f>IF(C184&lt;0,C184,"/")</f>
        <v>-2.0000000000000018E-2</v>
      </c>
      <c r="E184" s="109">
        <f ca="1">IF(表2_3671626293038912131415232425[[#This Row],[累计净值]]/MAX(INDIRECT("B21:B" &amp; ROW()))-1&lt;E183,表2_3671626293038912131415232425[[#This Row],[累计净值]]/MAX(INDIRECT("B21:B" &amp; ROW()))-1,E183)</f>
        <v>-0.10358306188925082</v>
      </c>
      <c r="F184" s="110">
        <f>表2_3671626293038912131415232425[[#This Row],[累计净值]]-0.21</f>
        <v>1.1879999999999999</v>
      </c>
      <c r="G184" s="20">
        <f>表2_3671626293038912131415232425[[#This Row],[累计净值]]/$B$21-1</f>
        <v>0.15537190082644625</v>
      </c>
    </row>
    <row r="185" spans="1:7" x14ac:dyDescent="0.2">
      <c r="A185" s="15">
        <v>44277</v>
      </c>
      <c r="B185" s="112">
        <v>1.403</v>
      </c>
      <c r="C185" s="108">
        <f>IFERROR(B185-B184,0)</f>
        <v>5.0000000000001155E-3</v>
      </c>
      <c r="D185" s="109" t="str">
        <f>IF(C185&lt;0,C185,"/")</f>
        <v>/</v>
      </c>
      <c r="E185" s="109">
        <f ca="1">IF(表2_3671626293038912131415232425[[#This Row],[累计净值]]/MAX(INDIRECT("B21:B" &amp; ROW()))-1&lt;E184,表2_3671626293038912131415232425[[#This Row],[累计净值]]/MAX(INDIRECT("B21:B" &amp; ROW()))-1,E184)</f>
        <v>-0.10358306188925082</v>
      </c>
      <c r="F185" s="110">
        <f>表2_3671626293038912131415232425[[#This Row],[累计净值]]-0.21</f>
        <v>1.1930000000000001</v>
      </c>
      <c r="G185" s="20">
        <f>表2_3671626293038912131415232425[[#This Row],[累计净值]]/$B$21-1</f>
        <v>0.15950413223140503</v>
      </c>
    </row>
    <row r="186" spans="1:7" x14ac:dyDescent="0.2">
      <c r="A186" s="15">
        <v>44278</v>
      </c>
      <c r="B186" s="112">
        <v>1.3839999999999999</v>
      </c>
      <c r="C186" s="108">
        <f t="shared" ref="C186:C189" si="56">IFERROR(B186-B185,0)</f>
        <v>-1.9000000000000128E-2</v>
      </c>
      <c r="D186" s="109">
        <f t="shared" ref="D186:D189" si="57">IF(C186&lt;0,C186,"/")</f>
        <v>-1.9000000000000128E-2</v>
      </c>
      <c r="E186" s="109">
        <f ca="1">IF(表2_3671626293038912131415232425[[#This Row],[累计净值]]/MAX(INDIRECT("B21:B" &amp; ROW()))-1&lt;E185,表2_3671626293038912131415232425[[#This Row],[累计净值]]/MAX(INDIRECT("B21:B" &amp; ROW()))-1,E185)</f>
        <v>-0.10358306188925082</v>
      </c>
      <c r="F186" s="110">
        <f>表2_3671626293038912131415232425[[#This Row],[累计净值]]-0.21</f>
        <v>1.1739999999999999</v>
      </c>
      <c r="G186" s="20">
        <f>表2_3671626293038912131415232425[[#This Row],[累计净值]]/$B$21-1</f>
        <v>0.14380165289256186</v>
      </c>
    </row>
    <row r="187" spans="1:7" x14ac:dyDescent="0.2">
      <c r="A187" s="15">
        <v>44279</v>
      </c>
      <c r="B187" s="112">
        <v>1.37</v>
      </c>
      <c r="C187" s="108">
        <f t="shared" si="56"/>
        <v>-1.399999999999979E-2</v>
      </c>
      <c r="D187" s="109">
        <f t="shared" si="57"/>
        <v>-1.399999999999979E-2</v>
      </c>
      <c r="E187" s="109">
        <f ca="1">IF(表2_3671626293038912131415232425[[#This Row],[累计净值]]/MAX(INDIRECT("B21:B" &amp; ROW()))-1&lt;E186,表2_3671626293038912131415232425[[#This Row],[累计净值]]/MAX(INDIRECT("B21:B" &amp; ROW()))-1,E186)</f>
        <v>-0.10749185667752437</v>
      </c>
      <c r="F187" s="110">
        <f>表2_3671626293038912131415232425[[#This Row],[累计净值]]-0.21</f>
        <v>1.1600000000000001</v>
      </c>
      <c r="G187" s="20">
        <f>表2_3671626293038912131415232425[[#This Row],[累计净值]]/$B$21-1</f>
        <v>0.13223140495867791</v>
      </c>
    </row>
    <row r="188" spans="1:7" x14ac:dyDescent="0.2">
      <c r="A188" s="15">
        <v>44280</v>
      </c>
      <c r="B188" s="112">
        <v>1.3580000000000001</v>
      </c>
      <c r="C188" s="108">
        <f t="shared" si="56"/>
        <v>-1.2000000000000011E-2</v>
      </c>
      <c r="D188" s="109">
        <f t="shared" si="57"/>
        <v>-1.2000000000000011E-2</v>
      </c>
      <c r="E188" s="109">
        <f ca="1">IF(表2_3671626293038912131415232425[[#This Row],[累计净值]]/MAX(INDIRECT("B21:B" &amp; ROW()))-1&lt;E187,表2_3671626293038912131415232425[[#This Row],[累计净值]]/MAX(INDIRECT("B21:B" &amp; ROW()))-1,E187)</f>
        <v>-0.11530944625407158</v>
      </c>
      <c r="F188" s="110">
        <f>表2_3671626293038912131415232425[[#This Row],[累计净值]]-0.21</f>
        <v>1.1480000000000001</v>
      </c>
      <c r="G188" s="20">
        <f>表2_3671626293038912131415232425[[#This Row],[累计净值]]/$B$21-1</f>
        <v>0.12231404958677694</v>
      </c>
    </row>
    <row r="189" spans="1:7" x14ac:dyDescent="0.2">
      <c r="A189" s="15">
        <v>44281</v>
      </c>
      <c r="B189" s="112">
        <v>1.379</v>
      </c>
      <c r="C189" s="108">
        <f t="shared" si="56"/>
        <v>2.0999999999999908E-2</v>
      </c>
      <c r="D189" s="109" t="str">
        <f t="shared" si="57"/>
        <v>/</v>
      </c>
      <c r="E189" s="109">
        <f ca="1">IF(表2_3671626293038912131415232425[[#This Row],[累计净值]]/MAX(INDIRECT("B21:B" &amp; ROW()))-1&lt;E188,表2_3671626293038912131415232425[[#This Row],[累计净值]]/MAX(INDIRECT("B21:B" &amp; ROW()))-1,E188)</f>
        <v>-0.11530944625407158</v>
      </c>
      <c r="F189" s="110">
        <f>表2_3671626293038912131415232425[[#This Row],[累计净值]]-0.21</f>
        <v>1.169</v>
      </c>
      <c r="G189" s="20">
        <f>表2_3671626293038912131415232425[[#This Row],[累计净值]]/$B$21-1</f>
        <v>0.13966942148760331</v>
      </c>
    </row>
    <row r="190" spans="1:7" x14ac:dyDescent="0.2">
      <c r="A190" s="15">
        <v>44284</v>
      </c>
      <c r="B190" s="112">
        <v>1.369</v>
      </c>
      <c r="C190" s="108">
        <f t="shared" ref="C190:C196" si="58">IFERROR(B190-B189,0)</f>
        <v>-1.0000000000000009E-2</v>
      </c>
      <c r="D190" s="109">
        <f t="shared" ref="D190:D196" si="59">IF(C190&lt;0,C190,"/")</f>
        <v>-1.0000000000000009E-2</v>
      </c>
      <c r="E190" s="109">
        <f ca="1">IF(表2_3671626293038912131415232425[[#This Row],[累计净值]]/MAX(INDIRECT("B21:B" &amp; ROW()))-1&lt;E189,表2_3671626293038912131415232425[[#This Row],[累计净值]]/MAX(INDIRECT("B21:B" &amp; ROW()))-1,E189)</f>
        <v>-0.11530944625407158</v>
      </c>
      <c r="F190" s="110">
        <f>表2_3671626293038912131415232425[[#This Row],[累计净值]]-0.21</f>
        <v>1.159</v>
      </c>
      <c r="G190" s="20">
        <f>表2_3671626293038912131415232425[[#This Row],[累计净值]]/$B$21-1</f>
        <v>0.13140495867768598</v>
      </c>
    </row>
    <row r="191" spans="1:7" x14ac:dyDescent="0.2">
      <c r="A191" s="15">
        <v>44285</v>
      </c>
      <c r="B191" s="112">
        <v>1.3839999999999999</v>
      </c>
      <c r="C191" s="108">
        <f t="shared" si="58"/>
        <v>1.4999999999999902E-2</v>
      </c>
      <c r="D191" s="109" t="str">
        <f t="shared" si="59"/>
        <v>/</v>
      </c>
      <c r="E191" s="109">
        <f ca="1">IF(表2_3671626293038912131415232425[[#This Row],[累计净值]]/MAX(INDIRECT("B21:B" &amp; ROW()))-1&lt;E190,表2_3671626293038912131415232425[[#This Row],[累计净值]]/MAX(INDIRECT("B21:B" &amp; ROW()))-1,E190)</f>
        <v>-0.11530944625407158</v>
      </c>
      <c r="F191" s="110">
        <f>表2_3671626293038912131415232425[[#This Row],[累计净值]]-0.21</f>
        <v>1.1739999999999999</v>
      </c>
      <c r="G191" s="20">
        <f>表2_3671626293038912131415232425[[#This Row],[累计净值]]/$B$21-1</f>
        <v>0.14380165289256186</v>
      </c>
    </row>
    <row r="192" spans="1:7" x14ac:dyDescent="0.2">
      <c r="A192" s="15">
        <v>44286</v>
      </c>
      <c r="B192" s="112">
        <v>1.3759999999999999</v>
      </c>
      <c r="C192" s="108">
        <f t="shared" si="58"/>
        <v>-8.0000000000000071E-3</v>
      </c>
      <c r="D192" s="109">
        <f t="shared" si="59"/>
        <v>-8.0000000000000071E-3</v>
      </c>
      <c r="E192" s="109">
        <f ca="1">IF(表2_3671626293038912131415232425[[#This Row],[累计净值]]/MAX(INDIRECT("B21:B" &amp; ROW()))-1&lt;E191,表2_3671626293038912131415232425[[#This Row],[累计净值]]/MAX(INDIRECT("B21:B" &amp; ROW()))-1,E191)</f>
        <v>-0.11530944625407158</v>
      </c>
      <c r="F192" s="110">
        <f>表2_3671626293038912131415232425[[#This Row],[累计净值]]-0.21</f>
        <v>1.1659999999999999</v>
      </c>
      <c r="G192" s="20">
        <f>表2_3671626293038912131415232425[[#This Row],[累计净值]]/$B$21-1</f>
        <v>0.13719008264462795</v>
      </c>
    </row>
    <row r="193" spans="1:7" x14ac:dyDescent="0.2">
      <c r="A193" s="15">
        <v>44287</v>
      </c>
      <c r="B193" s="112">
        <v>1.41</v>
      </c>
      <c r="C193" s="108">
        <f t="shared" si="58"/>
        <v>3.400000000000003E-2</v>
      </c>
      <c r="D193" s="109" t="str">
        <f t="shared" si="59"/>
        <v>/</v>
      </c>
      <c r="E193" s="109">
        <f ca="1">IF(表2_3671626293038912131415232425[[#This Row],[累计净值]]/MAX(INDIRECT("B21:B" &amp; ROW()))-1&lt;E192,表2_3671626293038912131415232425[[#This Row],[累计净值]]/MAX(INDIRECT("B21:B" &amp; ROW()))-1,E192)</f>
        <v>-0.11530944625407158</v>
      </c>
      <c r="F193" s="110">
        <f>表2_3671626293038912131415232425[[#This Row],[累计净值]]-0.21</f>
        <v>1.2</v>
      </c>
      <c r="G193" s="20">
        <f>表2_3671626293038912131415232425[[#This Row],[累计净值]]/$B$21-1</f>
        <v>0.165289256198347</v>
      </c>
    </row>
    <row r="194" spans="1:7" x14ac:dyDescent="0.2">
      <c r="A194" s="15">
        <v>44288</v>
      </c>
      <c r="B194" s="112">
        <v>1.42</v>
      </c>
      <c r="C194" s="108">
        <f t="shared" si="58"/>
        <v>1.0000000000000009E-2</v>
      </c>
      <c r="D194" s="109" t="str">
        <f t="shared" si="59"/>
        <v>/</v>
      </c>
      <c r="E194" s="109">
        <f ca="1">IF(表2_3671626293038912131415232425[[#This Row],[累计净值]]/MAX(INDIRECT("B21:B" &amp; ROW()))-1&lt;E193,表2_3671626293038912131415232425[[#This Row],[累计净值]]/MAX(INDIRECT("B21:B" &amp; ROW()))-1,E193)</f>
        <v>-0.11530944625407158</v>
      </c>
      <c r="F194" s="110">
        <f>表2_3671626293038912131415232425[[#This Row],[累计净值]]-0.21</f>
        <v>1.21</v>
      </c>
      <c r="G194" s="20">
        <f>表2_3671626293038912131415232425[[#This Row],[累计净值]]/$B$21-1</f>
        <v>0.17355371900826433</v>
      </c>
    </row>
    <row r="195" spans="1:7" x14ac:dyDescent="0.2">
      <c r="A195" s="15">
        <v>44292</v>
      </c>
      <c r="B195" s="112">
        <v>1.4159999999999999</v>
      </c>
      <c r="C195" s="108">
        <f t="shared" si="58"/>
        <v>-4.0000000000000036E-3</v>
      </c>
      <c r="D195" s="109">
        <f t="shared" si="59"/>
        <v>-4.0000000000000036E-3</v>
      </c>
      <c r="E195" s="109">
        <f ca="1">IF(表2_3671626293038912131415232425[[#This Row],[累计净值]]/MAX(INDIRECT("B21:B" &amp; ROW()))-1&lt;E194,表2_3671626293038912131415232425[[#This Row],[累计净值]]/MAX(INDIRECT("B21:B" &amp; ROW()))-1,E194)</f>
        <v>-0.11530944625407158</v>
      </c>
      <c r="F195" s="110">
        <f>表2_3671626293038912131415232425[[#This Row],[累计净值]]-0.21</f>
        <v>1.206</v>
      </c>
      <c r="G195" s="20">
        <f>表2_3671626293038912131415232425[[#This Row],[累计净值]]/$B$21-1</f>
        <v>0.17024793388429749</v>
      </c>
    </row>
    <row r="196" spans="1:7" x14ac:dyDescent="0.2">
      <c r="A196" s="15">
        <v>44293</v>
      </c>
      <c r="B196" s="112">
        <v>1.3959999999999999</v>
      </c>
      <c r="C196" s="108">
        <f t="shared" si="58"/>
        <v>-2.0000000000000018E-2</v>
      </c>
      <c r="D196" s="109">
        <f t="shared" si="59"/>
        <v>-2.0000000000000018E-2</v>
      </c>
      <c r="E196" s="109">
        <f ca="1">IF(表2_3671626293038912131415232425[[#This Row],[累计净值]]/MAX(INDIRECT("B21:B" &amp; ROW()))-1&lt;E195,表2_3671626293038912131415232425[[#This Row],[累计净值]]/MAX(INDIRECT("B21:B" &amp; ROW()))-1,E195)</f>
        <v>-0.11530944625407158</v>
      </c>
      <c r="F196" s="110">
        <f>表2_3671626293038912131415232425[[#This Row],[累计净值]]-0.21</f>
        <v>1.1859999999999999</v>
      </c>
      <c r="G196" s="20">
        <f>表2_3671626293038912131415232425[[#This Row],[累计净值]]/$B$21-1</f>
        <v>0.15371900826446283</v>
      </c>
    </row>
    <row r="197" spans="1:7" x14ac:dyDescent="0.2">
      <c r="A197" s="15">
        <v>44294</v>
      </c>
      <c r="B197" s="112">
        <v>1.3919999999999999</v>
      </c>
      <c r="C197" s="108">
        <f t="shared" ref="C197:C202" si="60">IFERROR(B197-B196,0)</f>
        <v>-4.0000000000000036E-3</v>
      </c>
      <c r="D197" s="109">
        <f t="shared" ref="D197:D202" si="61">IF(C197&lt;0,C197,"/")</f>
        <v>-4.0000000000000036E-3</v>
      </c>
      <c r="E197" s="109">
        <f ca="1">IF(表2_3671626293038912131415232425[[#This Row],[累计净值]]/MAX(INDIRECT("B21:B" &amp; ROW()))-1&lt;E196,表2_3671626293038912131415232425[[#This Row],[累计净值]]/MAX(INDIRECT("B21:B" &amp; ROW()))-1,E196)</f>
        <v>-0.11530944625407158</v>
      </c>
      <c r="F197" s="110">
        <f>表2_3671626293038912131415232425[[#This Row],[累计净值]]-0.21</f>
        <v>1.1819999999999999</v>
      </c>
      <c r="G197" s="20">
        <f>表2_3671626293038912131415232425[[#This Row],[累计净值]]/$B$21-1</f>
        <v>0.15041322314049577</v>
      </c>
    </row>
    <row r="198" spans="1:7" x14ac:dyDescent="0.2">
      <c r="A198" s="15">
        <v>44295</v>
      </c>
      <c r="B198" s="112">
        <v>1.3779999999999999</v>
      </c>
      <c r="C198" s="108">
        <f t="shared" si="60"/>
        <v>-1.4000000000000012E-2</v>
      </c>
      <c r="D198" s="109">
        <f t="shared" si="61"/>
        <v>-1.4000000000000012E-2</v>
      </c>
      <c r="E198" s="109">
        <f ca="1">IF(表2_3671626293038912131415232425[[#This Row],[累计净值]]/MAX(INDIRECT("B21:B" &amp; ROW()))-1&lt;E197,表2_3671626293038912131415232425[[#This Row],[累计净值]]/MAX(INDIRECT("B21:B" &amp; ROW()))-1,E197)</f>
        <v>-0.11530944625407158</v>
      </c>
      <c r="F198" s="110">
        <f>表2_3671626293038912131415232425[[#This Row],[累计净值]]-0.21</f>
        <v>1.1679999999999999</v>
      </c>
      <c r="G198" s="20">
        <f>表2_3671626293038912131415232425[[#This Row],[累计净值]]/$B$21-1</f>
        <v>0.1388429752066116</v>
      </c>
    </row>
    <row r="199" spans="1:7" x14ac:dyDescent="0.2">
      <c r="A199" s="15">
        <v>44298</v>
      </c>
      <c r="B199" s="112">
        <v>1.37</v>
      </c>
      <c r="C199" s="108">
        <f t="shared" si="60"/>
        <v>-7.9999999999997851E-3</v>
      </c>
      <c r="D199" s="109">
        <f t="shared" si="61"/>
        <v>-7.9999999999997851E-3</v>
      </c>
      <c r="E199" s="109">
        <f ca="1">IF(表2_3671626293038912131415232425[[#This Row],[累计净值]]/MAX(INDIRECT("B21:B" &amp; ROW()))-1&lt;E198,表2_3671626293038912131415232425[[#This Row],[累计净值]]/MAX(INDIRECT("B21:B" &amp; ROW()))-1,E198)</f>
        <v>-0.11530944625407158</v>
      </c>
      <c r="F199" s="110">
        <f>表2_3671626293038912131415232425[[#This Row],[累计净值]]-0.21</f>
        <v>1.1600000000000001</v>
      </c>
      <c r="G199" s="20">
        <f>表2_3671626293038912131415232425[[#This Row],[累计净值]]/$B$21-1</f>
        <v>0.13223140495867791</v>
      </c>
    </row>
    <row r="200" spans="1:7" x14ac:dyDescent="0.2">
      <c r="A200" s="15">
        <v>44299</v>
      </c>
      <c r="B200" s="112">
        <v>1.3540000000000001</v>
      </c>
      <c r="C200" s="108">
        <f t="shared" si="60"/>
        <v>-1.6000000000000014E-2</v>
      </c>
      <c r="D200" s="109">
        <f t="shared" si="61"/>
        <v>-1.6000000000000014E-2</v>
      </c>
      <c r="E200" s="109">
        <f ca="1">IF(表2_3671626293038912131415232425[[#This Row],[累计净值]]/MAX(INDIRECT("B21:B" &amp; ROW()))-1&lt;E199,表2_3671626293038912131415232425[[#This Row],[累计净值]]/MAX(INDIRECT("B21:B" &amp; ROW()))-1,E199)</f>
        <v>-0.11791530944625395</v>
      </c>
      <c r="F200" s="110">
        <f>表2_3671626293038912131415232425[[#This Row],[累计净值]]-0.21</f>
        <v>1.1440000000000001</v>
      </c>
      <c r="G200" s="20">
        <f>表2_3671626293038912131415232425[[#This Row],[累计净值]]/$B$21-1</f>
        <v>0.1190082644628101</v>
      </c>
    </row>
    <row r="201" spans="1:7" x14ac:dyDescent="0.2">
      <c r="A201" s="15">
        <v>44300</v>
      </c>
      <c r="B201" s="112">
        <v>1.3680000000000001</v>
      </c>
      <c r="C201" s="108">
        <f t="shared" si="60"/>
        <v>1.4000000000000012E-2</v>
      </c>
      <c r="D201" s="109" t="str">
        <f t="shared" si="61"/>
        <v>/</v>
      </c>
      <c r="E201" s="109">
        <f ca="1">IF(表2_3671626293038912131415232425[[#This Row],[累计净值]]/MAX(INDIRECT("B21:B" &amp; ROW()))-1&lt;E200,表2_3671626293038912131415232425[[#This Row],[累计净值]]/MAX(INDIRECT("B21:B" &amp; ROW()))-1,E200)</f>
        <v>-0.11791530944625395</v>
      </c>
      <c r="F201" s="110">
        <f>表2_3671626293038912131415232425[[#This Row],[累计净值]]-0.21</f>
        <v>1.1580000000000001</v>
      </c>
      <c r="G201" s="20">
        <f>表2_3671626293038912131415232425[[#This Row],[累计净值]]/$B$21-1</f>
        <v>0.13057851239669427</v>
      </c>
    </row>
    <row r="202" spans="1:7" x14ac:dyDescent="0.2">
      <c r="A202" s="15">
        <v>44301</v>
      </c>
      <c r="B202" s="112">
        <v>1.361</v>
      </c>
      <c r="C202" s="108">
        <f t="shared" si="60"/>
        <v>-7.0000000000001172E-3</v>
      </c>
      <c r="D202" s="109">
        <f t="shared" si="61"/>
        <v>-7.0000000000001172E-3</v>
      </c>
      <c r="E202" s="109">
        <f ca="1">IF(表2_3671626293038912131415232425[[#This Row],[累计净值]]/MAX(INDIRECT("B21:B" &amp; ROW()))-1&lt;E201,表2_3671626293038912131415232425[[#This Row],[累计净值]]/MAX(INDIRECT("B21:B" &amp; ROW()))-1,E201)</f>
        <v>-0.11791530944625395</v>
      </c>
      <c r="F202" s="110">
        <f>表2_3671626293038912131415232425[[#This Row],[累计净值]]-0.21</f>
        <v>1.151</v>
      </c>
      <c r="G202" s="20">
        <f>表2_3671626293038912131415232425[[#This Row],[累计净值]]/$B$21-1</f>
        <v>0.12479338842975207</v>
      </c>
    </row>
    <row r="203" spans="1:7" x14ac:dyDescent="0.2">
      <c r="A203" s="15">
        <v>44302</v>
      </c>
      <c r="B203" s="112">
        <v>1.371</v>
      </c>
      <c r="C203" s="108">
        <f t="shared" ref="C203:C208" si="62">IFERROR(B203-B202,0)</f>
        <v>1.0000000000000009E-2</v>
      </c>
      <c r="D203" s="109" t="str">
        <f t="shared" ref="D203:D208" si="63">IF(C203&lt;0,C203,"/")</f>
        <v>/</v>
      </c>
      <c r="E203" s="109">
        <f ca="1">IF(表2_3671626293038912131415232425[[#This Row],[累计净值]]/MAX(INDIRECT("B21:B" &amp; ROW()))-1&lt;E202,表2_3671626293038912131415232425[[#This Row],[累计净值]]/MAX(INDIRECT("B21:B" &amp; ROW()))-1,E202)</f>
        <v>-0.11791530944625395</v>
      </c>
      <c r="F203" s="110">
        <f>表2_3671626293038912131415232425[[#This Row],[累计净值]]-0.21</f>
        <v>1.161</v>
      </c>
      <c r="G203" s="20">
        <f>表2_3671626293038912131415232425[[#This Row],[累计净值]]/$B$21-1</f>
        <v>0.1330578512396694</v>
      </c>
    </row>
    <row r="204" spans="1:7" x14ac:dyDescent="0.2">
      <c r="A204" s="15">
        <v>44305</v>
      </c>
      <c r="B204" s="112">
        <v>1.3819999999999999</v>
      </c>
      <c r="C204" s="108">
        <f t="shared" si="62"/>
        <v>1.0999999999999899E-2</v>
      </c>
      <c r="D204" s="109" t="str">
        <f t="shared" si="63"/>
        <v>/</v>
      </c>
      <c r="E204" s="109">
        <f ca="1">IF(表2_3671626293038912131415232425[[#This Row],[累计净值]]/MAX(INDIRECT("B21:B" &amp; ROW()))-1&lt;E203,表2_3671626293038912131415232425[[#This Row],[累计净值]]/MAX(INDIRECT("B21:B" &amp; ROW()))-1,E203)</f>
        <v>-0.11791530944625395</v>
      </c>
      <c r="F204" s="110">
        <f>表2_3671626293038912131415232425[[#This Row],[累计净值]]-0.21</f>
        <v>1.1719999999999999</v>
      </c>
      <c r="G204" s="20">
        <f>表2_3671626293038912131415232425[[#This Row],[累计净值]]/$B$21-1</f>
        <v>0.14214876033057844</v>
      </c>
    </row>
    <row r="205" spans="1:7" x14ac:dyDescent="0.2">
      <c r="A205" s="15">
        <v>44306</v>
      </c>
      <c r="B205" s="112">
        <v>1.38</v>
      </c>
      <c r="C205" s="108">
        <f t="shared" si="62"/>
        <v>-2.0000000000000018E-3</v>
      </c>
      <c r="D205" s="109">
        <f t="shared" si="63"/>
        <v>-2.0000000000000018E-3</v>
      </c>
      <c r="E205" s="109">
        <f ca="1">IF(表2_3671626293038912131415232425[[#This Row],[累计净值]]/MAX(INDIRECT("B21:B" &amp; ROW()))-1&lt;E204,表2_3671626293038912131415232425[[#This Row],[累计净值]]/MAX(INDIRECT("B21:B" &amp; ROW()))-1,E204)</f>
        <v>-0.11791530944625395</v>
      </c>
      <c r="F205" s="110">
        <f>表2_3671626293038912131415232425[[#This Row],[累计净值]]-0.21</f>
        <v>1.17</v>
      </c>
      <c r="G205" s="20">
        <f>表2_3671626293038912131415232425[[#This Row],[累计净值]]/$B$21-1</f>
        <v>0.14049586776859502</v>
      </c>
    </row>
    <row r="206" spans="1:7" x14ac:dyDescent="0.2">
      <c r="A206" s="15">
        <v>44307</v>
      </c>
      <c r="B206" s="112">
        <v>1.3620000000000001</v>
      </c>
      <c r="C206" s="108">
        <f t="shared" si="62"/>
        <v>-1.7999999999999794E-2</v>
      </c>
      <c r="D206" s="109">
        <f t="shared" si="63"/>
        <v>-1.7999999999999794E-2</v>
      </c>
      <c r="E206" s="109">
        <f ca="1">IF(表2_3671626293038912131415232425[[#This Row],[累计净值]]/MAX(INDIRECT("B21:B" &amp; ROW()))-1&lt;E205,表2_3671626293038912131415232425[[#This Row],[累计净值]]/MAX(INDIRECT("B21:B" &amp; ROW()))-1,E205)</f>
        <v>-0.11791530944625395</v>
      </c>
      <c r="F206" s="110">
        <f>表2_3671626293038912131415232425[[#This Row],[累计净值]]-0.21</f>
        <v>1.1520000000000001</v>
      </c>
      <c r="G206" s="20">
        <f>表2_3671626293038912131415232425[[#This Row],[累计净值]]/$B$21-1</f>
        <v>0.125619834710744</v>
      </c>
    </row>
    <row r="207" spans="1:7" x14ac:dyDescent="0.2">
      <c r="A207" s="15">
        <v>44308</v>
      </c>
      <c r="B207" s="112">
        <v>1.369</v>
      </c>
      <c r="C207" s="108">
        <f t="shared" si="62"/>
        <v>6.9999999999998952E-3</v>
      </c>
      <c r="D207" s="109" t="str">
        <f t="shared" si="63"/>
        <v>/</v>
      </c>
      <c r="E207" s="109">
        <f ca="1">IF(表2_3671626293038912131415232425[[#This Row],[累计净值]]/MAX(INDIRECT("B21:B" &amp; ROW()))-1&lt;E206,表2_3671626293038912131415232425[[#This Row],[累计净值]]/MAX(INDIRECT("B21:B" &amp; ROW()))-1,E206)</f>
        <v>-0.11791530944625395</v>
      </c>
      <c r="F207" s="110">
        <f>表2_3671626293038912131415232425[[#This Row],[累计净值]]-0.21</f>
        <v>1.159</v>
      </c>
      <c r="G207" s="20">
        <f>表2_3671626293038912131415232425[[#This Row],[累计净值]]/$B$21-1</f>
        <v>0.13140495867768598</v>
      </c>
    </row>
    <row r="208" spans="1:7" x14ac:dyDescent="0.2">
      <c r="A208" s="15">
        <v>44309</v>
      </c>
      <c r="B208" s="112">
        <v>1.3839999999999999</v>
      </c>
      <c r="C208" s="108">
        <f t="shared" si="62"/>
        <v>1.4999999999999902E-2</v>
      </c>
      <c r="D208" s="109" t="str">
        <f t="shared" si="63"/>
        <v>/</v>
      </c>
      <c r="E208" s="109">
        <f ca="1">IF(表2_3671626293038912131415232425[[#This Row],[累计净值]]/MAX(INDIRECT("B21:B" &amp; ROW()))-1&lt;E207,表2_3671626293038912131415232425[[#This Row],[累计净值]]/MAX(INDIRECT("B21:B" &amp; ROW()))-1,E207)</f>
        <v>-0.11791530944625395</v>
      </c>
      <c r="F208" s="110">
        <f>表2_3671626293038912131415232425[[#This Row],[累计净值]]-0.21</f>
        <v>1.1739999999999999</v>
      </c>
      <c r="G208" s="20">
        <f>表2_3671626293038912131415232425[[#This Row],[累计净值]]/$B$21-1</f>
        <v>0.14380165289256186</v>
      </c>
    </row>
    <row r="209" spans="1:7" x14ac:dyDescent="0.2">
      <c r="A209" s="15">
        <v>44312</v>
      </c>
      <c r="B209" s="112">
        <v>1.3680000000000001</v>
      </c>
      <c r="C209" s="108">
        <f>IFERROR(B209-B208,0)</f>
        <v>-1.5999999999999792E-2</v>
      </c>
      <c r="D209" s="109">
        <f>IF(C209&lt;0,C209,"/")</f>
        <v>-1.5999999999999792E-2</v>
      </c>
      <c r="E209" s="109">
        <f ca="1">IF(表2_3671626293038912131415232425[[#This Row],[累计净值]]/MAX(INDIRECT("B21:B" &amp; ROW()))-1&lt;E208,表2_3671626293038912131415232425[[#This Row],[累计净值]]/MAX(INDIRECT("B21:B" &amp; ROW()))-1,E208)</f>
        <v>-0.11791530944625395</v>
      </c>
      <c r="F209" s="110">
        <f>表2_3671626293038912131415232425[[#This Row],[累计净值]]-0.21</f>
        <v>1.1580000000000001</v>
      </c>
      <c r="G209" s="20">
        <f>表2_3671626293038912131415232425[[#This Row],[累计净值]]/$B$21-1</f>
        <v>0.13057851239669427</v>
      </c>
    </row>
    <row r="210" spans="1:7" x14ac:dyDescent="0.2">
      <c r="A210" s="15">
        <v>44313</v>
      </c>
      <c r="B210" s="112">
        <v>1.369</v>
      </c>
      <c r="C210" s="108">
        <f t="shared" ref="C210:C211" si="64">IFERROR(B210-B209,0)</f>
        <v>9.9999999999988987E-4</v>
      </c>
      <c r="D210" s="109" t="str">
        <f t="shared" ref="D210:D211" si="65">IF(C210&lt;0,C210,"/")</f>
        <v>/</v>
      </c>
      <c r="E210" s="109">
        <f ca="1">IF(表2_3671626293038912131415232425[[#This Row],[累计净值]]/MAX(INDIRECT("B21:B" &amp; ROW()))-1&lt;E209,表2_3671626293038912131415232425[[#This Row],[累计净值]]/MAX(INDIRECT("B21:B" &amp; ROW()))-1,E209)</f>
        <v>-0.11791530944625395</v>
      </c>
      <c r="F210" s="110">
        <f>表2_3671626293038912131415232425[[#This Row],[累计净值]]-0.21</f>
        <v>1.159</v>
      </c>
      <c r="G210" s="20">
        <f>表2_3671626293038912131415232425[[#This Row],[累计净值]]/$B$21-1</f>
        <v>0.13140495867768598</v>
      </c>
    </row>
    <row r="211" spans="1:7" x14ac:dyDescent="0.2">
      <c r="A211" s="15">
        <v>44314</v>
      </c>
      <c r="B211" s="112">
        <v>1.3680000000000001</v>
      </c>
      <c r="C211" s="108">
        <f t="shared" si="64"/>
        <v>-9.9999999999988987E-4</v>
      </c>
      <c r="D211" s="109">
        <f t="shared" si="65"/>
        <v>-9.9999999999988987E-4</v>
      </c>
      <c r="E211" s="109">
        <f ca="1">IF(表2_3671626293038912131415232425[[#This Row],[累计净值]]/MAX(INDIRECT("B21:B" &amp; ROW()))-1&lt;E210,表2_3671626293038912131415232425[[#This Row],[累计净值]]/MAX(INDIRECT("B21:B" &amp; ROW()))-1,E210)</f>
        <v>-0.11791530944625395</v>
      </c>
      <c r="F211" s="110">
        <f>表2_3671626293038912131415232425[[#This Row],[累计净值]]-0.21</f>
        <v>1.1580000000000001</v>
      </c>
      <c r="G211" s="20">
        <f>表2_3671626293038912131415232425[[#This Row],[累计净值]]/$B$21-1</f>
        <v>0.13057851239669427</v>
      </c>
    </row>
    <row r="212" spans="1:7" x14ac:dyDescent="0.2">
      <c r="A212" s="15">
        <v>44315</v>
      </c>
      <c r="B212" s="112">
        <v>1.3740000000000001</v>
      </c>
      <c r="C212" s="108">
        <f>IFERROR(B212-B211,0)</f>
        <v>6.0000000000000053E-3</v>
      </c>
      <c r="D212" s="109" t="str">
        <f>IF(C212&lt;0,C212,"/")</f>
        <v>/</v>
      </c>
      <c r="E212" s="109">
        <f ca="1">IF(表2_3671626293038912131415232425[[#This Row],[累计净值]]/MAX(INDIRECT("B21:B" &amp; ROW()))-1&lt;E211,表2_3671626293038912131415232425[[#This Row],[累计净值]]/MAX(INDIRECT("B21:B" &amp; ROW()))-1,E211)</f>
        <v>-0.11791530944625395</v>
      </c>
      <c r="F212" s="110">
        <f>表2_3671626293038912131415232425[[#This Row],[累计净值]]-0.21</f>
        <v>1.1640000000000001</v>
      </c>
      <c r="G212" s="20">
        <f>表2_3671626293038912131415232425[[#This Row],[累计净值]]/$B$21-1</f>
        <v>0.13553719008264475</v>
      </c>
    </row>
    <row r="213" spans="1:7" x14ac:dyDescent="0.2">
      <c r="A213" s="15">
        <v>44316</v>
      </c>
      <c r="B213" s="112">
        <v>1.3580000000000001</v>
      </c>
      <c r="C213" s="108">
        <f t="shared" ref="C213:C214" si="66">IFERROR(B213-B212,0)</f>
        <v>-1.6000000000000014E-2</v>
      </c>
      <c r="D213" s="109">
        <f t="shared" ref="D213:D214" si="67">IF(C213&lt;0,C213,"/")</f>
        <v>-1.6000000000000014E-2</v>
      </c>
      <c r="E213" s="109">
        <f ca="1">IF(表2_3671626293038912131415232425[[#This Row],[累计净值]]/MAX(INDIRECT("B21:B" &amp; ROW()))-1&lt;E212,表2_3671626293038912131415232425[[#This Row],[累计净值]]/MAX(INDIRECT("B21:B" &amp; ROW()))-1,E212)</f>
        <v>-0.11791530944625395</v>
      </c>
      <c r="F213" s="110">
        <f>表2_3671626293038912131415232425[[#This Row],[累计净值]]-0.21</f>
        <v>1.1480000000000001</v>
      </c>
      <c r="G213" s="20">
        <f>表2_3671626293038912131415232425[[#This Row],[累计净值]]/$B$21-1</f>
        <v>0.12231404958677694</v>
      </c>
    </row>
    <row r="214" spans="1:7" x14ac:dyDescent="0.2">
      <c r="A214" s="15">
        <v>44322</v>
      </c>
      <c r="B214" s="112">
        <v>1.3380000000000001</v>
      </c>
      <c r="C214" s="108">
        <f t="shared" si="66"/>
        <v>-2.0000000000000018E-2</v>
      </c>
      <c r="D214" s="109">
        <f t="shared" si="67"/>
        <v>-2.0000000000000018E-2</v>
      </c>
      <c r="E214" s="109">
        <f ca="1">IF(表2_3671626293038912131415232425[[#This Row],[累计净值]]/MAX(INDIRECT("B21:B" &amp; ROW()))-1&lt;E213,表2_3671626293038912131415232425[[#This Row],[累计净值]]/MAX(INDIRECT("B21:B" &amp; ROW()))-1,E213)</f>
        <v>-0.12833876221498364</v>
      </c>
      <c r="F214" s="110">
        <f>表2_3671626293038912131415232425[[#This Row],[累计净值]]-0.21</f>
        <v>1.1280000000000001</v>
      </c>
      <c r="G214" s="20">
        <f>表2_3671626293038912131415232425[[#This Row],[累计净值]]/$B$21-1</f>
        <v>0.10578512396694228</v>
      </c>
    </row>
    <row r="215" spans="1:7" x14ac:dyDescent="0.2">
      <c r="A215" s="15">
        <v>44323</v>
      </c>
      <c r="B215" s="112">
        <v>1.325</v>
      </c>
      <c r="C215" s="108">
        <f t="shared" ref="C215:C220" si="68">IFERROR(B215-B214,0)</f>
        <v>-1.3000000000000123E-2</v>
      </c>
      <c r="D215" s="109">
        <f t="shared" ref="D215:D220" si="69">IF(C215&lt;0,C215,"/")</f>
        <v>-1.3000000000000123E-2</v>
      </c>
      <c r="E215" s="109">
        <f ca="1">IF(表2_3671626293038912131415232425[[#This Row],[累计净值]]/MAX(INDIRECT("B21:B" &amp; ROW()))-1&lt;E214,表2_3671626293038912131415232425[[#This Row],[累计净值]]/MAX(INDIRECT("B21:B" &amp; ROW()))-1,E214)</f>
        <v>-0.1368078175895765</v>
      </c>
      <c r="F215" s="110">
        <f>表2_3671626293038912131415232425[[#This Row],[累计净值]]-0.21</f>
        <v>1.115</v>
      </c>
      <c r="G215" s="20">
        <f>表2_3671626293038912131415232425[[#This Row],[累计净值]]/$B$21-1</f>
        <v>9.5041322314049603E-2</v>
      </c>
    </row>
    <row r="216" spans="1:7" x14ac:dyDescent="0.2">
      <c r="A216" s="15">
        <v>44326</v>
      </c>
      <c r="B216" s="112">
        <v>1.31</v>
      </c>
      <c r="C216" s="108">
        <f t="shared" si="68"/>
        <v>-1.4999999999999902E-2</v>
      </c>
      <c r="D216" s="109">
        <f t="shared" si="69"/>
        <v>-1.4999999999999902E-2</v>
      </c>
      <c r="E216" s="109">
        <f ca="1">IF(表2_3671626293038912131415232425[[#This Row],[累计净值]]/MAX(INDIRECT("B21:B" &amp; ROW()))-1&lt;E215,表2_3671626293038912131415232425[[#This Row],[累计净值]]/MAX(INDIRECT("B21:B" &amp; ROW()))-1,E215)</f>
        <v>-0.14657980456026054</v>
      </c>
      <c r="F216" s="110">
        <f>表2_3671626293038912131415232425[[#This Row],[累计净值]]-0.21</f>
        <v>1.1000000000000001</v>
      </c>
      <c r="G216" s="20">
        <f>表2_3671626293038912131415232425[[#This Row],[累计净值]]/$B$21-1</f>
        <v>8.2644628099173723E-2</v>
      </c>
    </row>
    <row r="217" spans="1:7" x14ac:dyDescent="0.2">
      <c r="A217" s="15">
        <v>44327</v>
      </c>
      <c r="B217" s="112">
        <v>1.3049999999999999</v>
      </c>
      <c r="C217" s="108">
        <f t="shared" si="68"/>
        <v>-5.0000000000001155E-3</v>
      </c>
      <c r="D217" s="109">
        <f t="shared" si="69"/>
        <v>-5.0000000000001155E-3</v>
      </c>
      <c r="E217" s="109">
        <f ca="1">IF(表2_3671626293038912131415232425[[#This Row],[累计净值]]/MAX(INDIRECT("B21:B" &amp; ROW()))-1&lt;E216,表2_3671626293038912131415232425[[#This Row],[累计净值]]/MAX(INDIRECT("B21:B" &amp; ROW()))-1,E216)</f>
        <v>-0.14983713355048855</v>
      </c>
      <c r="F217" s="110">
        <f>表2_3671626293038912131415232425[[#This Row],[累计净值]]-0.21</f>
        <v>1.095</v>
      </c>
      <c r="G217" s="20">
        <f>表2_3671626293038912131415232425[[#This Row],[累计净值]]/$B$21-1</f>
        <v>7.8512396694214948E-2</v>
      </c>
    </row>
    <row r="218" spans="1:7" x14ac:dyDescent="0.2">
      <c r="A218" s="15">
        <v>44328</v>
      </c>
      <c r="B218" s="112">
        <v>1.3169999999999999</v>
      </c>
      <c r="C218" s="108">
        <f t="shared" si="68"/>
        <v>1.2000000000000011E-2</v>
      </c>
      <c r="D218" s="109" t="str">
        <f t="shared" si="69"/>
        <v>/</v>
      </c>
      <c r="E218" s="109">
        <f ca="1">IF(表2_3671626293038912131415232425[[#This Row],[累计净值]]/MAX(INDIRECT("B21:B" &amp; ROW()))-1&lt;E217,表2_3671626293038912131415232425[[#This Row],[累计净值]]/MAX(INDIRECT("B21:B" &amp; ROW()))-1,E217)</f>
        <v>-0.14983713355048855</v>
      </c>
      <c r="F218" s="110">
        <f>表2_3671626293038912131415232425[[#This Row],[累计净值]]-0.21</f>
        <v>1.107</v>
      </c>
      <c r="G218" s="20">
        <f>表2_3671626293038912131415232425[[#This Row],[累计净值]]/$B$21-1</f>
        <v>8.8429752066115697E-2</v>
      </c>
    </row>
    <row r="219" spans="1:7" x14ac:dyDescent="0.2">
      <c r="A219" s="15">
        <v>44329</v>
      </c>
      <c r="B219" s="112">
        <v>1.298</v>
      </c>
      <c r="C219" s="108">
        <f t="shared" si="68"/>
        <v>-1.8999999999999906E-2</v>
      </c>
      <c r="D219" s="109">
        <f t="shared" si="69"/>
        <v>-1.8999999999999906E-2</v>
      </c>
      <c r="E219" s="109">
        <f ca="1">IF(表2_3671626293038912131415232425[[#This Row],[累计净值]]/MAX(INDIRECT("B21:B" &amp; ROW()))-1&lt;E218,表2_3671626293038912131415232425[[#This Row],[累计净值]]/MAX(INDIRECT("B21:B" &amp; ROW()))-1,E218)</f>
        <v>-0.15439739413680775</v>
      </c>
      <c r="F219" s="110">
        <f>表2_3671626293038912131415232425[[#This Row],[累计净值]]-0.21</f>
        <v>1.0880000000000001</v>
      </c>
      <c r="G219" s="20">
        <f>表2_3671626293038912131415232425[[#This Row],[累计净值]]/$B$21-1</f>
        <v>7.2727272727272751E-2</v>
      </c>
    </row>
    <row r="220" spans="1:7" x14ac:dyDescent="0.2">
      <c r="A220" s="15">
        <v>44330</v>
      </c>
      <c r="B220" s="112">
        <v>1.3080000000000001</v>
      </c>
      <c r="C220" s="108">
        <f t="shared" si="68"/>
        <v>1.0000000000000009E-2</v>
      </c>
      <c r="D220" s="109" t="str">
        <f t="shared" si="69"/>
        <v>/</v>
      </c>
      <c r="E220" s="109">
        <f ca="1">IF(表2_3671626293038912131415232425[[#This Row],[累计净值]]/MAX(INDIRECT("B21:B" &amp; ROW()))-1&lt;E219,表2_3671626293038912131415232425[[#This Row],[累计净值]]/MAX(INDIRECT("B21:B" &amp; ROW()))-1,E219)</f>
        <v>-0.15439739413680775</v>
      </c>
      <c r="F220" s="110">
        <f>表2_3671626293038912131415232425[[#This Row],[累计净值]]-0.21</f>
        <v>1.0980000000000001</v>
      </c>
      <c r="G220" s="20">
        <f>表2_3671626293038912131415232425[[#This Row],[累计净值]]/$B$21-1</f>
        <v>8.0991735537190079E-2</v>
      </c>
    </row>
    <row r="221" spans="1:7" x14ac:dyDescent="0.2">
      <c r="A221" s="15">
        <v>44333</v>
      </c>
      <c r="B221" s="112">
        <v>1.329</v>
      </c>
      <c r="C221" s="108">
        <f>IFERROR(B221-B220,0)</f>
        <v>2.0999999999999908E-2</v>
      </c>
      <c r="D221" s="109" t="str">
        <f>IF(C221&lt;0,C221,"/")</f>
        <v>/</v>
      </c>
      <c r="E221" s="109">
        <f ca="1">IF(表2_3671626293038912131415232425[[#This Row],[累计净值]]/MAX(INDIRECT("B21:B" &amp; ROW()))-1&lt;E220,表2_3671626293038912131415232425[[#This Row],[累计净值]]/MAX(INDIRECT("B21:B" &amp; ROW()))-1,E220)</f>
        <v>-0.15439739413680775</v>
      </c>
      <c r="F221" s="110">
        <f>表2_3671626293038912131415232425[[#This Row],[累计净值]]-0.21</f>
        <v>1.119</v>
      </c>
      <c r="G221" s="20">
        <f>表2_3671626293038912131415232425[[#This Row],[累计净值]]/$B$21-1</f>
        <v>9.8347107438016446E-2</v>
      </c>
    </row>
  </sheetData>
  <mergeCells count="1">
    <mergeCell ref="G2:G3"/>
  </mergeCells>
  <phoneticPr fontId="24" type="noConversion"/>
  <pageMargins left="0.7" right="0.7" top="0.75" bottom="0.75" header="0.3" footer="0.3"/>
  <pageSetup paperSize="9" orientation="portrait" horizontalDpi="200" verticalDpi="200" r:id="rId1"/>
  <drawing r:id="rId2"/>
  <tableParts count="1">
    <tablePart r:id="rId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K220"/>
  <sheetViews>
    <sheetView workbookViewId="0">
      <pane xSplit="1" ySplit="20" topLeftCell="B205" activePane="bottomRight" state="frozen"/>
      <selection pane="topRight" activeCell="B1" sqref="B1"/>
      <selection pane="bottomLeft" activeCell="A21" sqref="A21"/>
      <selection pane="bottomRight" activeCell="I216" sqref="I216"/>
    </sheetView>
  </sheetViews>
  <sheetFormatPr defaultColWidth="9" defaultRowHeight="14.25" x14ac:dyDescent="0.2"/>
  <cols>
    <col min="1" max="1" width="11.625" style="1" bestFit="1" customWidth="1"/>
    <col min="2" max="2" width="13" style="1" customWidth="1"/>
    <col min="3" max="4" width="13.5" style="1" bestFit="1" customWidth="1"/>
    <col min="5" max="5" width="10.75" style="1" customWidth="1"/>
    <col min="6" max="6" width="11.125" style="1" customWidth="1"/>
    <col min="7" max="7" width="18.875" style="2" customWidth="1"/>
    <col min="8" max="8" width="14.25" style="1" customWidth="1"/>
    <col min="9" max="9" width="12" style="1" bestFit="1" customWidth="1"/>
    <col min="10" max="16384" width="9" style="1"/>
  </cols>
  <sheetData>
    <row r="1" spans="1:7" ht="15" thickBot="1" x14ac:dyDescent="0.25"/>
    <row r="2" spans="1:7" ht="15" thickBot="1" x14ac:dyDescent="0.25">
      <c r="A2" s="23" t="s">
        <v>0</v>
      </c>
      <c r="B2" s="24">
        <f>COUNT(表2_367162629303891213141523242526[每日盈亏])</f>
        <v>200</v>
      </c>
      <c r="C2" s="27"/>
      <c r="D2" s="3" t="s">
        <v>1</v>
      </c>
      <c r="E2" s="28"/>
      <c r="F2" s="1" t="s">
        <v>2</v>
      </c>
      <c r="G2" s="394" t="s">
        <v>3</v>
      </c>
    </row>
    <row r="3" spans="1:7" x14ac:dyDescent="0.2">
      <c r="A3" s="25" t="s">
        <v>4</v>
      </c>
      <c r="B3" s="26">
        <f>COUNTIF(表2_367162629303891213141523242526[每日盈亏],"&gt;0")</f>
        <v>104</v>
      </c>
      <c r="C3" s="29"/>
      <c r="D3" s="30" t="s">
        <v>5</v>
      </c>
      <c r="E3" s="31">
        <f>245^0.5*(B10-0.025/365)/E10</f>
        <v>0.62544012301222718</v>
      </c>
      <c r="G3" s="394"/>
    </row>
    <row r="4" spans="1:7" x14ac:dyDescent="0.2">
      <c r="A4" s="25" t="s">
        <v>6</v>
      </c>
      <c r="B4" s="26">
        <f>COUNTIF(表2_367162629303891213141523242526[每日盈亏],"&lt;0")</f>
        <v>91</v>
      </c>
      <c r="C4" s="29"/>
      <c r="D4" s="32" t="s">
        <v>7</v>
      </c>
      <c r="E4" s="31">
        <f ca="1">-B9/E8</f>
        <v>1.2867995869376676</v>
      </c>
      <c r="G4" s="2">
        <f>LOOKUP(999^10,表2_367162629303891213141523242526[累计净值])</f>
        <v>1.7549999999999999</v>
      </c>
    </row>
    <row r="5" spans="1:7" x14ac:dyDescent="0.2">
      <c r="A5" s="25" t="s">
        <v>8</v>
      </c>
      <c r="B5" s="26">
        <f>B2-B3-B4</f>
        <v>5</v>
      </c>
      <c r="C5" s="29"/>
      <c r="D5" s="33" t="s">
        <v>9</v>
      </c>
      <c r="E5" s="4">
        <f>245^0.5*(B10-0.025/365)/E9</f>
        <v>0.90150565490784873</v>
      </c>
    </row>
    <row r="6" spans="1:7" ht="15" thickBot="1" x14ac:dyDescent="0.25">
      <c r="A6" s="34"/>
      <c r="B6" s="35"/>
      <c r="C6" s="35"/>
      <c r="D6" s="35"/>
      <c r="E6" s="36"/>
    </row>
    <row r="7" spans="1:7" ht="15" thickBot="1" x14ac:dyDescent="0.25">
      <c r="A7" s="5" t="s">
        <v>10</v>
      </c>
      <c r="B7" s="35"/>
      <c r="C7" s="35"/>
      <c r="D7" s="3" t="s">
        <v>11</v>
      </c>
      <c r="E7" s="37"/>
    </row>
    <row r="8" spans="1:7" x14ac:dyDescent="0.2">
      <c r="A8" s="38" t="s">
        <v>12</v>
      </c>
      <c r="B8" s="39">
        <f>LOOKUP(999^10,表2_367162629303891213141523242526[累计净值])/$B$21-1</f>
        <v>0.13665803108808272</v>
      </c>
      <c r="C8" s="40"/>
      <c r="D8" s="30" t="s">
        <v>13</v>
      </c>
      <c r="E8" s="41">
        <f ca="1">MIN(表2_367162629303891213141523242526[最大回撤])</f>
        <v>-0.13009491903964254</v>
      </c>
    </row>
    <row r="9" spans="1:7" x14ac:dyDescent="0.2">
      <c r="A9" s="25" t="s">
        <v>14</v>
      </c>
      <c r="B9" s="32">
        <f>B8*245/B2</f>
        <v>0.16740608808290133</v>
      </c>
      <c r="C9" s="40"/>
      <c r="D9" s="33" t="s">
        <v>15</v>
      </c>
      <c r="E9" s="6">
        <f>STDEV(表2_367162629303891213141523242526[下跌幅度])</f>
        <v>1.7128316992023562E-2</v>
      </c>
    </row>
    <row r="10" spans="1:7" x14ac:dyDescent="0.2">
      <c r="A10" s="42" t="s">
        <v>16</v>
      </c>
      <c r="B10" s="43">
        <f>AVERAGE(表2_367162629303891213141523242526[每日盈亏])</f>
        <v>1.0549999999999993E-3</v>
      </c>
      <c r="C10" s="44"/>
      <c r="D10" s="33" t="s">
        <v>17</v>
      </c>
      <c r="E10" s="6">
        <f>STDEV(表2_367162629303891213141523242526[每日盈亏])</f>
        <v>2.4688653732343874E-2</v>
      </c>
    </row>
    <row r="11" spans="1:7" x14ac:dyDescent="0.2">
      <c r="A11" s="7" t="s">
        <v>18</v>
      </c>
      <c r="B11" s="32">
        <f>B3/B2</f>
        <v>0.52</v>
      </c>
      <c r="C11" s="40"/>
      <c r="D11" s="32" t="s">
        <v>19</v>
      </c>
      <c r="E11" s="41">
        <f>245^0.5*E10</f>
        <v>0.38643855612932365</v>
      </c>
    </row>
    <row r="12" spans="1:7" ht="15" thickBot="1" x14ac:dyDescent="0.25">
      <c r="A12" s="45" t="s">
        <v>20</v>
      </c>
      <c r="B12" s="46">
        <f>-(SUMIF(表2_367162629303891213141523242526[每日盈亏],"&gt;=0")/B3)/(SUMIF(表2_367162629303891213141523242526[每日盈亏],"&lt;0")/B4)</f>
        <v>0.97506775067750673</v>
      </c>
      <c r="C12" s="47"/>
      <c r="D12" s="48"/>
      <c r="E12" s="49"/>
    </row>
    <row r="14" spans="1:7" ht="28.5" x14ac:dyDescent="0.2">
      <c r="A14" s="50" t="s">
        <v>21</v>
      </c>
      <c r="B14" s="50" t="s">
        <v>14</v>
      </c>
      <c r="C14" s="51" t="s">
        <v>19</v>
      </c>
      <c r="D14" s="51" t="s">
        <v>13</v>
      </c>
      <c r="E14" s="51" t="s">
        <v>5</v>
      </c>
      <c r="F14" s="51" t="s">
        <v>7</v>
      </c>
    </row>
    <row r="15" spans="1:7" x14ac:dyDescent="0.2">
      <c r="A15" s="78">
        <f>B2</f>
        <v>200</v>
      </c>
      <c r="B15" s="53">
        <f>B9</f>
        <v>0.16740608808290133</v>
      </c>
      <c r="C15" s="53">
        <f>E11</f>
        <v>0.38643855612932365</v>
      </c>
      <c r="D15" s="53">
        <f ca="1">E8</f>
        <v>-0.13009491903964254</v>
      </c>
      <c r="E15" s="54">
        <f>E3</f>
        <v>0.62544012301222718</v>
      </c>
      <c r="F15" s="54">
        <f ca="1">E4</f>
        <v>1.2867995869376676</v>
      </c>
    </row>
    <row r="19" spans="1:7" x14ac:dyDescent="0.2">
      <c r="A19" s="8"/>
      <c r="B19" s="1" t="s">
        <v>22</v>
      </c>
    </row>
    <row r="20" spans="1:7" ht="15.75" x14ac:dyDescent="0.2">
      <c r="A20" s="22" t="s">
        <v>23</v>
      </c>
      <c r="B20" s="22" t="s">
        <v>24</v>
      </c>
      <c r="C20" s="22" t="s">
        <v>25</v>
      </c>
      <c r="D20" s="22" t="s">
        <v>26</v>
      </c>
      <c r="E20" s="22" t="s">
        <v>27</v>
      </c>
      <c r="F20" s="22" t="s">
        <v>28</v>
      </c>
      <c r="G20" s="22" t="s">
        <v>29</v>
      </c>
    </row>
    <row r="21" spans="1:7" x14ac:dyDescent="0.2">
      <c r="A21" s="15">
        <v>44032</v>
      </c>
      <c r="B21" s="16">
        <v>1.544</v>
      </c>
      <c r="C21" s="11">
        <f>IFERROR(B21-B20,0)</f>
        <v>0</v>
      </c>
      <c r="D21" s="12" t="str">
        <f>IF(C21&lt;0,C21,"/")</f>
        <v>/</v>
      </c>
      <c r="E21" s="12">
        <f ca="1">IF(表2_367162629303891213141523242526[[#This Row],[累计净值]]/MAX(INDIRECT("B21:B" &amp; ROW()))-1&lt;E20,表2_367162629303891213141523242526[[#This Row],[累计净值]]/MAX(INDIRECT("B21:B" &amp; ROW()))-1,E20)</f>
        <v>0</v>
      </c>
      <c r="F21" s="13">
        <f>表2_367162629303891213141523242526[[#This Row],[累计净值]]</f>
        <v>1.544</v>
      </c>
      <c r="G21" s="194" t="s">
        <v>30</v>
      </c>
    </row>
    <row r="22" spans="1:7" x14ac:dyDescent="0.2">
      <c r="A22" s="15">
        <v>44033</v>
      </c>
      <c r="B22" s="16">
        <v>1.5529999999999999</v>
      </c>
      <c r="C22" s="17">
        <f>IFERROR(B22-B21,0)</f>
        <v>8.999999999999897E-3</v>
      </c>
      <c r="D22" s="18" t="str">
        <f>IF(C22&lt;0,C22,"/")</f>
        <v>/</v>
      </c>
      <c r="E22" s="18">
        <f ca="1">IF(表2_367162629303891213141523242526[[#This Row],[累计净值]]/MAX(INDIRECT("B21:B" &amp; ROW()))-1&lt;E21,表2_367162629303891213141523242526[[#This Row],[累计净值]]/MAX(INDIRECT("B21:B" &amp; ROW()))-1,E21)</f>
        <v>0</v>
      </c>
      <c r="F22" s="19">
        <f>表2_367162629303891213141523242526[[#This Row],[累计净值]]</f>
        <v>1.5529999999999999</v>
      </c>
      <c r="G22" s="20">
        <f>表2_367162629303891213141523242526[[#This Row],[累计净值]]/$B$21-1</f>
        <v>5.8290155440414715E-3</v>
      </c>
    </row>
    <row r="23" spans="1:7" x14ac:dyDescent="0.2">
      <c r="A23" s="15">
        <v>44034</v>
      </c>
      <c r="B23" s="16">
        <v>1.5669999999999999</v>
      </c>
      <c r="C23" s="73">
        <f>IFERROR(B23-B22,0)</f>
        <v>1.4000000000000012E-2</v>
      </c>
      <c r="D23" s="18" t="str">
        <f>IF(C23&lt;0,C23,"/")</f>
        <v>/</v>
      </c>
      <c r="E23" s="18">
        <f ca="1">IF(表2_367162629303891213141523242526[[#This Row],[累计净值]]/MAX(INDIRECT("B21:B" &amp; ROW()))-1&lt;E22,表2_367162629303891213141523242526[[#This Row],[累计净值]]/MAX(INDIRECT("B21:B" &amp; ROW()))-1,E22)</f>
        <v>0</v>
      </c>
      <c r="F23" s="62">
        <f>表2_367162629303891213141523242526[[#This Row],[累计净值]]</f>
        <v>1.5669999999999999</v>
      </c>
      <c r="G23" s="20">
        <f>表2_367162629303891213141523242526[[#This Row],[累计净值]]/$B$21-1</f>
        <v>1.489637305699465E-2</v>
      </c>
    </row>
    <row r="24" spans="1:7" x14ac:dyDescent="0.2">
      <c r="A24" s="15">
        <v>44035</v>
      </c>
      <c r="B24" s="16">
        <v>1.579</v>
      </c>
      <c r="C24" s="73">
        <f>IFERROR(B24-B23,0)</f>
        <v>1.2000000000000011E-2</v>
      </c>
      <c r="D24" s="18" t="str">
        <f>IF(C24&lt;0,C24,"/")</f>
        <v>/</v>
      </c>
      <c r="E24" s="18">
        <f ca="1">IF(表2_367162629303891213141523242526[[#This Row],[累计净值]]/MAX(INDIRECT("B21:B" &amp; ROW()))-1&lt;E23,表2_367162629303891213141523242526[[#This Row],[累计净值]]/MAX(INDIRECT("B21:B" &amp; ROW()))-1,E23)</f>
        <v>0</v>
      </c>
      <c r="F24" s="62">
        <f>表2_367162629303891213141523242526[[#This Row],[累计净值]]</f>
        <v>1.579</v>
      </c>
      <c r="G24" s="20">
        <f>表2_367162629303891213141523242526[[#This Row],[累计净值]]/$B$21-1</f>
        <v>2.2668393782383278E-2</v>
      </c>
    </row>
    <row r="25" spans="1:7" x14ac:dyDescent="0.2">
      <c r="A25" s="15">
        <v>44036</v>
      </c>
      <c r="B25" s="112">
        <v>1.5</v>
      </c>
      <c r="C25" s="108">
        <f t="shared" ref="C25:C30" si="0">IFERROR(B25-B24,0)</f>
        <v>-7.8999999999999959E-2</v>
      </c>
      <c r="D25" s="109">
        <f t="shared" ref="D25:D30" si="1">IF(C25&lt;0,C25,"/")</f>
        <v>-7.8999999999999959E-2</v>
      </c>
      <c r="E25" s="109">
        <f ca="1">IF(表2_367162629303891213141523242526[[#This Row],[累计净值]]/MAX(INDIRECT("B21:B" &amp; ROW()))-1&lt;E24,表2_367162629303891213141523242526[[#This Row],[累计净值]]/MAX(INDIRECT("B21:B" &amp; ROW()))-1,E24)</f>
        <v>-5.0031665611146248E-2</v>
      </c>
      <c r="F25" s="110">
        <f>表2_367162629303891213141523242526[[#This Row],[累计净值]]</f>
        <v>1.5</v>
      </c>
      <c r="G25" s="20">
        <f>表2_367162629303891213141523242526[[#This Row],[累计净值]]/$B$21-1</f>
        <v>-2.8497409326424861E-2</v>
      </c>
    </row>
    <row r="26" spans="1:7" x14ac:dyDescent="0.2">
      <c r="A26" s="15">
        <v>44039</v>
      </c>
      <c r="B26" s="112">
        <v>1.512</v>
      </c>
      <c r="C26" s="108">
        <f t="shared" si="0"/>
        <v>1.2000000000000011E-2</v>
      </c>
      <c r="D26" s="109" t="str">
        <f t="shared" si="1"/>
        <v>/</v>
      </c>
      <c r="E26" s="109">
        <f ca="1">IF(表2_367162629303891213141523242526[[#This Row],[累计净值]]/MAX(INDIRECT("B21:B" &amp; ROW()))-1&lt;E25,表2_367162629303891213141523242526[[#This Row],[累计净值]]/MAX(INDIRECT("B21:B" &amp; ROW()))-1,E25)</f>
        <v>-5.0031665611146248E-2</v>
      </c>
      <c r="F26" s="110">
        <f>表2_367162629303891213141523242526[[#This Row],[累计净值]]</f>
        <v>1.512</v>
      </c>
      <c r="G26" s="20">
        <f>表2_367162629303891213141523242526[[#This Row],[累计净值]]/$B$21-1</f>
        <v>-2.0725388601036232E-2</v>
      </c>
    </row>
    <row r="27" spans="1:7" x14ac:dyDescent="0.2">
      <c r="A27" s="15">
        <v>44040</v>
      </c>
      <c r="B27" s="112">
        <v>1.526</v>
      </c>
      <c r="C27" s="108">
        <f t="shared" si="0"/>
        <v>1.4000000000000012E-2</v>
      </c>
      <c r="D27" s="109" t="str">
        <f t="shared" si="1"/>
        <v>/</v>
      </c>
      <c r="E27" s="109">
        <f ca="1">IF(表2_367162629303891213141523242526[[#This Row],[累计净值]]/MAX(INDIRECT("B21:B" &amp; ROW()))-1&lt;E26,表2_367162629303891213141523242526[[#This Row],[累计净值]]/MAX(INDIRECT("B21:B" &amp; ROW()))-1,E26)</f>
        <v>-5.0031665611146248E-2</v>
      </c>
      <c r="F27" s="110">
        <f>表2_367162629303891213141523242526[[#This Row],[累计净值]]</f>
        <v>1.526</v>
      </c>
      <c r="G27" s="20">
        <f>表2_367162629303891213141523242526[[#This Row],[累计净值]]/$B$21-1</f>
        <v>-1.1658031088082943E-2</v>
      </c>
    </row>
    <row r="28" spans="1:7" x14ac:dyDescent="0.2">
      <c r="A28" s="15">
        <v>44041</v>
      </c>
      <c r="B28" s="112">
        <v>1.5740000000000001</v>
      </c>
      <c r="C28" s="108">
        <f t="shared" si="0"/>
        <v>4.8000000000000043E-2</v>
      </c>
      <c r="D28" s="109" t="str">
        <f t="shared" si="1"/>
        <v>/</v>
      </c>
      <c r="E28" s="109">
        <f ca="1">IF(表2_367162629303891213141523242526[[#This Row],[累计净值]]/MAX(INDIRECT("B21:B" &amp; ROW()))-1&lt;E27,表2_367162629303891213141523242526[[#This Row],[累计净值]]/MAX(INDIRECT("B21:B" &amp; ROW()))-1,E27)</f>
        <v>-5.0031665611146248E-2</v>
      </c>
      <c r="F28" s="110">
        <f>表2_367162629303891213141523242526[[#This Row],[累计净值]]</f>
        <v>1.5740000000000001</v>
      </c>
      <c r="G28" s="20">
        <f>表2_367162629303891213141523242526[[#This Row],[累计净值]]/$B$21-1</f>
        <v>1.9430051813471572E-2</v>
      </c>
    </row>
    <row r="29" spans="1:7" x14ac:dyDescent="0.2">
      <c r="A29" s="15">
        <v>44042</v>
      </c>
      <c r="B29" s="112">
        <v>1.5649999999999999</v>
      </c>
      <c r="C29" s="108">
        <f t="shared" si="0"/>
        <v>-9.000000000000119E-3</v>
      </c>
      <c r="D29" s="109">
        <f t="shared" si="1"/>
        <v>-9.000000000000119E-3</v>
      </c>
      <c r="E29" s="109">
        <f ca="1">IF(表2_367162629303891213141523242526[[#This Row],[累计净值]]/MAX(INDIRECT("B21:B" &amp; ROW()))-1&lt;E28,表2_367162629303891213141523242526[[#This Row],[累计净值]]/MAX(INDIRECT("B21:B" &amp; ROW()))-1,E28)</f>
        <v>-5.0031665611146248E-2</v>
      </c>
      <c r="F29" s="110">
        <f>表2_367162629303891213141523242526[[#This Row],[累计净值]]</f>
        <v>1.5649999999999999</v>
      </c>
      <c r="G29" s="20">
        <f>表2_367162629303891213141523242526[[#This Row],[累计净值]]/$B$21-1</f>
        <v>1.36010362694301E-2</v>
      </c>
    </row>
    <row r="30" spans="1:7" x14ac:dyDescent="0.2">
      <c r="A30" s="15">
        <v>44043</v>
      </c>
      <c r="B30" s="112">
        <v>1.5860000000000001</v>
      </c>
      <c r="C30" s="108">
        <f t="shared" si="0"/>
        <v>2.100000000000013E-2</v>
      </c>
      <c r="D30" s="109" t="str">
        <f t="shared" si="1"/>
        <v>/</v>
      </c>
      <c r="E30" s="109">
        <f ca="1">IF(表2_367162629303891213141523242526[[#This Row],[累计净值]]/MAX(INDIRECT("B21:B" &amp; ROW()))-1&lt;E29,表2_367162629303891213141523242526[[#This Row],[累计净值]]/MAX(INDIRECT("B21:B" &amp; ROW()))-1,E29)</f>
        <v>-5.0031665611146248E-2</v>
      </c>
      <c r="F30" s="110">
        <f>表2_367162629303891213141523242526[[#This Row],[累计净值]]</f>
        <v>1.5860000000000001</v>
      </c>
      <c r="G30" s="20">
        <f>表2_367162629303891213141523242526[[#This Row],[累计净值]]/$B$21-1</f>
        <v>2.72020725388602E-2</v>
      </c>
    </row>
    <row r="31" spans="1:7" x14ac:dyDescent="0.2">
      <c r="A31" s="15">
        <v>44046</v>
      </c>
      <c r="B31" s="112">
        <v>1.629</v>
      </c>
      <c r="C31" s="108">
        <f t="shared" ref="C31:C36" si="2">IFERROR(B31-B30,0)</f>
        <v>4.2999999999999927E-2</v>
      </c>
      <c r="D31" s="109" t="str">
        <f t="shared" ref="D31:D36" si="3">IF(C31&lt;0,C31,"/")</f>
        <v>/</v>
      </c>
      <c r="E31" s="109">
        <f ca="1">IF(表2_367162629303891213141523242526[[#This Row],[累计净值]]/MAX(INDIRECT("B21:B" &amp; ROW()))-1&lt;E30,表2_367162629303891213141523242526[[#This Row],[累计净值]]/MAX(INDIRECT("B21:B" &amp; ROW()))-1,E30)</f>
        <v>-5.0031665611146248E-2</v>
      </c>
      <c r="F31" s="110">
        <f>表2_367162629303891213141523242526[[#This Row],[累计净值]]</f>
        <v>1.629</v>
      </c>
      <c r="G31" s="20">
        <f>表2_367162629303891213141523242526[[#This Row],[累计净值]]/$B$21-1</f>
        <v>5.5051813471502564E-2</v>
      </c>
    </row>
    <row r="32" spans="1:7" x14ac:dyDescent="0.2">
      <c r="A32" s="15">
        <v>44047</v>
      </c>
      <c r="B32" s="112">
        <v>1.6140000000000001</v>
      </c>
      <c r="C32" s="108">
        <f t="shared" si="2"/>
        <v>-1.4999999999999902E-2</v>
      </c>
      <c r="D32" s="109">
        <f t="shared" si="3"/>
        <v>-1.4999999999999902E-2</v>
      </c>
      <c r="E32" s="109">
        <f ca="1">IF(表2_367162629303891213141523242526[[#This Row],[累计净值]]/MAX(INDIRECT("B21:B" &amp; ROW()))-1&lt;E31,表2_367162629303891213141523242526[[#This Row],[累计净值]]/MAX(INDIRECT("B21:B" &amp; ROW()))-1,E31)</f>
        <v>-5.0031665611146248E-2</v>
      </c>
      <c r="F32" s="110">
        <f>表2_367162629303891213141523242526[[#This Row],[累计净值]]</f>
        <v>1.6140000000000001</v>
      </c>
      <c r="G32" s="20">
        <f>表2_367162629303891213141523242526[[#This Row],[累计净值]]/$B$21-1</f>
        <v>4.5336787564766778E-2</v>
      </c>
    </row>
    <row r="33" spans="1:7" x14ac:dyDescent="0.2">
      <c r="A33" s="15">
        <v>44048</v>
      </c>
      <c r="B33" s="112">
        <v>1.635</v>
      </c>
      <c r="C33" s="108">
        <f t="shared" si="2"/>
        <v>2.0999999999999908E-2</v>
      </c>
      <c r="D33" s="109" t="str">
        <f t="shared" si="3"/>
        <v>/</v>
      </c>
      <c r="E33" s="109">
        <f ca="1">IF(表2_367162629303891213141523242526[[#This Row],[累计净值]]/MAX(INDIRECT("B21:B" &amp; ROW()))-1&lt;E32,表2_367162629303891213141523242526[[#This Row],[累计净值]]/MAX(INDIRECT("B21:B" &amp; ROW()))-1,E32)</f>
        <v>-5.0031665611146248E-2</v>
      </c>
      <c r="F33" s="110">
        <f>表2_367162629303891213141523242526[[#This Row],[累计净值]]</f>
        <v>1.635</v>
      </c>
      <c r="G33" s="20">
        <f>表2_367162629303891213141523242526[[#This Row],[累计净值]]/$B$21-1</f>
        <v>5.8937823834196879E-2</v>
      </c>
    </row>
    <row r="34" spans="1:7" x14ac:dyDescent="0.2">
      <c r="A34" s="15">
        <v>44049</v>
      </c>
      <c r="B34" s="112">
        <v>1.63</v>
      </c>
      <c r="C34" s="108">
        <f t="shared" si="2"/>
        <v>-5.0000000000001155E-3</v>
      </c>
      <c r="D34" s="109">
        <f t="shared" si="3"/>
        <v>-5.0000000000001155E-3</v>
      </c>
      <c r="E34" s="109">
        <f ca="1">IF(表2_367162629303891213141523242526[[#This Row],[累计净值]]/MAX(INDIRECT("B21:B" &amp; ROW()))-1&lt;E33,表2_367162629303891213141523242526[[#This Row],[累计净值]]/MAX(INDIRECT("B21:B" &amp; ROW()))-1,E33)</f>
        <v>-5.0031665611146248E-2</v>
      </c>
      <c r="F34" s="110">
        <f>表2_367162629303891213141523242526[[#This Row],[累计净值]]</f>
        <v>1.63</v>
      </c>
      <c r="G34" s="20">
        <f>表2_367162629303891213141523242526[[#This Row],[累计净值]]/$B$21-1</f>
        <v>5.569948186528495E-2</v>
      </c>
    </row>
    <row r="35" spans="1:7" x14ac:dyDescent="0.2">
      <c r="A35" s="15">
        <v>44050</v>
      </c>
      <c r="B35" s="112">
        <v>1.6120000000000001</v>
      </c>
      <c r="C35" s="108">
        <f t="shared" si="2"/>
        <v>-1.7999999999999794E-2</v>
      </c>
      <c r="D35" s="109">
        <f t="shared" si="3"/>
        <v>-1.7999999999999794E-2</v>
      </c>
      <c r="E35" s="109">
        <f ca="1">IF(表2_367162629303891213141523242526[[#This Row],[累计净值]]/MAX(INDIRECT("B21:B" &amp; ROW()))-1&lt;E34,表2_367162629303891213141523242526[[#This Row],[累计净值]]/MAX(INDIRECT("B21:B" &amp; ROW()))-1,E34)</f>
        <v>-5.0031665611146248E-2</v>
      </c>
      <c r="F35" s="110">
        <f>表2_367162629303891213141523242526[[#This Row],[累计净值]]</f>
        <v>1.6120000000000001</v>
      </c>
      <c r="G35" s="20">
        <f>表2_367162629303891213141523242526[[#This Row],[累计净值]]/$B$21-1</f>
        <v>4.4041450777202007E-2</v>
      </c>
    </row>
    <row r="36" spans="1:7" x14ac:dyDescent="0.2">
      <c r="A36" s="15">
        <v>44053</v>
      </c>
      <c r="B36" s="112">
        <v>1.609</v>
      </c>
      <c r="C36" s="108">
        <f t="shared" si="2"/>
        <v>-3.0000000000001137E-3</v>
      </c>
      <c r="D36" s="109">
        <f t="shared" si="3"/>
        <v>-3.0000000000001137E-3</v>
      </c>
      <c r="E36" s="109">
        <f ca="1">IF(表2_367162629303891213141523242526[[#This Row],[累计净值]]/MAX(INDIRECT("B21:B" &amp; ROW()))-1&lt;E35,表2_367162629303891213141523242526[[#This Row],[累计净值]]/MAX(INDIRECT("B21:B" &amp; ROW()))-1,E35)</f>
        <v>-5.0031665611146248E-2</v>
      </c>
      <c r="F36" s="110">
        <f>表2_367162629303891213141523242526[[#This Row],[累计净值]]</f>
        <v>1.609</v>
      </c>
      <c r="G36" s="20">
        <f>表2_367162629303891213141523242526[[#This Row],[累计净值]]/$B$21-1</f>
        <v>4.209844559585485E-2</v>
      </c>
    </row>
    <row r="37" spans="1:7" x14ac:dyDescent="0.2">
      <c r="A37" s="15">
        <v>44054</v>
      </c>
      <c r="B37" s="112">
        <v>1.5820000000000001</v>
      </c>
      <c r="C37" s="108">
        <f t="shared" ref="C37:C42" si="4">IFERROR(B37-B36,0)</f>
        <v>-2.6999999999999913E-2</v>
      </c>
      <c r="D37" s="109">
        <f t="shared" ref="D37:D42" si="5">IF(C37&lt;0,C37,"/")</f>
        <v>-2.6999999999999913E-2</v>
      </c>
      <c r="E37" s="109">
        <f ca="1">IF(表2_367162629303891213141523242526[[#This Row],[累计净值]]/MAX(INDIRECT("B21:B" &amp; ROW()))-1&lt;E36,表2_367162629303891213141523242526[[#This Row],[累计净值]]/MAX(INDIRECT("B21:B" &amp; ROW()))-1,E36)</f>
        <v>-5.0031665611146248E-2</v>
      </c>
      <c r="F37" s="110">
        <f>表2_367162629303891213141523242526[[#This Row],[累计净值]]</f>
        <v>1.5820000000000001</v>
      </c>
      <c r="G37" s="20">
        <f>表2_367162629303891213141523242526[[#This Row],[累计净值]]/$B$21-1</f>
        <v>2.4611398963730657E-2</v>
      </c>
    </row>
    <row r="38" spans="1:7" x14ac:dyDescent="0.2">
      <c r="A38" s="15">
        <v>44055</v>
      </c>
      <c r="B38" s="112">
        <v>1.5549999999999999</v>
      </c>
      <c r="C38" s="108">
        <f t="shared" si="4"/>
        <v>-2.7000000000000135E-2</v>
      </c>
      <c r="D38" s="109">
        <f t="shared" si="5"/>
        <v>-2.7000000000000135E-2</v>
      </c>
      <c r="E38" s="109">
        <f ca="1">IF(表2_367162629303891213141523242526[[#This Row],[累计净值]]/MAX(INDIRECT("B21:B" &amp; ROW()))-1&lt;E37,表2_367162629303891213141523242526[[#This Row],[累计净值]]/MAX(INDIRECT("B21:B" &amp; ROW()))-1,E37)</f>
        <v>-5.0031665611146248E-2</v>
      </c>
      <c r="F38" s="110">
        <f>表2_367162629303891213141523242526[[#This Row],[累计净值]]</f>
        <v>1.5549999999999999</v>
      </c>
      <c r="G38" s="20">
        <f>表2_367162629303891213141523242526[[#This Row],[累计净值]]/$B$21-1</f>
        <v>7.1243523316062429E-3</v>
      </c>
    </row>
    <row r="39" spans="1:7" x14ac:dyDescent="0.2">
      <c r="A39" s="15">
        <v>44056</v>
      </c>
      <c r="B39" s="112">
        <v>1.554</v>
      </c>
      <c r="C39" s="108">
        <f t="shared" si="4"/>
        <v>-9.9999999999988987E-4</v>
      </c>
      <c r="D39" s="109">
        <f t="shared" si="5"/>
        <v>-9.9999999999988987E-4</v>
      </c>
      <c r="E39" s="109">
        <f ca="1">IF(表2_367162629303891213141523242526[[#This Row],[累计净值]]/MAX(INDIRECT("B21:B" &amp; ROW()))-1&lt;E38,表2_367162629303891213141523242526[[#This Row],[累计净值]]/MAX(INDIRECT("B21:B" &amp; ROW()))-1,E38)</f>
        <v>-5.0031665611146248E-2</v>
      </c>
      <c r="F39" s="110">
        <f>表2_367162629303891213141523242526[[#This Row],[累计净值]]</f>
        <v>1.554</v>
      </c>
      <c r="G39" s="20">
        <f>表2_367162629303891213141523242526[[#This Row],[累计净值]]/$B$21-1</f>
        <v>6.4766839378238572E-3</v>
      </c>
    </row>
    <row r="40" spans="1:7" x14ac:dyDescent="0.2">
      <c r="A40" s="15">
        <v>44057</v>
      </c>
      <c r="B40" s="112">
        <v>1.5740000000000001</v>
      </c>
      <c r="C40" s="108">
        <f t="shared" si="4"/>
        <v>2.0000000000000018E-2</v>
      </c>
      <c r="D40" s="109" t="str">
        <f t="shared" si="5"/>
        <v>/</v>
      </c>
      <c r="E40" s="109">
        <f ca="1">IF(表2_367162629303891213141523242526[[#This Row],[累计净值]]/MAX(INDIRECT("B21:B" &amp; ROW()))-1&lt;E39,表2_367162629303891213141523242526[[#This Row],[累计净值]]/MAX(INDIRECT("B21:B" &amp; ROW()))-1,E39)</f>
        <v>-5.0031665611146248E-2</v>
      </c>
      <c r="F40" s="110">
        <f>表2_367162629303891213141523242526[[#This Row],[累计净值]]</f>
        <v>1.5740000000000001</v>
      </c>
      <c r="G40" s="20">
        <f>表2_367162629303891213141523242526[[#This Row],[累计净值]]/$B$21-1</f>
        <v>1.9430051813471572E-2</v>
      </c>
    </row>
    <row r="41" spans="1:7" x14ac:dyDescent="0.2">
      <c r="A41" s="15">
        <v>44060</v>
      </c>
      <c r="B41" s="112">
        <v>1.6080000000000001</v>
      </c>
      <c r="C41" s="108">
        <f t="shared" si="4"/>
        <v>3.400000000000003E-2</v>
      </c>
      <c r="D41" s="109" t="str">
        <f t="shared" si="5"/>
        <v>/</v>
      </c>
      <c r="E41" s="109">
        <f ca="1">IF(表2_367162629303891213141523242526[[#This Row],[累计净值]]/MAX(INDIRECT("B21:B" &amp; ROW()))-1&lt;E40,表2_367162629303891213141523242526[[#This Row],[累计净值]]/MAX(INDIRECT("B21:B" &amp; ROW()))-1,E40)</f>
        <v>-5.0031665611146248E-2</v>
      </c>
      <c r="F41" s="110">
        <f>表2_367162629303891213141523242526[[#This Row],[累计净值]]</f>
        <v>1.6080000000000001</v>
      </c>
      <c r="G41" s="20">
        <f>表2_367162629303891213141523242526[[#This Row],[累计净值]]/$B$21-1</f>
        <v>4.1450777202072464E-2</v>
      </c>
    </row>
    <row r="42" spans="1:7" x14ac:dyDescent="0.2">
      <c r="A42" s="15">
        <v>44061</v>
      </c>
      <c r="B42" s="112">
        <v>1.619</v>
      </c>
      <c r="C42" s="108">
        <f t="shared" si="4"/>
        <v>1.0999999999999899E-2</v>
      </c>
      <c r="D42" s="109" t="str">
        <f t="shared" si="5"/>
        <v>/</v>
      </c>
      <c r="E42" s="109">
        <f ca="1">IF(表2_367162629303891213141523242526[[#This Row],[累计净值]]/MAX(INDIRECT("B21:B" &amp; ROW()))-1&lt;E41,表2_367162629303891213141523242526[[#This Row],[累计净值]]/MAX(INDIRECT("B21:B" &amp; ROW()))-1,E41)</f>
        <v>-5.0031665611146248E-2</v>
      </c>
      <c r="F42" s="110">
        <f>表2_367162629303891213141523242526[[#This Row],[累计净值]]</f>
        <v>1.619</v>
      </c>
      <c r="G42" s="20">
        <f>表2_367162629303891213141523242526[[#This Row],[累计净值]]/$B$21-1</f>
        <v>4.8575129533678707E-2</v>
      </c>
    </row>
    <row r="43" spans="1:7" x14ac:dyDescent="0.2">
      <c r="A43" s="15">
        <v>44062</v>
      </c>
      <c r="B43" s="112">
        <v>1.5840000000000001</v>
      </c>
      <c r="C43" s="108">
        <f t="shared" ref="C43:C48" si="6">IFERROR(B43-B42,0)</f>
        <v>-3.499999999999992E-2</v>
      </c>
      <c r="D43" s="109">
        <f t="shared" ref="D43:D48" si="7">IF(C43&lt;0,C43,"/")</f>
        <v>-3.499999999999992E-2</v>
      </c>
      <c r="E43" s="109">
        <f ca="1">IF(表2_367162629303891213141523242526[[#This Row],[累计净值]]/MAX(INDIRECT("B21:B" &amp; ROW()))-1&lt;E42,表2_367162629303891213141523242526[[#This Row],[累计净值]]/MAX(INDIRECT("B21:B" &amp; ROW()))-1,E42)</f>
        <v>-5.0031665611146248E-2</v>
      </c>
      <c r="F43" s="110">
        <f>表2_367162629303891213141523242526[[#This Row],[累计净值]]</f>
        <v>1.5840000000000001</v>
      </c>
      <c r="G43" s="20">
        <f>表2_367162629303891213141523242526[[#This Row],[累计净值]]/$B$21-1</f>
        <v>2.5906735751295429E-2</v>
      </c>
    </row>
    <row r="44" spans="1:7" x14ac:dyDescent="0.2">
      <c r="A44" s="15">
        <v>44063</v>
      </c>
      <c r="B44" s="112">
        <v>1.5649999999999999</v>
      </c>
      <c r="C44" s="108">
        <f t="shared" si="6"/>
        <v>-1.9000000000000128E-2</v>
      </c>
      <c r="D44" s="109">
        <f t="shared" si="7"/>
        <v>-1.9000000000000128E-2</v>
      </c>
      <c r="E44" s="109">
        <f ca="1">IF(表2_367162629303891213141523242526[[#This Row],[累计净值]]/MAX(INDIRECT("B21:B" &amp; ROW()))-1&lt;E43,表2_367162629303891213141523242526[[#This Row],[累计净值]]/MAX(INDIRECT("B21:B" &amp; ROW()))-1,E43)</f>
        <v>-5.0031665611146248E-2</v>
      </c>
      <c r="F44" s="110">
        <f>表2_367162629303891213141523242526[[#This Row],[累计净值]]</f>
        <v>1.5649999999999999</v>
      </c>
      <c r="G44" s="20">
        <f>表2_367162629303891213141523242526[[#This Row],[累计净值]]/$B$21-1</f>
        <v>1.36010362694301E-2</v>
      </c>
    </row>
    <row r="45" spans="1:7" x14ac:dyDescent="0.2">
      <c r="A45" s="15">
        <v>44064</v>
      </c>
      <c r="B45" s="112">
        <v>1.579</v>
      </c>
      <c r="C45" s="108">
        <f t="shared" si="6"/>
        <v>1.4000000000000012E-2</v>
      </c>
      <c r="D45" s="109" t="str">
        <f t="shared" si="7"/>
        <v>/</v>
      </c>
      <c r="E45" s="109">
        <f ca="1">IF(表2_367162629303891213141523242526[[#This Row],[累计净值]]/MAX(INDIRECT("B21:B" &amp; ROW()))-1&lt;E44,表2_367162629303891213141523242526[[#This Row],[累计净值]]/MAX(INDIRECT("B21:B" &amp; ROW()))-1,E44)</f>
        <v>-5.0031665611146248E-2</v>
      </c>
      <c r="F45" s="110">
        <f>表2_367162629303891213141523242526[[#This Row],[累计净值]]</f>
        <v>1.579</v>
      </c>
      <c r="G45" s="20">
        <f>表2_367162629303891213141523242526[[#This Row],[累计净值]]/$B$21-1</f>
        <v>2.2668393782383278E-2</v>
      </c>
    </row>
    <row r="46" spans="1:7" x14ac:dyDescent="0.2">
      <c r="A46" s="15">
        <v>44067</v>
      </c>
      <c r="B46" s="112">
        <v>1.5960000000000001</v>
      </c>
      <c r="C46" s="108">
        <f t="shared" si="6"/>
        <v>1.7000000000000126E-2</v>
      </c>
      <c r="D46" s="109" t="str">
        <f t="shared" si="7"/>
        <v>/</v>
      </c>
      <c r="E46" s="109">
        <f ca="1">IF(表2_367162629303891213141523242526[[#This Row],[累计净值]]/MAX(INDIRECT("B21:B" &amp; ROW()))-1&lt;E45,表2_367162629303891213141523242526[[#This Row],[累计净值]]/MAX(INDIRECT("B21:B" &amp; ROW()))-1,E45)</f>
        <v>-5.0031665611146248E-2</v>
      </c>
      <c r="F46" s="110">
        <f>表2_367162629303891213141523242526[[#This Row],[累计净值]]</f>
        <v>1.5960000000000001</v>
      </c>
      <c r="G46" s="20">
        <f>表2_367162629303891213141523242526[[#This Row],[累计净值]]/$B$21-1</f>
        <v>3.3678756476684057E-2</v>
      </c>
    </row>
    <row r="47" spans="1:7" x14ac:dyDescent="0.2">
      <c r="A47" s="15">
        <v>44068</v>
      </c>
      <c r="B47" s="112">
        <v>1.5880000000000001</v>
      </c>
      <c r="C47" s="108">
        <f t="shared" si="6"/>
        <v>-8.0000000000000071E-3</v>
      </c>
      <c r="D47" s="109">
        <f t="shared" si="7"/>
        <v>-8.0000000000000071E-3</v>
      </c>
      <c r="E47" s="109">
        <f ca="1">IF(表2_367162629303891213141523242526[[#This Row],[累计净值]]/MAX(INDIRECT("B21:B" &amp; ROW()))-1&lt;E46,表2_367162629303891213141523242526[[#This Row],[累计净值]]/MAX(INDIRECT("B21:B" &amp; ROW()))-1,E46)</f>
        <v>-5.0031665611146248E-2</v>
      </c>
      <c r="F47" s="110">
        <f>表2_367162629303891213141523242526[[#This Row],[累计净值]]</f>
        <v>1.5880000000000001</v>
      </c>
      <c r="G47" s="20">
        <f>表2_367162629303891213141523242526[[#This Row],[累计净值]]/$B$21-1</f>
        <v>2.8497409326424972E-2</v>
      </c>
    </row>
    <row r="48" spans="1:7" x14ac:dyDescent="0.2">
      <c r="A48" s="15">
        <v>44069</v>
      </c>
      <c r="B48" s="112">
        <v>1.544</v>
      </c>
      <c r="C48" s="108">
        <f t="shared" si="6"/>
        <v>-4.4000000000000039E-2</v>
      </c>
      <c r="D48" s="109">
        <f t="shared" si="7"/>
        <v>-4.4000000000000039E-2</v>
      </c>
      <c r="E48" s="109">
        <f ca="1">IF(表2_367162629303891213141523242526[[#This Row],[累计净值]]/MAX(INDIRECT("B21:B" &amp; ROW()))-1&lt;E47,表2_367162629303891213141523242526[[#This Row],[累计净值]]/MAX(INDIRECT("B21:B" &amp; ROW()))-1,E47)</f>
        <v>-5.5657492354740046E-2</v>
      </c>
      <c r="F48" s="110">
        <f>表2_367162629303891213141523242526[[#This Row],[累计净值]]</f>
        <v>1.544</v>
      </c>
      <c r="G48" s="20">
        <f>表2_367162629303891213141523242526[[#This Row],[累计净值]]/$B$21-1</f>
        <v>0</v>
      </c>
    </row>
    <row r="49" spans="1:11" x14ac:dyDescent="0.2">
      <c r="A49" s="15">
        <v>44070</v>
      </c>
      <c r="B49" s="112">
        <v>1.5720000000000001</v>
      </c>
      <c r="C49" s="108">
        <f t="shared" ref="C49:C54" si="8">IFERROR(B49-B48,0)</f>
        <v>2.8000000000000025E-2</v>
      </c>
      <c r="D49" s="109" t="str">
        <f t="shared" ref="D49:D54" si="9">IF(C49&lt;0,C49,"/")</f>
        <v>/</v>
      </c>
      <c r="E49" s="109">
        <f ca="1">IF(表2_367162629303891213141523242526[[#This Row],[累计净值]]/MAX(INDIRECT("B21:B" &amp; ROW()))-1&lt;E48,表2_367162629303891213141523242526[[#This Row],[累计净值]]/MAX(INDIRECT("B21:B" &amp; ROW()))-1,E48)</f>
        <v>-5.5657492354740046E-2</v>
      </c>
      <c r="F49" s="110">
        <f>表2_367162629303891213141523242526[[#This Row],[累计净值]]</f>
        <v>1.5720000000000001</v>
      </c>
      <c r="G49" s="20">
        <f>表2_367162629303891213141523242526[[#This Row],[累计净值]]/$B$21-1</f>
        <v>1.81347150259068E-2</v>
      </c>
    </row>
    <row r="50" spans="1:11" x14ac:dyDescent="0.2">
      <c r="A50" s="15">
        <v>44071</v>
      </c>
      <c r="B50" s="112">
        <v>1.5960000000000001</v>
      </c>
      <c r="C50" s="108">
        <f t="shared" si="8"/>
        <v>2.4000000000000021E-2</v>
      </c>
      <c r="D50" s="109" t="str">
        <f t="shared" si="9"/>
        <v>/</v>
      </c>
      <c r="E50" s="109">
        <f ca="1">IF(表2_367162629303891213141523242526[[#This Row],[累计净值]]/MAX(INDIRECT("B21:B" &amp; ROW()))-1&lt;E49,表2_367162629303891213141523242526[[#This Row],[累计净值]]/MAX(INDIRECT("B21:B" &amp; ROW()))-1,E49)</f>
        <v>-5.5657492354740046E-2</v>
      </c>
      <c r="F50" s="110">
        <f>表2_367162629303891213141523242526[[#This Row],[累计净值]]</f>
        <v>1.5960000000000001</v>
      </c>
      <c r="G50" s="20">
        <f>表2_367162629303891213141523242526[[#This Row],[累计净值]]/$B$21-1</f>
        <v>3.3678756476684057E-2</v>
      </c>
    </row>
    <row r="51" spans="1:11" x14ac:dyDescent="0.2">
      <c r="A51" s="15">
        <v>44074</v>
      </c>
      <c r="B51" s="112">
        <v>1.59</v>
      </c>
      <c r="C51" s="108">
        <f t="shared" si="8"/>
        <v>-6.0000000000000053E-3</v>
      </c>
      <c r="D51" s="109">
        <f t="shared" si="9"/>
        <v>-6.0000000000000053E-3</v>
      </c>
      <c r="E51" s="109">
        <f ca="1">IF(表2_367162629303891213141523242526[[#This Row],[累计净值]]/MAX(INDIRECT("B21:B" &amp; ROW()))-1&lt;E50,表2_367162629303891213141523242526[[#This Row],[累计净值]]/MAX(INDIRECT("B21:B" &amp; ROW()))-1,E50)</f>
        <v>-5.5657492354740046E-2</v>
      </c>
      <c r="F51" s="110">
        <f>表2_367162629303891213141523242526[[#This Row],[累计净值]]</f>
        <v>1.59</v>
      </c>
      <c r="G51" s="20">
        <f>表2_367162629303891213141523242526[[#This Row],[累计净值]]/$B$21-1</f>
        <v>2.9792746113989743E-2</v>
      </c>
    </row>
    <row r="52" spans="1:11" x14ac:dyDescent="0.2">
      <c r="A52" s="15">
        <v>44075</v>
      </c>
      <c r="B52" s="112">
        <v>1.595</v>
      </c>
      <c r="C52" s="108">
        <f t="shared" si="8"/>
        <v>4.9999999999998934E-3</v>
      </c>
      <c r="D52" s="109" t="str">
        <f t="shared" si="9"/>
        <v>/</v>
      </c>
      <c r="E52" s="109">
        <f ca="1">IF(表2_367162629303891213141523242526[[#This Row],[累计净值]]/MAX(INDIRECT("B21:B" &amp; ROW()))-1&lt;E51,表2_367162629303891213141523242526[[#This Row],[累计净值]]/MAX(INDIRECT("B21:B" &amp; ROW()))-1,E51)</f>
        <v>-5.5657492354740046E-2</v>
      </c>
      <c r="F52" s="110">
        <f>表2_367162629303891213141523242526[[#This Row],[累计净值]]</f>
        <v>1.595</v>
      </c>
      <c r="G52" s="20">
        <f>表2_367162629303891213141523242526[[#This Row],[累计净值]]/$B$21-1</f>
        <v>3.303108808290145E-2</v>
      </c>
    </row>
    <row r="53" spans="1:11" x14ac:dyDescent="0.2">
      <c r="A53" s="15">
        <v>44076</v>
      </c>
      <c r="B53" s="112">
        <v>1.593</v>
      </c>
      <c r="C53" s="108">
        <f t="shared" si="8"/>
        <v>-2.0000000000000018E-3</v>
      </c>
      <c r="D53" s="109">
        <f t="shared" si="9"/>
        <v>-2.0000000000000018E-3</v>
      </c>
      <c r="E53" s="109">
        <f ca="1">IF(表2_367162629303891213141523242526[[#This Row],[累计净值]]/MAX(INDIRECT("B21:B" &amp; ROW()))-1&lt;E52,表2_367162629303891213141523242526[[#This Row],[累计净值]]/MAX(INDIRECT("B21:B" &amp; ROW()))-1,E52)</f>
        <v>-5.5657492354740046E-2</v>
      </c>
      <c r="F53" s="110">
        <f>表2_367162629303891213141523242526[[#This Row],[累计净值]]</f>
        <v>1.593</v>
      </c>
      <c r="G53" s="20">
        <f>表2_367162629303891213141523242526[[#This Row],[累计净值]]/$B$21-1</f>
        <v>3.1735751295336678E-2</v>
      </c>
    </row>
    <row r="54" spans="1:11" x14ac:dyDescent="0.2">
      <c r="A54" s="15">
        <v>44077</v>
      </c>
      <c r="B54" s="112">
        <v>1.577</v>
      </c>
      <c r="C54" s="108">
        <f t="shared" si="8"/>
        <v>-1.6000000000000014E-2</v>
      </c>
      <c r="D54" s="109">
        <f t="shared" si="9"/>
        <v>-1.6000000000000014E-2</v>
      </c>
      <c r="E54" s="109">
        <f ca="1">IF(表2_367162629303891213141523242526[[#This Row],[累计净值]]/MAX(INDIRECT("B21:B" &amp; ROW()))-1&lt;E53,表2_367162629303891213141523242526[[#This Row],[累计净值]]/MAX(INDIRECT("B21:B" &amp; ROW()))-1,E53)</f>
        <v>-5.5657492354740046E-2</v>
      </c>
      <c r="F54" s="110">
        <f>表2_367162629303891213141523242526[[#This Row],[累计净值]]</f>
        <v>1.577</v>
      </c>
      <c r="G54" s="20">
        <f>表2_367162629303891213141523242526[[#This Row],[累计净值]]/$B$21-1</f>
        <v>2.1373056994818507E-2</v>
      </c>
      <c r="K54" s="198">
        <f>表2_367162629303891213141523242526[[#This Row],[持有涨跌幅]]-G53</f>
        <v>-1.0362694300518172E-2</v>
      </c>
    </row>
    <row r="55" spans="1:11" x14ac:dyDescent="0.2">
      <c r="A55" s="15">
        <v>44078</v>
      </c>
      <c r="B55" s="112">
        <v>1.5720000000000001</v>
      </c>
      <c r="C55" s="108">
        <f t="shared" ref="C55:C60" si="10">IFERROR(B55-B54,0)</f>
        <v>-4.9999999999998934E-3</v>
      </c>
      <c r="D55" s="109">
        <f t="shared" ref="D55:D60" si="11">IF(C55&lt;0,C55,"/")</f>
        <v>-4.9999999999998934E-3</v>
      </c>
      <c r="E55" s="109">
        <f ca="1">IF(表2_367162629303891213141523242526[[#This Row],[累计净值]]/MAX(INDIRECT("B21:B" &amp; ROW()))-1&lt;E54,表2_367162629303891213141523242526[[#This Row],[累计净值]]/MAX(INDIRECT("B21:B" &amp; ROW()))-1,E54)</f>
        <v>-5.5657492354740046E-2</v>
      </c>
      <c r="F55" s="110">
        <f>表2_367162629303891213141523242526[[#This Row],[累计净值]]</f>
        <v>1.5720000000000001</v>
      </c>
      <c r="G55" s="20">
        <f>表2_367162629303891213141523242526[[#This Row],[累计净值]]/$B$21-1</f>
        <v>1.81347150259068E-2</v>
      </c>
      <c r="K55" s="198">
        <f>表2_367162629303891213141523242526[[#This Row],[持有涨跌幅]]-G54</f>
        <v>-3.2383419689117066E-3</v>
      </c>
    </row>
    <row r="56" spans="1:11" x14ac:dyDescent="0.2">
      <c r="A56" s="15">
        <v>44081</v>
      </c>
      <c r="B56" s="112">
        <v>1.524</v>
      </c>
      <c r="C56" s="108">
        <f t="shared" si="10"/>
        <v>-4.8000000000000043E-2</v>
      </c>
      <c r="D56" s="109">
        <f t="shared" si="11"/>
        <v>-4.8000000000000043E-2</v>
      </c>
      <c r="E56" s="109">
        <f ca="1">IF(表2_367162629303891213141523242526[[#This Row],[累计净值]]/MAX(INDIRECT("B21:B" &amp; ROW()))-1&lt;E55,表2_367162629303891213141523242526[[#This Row],[累计净值]]/MAX(INDIRECT("B21:B" &amp; ROW()))-1,E55)</f>
        <v>-6.7889908256880682E-2</v>
      </c>
      <c r="F56" s="110">
        <f>表2_367162629303891213141523242526[[#This Row],[累计净值]]</f>
        <v>1.524</v>
      </c>
      <c r="G56" s="20">
        <f>表2_367162629303891213141523242526[[#This Row],[累计净值]]/$B$21-1</f>
        <v>-1.2953367875647714E-2</v>
      </c>
    </row>
    <row r="57" spans="1:11" x14ac:dyDescent="0.2">
      <c r="A57" s="15">
        <v>44082</v>
      </c>
      <c r="B57" s="112">
        <v>1.522</v>
      </c>
      <c r="C57" s="108">
        <f t="shared" si="10"/>
        <v>-2.0000000000000018E-3</v>
      </c>
      <c r="D57" s="109">
        <f t="shared" si="11"/>
        <v>-2.0000000000000018E-3</v>
      </c>
      <c r="E57" s="109">
        <f ca="1">IF(表2_367162629303891213141523242526[[#This Row],[累计净值]]/MAX(INDIRECT("B21:B" &amp; ROW()))-1&lt;E56,表2_367162629303891213141523242526[[#This Row],[累计净值]]/MAX(INDIRECT("B21:B" &amp; ROW()))-1,E56)</f>
        <v>-6.9113149847094824E-2</v>
      </c>
      <c r="F57" s="110">
        <f>表2_367162629303891213141523242526[[#This Row],[累计净值]]</f>
        <v>1.522</v>
      </c>
      <c r="G57" s="20">
        <f>表2_367162629303891213141523242526[[#This Row],[累计净值]]/$B$21-1</f>
        <v>-1.4248704663212486E-2</v>
      </c>
    </row>
    <row r="58" spans="1:11" x14ac:dyDescent="0.2">
      <c r="A58" s="15">
        <v>44083</v>
      </c>
      <c r="B58" s="112">
        <v>1.456</v>
      </c>
      <c r="C58" s="108">
        <f t="shared" si="10"/>
        <v>-6.6000000000000059E-2</v>
      </c>
      <c r="D58" s="109">
        <f t="shared" si="11"/>
        <v>-6.6000000000000059E-2</v>
      </c>
      <c r="E58" s="109">
        <f ca="1">IF(表2_367162629303891213141523242526[[#This Row],[累计净值]]/MAX(INDIRECT("B21:B" &amp; ROW()))-1&lt;E57,表2_367162629303891213141523242526[[#This Row],[累计净值]]/MAX(INDIRECT("B21:B" &amp; ROW()))-1,E57)</f>
        <v>-0.10948012232415905</v>
      </c>
      <c r="F58" s="110">
        <f>表2_367162629303891213141523242526[[#This Row],[累计净值]]</f>
        <v>1.456</v>
      </c>
      <c r="G58" s="20">
        <f>表2_367162629303891213141523242526[[#This Row],[累计净值]]/$B$21-1</f>
        <v>-5.6994818652849832E-2</v>
      </c>
    </row>
    <row r="59" spans="1:11" x14ac:dyDescent="0.2">
      <c r="A59" s="15">
        <v>44084</v>
      </c>
      <c r="B59" s="112">
        <v>1.446</v>
      </c>
      <c r="C59" s="108">
        <f t="shared" si="10"/>
        <v>-1.0000000000000009E-2</v>
      </c>
      <c r="D59" s="109">
        <f t="shared" si="11"/>
        <v>-1.0000000000000009E-2</v>
      </c>
      <c r="E59" s="109">
        <f ca="1">IF(表2_367162629303891213141523242526[[#This Row],[累计净值]]/MAX(INDIRECT("B21:B" &amp; ROW()))-1&lt;E58,表2_367162629303891213141523242526[[#This Row],[累计净值]]/MAX(INDIRECT("B21:B" &amp; ROW()))-1,E58)</f>
        <v>-0.11559633027522942</v>
      </c>
      <c r="F59" s="110">
        <f>表2_367162629303891213141523242526[[#This Row],[累计净值]]</f>
        <v>1.446</v>
      </c>
      <c r="G59" s="20">
        <f>表2_367162629303891213141523242526[[#This Row],[累计净值]]/$B$21-1</f>
        <v>-6.3471502590673579E-2</v>
      </c>
    </row>
    <row r="60" spans="1:11" x14ac:dyDescent="0.2">
      <c r="A60" s="15">
        <v>44085</v>
      </c>
      <c r="B60" s="112">
        <v>1.4790000000000001</v>
      </c>
      <c r="C60" s="108">
        <f t="shared" si="10"/>
        <v>3.300000000000014E-2</v>
      </c>
      <c r="D60" s="109" t="str">
        <f t="shared" si="11"/>
        <v>/</v>
      </c>
      <c r="E60" s="109">
        <f ca="1">IF(表2_367162629303891213141523242526[[#This Row],[累计净值]]/MAX(INDIRECT("B21:B" &amp; ROW()))-1&lt;E59,表2_367162629303891213141523242526[[#This Row],[累计净值]]/MAX(INDIRECT("B21:B" &amp; ROW()))-1,E59)</f>
        <v>-0.11559633027522942</v>
      </c>
      <c r="F60" s="110">
        <f>表2_367162629303891213141523242526[[#This Row],[累计净值]]</f>
        <v>1.4790000000000001</v>
      </c>
      <c r="G60" s="20">
        <f>表2_367162629303891213141523242526[[#This Row],[累计净值]]/$B$21-1</f>
        <v>-4.209844559585485E-2</v>
      </c>
    </row>
    <row r="61" spans="1:11" x14ac:dyDescent="0.2">
      <c r="A61" s="15">
        <v>44088</v>
      </c>
      <c r="B61" s="112">
        <v>1.4970000000000001</v>
      </c>
      <c r="C61" s="108">
        <f t="shared" ref="C61:C66" si="12">IFERROR(B61-B60,0)</f>
        <v>1.8000000000000016E-2</v>
      </c>
      <c r="D61" s="109" t="str">
        <f t="shared" ref="D61:D66" si="13">IF(C61&lt;0,C61,"/")</f>
        <v>/</v>
      </c>
      <c r="E61" s="109">
        <f ca="1">IF(表2_367162629303891213141523242526[[#This Row],[累计净值]]/MAX(INDIRECT("B21:B" &amp; ROW()))-1&lt;E60,表2_367162629303891213141523242526[[#This Row],[累计净值]]/MAX(INDIRECT("B21:B" &amp; ROW()))-1,E60)</f>
        <v>-0.11559633027522942</v>
      </c>
      <c r="F61" s="110">
        <f>表2_367162629303891213141523242526[[#This Row],[累计净值]]</f>
        <v>1.4970000000000001</v>
      </c>
      <c r="G61" s="20">
        <f>表2_367162629303891213141523242526[[#This Row],[累计净值]]/$B$21-1</f>
        <v>-3.0440414507772018E-2</v>
      </c>
    </row>
    <row r="62" spans="1:11" x14ac:dyDescent="0.2">
      <c r="A62" s="15">
        <v>44089</v>
      </c>
      <c r="B62" s="112">
        <v>1.5149999999999999</v>
      </c>
      <c r="C62" s="108">
        <f t="shared" si="12"/>
        <v>1.7999999999999794E-2</v>
      </c>
      <c r="D62" s="109" t="str">
        <f t="shared" si="13"/>
        <v>/</v>
      </c>
      <c r="E62" s="109">
        <f ca="1">IF(表2_367162629303891213141523242526[[#This Row],[累计净值]]/MAX(INDIRECT("B21:B" &amp; ROW()))-1&lt;E61,表2_367162629303891213141523242526[[#This Row],[累计净值]]/MAX(INDIRECT("B21:B" &amp; ROW()))-1,E61)</f>
        <v>-0.11559633027522942</v>
      </c>
      <c r="F62" s="110">
        <f>表2_367162629303891213141523242526[[#This Row],[累计净值]]</f>
        <v>1.5149999999999999</v>
      </c>
      <c r="G62" s="20">
        <f>表2_367162629303891213141523242526[[#This Row],[累计净值]]/$B$21-1</f>
        <v>-1.8782383419689186E-2</v>
      </c>
    </row>
    <row r="63" spans="1:11" x14ac:dyDescent="0.2">
      <c r="A63" s="15">
        <v>44090</v>
      </c>
      <c r="B63" s="112">
        <v>1.4950000000000001</v>
      </c>
      <c r="C63" s="108">
        <f t="shared" si="12"/>
        <v>-1.9999999999999796E-2</v>
      </c>
      <c r="D63" s="109">
        <f t="shared" si="13"/>
        <v>-1.9999999999999796E-2</v>
      </c>
      <c r="E63" s="109">
        <f ca="1">IF(表2_367162629303891213141523242526[[#This Row],[累计净值]]/MAX(INDIRECT("B21:B" &amp; ROW()))-1&lt;E62,表2_367162629303891213141523242526[[#This Row],[累计净值]]/MAX(INDIRECT("B21:B" &amp; ROW()))-1,E62)</f>
        <v>-0.11559633027522942</v>
      </c>
      <c r="F63" s="110">
        <f>表2_367162629303891213141523242526[[#This Row],[累计净值]]</f>
        <v>1.4950000000000001</v>
      </c>
      <c r="G63" s="20">
        <f>表2_367162629303891213141523242526[[#This Row],[累计净值]]/$B$21-1</f>
        <v>-3.1735751295336789E-2</v>
      </c>
    </row>
    <row r="64" spans="1:11" x14ac:dyDescent="0.2">
      <c r="A64" s="15">
        <v>44091</v>
      </c>
      <c r="B64" s="112">
        <v>1.5029999999999999</v>
      </c>
      <c r="C64" s="108">
        <f t="shared" si="12"/>
        <v>7.9999999999997851E-3</v>
      </c>
      <c r="D64" s="109" t="str">
        <f t="shared" si="13"/>
        <v>/</v>
      </c>
      <c r="E64" s="109">
        <f ca="1">IF(表2_367162629303891213141523242526[[#This Row],[累计净值]]/MAX(INDIRECT("B21:B" &amp; ROW()))-1&lt;E63,表2_367162629303891213141523242526[[#This Row],[累计净值]]/MAX(INDIRECT("B21:B" &amp; ROW()))-1,E63)</f>
        <v>-0.11559633027522942</v>
      </c>
      <c r="F64" s="110">
        <f>表2_367162629303891213141523242526[[#This Row],[累计净值]]</f>
        <v>1.5029999999999999</v>
      </c>
      <c r="G64" s="20">
        <f>表2_367162629303891213141523242526[[#This Row],[累计净值]]/$B$21-1</f>
        <v>-2.6554404145077815E-2</v>
      </c>
    </row>
    <row r="65" spans="1:7" x14ac:dyDescent="0.2">
      <c r="A65" s="15">
        <v>44092</v>
      </c>
      <c r="B65" s="112">
        <v>1.5249999999999999</v>
      </c>
      <c r="C65" s="108">
        <f t="shared" si="12"/>
        <v>2.200000000000002E-2</v>
      </c>
      <c r="D65" s="109" t="str">
        <f t="shared" si="13"/>
        <v>/</v>
      </c>
      <c r="E65" s="109">
        <f ca="1">IF(表2_367162629303891213141523242526[[#This Row],[累计净值]]/MAX(INDIRECT("B21:B" &amp; ROW()))-1&lt;E64,表2_367162629303891213141523242526[[#This Row],[累计净值]]/MAX(INDIRECT("B21:B" &amp; ROW()))-1,E64)</f>
        <v>-0.11559633027522942</v>
      </c>
      <c r="F65" s="110">
        <f>表2_367162629303891213141523242526[[#This Row],[累计净值]]</f>
        <v>1.5249999999999999</v>
      </c>
      <c r="G65" s="20">
        <f>表2_367162629303891213141523242526[[#This Row],[累计净值]]/$B$21-1</f>
        <v>-1.2305699481865329E-2</v>
      </c>
    </row>
    <row r="66" spans="1:7" x14ac:dyDescent="0.2">
      <c r="A66" s="15">
        <v>44095</v>
      </c>
      <c r="B66" s="112">
        <v>1.524</v>
      </c>
      <c r="C66" s="108">
        <f t="shared" si="12"/>
        <v>-9.9999999999988987E-4</v>
      </c>
      <c r="D66" s="109">
        <f t="shared" si="13"/>
        <v>-9.9999999999988987E-4</v>
      </c>
      <c r="E66" s="109">
        <f ca="1">IF(表2_367162629303891213141523242526[[#This Row],[累计净值]]/MAX(INDIRECT("B21:B" &amp; ROW()))-1&lt;E65,表2_367162629303891213141523242526[[#This Row],[累计净值]]/MAX(INDIRECT("B21:B" &amp; ROW()))-1,E65)</f>
        <v>-0.11559633027522942</v>
      </c>
      <c r="F66" s="110">
        <f>表2_367162629303891213141523242526[[#This Row],[累计净值]]</f>
        <v>1.524</v>
      </c>
      <c r="G66" s="20">
        <f>表2_367162629303891213141523242526[[#This Row],[累计净值]]/$B$21-1</f>
        <v>-1.2953367875647714E-2</v>
      </c>
    </row>
    <row r="67" spans="1:7" x14ac:dyDescent="0.2">
      <c r="A67" s="15">
        <v>44096</v>
      </c>
      <c r="B67" s="112">
        <v>1.506</v>
      </c>
      <c r="C67" s="108">
        <f t="shared" ref="C67:C72" si="14">IFERROR(B67-B66,0)</f>
        <v>-1.8000000000000016E-2</v>
      </c>
      <c r="D67" s="109">
        <f t="shared" ref="D67:D72" si="15">IF(C67&lt;0,C67,"/")</f>
        <v>-1.8000000000000016E-2</v>
      </c>
      <c r="E67" s="109">
        <f ca="1">IF(表2_367162629303891213141523242526[[#This Row],[累计净值]]/MAX(INDIRECT("B21:B" &amp; ROW()))-1&lt;E66,表2_367162629303891213141523242526[[#This Row],[累计净值]]/MAX(INDIRECT("B21:B" &amp; ROW()))-1,E66)</f>
        <v>-0.11559633027522942</v>
      </c>
      <c r="F67" s="110">
        <f>表2_367162629303891213141523242526[[#This Row],[累计净值]]</f>
        <v>1.506</v>
      </c>
      <c r="G67" s="20">
        <f>表2_367162629303891213141523242526[[#This Row],[累计净值]]/$B$21-1</f>
        <v>-2.4611398963730546E-2</v>
      </c>
    </row>
    <row r="68" spans="1:7" x14ac:dyDescent="0.2">
      <c r="A68" s="15">
        <v>44097</v>
      </c>
      <c r="B68" s="112">
        <v>1.528</v>
      </c>
      <c r="C68" s="108">
        <f t="shared" si="14"/>
        <v>2.200000000000002E-2</v>
      </c>
      <c r="D68" s="109" t="str">
        <f t="shared" si="15"/>
        <v>/</v>
      </c>
      <c r="E68" s="109">
        <f ca="1">IF(表2_367162629303891213141523242526[[#This Row],[累计净值]]/MAX(INDIRECT("B21:B" &amp; ROW()))-1&lt;E67,表2_367162629303891213141523242526[[#This Row],[累计净值]]/MAX(INDIRECT("B21:B" &amp; ROW()))-1,E67)</f>
        <v>-0.11559633027522942</v>
      </c>
      <c r="F68" s="110">
        <f>表2_367162629303891213141523242526[[#This Row],[累计净值]]</f>
        <v>1.528</v>
      </c>
      <c r="G68" s="20">
        <f>表2_367162629303891213141523242526[[#This Row],[累计净值]]/$B$21-1</f>
        <v>-1.0362694300518172E-2</v>
      </c>
    </row>
    <row r="69" spans="1:7" x14ac:dyDescent="0.2">
      <c r="A69" s="15">
        <v>44098</v>
      </c>
      <c r="B69" s="112">
        <v>1.49</v>
      </c>
      <c r="C69" s="108">
        <f t="shared" si="14"/>
        <v>-3.8000000000000034E-2</v>
      </c>
      <c r="D69" s="109">
        <f t="shared" si="15"/>
        <v>-3.8000000000000034E-2</v>
      </c>
      <c r="E69" s="109">
        <f ca="1">IF(表2_367162629303891213141523242526[[#This Row],[累计净值]]/MAX(INDIRECT("B21:B" &amp; ROW()))-1&lt;E68,表2_367162629303891213141523242526[[#This Row],[累计净值]]/MAX(INDIRECT("B21:B" &amp; ROW()))-1,E68)</f>
        <v>-0.11559633027522942</v>
      </c>
      <c r="F69" s="110">
        <f>表2_367162629303891213141523242526[[#This Row],[累计净值]]</f>
        <v>1.49</v>
      </c>
      <c r="G69" s="20">
        <f>表2_367162629303891213141523242526[[#This Row],[累计净值]]/$B$21-1</f>
        <v>-3.4974093264248718E-2</v>
      </c>
    </row>
    <row r="70" spans="1:7" x14ac:dyDescent="0.2">
      <c r="A70" s="15">
        <v>44099</v>
      </c>
      <c r="B70" s="112">
        <v>1.4850000000000001</v>
      </c>
      <c r="C70" s="108">
        <f t="shared" si="14"/>
        <v>-4.9999999999998934E-3</v>
      </c>
      <c r="D70" s="109">
        <f t="shared" si="15"/>
        <v>-4.9999999999998934E-3</v>
      </c>
      <c r="E70" s="109">
        <f ca="1">IF(表2_367162629303891213141523242526[[#This Row],[累计净值]]/MAX(INDIRECT("B21:B" &amp; ROW()))-1&lt;E69,表2_367162629303891213141523242526[[#This Row],[累计净值]]/MAX(INDIRECT("B21:B" &amp; ROW()))-1,E69)</f>
        <v>-0.11559633027522942</v>
      </c>
      <c r="F70" s="110">
        <f>表2_367162629303891213141523242526[[#This Row],[累计净值]]</f>
        <v>1.4850000000000001</v>
      </c>
      <c r="G70" s="20">
        <f>表2_367162629303891213141523242526[[#This Row],[累计净值]]/$B$21-1</f>
        <v>-3.8212435233160535E-2</v>
      </c>
    </row>
    <row r="71" spans="1:7" x14ac:dyDescent="0.2">
      <c r="A71" s="15">
        <v>44102</v>
      </c>
      <c r="B71" s="112">
        <v>1.47</v>
      </c>
      <c r="C71" s="108">
        <f t="shared" si="14"/>
        <v>-1.5000000000000124E-2</v>
      </c>
      <c r="D71" s="109">
        <f t="shared" si="15"/>
        <v>-1.5000000000000124E-2</v>
      </c>
      <c r="E71" s="109">
        <f ca="1">IF(表2_367162629303891213141523242526[[#This Row],[累计净值]]/MAX(INDIRECT("B21:B" &amp; ROW()))-1&lt;E70,表2_367162629303891213141523242526[[#This Row],[累计净值]]/MAX(INDIRECT("B21:B" &amp; ROW()))-1,E70)</f>
        <v>-0.11559633027522942</v>
      </c>
      <c r="F71" s="110">
        <f>表2_367162629303891213141523242526[[#This Row],[累计净值]]</f>
        <v>1.47</v>
      </c>
      <c r="G71" s="20">
        <f>表2_367162629303891213141523242526[[#This Row],[累计净值]]/$B$21-1</f>
        <v>-4.7927461139896432E-2</v>
      </c>
    </row>
    <row r="72" spans="1:7" x14ac:dyDescent="0.2">
      <c r="A72" s="15">
        <v>44103</v>
      </c>
      <c r="B72" s="112">
        <v>1.488</v>
      </c>
      <c r="C72" s="108">
        <f t="shared" si="14"/>
        <v>1.8000000000000016E-2</v>
      </c>
      <c r="D72" s="109" t="str">
        <f t="shared" si="15"/>
        <v>/</v>
      </c>
      <c r="E72" s="109">
        <f ca="1">IF(表2_367162629303891213141523242526[[#This Row],[累计净值]]/MAX(INDIRECT("B21:B" &amp; ROW()))-1&lt;E71,表2_367162629303891213141523242526[[#This Row],[累计净值]]/MAX(INDIRECT("B21:B" &amp; ROW()))-1,E71)</f>
        <v>-0.11559633027522942</v>
      </c>
      <c r="F72" s="110">
        <f>表2_367162629303891213141523242526[[#This Row],[累计净值]]</f>
        <v>1.488</v>
      </c>
      <c r="G72" s="20">
        <f>表2_367162629303891213141523242526[[#This Row],[累计净值]]/$B$21-1</f>
        <v>-3.6269430051813489E-2</v>
      </c>
    </row>
    <row r="73" spans="1:7" x14ac:dyDescent="0.2">
      <c r="A73" s="15">
        <v>44104</v>
      </c>
      <c r="B73" s="112">
        <v>1.486</v>
      </c>
      <c r="C73" s="108">
        <f t="shared" ref="C73:C78" si="16">IFERROR(B73-B72,0)</f>
        <v>-2.0000000000000018E-3</v>
      </c>
      <c r="D73" s="109">
        <f t="shared" ref="D73:D78" si="17">IF(C73&lt;0,C73,"/")</f>
        <v>-2.0000000000000018E-3</v>
      </c>
      <c r="E73" s="109">
        <f ca="1">IF(表2_367162629303891213141523242526[[#This Row],[累计净值]]/MAX(INDIRECT("B21:B" &amp; ROW()))-1&lt;E72,表2_367162629303891213141523242526[[#This Row],[累计净值]]/MAX(INDIRECT("B21:B" &amp; ROW()))-1,E72)</f>
        <v>-0.11559633027522942</v>
      </c>
      <c r="F73" s="110">
        <f>表2_367162629303891213141523242526[[#This Row],[累计净值]]</f>
        <v>1.486</v>
      </c>
      <c r="G73" s="20">
        <f>表2_367162629303891213141523242526[[#This Row],[累计净值]]/$B$21-1</f>
        <v>-3.7564766839378261E-2</v>
      </c>
    </row>
    <row r="74" spans="1:7" x14ac:dyDescent="0.2">
      <c r="A74" s="15">
        <v>44113</v>
      </c>
      <c r="B74" s="112">
        <v>1.5349999999999999</v>
      </c>
      <c r="C74" s="108">
        <f t="shared" si="16"/>
        <v>4.8999999999999932E-2</v>
      </c>
      <c r="D74" s="109" t="str">
        <f t="shared" si="17"/>
        <v>/</v>
      </c>
      <c r="E74" s="109">
        <f ca="1">IF(表2_367162629303891213141523242526[[#This Row],[累计净值]]/MAX(INDIRECT("B21:B" &amp; ROW()))-1&lt;E73,表2_367162629303891213141523242526[[#This Row],[累计净值]]/MAX(INDIRECT("B21:B" &amp; ROW()))-1,E73)</f>
        <v>-0.11559633027522942</v>
      </c>
      <c r="F74" s="110">
        <f>表2_367162629303891213141523242526[[#This Row],[累计净值]]</f>
        <v>1.5349999999999999</v>
      </c>
      <c r="G74" s="20">
        <f>表2_367162629303891213141523242526[[#This Row],[累计净值]]/$B$21-1</f>
        <v>-5.8290155440415825E-3</v>
      </c>
    </row>
    <row r="75" spans="1:7" x14ac:dyDescent="0.2">
      <c r="A75" s="15">
        <v>44116</v>
      </c>
      <c r="B75" s="112">
        <v>1.595</v>
      </c>
      <c r="C75" s="108">
        <f t="shared" si="16"/>
        <v>6.0000000000000053E-2</v>
      </c>
      <c r="D75" s="109" t="str">
        <f t="shared" si="17"/>
        <v>/</v>
      </c>
      <c r="E75" s="109">
        <f ca="1">IF(表2_367162629303891213141523242526[[#This Row],[累计净值]]/MAX(INDIRECT("B21:B" &amp; ROW()))-1&lt;E74,表2_367162629303891213141523242526[[#This Row],[累计净值]]/MAX(INDIRECT("B21:B" &amp; ROW()))-1,E74)</f>
        <v>-0.11559633027522942</v>
      </c>
      <c r="F75" s="110">
        <f>表2_367162629303891213141523242526[[#This Row],[累计净值]]</f>
        <v>1.595</v>
      </c>
      <c r="G75" s="20">
        <f>表2_367162629303891213141523242526[[#This Row],[累计净值]]/$B$21-1</f>
        <v>3.303108808290145E-2</v>
      </c>
    </row>
    <row r="76" spans="1:7" x14ac:dyDescent="0.2">
      <c r="A76" s="15">
        <v>44117</v>
      </c>
      <c r="B76" s="112">
        <v>1.6080000000000001</v>
      </c>
      <c r="C76" s="108">
        <f t="shared" si="16"/>
        <v>1.3000000000000123E-2</v>
      </c>
      <c r="D76" s="109" t="str">
        <f t="shared" si="17"/>
        <v>/</v>
      </c>
      <c r="E76" s="109">
        <f ca="1">IF(表2_367162629303891213141523242526[[#This Row],[累计净值]]/MAX(INDIRECT("B21:B" &amp; ROW()))-1&lt;E75,表2_367162629303891213141523242526[[#This Row],[累计净值]]/MAX(INDIRECT("B21:B" &amp; ROW()))-1,E75)</f>
        <v>-0.11559633027522942</v>
      </c>
      <c r="F76" s="110">
        <f>表2_367162629303891213141523242526[[#This Row],[累计净值]]</f>
        <v>1.6080000000000001</v>
      </c>
      <c r="G76" s="20">
        <f>表2_367162629303891213141523242526[[#This Row],[累计净值]]/$B$21-1</f>
        <v>4.1450777202072464E-2</v>
      </c>
    </row>
    <row r="77" spans="1:7" x14ac:dyDescent="0.2">
      <c r="A77" s="15">
        <v>44118</v>
      </c>
      <c r="B77" s="112">
        <v>1.6020000000000001</v>
      </c>
      <c r="C77" s="108">
        <f t="shared" si="16"/>
        <v>-6.0000000000000053E-3</v>
      </c>
      <c r="D77" s="109">
        <f t="shared" si="17"/>
        <v>-6.0000000000000053E-3</v>
      </c>
      <c r="E77" s="109">
        <f ca="1">IF(表2_367162629303891213141523242526[[#This Row],[累计净值]]/MAX(INDIRECT("B21:B" &amp; ROW()))-1&lt;E76,表2_367162629303891213141523242526[[#This Row],[累计净值]]/MAX(INDIRECT("B21:B" &amp; ROW()))-1,E76)</f>
        <v>-0.11559633027522942</v>
      </c>
      <c r="F77" s="110">
        <f>表2_367162629303891213141523242526[[#This Row],[累计净值]]</f>
        <v>1.6020000000000001</v>
      </c>
      <c r="G77" s="20">
        <f>表2_367162629303891213141523242526[[#This Row],[累计净值]]/$B$21-1</f>
        <v>3.7564766839378372E-2</v>
      </c>
    </row>
    <row r="78" spans="1:7" x14ac:dyDescent="0.2">
      <c r="A78" s="15">
        <v>44119</v>
      </c>
      <c r="B78" s="112">
        <v>1.5840000000000001</v>
      </c>
      <c r="C78" s="108">
        <f t="shared" si="16"/>
        <v>-1.8000000000000016E-2</v>
      </c>
      <c r="D78" s="109">
        <f t="shared" si="17"/>
        <v>-1.8000000000000016E-2</v>
      </c>
      <c r="E78" s="109">
        <f ca="1">IF(表2_367162629303891213141523242526[[#This Row],[累计净值]]/MAX(INDIRECT("B21:B" &amp; ROW()))-1&lt;E77,表2_367162629303891213141523242526[[#This Row],[累计净值]]/MAX(INDIRECT("B21:B" &amp; ROW()))-1,E77)</f>
        <v>-0.11559633027522942</v>
      </c>
      <c r="F78" s="110">
        <f>表2_367162629303891213141523242526[[#This Row],[累计净值]]</f>
        <v>1.5840000000000001</v>
      </c>
      <c r="G78" s="20">
        <f>表2_367162629303891213141523242526[[#This Row],[累计净值]]/$B$21-1</f>
        <v>2.5906735751295429E-2</v>
      </c>
    </row>
    <row r="79" spans="1:7" x14ac:dyDescent="0.2">
      <c r="A79" s="15">
        <v>44120</v>
      </c>
      <c r="B79" s="112">
        <v>1.5840000000000001</v>
      </c>
      <c r="C79" s="108">
        <f t="shared" ref="C79:C84" si="18">IFERROR(B79-B78,0)</f>
        <v>0</v>
      </c>
      <c r="D79" s="109" t="str">
        <f t="shared" ref="D79:D84" si="19">IF(C79&lt;0,C79,"/")</f>
        <v>/</v>
      </c>
      <c r="E79" s="109">
        <f ca="1">IF(表2_367162629303891213141523242526[[#This Row],[累计净值]]/MAX(INDIRECT("B21:B" &amp; ROW()))-1&lt;E78,表2_367162629303891213141523242526[[#This Row],[累计净值]]/MAX(INDIRECT("B21:B" &amp; ROW()))-1,E78)</f>
        <v>-0.11559633027522942</v>
      </c>
      <c r="F79" s="110">
        <f>表2_367162629303891213141523242526[[#This Row],[累计净值]]</f>
        <v>1.5840000000000001</v>
      </c>
      <c r="G79" s="20">
        <f>表2_367162629303891213141523242526[[#This Row],[累计净值]]/$B$21-1</f>
        <v>2.5906735751295429E-2</v>
      </c>
    </row>
    <row r="80" spans="1:7" x14ac:dyDescent="0.2">
      <c r="A80" s="15">
        <v>44123</v>
      </c>
      <c r="B80" s="112">
        <v>1.569</v>
      </c>
      <c r="C80" s="108">
        <f t="shared" si="18"/>
        <v>-1.5000000000000124E-2</v>
      </c>
      <c r="D80" s="109">
        <f t="shared" si="19"/>
        <v>-1.5000000000000124E-2</v>
      </c>
      <c r="E80" s="109">
        <f ca="1">IF(表2_367162629303891213141523242526[[#This Row],[累计净值]]/MAX(INDIRECT("B21:B" &amp; ROW()))-1&lt;E79,表2_367162629303891213141523242526[[#This Row],[累计净值]]/MAX(INDIRECT("B21:B" &amp; ROW()))-1,E79)</f>
        <v>-0.11559633027522942</v>
      </c>
      <c r="F80" s="110">
        <f>表2_367162629303891213141523242526[[#This Row],[累计净值]]</f>
        <v>1.569</v>
      </c>
      <c r="G80" s="20">
        <f>表2_367162629303891213141523242526[[#This Row],[累计净值]]/$B$21-1</f>
        <v>1.6191709844559421E-2</v>
      </c>
    </row>
    <row r="81" spans="1:7" x14ac:dyDescent="0.2">
      <c r="A81" s="15">
        <v>44124</v>
      </c>
      <c r="B81" s="112">
        <v>1.5940000000000001</v>
      </c>
      <c r="C81" s="108">
        <f t="shared" si="18"/>
        <v>2.5000000000000133E-2</v>
      </c>
      <c r="D81" s="109" t="str">
        <f t="shared" si="19"/>
        <v>/</v>
      </c>
      <c r="E81" s="109">
        <f ca="1">IF(表2_367162629303891213141523242526[[#This Row],[累计净值]]/MAX(INDIRECT("B21:B" &amp; ROW()))-1&lt;E80,表2_367162629303891213141523242526[[#This Row],[累计净值]]/MAX(INDIRECT("B21:B" &amp; ROW()))-1,E80)</f>
        <v>-0.11559633027522942</v>
      </c>
      <c r="F81" s="110">
        <f>表2_367162629303891213141523242526[[#This Row],[累计净值]]</f>
        <v>1.5940000000000001</v>
      </c>
      <c r="G81" s="20">
        <f>表2_367162629303891213141523242526[[#This Row],[累计净值]]/$B$21-1</f>
        <v>3.2383419689119286E-2</v>
      </c>
    </row>
    <row r="82" spans="1:7" x14ac:dyDescent="0.2">
      <c r="A82" s="15">
        <v>44125</v>
      </c>
      <c r="B82" s="112">
        <v>1.573</v>
      </c>
      <c r="C82" s="108">
        <f t="shared" si="18"/>
        <v>-2.100000000000013E-2</v>
      </c>
      <c r="D82" s="109">
        <f t="shared" si="19"/>
        <v>-2.100000000000013E-2</v>
      </c>
      <c r="E82" s="109">
        <f ca="1">IF(表2_367162629303891213141523242526[[#This Row],[累计净值]]/MAX(INDIRECT("B21:B" &amp; ROW()))-1&lt;E81,表2_367162629303891213141523242526[[#This Row],[累计净值]]/MAX(INDIRECT("B21:B" &amp; ROW()))-1,E81)</f>
        <v>-0.11559633027522942</v>
      </c>
      <c r="F82" s="110">
        <f>表2_367162629303891213141523242526[[#This Row],[累计净值]]</f>
        <v>1.573</v>
      </c>
      <c r="G82" s="20">
        <f>表2_367162629303891213141523242526[[#This Row],[累计净值]]/$B$21-1</f>
        <v>1.8782383419688964E-2</v>
      </c>
    </row>
    <row r="83" spans="1:7" x14ac:dyDescent="0.2">
      <c r="A83" s="15">
        <v>44126</v>
      </c>
      <c r="B83" s="112">
        <v>1.5649999999999999</v>
      </c>
      <c r="C83" s="108">
        <f t="shared" si="18"/>
        <v>-8.0000000000000071E-3</v>
      </c>
      <c r="D83" s="109">
        <f t="shared" si="19"/>
        <v>-8.0000000000000071E-3</v>
      </c>
      <c r="E83" s="109">
        <f ca="1">IF(表2_367162629303891213141523242526[[#This Row],[累计净值]]/MAX(INDIRECT("B21:B" &amp; ROW()))-1&lt;E82,表2_367162629303891213141523242526[[#This Row],[累计净值]]/MAX(INDIRECT("B21:B" &amp; ROW()))-1,E82)</f>
        <v>-0.11559633027522942</v>
      </c>
      <c r="F83" s="110">
        <f>表2_367162629303891213141523242526[[#This Row],[累计净值]]</f>
        <v>1.5649999999999999</v>
      </c>
      <c r="G83" s="20">
        <f>表2_367162629303891213141523242526[[#This Row],[累计净值]]/$B$21-1</f>
        <v>1.36010362694301E-2</v>
      </c>
    </row>
    <row r="84" spans="1:7" x14ac:dyDescent="0.2">
      <c r="A84" s="15">
        <v>44127</v>
      </c>
      <c r="B84" s="112">
        <v>1.53</v>
      </c>
      <c r="C84" s="108">
        <f t="shared" si="18"/>
        <v>-3.499999999999992E-2</v>
      </c>
      <c r="D84" s="109">
        <f t="shared" si="19"/>
        <v>-3.499999999999992E-2</v>
      </c>
      <c r="E84" s="109">
        <f ca="1">IF(表2_367162629303891213141523242526[[#This Row],[累计净值]]/MAX(INDIRECT("B21:B" &amp; ROW()))-1&lt;E83,表2_367162629303891213141523242526[[#This Row],[累计净值]]/MAX(INDIRECT("B21:B" &amp; ROW()))-1,E83)</f>
        <v>-0.11559633027522942</v>
      </c>
      <c r="F84" s="110">
        <f>表2_367162629303891213141523242526[[#This Row],[累计净值]]</f>
        <v>1.53</v>
      </c>
      <c r="G84" s="20">
        <f>表2_367162629303891213141523242526[[#This Row],[累计净值]]/$B$21-1</f>
        <v>-9.0673575129534001E-3</v>
      </c>
    </row>
    <row r="85" spans="1:7" x14ac:dyDescent="0.2">
      <c r="A85" s="15">
        <v>44130</v>
      </c>
      <c r="B85" s="112">
        <v>1.548</v>
      </c>
      <c r="C85" s="108">
        <f>IFERROR(B85-B84,0)</f>
        <v>1.8000000000000016E-2</v>
      </c>
      <c r="D85" s="109" t="str">
        <f>IF(C85&lt;0,C85,"/")</f>
        <v>/</v>
      </c>
      <c r="E85" s="109">
        <f ca="1">IF(表2_367162629303891213141523242526[[#This Row],[累计净值]]/MAX(INDIRECT("B21:B" &amp; ROW()))-1&lt;E84,表2_367162629303891213141523242526[[#This Row],[累计净值]]/MAX(INDIRECT("B21:B" &amp; ROW()))-1,E84)</f>
        <v>-0.11559633027522942</v>
      </c>
      <c r="F85" s="110">
        <f>表2_367162629303891213141523242526[[#This Row],[累计净值]]</f>
        <v>1.548</v>
      </c>
      <c r="G85" s="20">
        <f>表2_367162629303891213141523242526[[#This Row],[累计净值]]/$B$21-1</f>
        <v>2.5906735751295429E-3</v>
      </c>
    </row>
    <row r="86" spans="1:7" x14ac:dyDescent="0.2">
      <c r="A86" s="15">
        <v>44131</v>
      </c>
      <c r="B86" s="112">
        <v>1.5660000000000001</v>
      </c>
      <c r="C86" s="108">
        <f>IFERROR(B86-B85,0)</f>
        <v>1.8000000000000016E-2</v>
      </c>
      <c r="D86" s="109" t="str">
        <f>IF(C86&lt;0,C86,"/")</f>
        <v>/</v>
      </c>
      <c r="E86" s="109">
        <f ca="1">IF(表2_367162629303891213141523242526[[#This Row],[累计净值]]/MAX(INDIRECT("B21:B" &amp; ROW()))-1&lt;E85,表2_367162629303891213141523242526[[#This Row],[累计净值]]/MAX(INDIRECT("B21:B" &amp; ROW()))-1,E85)</f>
        <v>-0.11559633027522942</v>
      </c>
      <c r="F86" s="110">
        <f>表2_367162629303891213141523242526[[#This Row],[累计净值]]</f>
        <v>1.5660000000000001</v>
      </c>
      <c r="G86" s="20">
        <f>表2_367162629303891213141523242526[[#This Row],[累计净值]]/$B$21-1</f>
        <v>1.4248704663212486E-2</v>
      </c>
    </row>
    <row r="87" spans="1:7" x14ac:dyDescent="0.2">
      <c r="A87" s="15">
        <v>44132</v>
      </c>
      <c r="B87" s="112">
        <v>1.577</v>
      </c>
      <c r="C87" s="108">
        <f>IFERROR(B87-B86,0)</f>
        <v>1.0999999999999899E-2</v>
      </c>
      <c r="D87" s="109" t="str">
        <f>IF(C87&lt;0,C87,"/")</f>
        <v>/</v>
      </c>
      <c r="E87" s="109">
        <f ca="1">IF(表2_367162629303891213141523242526[[#This Row],[累计净值]]/MAX(INDIRECT("B21:B" &amp; ROW()))-1&lt;E86,表2_367162629303891213141523242526[[#This Row],[累计净值]]/MAX(INDIRECT("B21:B" &amp; ROW()))-1,E86)</f>
        <v>-0.11559633027522942</v>
      </c>
      <c r="F87" s="110">
        <f>表2_367162629303891213141523242526[[#This Row],[累计净值]]</f>
        <v>1.577</v>
      </c>
      <c r="G87" s="20">
        <f>表2_367162629303891213141523242526[[#This Row],[累计净值]]/$B$21-1</f>
        <v>2.1373056994818507E-2</v>
      </c>
    </row>
    <row r="88" spans="1:7" x14ac:dyDescent="0.2">
      <c r="A88" s="15">
        <v>44133</v>
      </c>
      <c r="B88" s="112">
        <v>1.5840000000000001</v>
      </c>
      <c r="C88" s="108">
        <f t="shared" ref="C88:C91" si="20">IFERROR(B88-B87,0)</f>
        <v>7.0000000000001172E-3</v>
      </c>
      <c r="D88" s="109" t="str">
        <f t="shared" ref="D88:D91" si="21">IF(C88&lt;0,C88,"/")</f>
        <v>/</v>
      </c>
      <c r="E88" s="109">
        <f ca="1">IF(表2_367162629303891213141523242526[[#This Row],[累计净值]]/MAX(INDIRECT("B21:B" &amp; ROW()))-1&lt;E87,表2_367162629303891213141523242526[[#This Row],[累计净值]]/MAX(INDIRECT("B21:B" &amp; ROW()))-1,E87)</f>
        <v>-0.11559633027522942</v>
      </c>
      <c r="F88" s="110">
        <f>表2_367162629303891213141523242526[[#This Row],[累计净值]]</f>
        <v>1.5840000000000001</v>
      </c>
      <c r="G88" s="20">
        <f>表2_367162629303891213141523242526[[#This Row],[累计净值]]/$B$21-1</f>
        <v>2.5906735751295429E-2</v>
      </c>
    </row>
    <row r="89" spans="1:7" x14ac:dyDescent="0.2">
      <c r="A89" s="15">
        <v>44134</v>
      </c>
      <c r="B89" s="112">
        <v>1.5429999999999999</v>
      </c>
      <c r="C89" s="108">
        <f t="shared" si="20"/>
        <v>-4.1000000000000147E-2</v>
      </c>
      <c r="D89" s="109">
        <f t="shared" si="21"/>
        <v>-4.1000000000000147E-2</v>
      </c>
      <c r="E89" s="109">
        <f ca="1">IF(表2_367162629303891213141523242526[[#This Row],[累计净值]]/MAX(INDIRECT("B21:B" &amp; ROW()))-1&lt;E88,表2_367162629303891213141523242526[[#This Row],[累计净值]]/MAX(INDIRECT("B21:B" &amp; ROW()))-1,E88)</f>
        <v>-0.11559633027522942</v>
      </c>
      <c r="F89" s="110">
        <f>表2_367162629303891213141523242526[[#This Row],[累计净值]]</f>
        <v>1.5429999999999999</v>
      </c>
      <c r="G89" s="20">
        <f>表2_367162629303891213141523242526[[#This Row],[累计净值]]/$B$21-1</f>
        <v>-6.4766839378249674E-4</v>
      </c>
    </row>
    <row r="90" spans="1:7" x14ac:dyDescent="0.2">
      <c r="A90" s="15">
        <v>44137</v>
      </c>
      <c r="B90" s="112">
        <v>1.5589999999999999</v>
      </c>
      <c r="C90" s="108">
        <f t="shared" si="20"/>
        <v>1.6000000000000014E-2</v>
      </c>
      <c r="D90" s="109" t="str">
        <f t="shared" si="21"/>
        <v>/</v>
      </c>
      <c r="E90" s="109">
        <f ca="1">IF(表2_367162629303891213141523242526[[#This Row],[累计净值]]/MAX(INDIRECT("B21:B" &amp; ROW()))-1&lt;E89,表2_367162629303891213141523242526[[#This Row],[累计净值]]/MAX(INDIRECT("B21:B" &amp; ROW()))-1,E89)</f>
        <v>-0.11559633027522942</v>
      </c>
      <c r="F90" s="110">
        <f>表2_367162629303891213141523242526[[#This Row],[累计净值]]</f>
        <v>1.5589999999999999</v>
      </c>
      <c r="G90" s="20">
        <f>表2_367162629303891213141523242526[[#This Row],[累计净值]]/$B$21-1</f>
        <v>9.7150259067357858E-3</v>
      </c>
    </row>
    <row r="91" spans="1:7" x14ac:dyDescent="0.2">
      <c r="A91" s="15">
        <v>44138</v>
      </c>
      <c r="B91" s="112">
        <v>1.5880000000000001</v>
      </c>
      <c r="C91" s="108">
        <f t="shared" si="20"/>
        <v>2.9000000000000137E-2</v>
      </c>
      <c r="D91" s="109" t="str">
        <f t="shared" si="21"/>
        <v>/</v>
      </c>
      <c r="E91" s="109">
        <f ca="1">IF(表2_367162629303891213141523242526[[#This Row],[累计净值]]/MAX(INDIRECT("B21:B" &amp; ROW()))-1&lt;E90,表2_367162629303891213141523242526[[#This Row],[累计净值]]/MAX(INDIRECT("B21:B" &amp; ROW()))-1,E90)</f>
        <v>-0.11559633027522942</v>
      </c>
      <c r="F91" s="110">
        <f>表2_367162629303891213141523242526[[#This Row],[累计净值]]</f>
        <v>1.5880000000000001</v>
      </c>
      <c r="G91" s="20">
        <f>表2_367162629303891213141523242526[[#This Row],[累计净值]]/$B$21-1</f>
        <v>2.8497409326424972E-2</v>
      </c>
    </row>
    <row r="92" spans="1:7" x14ac:dyDescent="0.2">
      <c r="A92" s="15">
        <v>44139</v>
      </c>
      <c r="B92" s="112">
        <v>1.5880000000000001</v>
      </c>
      <c r="C92" s="108">
        <f t="shared" ref="C92:C97" si="22">IFERROR(B92-B91,0)</f>
        <v>0</v>
      </c>
      <c r="D92" s="109" t="str">
        <f t="shared" ref="D92:D97" si="23">IF(C92&lt;0,C92,"/")</f>
        <v>/</v>
      </c>
      <c r="E92" s="109">
        <f ca="1">IF(表2_367162629303891213141523242526[[#This Row],[累计净值]]/MAX(INDIRECT("B21:B" &amp; ROW()))-1&lt;E91,表2_367162629303891213141523242526[[#This Row],[累计净值]]/MAX(INDIRECT("B21:B" &amp; ROW()))-1,E91)</f>
        <v>-0.11559633027522942</v>
      </c>
      <c r="F92" s="110">
        <f>表2_367162629303891213141523242526[[#This Row],[累计净值]]</f>
        <v>1.5880000000000001</v>
      </c>
      <c r="G92" s="20">
        <f>表2_367162629303891213141523242526[[#This Row],[累计净值]]/$B$21-1</f>
        <v>2.8497409326424972E-2</v>
      </c>
    </row>
    <row r="93" spans="1:7" x14ac:dyDescent="0.2">
      <c r="A93" s="15">
        <v>44140</v>
      </c>
      <c r="B93" s="112">
        <v>1.6220000000000001</v>
      </c>
      <c r="C93" s="108">
        <f t="shared" si="22"/>
        <v>3.400000000000003E-2</v>
      </c>
      <c r="D93" s="109" t="str">
        <f t="shared" si="23"/>
        <v>/</v>
      </c>
      <c r="E93" s="109">
        <f ca="1">IF(表2_367162629303891213141523242526[[#This Row],[累计净值]]/MAX(INDIRECT("B21:B" &amp; ROW()))-1&lt;E92,表2_367162629303891213141523242526[[#This Row],[累计净值]]/MAX(INDIRECT("B21:B" &amp; ROW()))-1,E92)</f>
        <v>-0.11559633027522942</v>
      </c>
      <c r="F93" s="110">
        <f>表2_367162629303891213141523242526[[#This Row],[累计净值]]</f>
        <v>1.6220000000000001</v>
      </c>
      <c r="G93" s="20">
        <f>表2_367162629303891213141523242526[[#This Row],[累计净值]]/$B$21-1</f>
        <v>5.0518134715025864E-2</v>
      </c>
    </row>
    <row r="94" spans="1:7" x14ac:dyDescent="0.2">
      <c r="A94" s="15">
        <v>44141</v>
      </c>
      <c r="B94" s="112">
        <v>1.6020000000000001</v>
      </c>
      <c r="C94" s="108">
        <f t="shared" si="22"/>
        <v>-2.0000000000000018E-2</v>
      </c>
      <c r="D94" s="109">
        <f t="shared" si="23"/>
        <v>-2.0000000000000018E-2</v>
      </c>
      <c r="E94" s="109">
        <f ca="1">IF(表2_367162629303891213141523242526[[#This Row],[累计净值]]/MAX(INDIRECT("B21:B" &amp; ROW()))-1&lt;E93,表2_367162629303891213141523242526[[#This Row],[累计净值]]/MAX(INDIRECT("B21:B" &amp; ROW()))-1,E93)</f>
        <v>-0.11559633027522942</v>
      </c>
      <c r="F94" s="110">
        <f>表2_367162629303891213141523242526[[#This Row],[累计净值]]</f>
        <v>1.6020000000000001</v>
      </c>
      <c r="G94" s="20">
        <f>表2_367162629303891213141523242526[[#This Row],[累计净值]]/$B$21-1</f>
        <v>3.7564766839378372E-2</v>
      </c>
    </row>
    <row r="95" spans="1:7" x14ac:dyDescent="0.2">
      <c r="A95" s="15">
        <v>44144</v>
      </c>
      <c r="B95" s="112">
        <v>1.639</v>
      </c>
      <c r="C95" s="108">
        <f t="shared" si="22"/>
        <v>3.6999999999999922E-2</v>
      </c>
      <c r="D95" s="109" t="str">
        <f t="shared" si="23"/>
        <v>/</v>
      </c>
      <c r="E95" s="109">
        <f ca="1">IF(表2_367162629303891213141523242526[[#This Row],[累计净值]]/MAX(INDIRECT("B21:B" &amp; ROW()))-1&lt;E94,表2_367162629303891213141523242526[[#This Row],[累计净值]]/MAX(INDIRECT("B21:B" &amp; ROW()))-1,E94)</f>
        <v>-0.11559633027522942</v>
      </c>
      <c r="F95" s="110">
        <f>表2_367162629303891213141523242526[[#This Row],[累计净值]]</f>
        <v>1.639</v>
      </c>
      <c r="G95" s="20">
        <f>表2_367162629303891213141523242526[[#This Row],[累计净值]]/$B$21-1</f>
        <v>6.1528497409326421E-2</v>
      </c>
    </row>
    <row r="96" spans="1:7" x14ac:dyDescent="0.2">
      <c r="A96" s="15">
        <v>44145</v>
      </c>
      <c r="B96" s="112">
        <v>1.623</v>
      </c>
      <c r="C96" s="108">
        <f t="shared" si="22"/>
        <v>-1.6000000000000014E-2</v>
      </c>
      <c r="D96" s="109">
        <f t="shared" si="23"/>
        <v>-1.6000000000000014E-2</v>
      </c>
      <c r="E96" s="109">
        <f ca="1">IF(表2_367162629303891213141523242526[[#This Row],[累计净值]]/MAX(INDIRECT("B21:B" &amp; ROW()))-1&lt;E95,表2_367162629303891213141523242526[[#This Row],[累计净值]]/MAX(INDIRECT("B21:B" &amp; ROW()))-1,E95)</f>
        <v>-0.11559633027522942</v>
      </c>
      <c r="F96" s="110">
        <f>表2_367162629303891213141523242526[[#This Row],[累计净值]]</f>
        <v>1.623</v>
      </c>
      <c r="G96" s="20">
        <f>表2_367162629303891213141523242526[[#This Row],[累计净值]]/$B$21-1</f>
        <v>5.116580310880825E-2</v>
      </c>
    </row>
    <row r="97" spans="1:10" x14ac:dyDescent="0.2">
      <c r="A97" s="15">
        <v>44146</v>
      </c>
      <c r="B97" s="112">
        <v>1.5820000000000001</v>
      </c>
      <c r="C97" s="108">
        <f t="shared" si="22"/>
        <v>-4.0999999999999925E-2</v>
      </c>
      <c r="D97" s="109">
        <f t="shared" si="23"/>
        <v>-4.0999999999999925E-2</v>
      </c>
      <c r="E97" s="109">
        <f ca="1">IF(表2_367162629303891213141523242526[[#This Row],[累计净值]]/MAX(INDIRECT("B21:B" &amp; ROW()))-1&lt;E96,表2_367162629303891213141523242526[[#This Row],[累计净值]]/MAX(INDIRECT("B21:B" &amp; ROW()))-1,E96)</f>
        <v>-0.11559633027522942</v>
      </c>
      <c r="F97" s="110">
        <f>表2_367162629303891213141523242526[[#This Row],[累计净值]]</f>
        <v>1.5820000000000001</v>
      </c>
      <c r="G97" s="20">
        <f>表2_367162629303891213141523242526[[#This Row],[累计净值]]/$B$21-1</f>
        <v>2.4611398963730657E-2</v>
      </c>
    </row>
    <row r="98" spans="1:10" x14ac:dyDescent="0.2">
      <c r="A98" s="15">
        <v>44147</v>
      </c>
      <c r="B98" s="112">
        <v>1.5880000000000001</v>
      </c>
      <c r="C98" s="108">
        <f t="shared" ref="C98:C103" si="24">IFERROR(B98-B97,0)</f>
        <v>6.0000000000000053E-3</v>
      </c>
      <c r="D98" s="109" t="str">
        <f t="shared" ref="D98:D103" si="25">IF(C98&lt;0,C98,"/")</f>
        <v>/</v>
      </c>
      <c r="E98" s="109">
        <f ca="1">IF(表2_367162629303891213141523242526[[#This Row],[累计净值]]/MAX(INDIRECT("B21:B" &amp; ROW()))-1&lt;E97,表2_367162629303891213141523242526[[#This Row],[累计净值]]/MAX(INDIRECT("B21:B" &amp; ROW()))-1,E97)</f>
        <v>-0.11559633027522942</v>
      </c>
      <c r="F98" s="110">
        <f>表2_367162629303891213141523242526[[#This Row],[累计净值]]</f>
        <v>1.5880000000000001</v>
      </c>
      <c r="G98" s="20">
        <f>表2_367162629303891213141523242526[[#This Row],[累计净值]]/$B$21-1</f>
        <v>2.8497409326424972E-2</v>
      </c>
    </row>
    <row r="99" spans="1:10" x14ac:dyDescent="0.2">
      <c r="A99" s="15">
        <v>44148</v>
      </c>
      <c r="B99" s="112">
        <v>1.5920000000000001</v>
      </c>
      <c r="C99" s="108">
        <f t="shared" si="24"/>
        <v>4.0000000000000036E-3</v>
      </c>
      <c r="D99" s="109" t="str">
        <f t="shared" si="25"/>
        <v>/</v>
      </c>
      <c r="E99" s="109">
        <f ca="1">IF(表2_367162629303891213141523242526[[#This Row],[累计净值]]/MAX(INDIRECT("B21:B" &amp; ROW()))-1&lt;E98,表2_367162629303891213141523242526[[#This Row],[累计净值]]/MAX(INDIRECT("B21:B" &amp; ROW()))-1,E98)</f>
        <v>-0.11559633027522942</v>
      </c>
      <c r="F99" s="110">
        <f>表2_367162629303891213141523242526[[#This Row],[累计净值]]</f>
        <v>1.5920000000000001</v>
      </c>
      <c r="G99" s="20">
        <f>表2_367162629303891213141523242526[[#This Row],[累计净值]]/$B$21-1</f>
        <v>3.1088082901554515E-2</v>
      </c>
    </row>
    <row r="100" spans="1:10" x14ac:dyDescent="0.2">
      <c r="A100" s="15">
        <v>44151</v>
      </c>
      <c r="B100" s="112">
        <v>1.601</v>
      </c>
      <c r="C100" s="108">
        <f t="shared" si="24"/>
        <v>8.999999999999897E-3</v>
      </c>
      <c r="D100" s="109" t="str">
        <f t="shared" si="25"/>
        <v>/</v>
      </c>
      <c r="E100" s="109">
        <f ca="1">IF(表2_367162629303891213141523242526[[#This Row],[累计净值]]/MAX(INDIRECT("B21:B" &amp; ROW()))-1&lt;E99,表2_367162629303891213141523242526[[#This Row],[累计净值]]/MAX(INDIRECT("B21:B" &amp; ROW()))-1,E99)</f>
        <v>-0.11559633027522942</v>
      </c>
      <c r="F100" s="110">
        <f>表2_367162629303891213141523242526[[#This Row],[累计净值]]</f>
        <v>1.601</v>
      </c>
      <c r="G100" s="20">
        <f>表2_367162629303891213141523242526[[#This Row],[累计净值]]/$B$21-1</f>
        <v>3.6917098445595764E-2</v>
      </c>
    </row>
    <row r="101" spans="1:10" x14ac:dyDescent="0.2">
      <c r="A101" s="15">
        <v>44152</v>
      </c>
      <c r="B101" s="112">
        <v>1.5840000000000001</v>
      </c>
      <c r="C101" s="108">
        <f t="shared" si="24"/>
        <v>-1.6999999999999904E-2</v>
      </c>
      <c r="D101" s="109">
        <f t="shared" si="25"/>
        <v>-1.6999999999999904E-2</v>
      </c>
      <c r="E101" s="109">
        <f ca="1">IF(表2_367162629303891213141523242526[[#This Row],[累计净值]]/MAX(INDIRECT("B21:B" &amp; ROW()))-1&lt;E100,表2_367162629303891213141523242526[[#This Row],[累计净值]]/MAX(INDIRECT("B21:B" &amp; ROW()))-1,E100)</f>
        <v>-0.11559633027522942</v>
      </c>
      <c r="F101" s="110">
        <f>表2_367162629303891213141523242526[[#This Row],[累计净值]]</f>
        <v>1.5840000000000001</v>
      </c>
      <c r="G101" s="20">
        <f>表2_367162629303891213141523242526[[#This Row],[累计净值]]/$B$21-1</f>
        <v>2.5906735751295429E-2</v>
      </c>
      <c r="J101" s="196" t="s">
        <v>43</v>
      </c>
    </row>
    <row r="102" spans="1:10" x14ac:dyDescent="0.2">
      <c r="A102" s="15">
        <v>44153</v>
      </c>
      <c r="B102" s="112">
        <v>1.583</v>
      </c>
      <c r="C102" s="108">
        <f t="shared" si="24"/>
        <v>-1.0000000000001119E-3</v>
      </c>
      <c r="D102" s="109">
        <f t="shared" si="25"/>
        <v>-1.0000000000001119E-3</v>
      </c>
      <c r="E102" s="109">
        <f ca="1">IF(表2_367162629303891213141523242526[[#This Row],[累计净值]]/MAX(INDIRECT("B21:B" &amp; ROW()))-1&lt;E101,表2_367162629303891213141523242526[[#This Row],[累计净值]]/MAX(INDIRECT("B21:B" &amp; ROW()))-1,E101)</f>
        <v>-0.11559633027522942</v>
      </c>
      <c r="F102" s="110">
        <f>表2_367162629303891213141523242526[[#This Row],[累计净值]]</f>
        <v>1.583</v>
      </c>
      <c r="G102" s="20">
        <f>表2_367162629303891213141523242526[[#This Row],[累计净值]]/$B$21-1</f>
        <v>2.5259067357512821E-2</v>
      </c>
    </row>
    <row r="103" spans="1:10" x14ac:dyDescent="0.2">
      <c r="A103" s="15">
        <v>44154</v>
      </c>
      <c r="B103" s="112">
        <v>1.6</v>
      </c>
      <c r="C103" s="108">
        <f t="shared" si="24"/>
        <v>1.7000000000000126E-2</v>
      </c>
      <c r="D103" s="109" t="str">
        <f t="shared" si="25"/>
        <v>/</v>
      </c>
      <c r="E103" s="109">
        <f ca="1">IF(表2_367162629303891213141523242526[[#This Row],[累计净值]]/MAX(INDIRECT("B21:B" &amp; ROW()))-1&lt;E102,表2_367162629303891213141523242526[[#This Row],[累计净值]]/MAX(INDIRECT("B21:B" &amp; ROW()))-1,E102)</f>
        <v>-0.11559633027522942</v>
      </c>
      <c r="F103" s="110">
        <f>表2_367162629303891213141523242526[[#This Row],[累计净值]]</f>
        <v>1.6</v>
      </c>
      <c r="G103" s="20">
        <f>表2_367162629303891213141523242526[[#This Row],[累计净值]]/$B$21-1</f>
        <v>3.62694300518136E-2</v>
      </c>
    </row>
    <row r="104" spans="1:10" x14ac:dyDescent="0.2">
      <c r="A104" s="15">
        <v>44155</v>
      </c>
      <c r="B104" s="112">
        <v>1.619</v>
      </c>
      <c r="C104" s="108">
        <f t="shared" ref="C104:C109" si="26">IFERROR(B104-B103,0)</f>
        <v>1.8999999999999906E-2</v>
      </c>
      <c r="D104" s="109" t="str">
        <f t="shared" ref="D104:D109" si="27">IF(C104&lt;0,C104,"/")</f>
        <v>/</v>
      </c>
      <c r="E104" s="109">
        <f ca="1">IF(表2_367162629303891213141523242526[[#This Row],[累计净值]]/MAX(INDIRECT("B21:B" &amp; ROW()))-1&lt;E103,表2_367162629303891213141523242526[[#This Row],[累计净值]]/MAX(INDIRECT("B21:B" &amp; ROW()))-1,E103)</f>
        <v>-0.11559633027522942</v>
      </c>
      <c r="F104" s="110">
        <f>表2_367162629303891213141523242526[[#This Row],[累计净值]]</f>
        <v>1.619</v>
      </c>
      <c r="G104" s="20">
        <f>表2_367162629303891213141523242526[[#This Row],[累计净值]]/$B$21-1</f>
        <v>4.8575129533678707E-2</v>
      </c>
    </row>
    <row r="105" spans="1:10" x14ac:dyDescent="0.2">
      <c r="A105" s="15">
        <v>44158</v>
      </c>
      <c r="B105" s="112">
        <v>1.635</v>
      </c>
      <c r="C105" s="108">
        <f t="shared" si="26"/>
        <v>1.6000000000000014E-2</v>
      </c>
      <c r="D105" s="109" t="str">
        <f t="shared" si="27"/>
        <v>/</v>
      </c>
      <c r="E105" s="109">
        <f ca="1">IF(表2_367162629303891213141523242526[[#This Row],[累计净值]]/MAX(INDIRECT("B21:B" &amp; ROW()))-1&lt;E104,表2_367162629303891213141523242526[[#This Row],[累计净值]]/MAX(INDIRECT("B21:B" &amp; ROW()))-1,E104)</f>
        <v>-0.11559633027522942</v>
      </c>
      <c r="F105" s="110">
        <f>表2_367162629303891213141523242526[[#This Row],[累计净值]]</f>
        <v>1.635</v>
      </c>
      <c r="G105" s="20">
        <f>表2_367162629303891213141523242526[[#This Row],[累计净值]]/$B$21-1</f>
        <v>5.8937823834196879E-2</v>
      </c>
    </row>
    <row r="106" spans="1:10" x14ac:dyDescent="0.2">
      <c r="A106" s="15">
        <v>44159</v>
      </c>
      <c r="B106" s="112">
        <v>1.6359999999999999</v>
      </c>
      <c r="C106" s="108">
        <f t="shared" si="26"/>
        <v>9.9999999999988987E-4</v>
      </c>
      <c r="D106" s="109" t="str">
        <f t="shared" si="27"/>
        <v>/</v>
      </c>
      <c r="E106" s="109">
        <f ca="1">IF(表2_367162629303891213141523242526[[#This Row],[累计净值]]/MAX(INDIRECT("B21:B" &amp; ROW()))-1&lt;E105,表2_367162629303891213141523242526[[#This Row],[累计净值]]/MAX(INDIRECT("B21:B" &amp; ROW()))-1,E105)</f>
        <v>-0.11559633027522942</v>
      </c>
      <c r="F106" s="110">
        <f>表2_367162629303891213141523242526[[#This Row],[累计净值]]</f>
        <v>1.6359999999999999</v>
      </c>
      <c r="G106" s="20">
        <f>表2_367162629303891213141523242526[[#This Row],[累计净值]]/$B$21-1</f>
        <v>5.9585492227979264E-2</v>
      </c>
    </row>
    <row r="107" spans="1:10" x14ac:dyDescent="0.2">
      <c r="A107" s="15">
        <v>44160</v>
      </c>
      <c r="B107" s="112">
        <v>1.6</v>
      </c>
      <c r="C107" s="108">
        <f t="shared" si="26"/>
        <v>-3.599999999999981E-2</v>
      </c>
      <c r="D107" s="109">
        <f t="shared" si="27"/>
        <v>-3.599999999999981E-2</v>
      </c>
      <c r="E107" s="109">
        <f ca="1">IF(表2_367162629303891213141523242526[[#This Row],[累计净值]]/MAX(INDIRECT("B21:B" &amp; ROW()))-1&lt;E106,表2_367162629303891213141523242526[[#This Row],[累计净值]]/MAX(INDIRECT("B21:B" &amp; ROW()))-1,E106)</f>
        <v>-0.11559633027522942</v>
      </c>
      <c r="F107" s="110">
        <f>表2_367162629303891213141523242526[[#This Row],[累计净值]]</f>
        <v>1.6</v>
      </c>
      <c r="G107" s="20">
        <f>表2_367162629303891213141523242526[[#This Row],[累计净值]]/$B$21-1</f>
        <v>3.62694300518136E-2</v>
      </c>
    </row>
    <row r="108" spans="1:10" x14ac:dyDescent="0.2">
      <c r="A108" s="15">
        <v>44161</v>
      </c>
      <c r="B108" s="112">
        <v>1.589</v>
      </c>
      <c r="C108" s="108">
        <f t="shared" si="26"/>
        <v>-1.1000000000000121E-2</v>
      </c>
      <c r="D108" s="109">
        <f t="shared" si="27"/>
        <v>-1.1000000000000121E-2</v>
      </c>
      <c r="E108" s="109">
        <f ca="1">IF(表2_367162629303891213141523242526[[#This Row],[累计净值]]/MAX(INDIRECT("B21:B" &amp; ROW()))-1&lt;E107,表2_367162629303891213141523242526[[#This Row],[累计净值]]/MAX(INDIRECT("B21:B" &amp; ROW()))-1,E107)</f>
        <v>-0.11559633027522942</v>
      </c>
      <c r="F108" s="110">
        <f>表2_367162629303891213141523242526[[#This Row],[累计净值]]</f>
        <v>1.589</v>
      </c>
      <c r="G108" s="20">
        <f>表2_367162629303891213141523242526[[#This Row],[累计净值]]/$B$21-1</f>
        <v>2.9145077720207135E-2</v>
      </c>
    </row>
    <row r="109" spans="1:10" x14ac:dyDescent="0.2">
      <c r="A109" s="15">
        <v>44162</v>
      </c>
      <c r="B109" s="112">
        <v>1.5940000000000001</v>
      </c>
      <c r="C109" s="108">
        <f t="shared" si="26"/>
        <v>5.0000000000001155E-3</v>
      </c>
      <c r="D109" s="109" t="str">
        <f t="shared" si="27"/>
        <v>/</v>
      </c>
      <c r="E109" s="109">
        <f ca="1">IF(表2_367162629303891213141523242526[[#This Row],[累计净值]]/MAX(INDIRECT("B21:B" &amp; ROW()))-1&lt;E108,表2_367162629303891213141523242526[[#This Row],[累计净值]]/MAX(INDIRECT("B21:B" &amp; ROW()))-1,E108)</f>
        <v>-0.11559633027522942</v>
      </c>
      <c r="F109" s="110">
        <f>表2_367162629303891213141523242526[[#This Row],[累计净值]]</f>
        <v>1.5940000000000001</v>
      </c>
      <c r="G109" s="20">
        <f>表2_367162629303891213141523242526[[#This Row],[累计净值]]/$B$21-1</f>
        <v>3.2383419689119286E-2</v>
      </c>
    </row>
    <row r="110" spans="1:10" x14ac:dyDescent="0.2">
      <c r="A110" s="15">
        <v>44165</v>
      </c>
      <c r="B110" s="112">
        <v>1.59</v>
      </c>
      <c r="C110" s="108">
        <f t="shared" ref="C110:C115" si="28">IFERROR(B110-B109,0)</f>
        <v>-4.0000000000000036E-3</v>
      </c>
      <c r="D110" s="109">
        <f t="shared" ref="D110:D115" si="29">IF(C110&lt;0,C110,"/")</f>
        <v>-4.0000000000000036E-3</v>
      </c>
      <c r="E110" s="109">
        <f ca="1">IF(表2_367162629303891213141523242526[[#This Row],[累计净值]]/MAX(INDIRECT("B21:B" &amp; ROW()))-1&lt;E109,表2_367162629303891213141523242526[[#This Row],[累计净值]]/MAX(INDIRECT("B21:B" &amp; ROW()))-1,E109)</f>
        <v>-0.11559633027522942</v>
      </c>
      <c r="F110" s="110">
        <f>表2_367162629303891213141523242526[[#This Row],[累计净值]]</f>
        <v>1.59</v>
      </c>
      <c r="G110" s="20">
        <f>表2_367162629303891213141523242526[[#This Row],[累计净值]]/$B$21-1</f>
        <v>2.9792746113989743E-2</v>
      </c>
    </row>
    <row r="111" spans="1:10" x14ac:dyDescent="0.2">
      <c r="A111" s="15">
        <v>44166</v>
      </c>
      <c r="B111" s="112">
        <v>1.619</v>
      </c>
      <c r="C111" s="108">
        <f t="shared" si="28"/>
        <v>2.8999999999999915E-2</v>
      </c>
      <c r="D111" s="109" t="str">
        <f t="shared" si="29"/>
        <v>/</v>
      </c>
      <c r="E111" s="109">
        <f ca="1">IF(表2_367162629303891213141523242526[[#This Row],[累计净值]]/MAX(INDIRECT("B21:B" &amp; ROW()))-1&lt;E110,表2_367162629303891213141523242526[[#This Row],[累计净值]]/MAX(INDIRECT("B21:B" &amp; ROW()))-1,E110)</f>
        <v>-0.11559633027522942</v>
      </c>
      <c r="F111" s="110">
        <f>表2_367162629303891213141523242526[[#This Row],[累计净值]]</f>
        <v>1.619</v>
      </c>
      <c r="G111" s="20">
        <f>表2_367162629303891213141523242526[[#This Row],[累计净值]]/$B$21-1</f>
        <v>4.8575129533678707E-2</v>
      </c>
    </row>
    <row r="112" spans="1:10" x14ac:dyDescent="0.2">
      <c r="A112" s="15">
        <v>44167</v>
      </c>
      <c r="B112" s="112">
        <v>1.62</v>
      </c>
      <c r="C112" s="108">
        <f t="shared" si="28"/>
        <v>1.0000000000001119E-3</v>
      </c>
      <c r="D112" s="109" t="str">
        <f t="shared" si="29"/>
        <v>/</v>
      </c>
      <c r="E112" s="109">
        <f ca="1">IF(表2_367162629303891213141523242526[[#This Row],[累计净值]]/MAX(INDIRECT("B21:B" &amp; ROW()))-1&lt;E111,表2_367162629303891213141523242526[[#This Row],[累计净值]]/MAX(INDIRECT("B21:B" &amp; ROW()))-1,E111)</f>
        <v>-0.11559633027522942</v>
      </c>
      <c r="F112" s="110">
        <f>表2_367162629303891213141523242526[[#This Row],[累计净值]]</f>
        <v>1.62</v>
      </c>
      <c r="G112" s="20">
        <f>表2_367162629303891213141523242526[[#This Row],[累计净值]]/$B$21-1</f>
        <v>4.9222797927461093E-2</v>
      </c>
    </row>
    <row r="113" spans="1:7" x14ac:dyDescent="0.2">
      <c r="A113" s="15">
        <v>44168</v>
      </c>
      <c r="B113" s="112">
        <v>1.6160000000000001</v>
      </c>
      <c r="C113" s="108">
        <f t="shared" si="28"/>
        <v>-4.0000000000000036E-3</v>
      </c>
      <c r="D113" s="109">
        <f t="shared" si="29"/>
        <v>-4.0000000000000036E-3</v>
      </c>
      <c r="E113" s="109">
        <f ca="1">IF(表2_367162629303891213141523242526[[#This Row],[累计净值]]/MAX(INDIRECT("B21:B" &amp; ROW()))-1&lt;E112,表2_367162629303891213141523242526[[#This Row],[累计净值]]/MAX(INDIRECT("B21:B" &amp; ROW()))-1,E112)</f>
        <v>-0.11559633027522942</v>
      </c>
      <c r="F113" s="110">
        <f>表2_367162629303891213141523242526[[#This Row],[累计净值]]</f>
        <v>1.6160000000000001</v>
      </c>
      <c r="G113" s="20">
        <f>表2_367162629303891213141523242526[[#This Row],[累计净值]]/$B$21-1</f>
        <v>4.663212435233155E-2</v>
      </c>
    </row>
    <row r="114" spans="1:7" x14ac:dyDescent="0.2">
      <c r="A114" s="15">
        <v>44169</v>
      </c>
      <c r="B114" s="113">
        <v>1.627</v>
      </c>
      <c r="C114" s="108">
        <f t="shared" si="28"/>
        <v>1.0999999999999899E-2</v>
      </c>
      <c r="D114" s="109" t="str">
        <f t="shared" si="29"/>
        <v>/</v>
      </c>
      <c r="E114" s="109">
        <f ca="1">IF(表2_367162629303891213141523242526[[#This Row],[累计净值]]/MAX(INDIRECT("B21:B" &amp; ROW()))-1&lt;E113,表2_367162629303891213141523242526[[#This Row],[累计净值]]/MAX(INDIRECT("B21:B" &amp; ROW()))-1,E113)</f>
        <v>-0.11559633027522942</v>
      </c>
      <c r="F114" s="110">
        <f>表2_367162629303891213141523242526[[#This Row],[累计净值]]</f>
        <v>1.627</v>
      </c>
      <c r="G114" s="20">
        <f>表2_367162629303891213141523242526[[#This Row],[累计净值]]/$B$21-1</f>
        <v>5.3756476683937793E-2</v>
      </c>
    </row>
    <row r="115" spans="1:7" x14ac:dyDescent="0.2">
      <c r="A115" s="15">
        <v>44172</v>
      </c>
      <c r="B115" s="112">
        <v>1.6220000000000001</v>
      </c>
      <c r="C115" s="108">
        <f t="shared" si="28"/>
        <v>-4.9999999999998934E-3</v>
      </c>
      <c r="D115" s="109">
        <f t="shared" si="29"/>
        <v>-4.9999999999998934E-3</v>
      </c>
      <c r="E115" s="109">
        <f ca="1">IF(表2_367162629303891213141523242526[[#This Row],[累计净值]]/MAX(INDIRECT("B21:B" &amp; ROW()))-1&lt;E114,表2_367162629303891213141523242526[[#This Row],[累计净值]]/MAX(INDIRECT("B21:B" &amp; ROW()))-1,E114)</f>
        <v>-0.11559633027522942</v>
      </c>
      <c r="F115" s="110">
        <f>表2_367162629303891213141523242526[[#This Row],[累计净值]]</f>
        <v>1.6220000000000001</v>
      </c>
      <c r="G115" s="20">
        <f>表2_367162629303891213141523242526[[#This Row],[累计净值]]/$B$21-1</f>
        <v>5.0518134715025864E-2</v>
      </c>
    </row>
    <row r="116" spans="1:7" x14ac:dyDescent="0.2">
      <c r="A116" s="15">
        <v>44173</v>
      </c>
      <c r="B116" s="112">
        <v>1.6259999999999999</v>
      </c>
      <c r="C116" s="108">
        <f t="shared" ref="C116:C121" si="30">IFERROR(B116-B115,0)</f>
        <v>3.9999999999997815E-3</v>
      </c>
      <c r="D116" s="109" t="str">
        <f t="shared" ref="D116:D121" si="31">IF(C116&lt;0,C116,"/")</f>
        <v>/</v>
      </c>
      <c r="E116" s="109">
        <f ca="1">IF(表2_367162629303891213141523242526[[#This Row],[累计净值]]/MAX(INDIRECT("B21:B" &amp; ROW()))-1&lt;E115,表2_367162629303891213141523242526[[#This Row],[累计净值]]/MAX(INDIRECT("B21:B" &amp; ROW()))-1,E115)</f>
        <v>-0.11559633027522942</v>
      </c>
      <c r="F116" s="110">
        <f>表2_367162629303891213141523242526[[#This Row],[累计净值]]</f>
        <v>1.6259999999999999</v>
      </c>
      <c r="G116" s="20">
        <f>表2_367162629303891213141523242526[[#This Row],[累计净值]]/$B$21-1</f>
        <v>5.3108808290155407E-2</v>
      </c>
    </row>
    <row r="117" spans="1:7" x14ac:dyDescent="0.2">
      <c r="A117" s="15">
        <v>44174</v>
      </c>
      <c r="B117" s="112">
        <v>1.595</v>
      </c>
      <c r="C117" s="108">
        <f t="shared" si="30"/>
        <v>-3.0999999999999917E-2</v>
      </c>
      <c r="D117" s="109">
        <f t="shared" si="31"/>
        <v>-3.0999999999999917E-2</v>
      </c>
      <c r="E117" s="109">
        <f ca="1">IF(表2_367162629303891213141523242526[[#This Row],[累计净值]]/MAX(INDIRECT("B21:B" &amp; ROW()))-1&lt;E116,表2_367162629303891213141523242526[[#This Row],[累计净值]]/MAX(INDIRECT("B21:B" &amp; ROW()))-1,E116)</f>
        <v>-0.11559633027522942</v>
      </c>
      <c r="F117" s="110">
        <f>表2_367162629303891213141523242526[[#This Row],[累计净值]]</f>
        <v>1.595</v>
      </c>
      <c r="G117" s="20">
        <f>表2_367162629303891213141523242526[[#This Row],[累计净值]]/$B$21-1</f>
        <v>3.303108808290145E-2</v>
      </c>
    </row>
    <row r="118" spans="1:7" x14ac:dyDescent="0.2">
      <c r="A118" s="15">
        <v>44175</v>
      </c>
      <c r="B118" s="112">
        <v>1.6040000000000001</v>
      </c>
      <c r="C118" s="108">
        <f t="shared" si="30"/>
        <v>9.000000000000119E-3</v>
      </c>
      <c r="D118" s="109" t="str">
        <f t="shared" si="31"/>
        <v>/</v>
      </c>
      <c r="E118" s="109">
        <f ca="1">IF(表2_367162629303891213141523242526[[#This Row],[累计净值]]/MAX(INDIRECT("B21:B" &amp; ROW()))-1&lt;E117,表2_367162629303891213141523242526[[#This Row],[累计净值]]/MAX(INDIRECT("B21:B" &amp; ROW()))-1,E117)</f>
        <v>-0.11559633027522942</v>
      </c>
      <c r="F118" s="110">
        <f>表2_367162629303891213141523242526[[#This Row],[累计净值]]</f>
        <v>1.6040000000000001</v>
      </c>
      <c r="G118" s="20">
        <f>表2_367162629303891213141523242526[[#This Row],[累计净值]]/$B$21-1</f>
        <v>3.8860103626943143E-2</v>
      </c>
    </row>
    <row r="119" spans="1:7" x14ac:dyDescent="0.2">
      <c r="A119" s="15">
        <v>44176</v>
      </c>
      <c r="B119" s="112">
        <v>1.5820000000000001</v>
      </c>
      <c r="C119" s="108">
        <f t="shared" si="30"/>
        <v>-2.200000000000002E-2</v>
      </c>
      <c r="D119" s="109">
        <f t="shared" si="31"/>
        <v>-2.200000000000002E-2</v>
      </c>
      <c r="E119" s="109">
        <f ca="1">IF(表2_367162629303891213141523242526[[#This Row],[累计净值]]/MAX(INDIRECT("B21:B" &amp; ROW()))-1&lt;E118,表2_367162629303891213141523242526[[#This Row],[累计净值]]/MAX(INDIRECT("B21:B" &amp; ROW()))-1,E118)</f>
        <v>-0.11559633027522942</v>
      </c>
      <c r="F119" s="110">
        <f>表2_367162629303891213141523242526[[#This Row],[累计净值]]</f>
        <v>1.5820000000000001</v>
      </c>
      <c r="G119" s="20">
        <f>表2_367162629303891213141523242526[[#This Row],[累计净值]]/$B$21-1</f>
        <v>2.4611398963730657E-2</v>
      </c>
    </row>
    <row r="120" spans="1:7" x14ac:dyDescent="0.2">
      <c r="A120" s="15">
        <v>44179</v>
      </c>
      <c r="B120" s="112">
        <v>1.609</v>
      </c>
      <c r="C120" s="108">
        <f t="shared" si="30"/>
        <v>2.6999999999999913E-2</v>
      </c>
      <c r="D120" s="109" t="str">
        <f t="shared" si="31"/>
        <v>/</v>
      </c>
      <c r="E120" s="109">
        <f ca="1">IF(表2_367162629303891213141523242526[[#This Row],[累计净值]]/MAX(INDIRECT("B21:B" &amp; ROW()))-1&lt;E119,表2_367162629303891213141523242526[[#This Row],[累计净值]]/MAX(INDIRECT("B21:B" &amp; ROW()))-1,E119)</f>
        <v>-0.11559633027522942</v>
      </c>
      <c r="F120" s="110">
        <f>表2_367162629303891213141523242526[[#This Row],[累计净值]]</f>
        <v>1.609</v>
      </c>
      <c r="G120" s="20">
        <f>表2_367162629303891213141523242526[[#This Row],[累计净值]]/$B$21-1</f>
        <v>4.209844559585485E-2</v>
      </c>
    </row>
    <row r="121" spans="1:7" x14ac:dyDescent="0.2">
      <c r="A121" s="15">
        <v>44180</v>
      </c>
      <c r="B121" s="112">
        <v>1.6180000000000001</v>
      </c>
      <c r="C121" s="108">
        <f t="shared" si="30"/>
        <v>9.000000000000119E-3</v>
      </c>
      <c r="D121" s="109" t="str">
        <f t="shared" si="31"/>
        <v>/</v>
      </c>
      <c r="E121" s="109">
        <f ca="1">IF(表2_367162629303891213141523242526[[#This Row],[累计净值]]/MAX(INDIRECT("B21:B" &amp; ROW()))-1&lt;E120,表2_367162629303891213141523242526[[#This Row],[累计净值]]/MAX(INDIRECT("B21:B" &amp; ROW()))-1,E120)</f>
        <v>-0.11559633027522942</v>
      </c>
      <c r="F121" s="110">
        <f>表2_367162629303891213141523242526[[#This Row],[累计净值]]</f>
        <v>1.6180000000000001</v>
      </c>
      <c r="G121" s="20">
        <f>表2_367162629303891213141523242526[[#This Row],[累计净值]]/$B$21-1</f>
        <v>4.7927461139896321E-2</v>
      </c>
    </row>
    <row r="122" spans="1:7" x14ac:dyDescent="0.2">
      <c r="A122" s="15">
        <v>44181</v>
      </c>
      <c r="B122" s="112">
        <v>1.6060000000000001</v>
      </c>
      <c r="C122" s="108">
        <f t="shared" ref="C122:C127" si="32">IFERROR(B122-B121,0)</f>
        <v>-1.2000000000000011E-2</v>
      </c>
      <c r="D122" s="109">
        <f t="shared" ref="D122:D127" si="33">IF(C122&lt;0,C122,"/")</f>
        <v>-1.2000000000000011E-2</v>
      </c>
      <c r="E122" s="109">
        <f ca="1">IF(表2_367162629303891213141523242526[[#This Row],[累计净值]]/MAX(INDIRECT("B21:B" &amp; ROW()))-1&lt;E121,表2_367162629303891213141523242526[[#This Row],[累计净值]]/MAX(INDIRECT("B21:B" &amp; ROW()))-1,E121)</f>
        <v>-0.11559633027522942</v>
      </c>
      <c r="F122" s="110">
        <f>表2_367162629303891213141523242526[[#This Row],[累计净值]]</f>
        <v>1.6060000000000001</v>
      </c>
      <c r="G122" s="20">
        <f>表2_367162629303891213141523242526[[#This Row],[累计净值]]/$B$21-1</f>
        <v>4.0155440414507915E-2</v>
      </c>
    </row>
    <row r="123" spans="1:7" x14ac:dyDescent="0.2">
      <c r="A123" s="15">
        <v>44182</v>
      </c>
      <c r="B123" s="112">
        <v>1.6279999999999999</v>
      </c>
      <c r="C123" s="108">
        <f t="shared" si="32"/>
        <v>2.1999999999999797E-2</v>
      </c>
      <c r="D123" s="109" t="str">
        <f t="shared" si="33"/>
        <v>/</v>
      </c>
      <c r="E123" s="109">
        <f ca="1">IF(表2_367162629303891213141523242526[[#This Row],[累计净值]]/MAX(INDIRECT("B21:B" &amp; ROW()))-1&lt;E122,表2_367162629303891213141523242526[[#This Row],[累计净值]]/MAX(INDIRECT("B21:B" &amp; ROW()))-1,E122)</f>
        <v>-0.11559633027522942</v>
      </c>
      <c r="F123" s="110">
        <f>表2_367162629303891213141523242526[[#This Row],[累计净值]]</f>
        <v>1.6279999999999999</v>
      </c>
      <c r="G123" s="20">
        <f>表2_367162629303891213141523242526[[#This Row],[累计净值]]/$B$21-1</f>
        <v>5.4404145077720178E-2</v>
      </c>
    </row>
    <row r="124" spans="1:7" x14ac:dyDescent="0.2">
      <c r="A124" s="15">
        <v>44183</v>
      </c>
      <c r="B124" s="112">
        <v>1.62</v>
      </c>
      <c r="C124" s="108">
        <f t="shared" si="32"/>
        <v>-7.9999999999997851E-3</v>
      </c>
      <c r="D124" s="109">
        <f t="shared" si="33"/>
        <v>-7.9999999999997851E-3</v>
      </c>
      <c r="E124" s="109">
        <f ca="1">IF(表2_367162629303891213141523242526[[#This Row],[累计净值]]/MAX(INDIRECT("B21:B" &amp; ROW()))-1&lt;E123,表2_367162629303891213141523242526[[#This Row],[累计净值]]/MAX(INDIRECT("B21:B" &amp; ROW()))-1,E123)</f>
        <v>-0.11559633027522942</v>
      </c>
      <c r="F124" s="110">
        <f>表2_367162629303891213141523242526[[#This Row],[累计净值]]</f>
        <v>1.62</v>
      </c>
      <c r="G124" s="20">
        <f>表2_367162629303891213141523242526[[#This Row],[累计净值]]/$B$21-1</f>
        <v>4.9222797927461093E-2</v>
      </c>
    </row>
    <row r="125" spans="1:7" x14ac:dyDescent="0.2">
      <c r="A125" s="15">
        <v>44186</v>
      </c>
      <c r="B125" s="112">
        <v>1.6539999999999999</v>
      </c>
      <c r="C125" s="108">
        <f t="shared" si="32"/>
        <v>3.3999999999999808E-2</v>
      </c>
      <c r="D125" s="109" t="str">
        <f t="shared" si="33"/>
        <v>/</v>
      </c>
      <c r="E125" s="109">
        <f ca="1">IF(表2_367162629303891213141523242526[[#This Row],[累计净值]]/MAX(INDIRECT("B21:B" &amp; ROW()))-1&lt;E124,表2_367162629303891213141523242526[[#This Row],[累计净值]]/MAX(INDIRECT("B21:B" &amp; ROW()))-1,E124)</f>
        <v>-0.11559633027522942</v>
      </c>
      <c r="F125" s="110">
        <f>表2_367162629303891213141523242526[[#This Row],[累计净值]]</f>
        <v>1.6539999999999999</v>
      </c>
      <c r="G125" s="20">
        <f>表2_367162629303891213141523242526[[#This Row],[累计净值]]/$B$21-1</f>
        <v>7.1243523316061985E-2</v>
      </c>
    </row>
    <row r="126" spans="1:7" x14ac:dyDescent="0.2">
      <c r="A126" s="15">
        <v>44187</v>
      </c>
      <c r="B126" s="112">
        <v>1.619</v>
      </c>
      <c r="C126" s="108">
        <f t="shared" si="32"/>
        <v>-3.499999999999992E-2</v>
      </c>
      <c r="D126" s="109">
        <f t="shared" si="33"/>
        <v>-3.499999999999992E-2</v>
      </c>
      <c r="E126" s="109">
        <f ca="1">IF(表2_367162629303891213141523242526[[#This Row],[累计净值]]/MAX(INDIRECT("B21:B" &amp; ROW()))-1&lt;E125,表2_367162629303891213141523242526[[#This Row],[累计净值]]/MAX(INDIRECT("B21:B" &amp; ROW()))-1,E125)</f>
        <v>-0.11559633027522942</v>
      </c>
      <c r="F126" s="110">
        <f>表2_367162629303891213141523242526[[#This Row],[累计净值]]</f>
        <v>1.619</v>
      </c>
      <c r="G126" s="20">
        <f>表2_367162629303891213141523242526[[#This Row],[累计净值]]/$B$21-1</f>
        <v>4.8575129533678707E-2</v>
      </c>
    </row>
    <row r="127" spans="1:7" x14ac:dyDescent="0.2">
      <c r="A127" s="15">
        <v>44188</v>
      </c>
      <c r="B127" s="112">
        <v>1.6419999999999999</v>
      </c>
      <c r="C127" s="108">
        <f t="shared" si="32"/>
        <v>2.2999999999999909E-2</v>
      </c>
      <c r="D127" s="109" t="str">
        <f t="shared" si="33"/>
        <v>/</v>
      </c>
      <c r="E127" s="109">
        <f ca="1">IF(表2_367162629303891213141523242526[[#This Row],[累计净值]]/MAX(INDIRECT("B21:B" &amp; ROW()))-1&lt;E126,表2_367162629303891213141523242526[[#This Row],[累计净值]]/MAX(INDIRECT("B21:B" &amp; ROW()))-1,E126)</f>
        <v>-0.11559633027522942</v>
      </c>
      <c r="F127" s="110">
        <f>表2_367162629303891213141523242526[[#This Row],[累计净值]]</f>
        <v>1.6419999999999999</v>
      </c>
      <c r="G127" s="20">
        <f>表2_367162629303891213141523242526[[#This Row],[累计净值]]/$B$21-1</f>
        <v>6.3471502590673579E-2</v>
      </c>
    </row>
    <row r="128" spans="1:7" x14ac:dyDescent="0.2">
      <c r="A128" s="15">
        <v>44189</v>
      </c>
      <c r="B128" s="112">
        <v>1.6240000000000001</v>
      </c>
      <c r="C128" s="108">
        <f t="shared" ref="C128:C129" si="34">IFERROR(B128-B127,0)</f>
        <v>-1.7999999999999794E-2</v>
      </c>
      <c r="D128" s="109">
        <f t="shared" ref="D128:D129" si="35">IF(C128&lt;0,C128,"/")</f>
        <v>-1.7999999999999794E-2</v>
      </c>
      <c r="E128" s="109">
        <f ca="1">IF(表2_367162629303891213141523242526[[#This Row],[累计净值]]/MAX(INDIRECT("B21:B" &amp; ROW()))-1&lt;E127,表2_367162629303891213141523242526[[#This Row],[累计净值]]/MAX(INDIRECT("B21:B" &amp; ROW()))-1,E127)</f>
        <v>-0.11559633027522942</v>
      </c>
      <c r="F128" s="110">
        <f>表2_367162629303891213141523242526[[#This Row],[累计净值]]</f>
        <v>1.6240000000000001</v>
      </c>
      <c r="G128" s="20">
        <f>表2_367162629303891213141523242526[[#This Row],[累计净值]]/$B$21-1</f>
        <v>5.1813471502590636E-2</v>
      </c>
    </row>
    <row r="129" spans="1:7" x14ac:dyDescent="0.2">
      <c r="A129" s="15">
        <v>44190</v>
      </c>
      <c r="B129" s="112">
        <v>1.645</v>
      </c>
      <c r="C129" s="108">
        <f t="shared" si="34"/>
        <v>2.0999999999999908E-2</v>
      </c>
      <c r="D129" s="109" t="str">
        <f t="shared" si="35"/>
        <v>/</v>
      </c>
      <c r="E129" s="109">
        <f ca="1">IF(表2_367162629303891213141523242526[[#This Row],[累计净值]]/MAX(INDIRECT("B21:B" &amp; ROW()))-1&lt;E128,表2_367162629303891213141523242526[[#This Row],[累计净值]]/MAX(INDIRECT("B21:B" &amp; ROW()))-1,E128)</f>
        <v>-0.11559633027522942</v>
      </c>
      <c r="F129" s="110">
        <f>表2_367162629303891213141523242526[[#This Row],[累计净值]]</f>
        <v>1.645</v>
      </c>
      <c r="G129" s="20">
        <f>表2_367162629303891213141523242526[[#This Row],[累计净值]]/$B$21-1</f>
        <v>6.5414507772020736E-2</v>
      </c>
    </row>
    <row r="130" spans="1:7" x14ac:dyDescent="0.2">
      <c r="A130" s="15">
        <v>44193</v>
      </c>
      <c r="B130" s="112">
        <v>1.64</v>
      </c>
      <c r="C130" s="108">
        <f>IFERROR(B130-B129,0)</f>
        <v>-5.0000000000001155E-3</v>
      </c>
      <c r="D130" s="109">
        <f>IF(C130&lt;0,C130,"/")</f>
        <v>-5.0000000000001155E-3</v>
      </c>
      <c r="E130" s="109">
        <f ca="1">IF(表2_367162629303891213141523242526[[#This Row],[累计净值]]/MAX(INDIRECT("B21:B" &amp; ROW()))-1&lt;E129,表2_367162629303891213141523242526[[#This Row],[累计净值]]/MAX(INDIRECT("B21:B" &amp; ROW()))-1,E129)</f>
        <v>-0.11559633027522942</v>
      </c>
      <c r="F130" s="110">
        <f>表2_367162629303891213141523242526[[#This Row],[累计净值]]</f>
        <v>1.64</v>
      </c>
      <c r="G130" s="20">
        <f>表2_367162629303891213141523242526[[#This Row],[累计净值]]/$B$21-1</f>
        <v>6.2176165803108807E-2</v>
      </c>
    </row>
    <row r="131" spans="1:7" x14ac:dyDescent="0.2">
      <c r="A131" s="15">
        <v>44194</v>
      </c>
      <c r="B131" s="112">
        <v>1.6359999999999999</v>
      </c>
      <c r="C131" s="108">
        <f>IFERROR(B131-B130,0)</f>
        <v>-4.0000000000000036E-3</v>
      </c>
      <c r="D131" s="109">
        <f>IF(C131&lt;0,C131,"/")</f>
        <v>-4.0000000000000036E-3</v>
      </c>
      <c r="E131" s="109">
        <f ca="1">IF(表2_367162629303891213141523242526[[#This Row],[累计净值]]/MAX(INDIRECT("B21:B" &amp; ROW()))-1&lt;E130,表2_367162629303891213141523242526[[#This Row],[累计净值]]/MAX(INDIRECT("B21:B" &amp; ROW()))-1,E130)</f>
        <v>-0.11559633027522942</v>
      </c>
      <c r="F131" s="110">
        <f>表2_367162629303891213141523242526[[#This Row],[累计净值]]</f>
        <v>1.6359999999999999</v>
      </c>
      <c r="G131" s="20">
        <f>表2_367162629303891213141523242526[[#This Row],[累计净值]]/$B$21-1</f>
        <v>5.9585492227979264E-2</v>
      </c>
    </row>
    <row r="132" spans="1:7" x14ac:dyDescent="0.2">
      <c r="A132" s="15">
        <v>44195</v>
      </c>
      <c r="B132" s="112">
        <v>1.6559999999999999</v>
      </c>
      <c r="C132" s="108">
        <f t="shared" ref="C132:C133" si="36">IFERROR(B132-B131,0)</f>
        <v>2.0000000000000018E-2</v>
      </c>
      <c r="D132" s="109" t="str">
        <f t="shared" ref="D132:D133" si="37">IF(C132&lt;0,C132,"/")</f>
        <v>/</v>
      </c>
      <c r="E132" s="109">
        <f ca="1">IF(表2_367162629303891213141523242526[[#This Row],[累计净值]]/MAX(INDIRECT("B21:B" &amp; ROW()))-1&lt;E131,表2_367162629303891213141523242526[[#This Row],[累计净值]]/MAX(INDIRECT("B21:B" &amp; ROW()))-1,E131)</f>
        <v>-0.11559633027522942</v>
      </c>
      <c r="F132" s="110">
        <f>表2_367162629303891213141523242526[[#This Row],[累计净值]]</f>
        <v>1.6559999999999999</v>
      </c>
      <c r="G132" s="20">
        <f>表2_367162629303891213141523242526[[#This Row],[累计净值]]/$B$21-1</f>
        <v>7.2538860103626757E-2</v>
      </c>
    </row>
    <row r="133" spans="1:7" x14ac:dyDescent="0.2">
      <c r="A133" s="15">
        <v>44196</v>
      </c>
      <c r="B133" s="112">
        <v>1.6839999999999999</v>
      </c>
      <c r="C133" s="108">
        <f t="shared" si="36"/>
        <v>2.8000000000000025E-2</v>
      </c>
      <c r="D133" s="109" t="str">
        <f t="shared" si="37"/>
        <v>/</v>
      </c>
      <c r="E133" s="109">
        <f ca="1">IF(表2_367162629303891213141523242526[[#This Row],[累计净值]]/MAX(INDIRECT("B21:B" &amp; ROW()))-1&lt;E132,表2_367162629303891213141523242526[[#This Row],[累计净值]]/MAX(INDIRECT("B21:B" &amp; ROW()))-1,E132)</f>
        <v>-0.11559633027522942</v>
      </c>
      <c r="F133" s="110">
        <f>表2_367162629303891213141523242526[[#This Row],[累计净值]]</f>
        <v>1.6839999999999999</v>
      </c>
      <c r="G133" s="20">
        <f>表2_367162629303891213141523242526[[#This Row],[累计净值]]/$B$21-1</f>
        <v>9.0673575129533557E-2</v>
      </c>
    </row>
    <row r="134" spans="1:7" x14ac:dyDescent="0.2">
      <c r="A134" s="15">
        <v>44200</v>
      </c>
      <c r="B134" s="112">
        <v>1.73</v>
      </c>
      <c r="C134" s="108">
        <f>IFERROR(B134-B133,0)</f>
        <v>4.6000000000000041E-2</v>
      </c>
      <c r="D134" s="109" t="str">
        <f>IF(C134&lt;0,C134,"/")</f>
        <v>/</v>
      </c>
      <c r="E134" s="109">
        <f ca="1">IF(表2_367162629303891213141523242526[[#This Row],[累计净值]]/MAX(INDIRECT("B21:B" &amp; ROW()))-1&lt;E133,表2_367162629303891213141523242526[[#This Row],[累计净值]]/MAX(INDIRECT("B21:B" &amp; ROW()))-1,E133)</f>
        <v>-0.11559633027522942</v>
      </c>
      <c r="F134" s="110">
        <f>表2_367162629303891213141523242526[[#This Row],[累计净值]]</f>
        <v>1.73</v>
      </c>
      <c r="G134" s="20">
        <f>表2_367162629303891213141523242526[[#This Row],[累计净值]]/$B$21-1</f>
        <v>0.1204663212435233</v>
      </c>
    </row>
    <row r="135" spans="1:7" x14ac:dyDescent="0.2">
      <c r="A135" s="15">
        <v>44201</v>
      </c>
      <c r="B135" s="117">
        <v>1.732</v>
      </c>
      <c r="C135" s="108">
        <f>IFERROR(B135-B134,0)</f>
        <v>2.0000000000000018E-3</v>
      </c>
      <c r="D135" s="109" t="str">
        <f>IF(C135&lt;0,C135,"/")</f>
        <v>/</v>
      </c>
      <c r="E135" s="109">
        <f ca="1">IF(表2_367162629303891213141523242526[[#This Row],[累计净值]]/MAX(INDIRECT("B21:B" &amp; ROW()))-1&lt;E134,表2_367162629303891213141523242526[[#This Row],[累计净值]]/MAX(INDIRECT("B21:B" &amp; ROW()))-1,E134)</f>
        <v>-0.11559633027522942</v>
      </c>
      <c r="F135" s="110">
        <f>表2_367162629303891213141523242526[[#This Row],[累计净值]]</f>
        <v>1.732</v>
      </c>
      <c r="G135" s="20">
        <f>表2_367162629303891213141523242526[[#This Row],[累计净值]]/$B$21-1</f>
        <v>0.12176165803108807</v>
      </c>
    </row>
    <row r="136" spans="1:7" x14ac:dyDescent="0.2">
      <c r="A136" s="15">
        <v>44202</v>
      </c>
      <c r="B136" s="112">
        <v>1.7110000000000001</v>
      </c>
      <c r="C136" s="108">
        <f>IFERROR(B136-B135,0)</f>
        <v>-2.0999999999999908E-2</v>
      </c>
      <c r="D136" s="109">
        <f>IF(C136&lt;0,C136,"/")</f>
        <v>-2.0999999999999908E-2</v>
      </c>
      <c r="E136" s="109">
        <f ca="1">IF(表2_367162629303891213141523242526[[#This Row],[累计净值]]/MAX(INDIRECT("B21:B" &amp; ROW()))-1&lt;E135,表2_367162629303891213141523242526[[#This Row],[累计净值]]/MAX(INDIRECT("B21:B" &amp; ROW()))-1,E135)</f>
        <v>-0.11559633027522942</v>
      </c>
      <c r="F136" s="110">
        <f>表2_367162629303891213141523242526[[#This Row],[累计净值]]</f>
        <v>1.7110000000000001</v>
      </c>
      <c r="G136" s="20">
        <f>表2_367162629303891213141523242526[[#This Row],[累计净值]]/$B$21-1</f>
        <v>0.10816062176165797</v>
      </c>
    </row>
    <row r="137" spans="1:7" x14ac:dyDescent="0.2">
      <c r="A137" s="15">
        <v>44203</v>
      </c>
      <c r="B137" s="112">
        <v>1.696</v>
      </c>
      <c r="C137" s="108">
        <f t="shared" ref="C137:C138" si="38">IFERROR(B137-B136,0)</f>
        <v>-1.5000000000000124E-2</v>
      </c>
      <c r="D137" s="109">
        <f t="shared" ref="D137:D138" si="39">IF(C137&lt;0,C137,"/")</f>
        <v>-1.5000000000000124E-2</v>
      </c>
      <c r="E137" s="109">
        <f ca="1">IF(表2_367162629303891213141523242526[[#This Row],[累计净值]]/MAX(INDIRECT("B21:B" &amp; ROW()))-1&lt;E136,表2_367162629303891213141523242526[[#This Row],[累计净值]]/MAX(INDIRECT("B21:B" &amp; ROW()))-1,E136)</f>
        <v>-0.11559633027522942</v>
      </c>
      <c r="F137" s="110">
        <f>表2_367162629303891213141523242526[[#This Row],[累计净值]]</f>
        <v>1.696</v>
      </c>
      <c r="G137" s="20">
        <f>表2_367162629303891213141523242526[[#This Row],[累计净值]]/$B$21-1</f>
        <v>9.8445595854922185E-2</v>
      </c>
    </row>
    <row r="138" spans="1:7" x14ac:dyDescent="0.2">
      <c r="A138" s="15">
        <v>44204</v>
      </c>
      <c r="B138" s="112">
        <v>1.696</v>
      </c>
      <c r="C138" s="108">
        <f t="shared" si="38"/>
        <v>0</v>
      </c>
      <c r="D138" s="109" t="str">
        <f t="shared" si="39"/>
        <v>/</v>
      </c>
      <c r="E138" s="109">
        <f ca="1">IF(表2_367162629303891213141523242526[[#This Row],[累计净值]]/MAX(INDIRECT("B21:B" &amp; ROW()))-1&lt;E137,表2_367162629303891213141523242526[[#This Row],[累计净值]]/MAX(INDIRECT("B21:B" &amp; ROW()))-1,E137)</f>
        <v>-0.11559633027522942</v>
      </c>
      <c r="F138" s="110">
        <f>表2_367162629303891213141523242526[[#This Row],[累计净值]]</f>
        <v>1.696</v>
      </c>
      <c r="G138" s="20">
        <f>表2_367162629303891213141523242526[[#This Row],[累计净值]]/$B$21-1</f>
        <v>9.8445595854922185E-2</v>
      </c>
    </row>
    <row r="139" spans="1:7" x14ac:dyDescent="0.2">
      <c r="A139" s="15">
        <v>44207</v>
      </c>
      <c r="B139" s="112">
        <v>1.675</v>
      </c>
      <c r="C139" s="108">
        <f t="shared" ref="C139:C144" si="40">IFERROR(B139-B138,0)</f>
        <v>-2.0999999999999908E-2</v>
      </c>
      <c r="D139" s="109">
        <f t="shared" ref="D139:D144" si="41">IF(C139&lt;0,C139,"/")</f>
        <v>-2.0999999999999908E-2</v>
      </c>
      <c r="E139" s="109">
        <f ca="1">IF(表2_367162629303891213141523242526[[#This Row],[累计净值]]/MAX(INDIRECT("B21:B" &amp; ROW()))-1&lt;E138,表2_367162629303891213141523242526[[#This Row],[累计净值]]/MAX(INDIRECT("B21:B" &amp; ROW()))-1,E138)</f>
        <v>-0.11559633027522942</v>
      </c>
      <c r="F139" s="110">
        <f>表2_367162629303891213141523242526[[#This Row],[累计净值]]</f>
        <v>1.675</v>
      </c>
      <c r="G139" s="20">
        <f>表2_367162629303891213141523242526[[#This Row],[累计净值]]/$B$21-1</f>
        <v>8.4844559585492307E-2</v>
      </c>
    </row>
    <row r="140" spans="1:7" x14ac:dyDescent="0.2">
      <c r="A140" s="15">
        <v>44208</v>
      </c>
      <c r="B140" s="112">
        <v>1.7050000000000001</v>
      </c>
      <c r="C140" s="108">
        <f t="shared" si="40"/>
        <v>3.0000000000000027E-2</v>
      </c>
      <c r="D140" s="109" t="str">
        <f t="shared" si="41"/>
        <v>/</v>
      </c>
      <c r="E140" s="109">
        <f ca="1">IF(表2_367162629303891213141523242526[[#This Row],[累计净值]]/MAX(INDIRECT("B21:B" &amp; ROW()))-1&lt;E139,表2_367162629303891213141523242526[[#This Row],[累计净值]]/MAX(INDIRECT("B21:B" &amp; ROW()))-1,E139)</f>
        <v>-0.11559633027522942</v>
      </c>
      <c r="F140" s="110">
        <f>表2_367162629303891213141523242526[[#This Row],[累计净值]]</f>
        <v>1.7050000000000001</v>
      </c>
      <c r="G140" s="20">
        <f>表2_367162629303891213141523242526[[#This Row],[累计净值]]/$B$21-1</f>
        <v>0.10427461139896366</v>
      </c>
    </row>
    <row r="141" spans="1:7" x14ac:dyDescent="0.2">
      <c r="A141" s="15">
        <v>44209</v>
      </c>
      <c r="B141" s="112">
        <v>1.6839999999999999</v>
      </c>
      <c r="C141" s="108">
        <f t="shared" si="40"/>
        <v>-2.100000000000013E-2</v>
      </c>
      <c r="D141" s="109">
        <f t="shared" si="41"/>
        <v>-2.100000000000013E-2</v>
      </c>
      <c r="E141" s="109">
        <f ca="1">IF(表2_367162629303891213141523242526[[#This Row],[累计净值]]/MAX(INDIRECT("B21:B" &amp; ROW()))-1&lt;E140,表2_367162629303891213141523242526[[#This Row],[累计净值]]/MAX(INDIRECT("B21:B" &amp; ROW()))-1,E140)</f>
        <v>-0.11559633027522942</v>
      </c>
      <c r="F141" s="110">
        <f>表2_367162629303891213141523242526[[#This Row],[累计净值]]</f>
        <v>1.6839999999999999</v>
      </c>
      <c r="G141" s="20">
        <f>表2_367162629303891213141523242526[[#This Row],[累计净值]]/$B$21-1</f>
        <v>9.0673575129533557E-2</v>
      </c>
    </row>
    <row r="142" spans="1:7" x14ac:dyDescent="0.2">
      <c r="A142" s="15">
        <v>44210</v>
      </c>
      <c r="B142" s="112">
        <v>1.6639999999999999</v>
      </c>
      <c r="C142" s="108">
        <f t="shared" si="40"/>
        <v>-2.0000000000000018E-2</v>
      </c>
      <c r="D142" s="109">
        <f t="shared" si="41"/>
        <v>-2.0000000000000018E-2</v>
      </c>
      <c r="E142" s="109">
        <f ca="1">IF(表2_367162629303891213141523242526[[#This Row],[累计净值]]/MAX(INDIRECT("B21:B" &amp; ROW()))-1&lt;E141,表2_367162629303891213141523242526[[#This Row],[累计净值]]/MAX(INDIRECT("B21:B" &amp; ROW()))-1,E141)</f>
        <v>-0.11559633027522942</v>
      </c>
      <c r="F142" s="110">
        <f>表2_367162629303891213141523242526[[#This Row],[累计净值]]</f>
        <v>1.6639999999999999</v>
      </c>
      <c r="G142" s="20">
        <f>表2_367162629303891213141523242526[[#This Row],[累计净值]]/$B$21-1</f>
        <v>7.7720207253885842E-2</v>
      </c>
    </row>
    <row r="143" spans="1:7" x14ac:dyDescent="0.2">
      <c r="A143" s="15">
        <v>44211</v>
      </c>
      <c r="B143" s="112">
        <v>1.681</v>
      </c>
      <c r="C143" s="108">
        <f t="shared" si="40"/>
        <v>1.7000000000000126E-2</v>
      </c>
      <c r="D143" s="109" t="str">
        <f t="shared" si="41"/>
        <v>/</v>
      </c>
      <c r="E143" s="109">
        <f ca="1">IF(表2_367162629303891213141523242526[[#This Row],[累计净值]]/MAX(INDIRECT("B21:B" &amp; ROW()))-1&lt;E142,表2_367162629303891213141523242526[[#This Row],[累计净值]]/MAX(INDIRECT("B21:B" &amp; ROW()))-1,E142)</f>
        <v>-0.11559633027522942</v>
      </c>
      <c r="F143" s="110">
        <f>表2_367162629303891213141523242526[[#This Row],[累计净值]]</f>
        <v>1.681</v>
      </c>
      <c r="G143" s="20">
        <f>表2_367162629303891213141523242526[[#This Row],[累计净值]]/$B$21-1</f>
        <v>8.8730569948186622E-2</v>
      </c>
    </row>
    <row r="144" spans="1:7" x14ac:dyDescent="0.2">
      <c r="A144" s="15">
        <v>44214</v>
      </c>
      <c r="B144" s="112">
        <v>1.716</v>
      </c>
      <c r="C144" s="108">
        <f t="shared" si="40"/>
        <v>3.499999999999992E-2</v>
      </c>
      <c r="D144" s="109" t="str">
        <f t="shared" si="41"/>
        <v>/</v>
      </c>
      <c r="E144" s="109">
        <f ca="1">IF(表2_367162629303891213141523242526[[#This Row],[累计净值]]/MAX(INDIRECT("B21:B" &amp; ROW()))-1&lt;E143,表2_367162629303891213141523242526[[#This Row],[累计净值]]/MAX(INDIRECT("B21:B" &amp; ROW()))-1,E143)</f>
        <v>-0.11559633027522942</v>
      </c>
      <c r="F144" s="110">
        <f>表2_367162629303891213141523242526[[#This Row],[累计净值]]</f>
        <v>1.716</v>
      </c>
      <c r="G144" s="20">
        <f>表2_367162629303891213141523242526[[#This Row],[累计净值]]/$B$21-1</f>
        <v>0.1113989637305699</v>
      </c>
    </row>
    <row r="145" spans="1:10" x14ac:dyDescent="0.2">
      <c r="A145" s="15">
        <v>44215</v>
      </c>
      <c r="B145" s="112">
        <v>1.698</v>
      </c>
      <c r="C145" s="108">
        <f t="shared" ref="C145:C150" si="42">IFERROR(B145-B144,0)</f>
        <v>-1.8000000000000016E-2</v>
      </c>
      <c r="D145" s="109">
        <f t="shared" ref="D145:D150" si="43">IF(C145&lt;0,C145,"/")</f>
        <v>-1.8000000000000016E-2</v>
      </c>
      <c r="E145" s="109">
        <f ca="1">IF(表2_367162629303891213141523242526[[#This Row],[累计净值]]/MAX(INDIRECT("B21:B" &amp; ROW()))-1&lt;E144,表2_367162629303891213141523242526[[#This Row],[累计净值]]/MAX(INDIRECT("B21:B" &amp; ROW()))-1,E144)</f>
        <v>-0.11559633027522942</v>
      </c>
      <c r="F145" s="110">
        <f>表2_367162629303891213141523242526[[#This Row],[累计净值]]</f>
        <v>1.698</v>
      </c>
      <c r="G145" s="20">
        <f>表2_367162629303891213141523242526[[#This Row],[累计净值]]/$B$21-1</f>
        <v>9.9740932642486957E-2</v>
      </c>
    </row>
    <row r="146" spans="1:10" x14ac:dyDescent="0.2">
      <c r="A146" s="15">
        <v>44216</v>
      </c>
      <c r="B146" s="112">
        <v>1.724</v>
      </c>
      <c r="C146" s="108">
        <f t="shared" si="42"/>
        <v>2.6000000000000023E-2</v>
      </c>
      <c r="D146" s="109" t="str">
        <f t="shared" si="43"/>
        <v>/</v>
      </c>
      <c r="E146" s="109">
        <f ca="1">IF(表2_367162629303891213141523242526[[#This Row],[累计净值]]/MAX(INDIRECT("B21:B" &amp; ROW()))-1&lt;E145,表2_367162629303891213141523242526[[#This Row],[累计净值]]/MAX(INDIRECT("B21:B" &amp; ROW()))-1,E145)</f>
        <v>-0.11559633027522942</v>
      </c>
      <c r="F146" s="110">
        <f>表2_367162629303891213141523242526[[#This Row],[累计净值]]</f>
        <v>1.724</v>
      </c>
      <c r="G146" s="20">
        <f>表2_367162629303891213141523242526[[#This Row],[累计净值]]/$B$21-1</f>
        <v>0.11658031088082899</v>
      </c>
    </row>
    <row r="147" spans="1:10" x14ac:dyDescent="0.2">
      <c r="A147" s="15">
        <v>44217</v>
      </c>
      <c r="B147" s="112">
        <v>1.7529999999999999</v>
      </c>
      <c r="C147" s="108">
        <f t="shared" si="42"/>
        <v>2.8999999999999915E-2</v>
      </c>
      <c r="D147" s="109" t="str">
        <f t="shared" si="43"/>
        <v>/</v>
      </c>
      <c r="E147" s="109">
        <f ca="1">IF(表2_367162629303891213141523242526[[#This Row],[累计净值]]/MAX(INDIRECT("B21:B" &amp; ROW()))-1&lt;E146,表2_367162629303891213141523242526[[#This Row],[累计净值]]/MAX(INDIRECT("B21:B" &amp; ROW()))-1,E146)</f>
        <v>-0.11559633027522942</v>
      </c>
      <c r="F147" s="110">
        <f>表2_367162629303891213141523242526[[#This Row],[累计净值]]</f>
        <v>1.7529999999999999</v>
      </c>
      <c r="G147" s="20">
        <f>表2_367162629303891213141523242526[[#This Row],[累计净值]]/$B$21-1</f>
        <v>0.13536269430051795</v>
      </c>
      <c r="J147" s="198"/>
    </row>
    <row r="148" spans="1:10" x14ac:dyDescent="0.2">
      <c r="A148" s="15">
        <v>44218</v>
      </c>
      <c r="B148" s="112">
        <v>1.766</v>
      </c>
      <c r="C148" s="108">
        <f t="shared" si="42"/>
        <v>1.3000000000000123E-2</v>
      </c>
      <c r="D148" s="109" t="str">
        <f t="shared" si="43"/>
        <v>/</v>
      </c>
      <c r="E148" s="109">
        <f ca="1">IF(表2_367162629303891213141523242526[[#This Row],[累计净值]]/MAX(INDIRECT("B21:B" &amp; ROW()))-1&lt;E147,表2_367162629303891213141523242526[[#This Row],[累计净值]]/MAX(INDIRECT("B21:B" &amp; ROW()))-1,E147)</f>
        <v>-0.11559633027522942</v>
      </c>
      <c r="F148" s="110">
        <f>表2_367162629303891213141523242526[[#This Row],[累计净值]]</f>
        <v>1.766</v>
      </c>
      <c r="G148" s="20">
        <f>表2_367162629303891213141523242526[[#This Row],[累计净值]]/$B$21-1</f>
        <v>0.14378238341968919</v>
      </c>
    </row>
    <row r="149" spans="1:10" x14ac:dyDescent="0.2">
      <c r="A149" s="15">
        <v>44221</v>
      </c>
      <c r="B149" s="112">
        <v>1.77</v>
      </c>
      <c r="C149" s="108">
        <f t="shared" si="42"/>
        <v>4.0000000000000036E-3</v>
      </c>
      <c r="D149" s="109" t="str">
        <f t="shared" si="43"/>
        <v>/</v>
      </c>
      <c r="E149" s="109">
        <f ca="1">IF(表2_367162629303891213141523242526[[#This Row],[累计净值]]/MAX(INDIRECT("B21:B" &amp; ROW()))-1&lt;E148,表2_367162629303891213141523242526[[#This Row],[累计净值]]/MAX(INDIRECT("B21:B" &amp; ROW()))-1,E148)</f>
        <v>-0.11559633027522942</v>
      </c>
      <c r="F149" s="110">
        <f>表2_367162629303891213141523242526[[#This Row],[累计净值]]</f>
        <v>1.77</v>
      </c>
      <c r="G149" s="20">
        <f>表2_367162629303891213141523242526[[#This Row],[累计净值]]/$B$21-1</f>
        <v>0.14637305699481873</v>
      </c>
    </row>
    <row r="150" spans="1:10" x14ac:dyDescent="0.2">
      <c r="A150" s="15">
        <v>44222</v>
      </c>
      <c r="B150" s="112">
        <v>1.748</v>
      </c>
      <c r="C150" s="108">
        <f t="shared" si="42"/>
        <v>-2.200000000000002E-2</v>
      </c>
      <c r="D150" s="109">
        <f t="shared" si="43"/>
        <v>-2.200000000000002E-2</v>
      </c>
      <c r="E150" s="109">
        <f ca="1">IF(表2_367162629303891213141523242526[[#This Row],[累计净值]]/MAX(INDIRECT("B21:B" &amp; ROW()))-1&lt;E149,表2_367162629303891213141523242526[[#This Row],[累计净值]]/MAX(INDIRECT("B21:B" &amp; ROW()))-1,E149)</f>
        <v>-0.11559633027522942</v>
      </c>
      <c r="F150" s="110">
        <f>表2_367162629303891213141523242526[[#This Row],[累计净值]]</f>
        <v>1.748</v>
      </c>
      <c r="G150" s="20">
        <f>表2_367162629303891213141523242526[[#This Row],[累计净值]]/$B$21-1</f>
        <v>0.13212435233160624</v>
      </c>
    </row>
    <row r="151" spans="1:10" x14ac:dyDescent="0.2">
      <c r="A151" s="15">
        <v>44223</v>
      </c>
      <c r="B151" s="112">
        <v>1.7589999999999999</v>
      </c>
      <c r="C151" s="108">
        <f t="shared" ref="C151:C156" si="44">IFERROR(B151-B150,0)</f>
        <v>1.0999999999999899E-2</v>
      </c>
      <c r="D151" s="109" t="str">
        <f t="shared" ref="D151:D156" si="45">IF(C151&lt;0,C151,"/")</f>
        <v>/</v>
      </c>
      <c r="E151" s="109">
        <f ca="1">IF(表2_367162629303891213141523242526[[#This Row],[累计净值]]/MAX(INDIRECT("B21:B" &amp; ROW()))-1&lt;E150,表2_367162629303891213141523242526[[#This Row],[累计净值]]/MAX(INDIRECT("B21:B" &amp; ROW()))-1,E150)</f>
        <v>-0.11559633027522942</v>
      </c>
      <c r="F151" s="110">
        <f>表2_367162629303891213141523242526[[#This Row],[累计净值]]</f>
        <v>1.7589999999999999</v>
      </c>
      <c r="G151" s="20">
        <f>表2_367162629303891213141523242526[[#This Row],[累计净值]]/$B$21-1</f>
        <v>0.13924870466321226</v>
      </c>
    </row>
    <row r="152" spans="1:10" x14ac:dyDescent="0.2">
      <c r="A152" s="15">
        <v>44224</v>
      </c>
      <c r="B152" s="112">
        <v>1.706</v>
      </c>
      <c r="C152" s="108">
        <f t="shared" si="44"/>
        <v>-5.2999999999999936E-2</v>
      </c>
      <c r="D152" s="109">
        <f t="shared" si="45"/>
        <v>-5.2999999999999936E-2</v>
      </c>
      <c r="E152" s="109">
        <f ca="1">IF(表2_367162629303891213141523242526[[#This Row],[累计净值]]/MAX(INDIRECT("B21:B" &amp; ROW()))-1&lt;E151,表2_367162629303891213141523242526[[#This Row],[累计净值]]/MAX(INDIRECT("B21:B" &amp; ROW()))-1,E151)</f>
        <v>-0.11559633027522942</v>
      </c>
      <c r="F152" s="110">
        <f>表2_367162629303891213141523242526[[#This Row],[累计净值]]</f>
        <v>1.706</v>
      </c>
      <c r="G152" s="20">
        <f>表2_367162629303891213141523242526[[#This Row],[累计净值]]/$B$21-1</f>
        <v>0.10492227979274604</v>
      </c>
    </row>
    <row r="153" spans="1:10" x14ac:dyDescent="0.2">
      <c r="A153" s="15">
        <v>44225</v>
      </c>
      <c r="B153" s="112">
        <v>1.6870000000000001</v>
      </c>
      <c r="C153" s="108">
        <f t="shared" si="44"/>
        <v>-1.8999999999999906E-2</v>
      </c>
      <c r="D153" s="109">
        <f t="shared" si="45"/>
        <v>-1.8999999999999906E-2</v>
      </c>
      <c r="E153" s="109">
        <f ca="1">IF(表2_367162629303891213141523242526[[#This Row],[累计净值]]/MAX(INDIRECT("B21:B" &amp; ROW()))-1&lt;E152,表2_367162629303891213141523242526[[#This Row],[累计净值]]/MAX(INDIRECT("B21:B" &amp; ROW()))-1,E152)</f>
        <v>-0.11559633027522942</v>
      </c>
      <c r="F153" s="110">
        <f>表2_367162629303891213141523242526[[#This Row],[累计净值]]</f>
        <v>1.6870000000000001</v>
      </c>
      <c r="G153" s="20">
        <f>表2_367162629303891213141523242526[[#This Row],[累计净值]]/$B$21-1</f>
        <v>9.2616580310880936E-2</v>
      </c>
      <c r="I153" s="198"/>
    </row>
    <row r="154" spans="1:10" x14ac:dyDescent="0.2">
      <c r="A154" s="15">
        <v>44228</v>
      </c>
      <c r="B154" s="112">
        <v>1.71</v>
      </c>
      <c r="C154" s="108">
        <f t="shared" si="44"/>
        <v>2.2999999999999909E-2</v>
      </c>
      <c r="D154" s="109" t="str">
        <f t="shared" si="45"/>
        <v>/</v>
      </c>
      <c r="E154" s="109">
        <f ca="1">IF(表2_367162629303891213141523242526[[#This Row],[累计净值]]/MAX(INDIRECT("B21:B" &amp; ROW()))-1&lt;E153,表2_367162629303891213141523242526[[#This Row],[累计净值]]/MAX(INDIRECT("B21:B" &amp; ROW()))-1,E153)</f>
        <v>-0.11559633027522942</v>
      </c>
      <c r="F154" s="110">
        <f>表2_367162629303891213141523242526[[#This Row],[累计净值]]</f>
        <v>1.71</v>
      </c>
      <c r="G154" s="20">
        <f>表2_367162629303891213141523242526[[#This Row],[累计净值]]/$B$21-1</f>
        <v>0.10751295336787559</v>
      </c>
    </row>
    <row r="155" spans="1:10" x14ac:dyDescent="0.2">
      <c r="A155" s="15">
        <v>44229</v>
      </c>
      <c r="B155" s="112">
        <v>1.7450000000000001</v>
      </c>
      <c r="C155" s="108">
        <f t="shared" si="44"/>
        <v>3.5000000000000142E-2</v>
      </c>
      <c r="D155" s="109" t="str">
        <f t="shared" si="45"/>
        <v>/</v>
      </c>
      <c r="E155" s="109">
        <f ca="1">IF(表2_367162629303891213141523242526[[#This Row],[累计净值]]/MAX(INDIRECT("B21:B" &amp; ROW()))-1&lt;E154,表2_367162629303891213141523242526[[#This Row],[累计净值]]/MAX(INDIRECT("B21:B" &amp; ROW()))-1,E154)</f>
        <v>-0.11559633027522942</v>
      </c>
      <c r="F155" s="110">
        <f>表2_367162629303891213141523242526[[#This Row],[累计净值]]</f>
        <v>1.7450000000000001</v>
      </c>
      <c r="G155" s="20">
        <f>表2_367162629303891213141523242526[[#This Row],[累计净值]]/$B$21-1</f>
        <v>0.13018134715025909</v>
      </c>
    </row>
    <row r="156" spans="1:10" x14ac:dyDescent="0.2">
      <c r="A156" s="15">
        <v>44230</v>
      </c>
      <c r="B156" s="112">
        <v>1.724</v>
      </c>
      <c r="C156" s="108">
        <f t="shared" si="44"/>
        <v>-2.100000000000013E-2</v>
      </c>
      <c r="D156" s="109">
        <f t="shared" si="45"/>
        <v>-2.100000000000013E-2</v>
      </c>
      <c r="E156" s="109">
        <f ca="1">IF(表2_367162629303891213141523242526[[#This Row],[累计净值]]/MAX(INDIRECT("B21:B" &amp; ROW()))-1&lt;E155,表2_367162629303891213141523242526[[#This Row],[累计净值]]/MAX(INDIRECT("B21:B" &amp; ROW()))-1,E155)</f>
        <v>-0.11559633027522942</v>
      </c>
      <c r="F156" s="110">
        <f>表2_367162629303891213141523242526[[#This Row],[累计净值]]</f>
        <v>1.724</v>
      </c>
      <c r="G156" s="20">
        <f>表2_367162629303891213141523242526[[#This Row],[累计净值]]/$B$21-1</f>
        <v>0.11658031088082899</v>
      </c>
    </row>
    <row r="157" spans="1:10" x14ac:dyDescent="0.2">
      <c r="A157" s="15">
        <v>44231</v>
      </c>
      <c r="B157" s="112">
        <v>1.698</v>
      </c>
      <c r="C157" s="108">
        <f>IFERROR(B157-B156,0)</f>
        <v>-2.6000000000000023E-2</v>
      </c>
      <c r="D157" s="109">
        <f>IF(C157&lt;0,C157,"/")</f>
        <v>-2.6000000000000023E-2</v>
      </c>
      <c r="E157" s="109">
        <f ca="1">IF(表2_367162629303891213141523242526[[#This Row],[累计净值]]/MAX(INDIRECT("B21:B" &amp; ROW()))-1&lt;E156,表2_367162629303891213141523242526[[#This Row],[累计净值]]/MAX(INDIRECT("B21:B" &amp; ROW()))-1,E156)</f>
        <v>-0.11559633027522942</v>
      </c>
      <c r="F157" s="110">
        <f>表2_367162629303891213141523242526[[#This Row],[累计净值]]</f>
        <v>1.698</v>
      </c>
      <c r="G157" s="20">
        <f>表2_367162629303891213141523242526[[#This Row],[累计净值]]/$B$21-1</f>
        <v>9.9740932642486957E-2</v>
      </c>
    </row>
    <row r="158" spans="1:10" x14ac:dyDescent="0.2">
      <c r="A158" s="15">
        <v>44232</v>
      </c>
      <c r="B158" s="112">
        <v>1.6659999999999999</v>
      </c>
      <c r="C158" s="108">
        <f>IFERROR(B158-B157,0)</f>
        <v>-3.2000000000000028E-2</v>
      </c>
      <c r="D158" s="109">
        <f>IF(C158&lt;0,C158,"/")</f>
        <v>-3.2000000000000028E-2</v>
      </c>
      <c r="E158" s="109">
        <f ca="1">IF(表2_367162629303891213141523242526[[#This Row],[累计净值]]/MAX(INDIRECT("B21:B" &amp; ROW()))-1&lt;E157,表2_367162629303891213141523242526[[#This Row],[累计净值]]/MAX(INDIRECT("B21:B" &amp; ROW()))-1,E157)</f>
        <v>-0.11559633027522942</v>
      </c>
      <c r="F158" s="110">
        <f>表2_367162629303891213141523242526[[#This Row],[累计净值]]</f>
        <v>1.6659999999999999</v>
      </c>
      <c r="G158" s="20">
        <f>表2_367162629303891213141523242526[[#This Row],[累计净值]]/$B$21-1</f>
        <v>7.9015544041450614E-2</v>
      </c>
    </row>
    <row r="159" spans="1:10" x14ac:dyDescent="0.2">
      <c r="A159" s="15">
        <v>44235</v>
      </c>
      <c r="B159" s="112">
        <v>1.6890000000000001</v>
      </c>
      <c r="C159" s="108">
        <f>IFERROR(B159-B158,0)</f>
        <v>2.3000000000000131E-2</v>
      </c>
      <c r="D159" s="109" t="str">
        <f>IF(C159&lt;0,C159,"/")</f>
        <v>/</v>
      </c>
      <c r="E159" s="109">
        <f ca="1">IF(表2_367162629303891213141523242526[[#This Row],[累计净值]]/MAX(INDIRECT("B21:B" &amp; ROW()))-1&lt;E158,表2_367162629303891213141523242526[[#This Row],[累计净值]]/MAX(INDIRECT("B21:B" &amp; ROW()))-1,E158)</f>
        <v>-0.11559633027522942</v>
      </c>
      <c r="F159" s="110">
        <f>表2_367162629303891213141523242526[[#This Row],[累计净值]]</f>
        <v>1.6890000000000001</v>
      </c>
      <c r="G159" s="20">
        <f>表2_367162629303891213141523242526[[#This Row],[累计净值]]/$B$21-1</f>
        <v>9.3911917098445707E-2</v>
      </c>
    </row>
    <row r="160" spans="1:10" x14ac:dyDescent="0.2">
      <c r="A160" s="15">
        <v>44236</v>
      </c>
      <c r="B160" s="112">
        <v>1.744</v>
      </c>
      <c r="C160" s="108">
        <f t="shared" ref="C160:C162" si="46">IFERROR(B160-B159,0)</f>
        <v>5.4999999999999938E-2</v>
      </c>
      <c r="D160" s="109" t="str">
        <f t="shared" ref="D160:D162" si="47">IF(C160&lt;0,C160,"/")</f>
        <v>/</v>
      </c>
      <c r="E160" s="109">
        <f ca="1">IF(表2_367162629303891213141523242526[[#This Row],[累计净值]]/MAX(INDIRECT("B21:B" &amp; ROW()))-1&lt;E159,表2_367162629303891213141523242526[[#This Row],[累计净值]]/MAX(INDIRECT("B21:B" &amp; ROW()))-1,E159)</f>
        <v>-0.11559633027522942</v>
      </c>
      <c r="F160" s="110">
        <f>表2_367162629303891213141523242526[[#This Row],[累计净值]]</f>
        <v>1.744</v>
      </c>
      <c r="G160" s="20">
        <f>表2_367162629303891213141523242526[[#This Row],[累计净值]]/$B$21-1</f>
        <v>0.1295336787564767</v>
      </c>
    </row>
    <row r="161" spans="1:9" x14ac:dyDescent="0.2">
      <c r="A161" s="15">
        <v>44237</v>
      </c>
      <c r="B161" s="112">
        <v>1.7609999999999999</v>
      </c>
      <c r="C161" s="108">
        <f t="shared" si="46"/>
        <v>1.6999999999999904E-2</v>
      </c>
      <c r="D161" s="109" t="str">
        <f t="shared" si="47"/>
        <v>/</v>
      </c>
      <c r="E161" s="109">
        <f ca="1">IF(表2_367162629303891213141523242526[[#This Row],[累计净值]]/MAX(INDIRECT("B21:B" &amp; ROW()))-1&lt;E160,表2_367162629303891213141523242526[[#This Row],[累计净值]]/MAX(INDIRECT("B21:B" &amp; ROW()))-1,E160)</f>
        <v>-0.11559633027522942</v>
      </c>
      <c r="F161" s="110">
        <f>表2_367162629303891213141523242526[[#This Row],[累计净值]]</f>
        <v>1.7609999999999999</v>
      </c>
      <c r="G161" s="20">
        <f>表2_367162629303891213141523242526[[#This Row],[累计净值]]/$B$21-1</f>
        <v>0.14054404145077704</v>
      </c>
    </row>
    <row r="162" spans="1:9" x14ac:dyDescent="0.2">
      <c r="A162" s="15">
        <v>44245</v>
      </c>
      <c r="B162" s="112">
        <v>1.774</v>
      </c>
      <c r="C162" s="108">
        <f t="shared" si="46"/>
        <v>1.3000000000000123E-2</v>
      </c>
      <c r="D162" s="109" t="str">
        <f t="shared" si="47"/>
        <v>/</v>
      </c>
      <c r="E162" s="109">
        <f ca="1">IF(表2_367162629303891213141523242526[[#This Row],[累计净值]]/MAX(INDIRECT("B21:B" &amp; ROW()))-1&lt;E161,表2_367162629303891213141523242526[[#This Row],[累计净值]]/MAX(INDIRECT("B21:B" &amp; ROW()))-1,E161)</f>
        <v>-0.11559633027522942</v>
      </c>
      <c r="F162" s="110">
        <f>表2_367162629303891213141523242526[[#This Row],[累计净值]]</f>
        <v>1.774</v>
      </c>
      <c r="G162" s="20">
        <f>表2_367162629303891213141523242526[[#This Row],[累计净值]]/$B$21-1</f>
        <v>0.14896373056994827</v>
      </c>
      <c r="I162" s="223" t="s">
        <v>51</v>
      </c>
    </row>
    <row r="163" spans="1:9" x14ac:dyDescent="0.2">
      <c r="A163" s="15">
        <v>44246</v>
      </c>
      <c r="B163" s="117">
        <v>1.7909999999999999</v>
      </c>
      <c r="C163" s="108">
        <f t="shared" ref="C163:C164" si="48">IFERROR(B163-B162,0)</f>
        <v>1.6999999999999904E-2</v>
      </c>
      <c r="D163" s="109" t="str">
        <f t="shared" ref="D163:D164" si="49">IF(C163&lt;0,C163,"/")</f>
        <v>/</v>
      </c>
      <c r="E163" s="109">
        <f ca="1">IF(表2_367162629303891213141523242526[[#This Row],[累计净值]]/MAX(INDIRECT("B21:B" &amp; ROW()))-1&lt;E162,表2_367162629303891213141523242526[[#This Row],[累计净值]]/MAX(INDIRECT("B21:B" &amp; ROW()))-1,E162)</f>
        <v>-0.11559633027522942</v>
      </c>
      <c r="F163" s="110">
        <f>表2_367162629303891213141523242526[[#This Row],[累计净值]]</f>
        <v>1.7909999999999999</v>
      </c>
      <c r="G163" s="20">
        <f>表2_367162629303891213141523242526[[#This Row],[累计净值]]/$B$21-1</f>
        <v>0.15997409326424861</v>
      </c>
    </row>
    <row r="164" spans="1:9" x14ac:dyDescent="0.2">
      <c r="A164" s="15">
        <v>44249</v>
      </c>
      <c r="B164" s="112">
        <v>1.774</v>
      </c>
      <c r="C164" s="108">
        <f t="shared" si="48"/>
        <v>-1.6999999999999904E-2</v>
      </c>
      <c r="D164" s="109">
        <f t="shared" si="49"/>
        <v>-1.6999999999999904E-2</v>
      </c>
      <c r="E164" s="109">
        <f ca="1">IF(表2_367162629303891213141523242526[[#This Row],[累计净值]]/MAX(INDIRECT("B21:B" &amp; ROW()))-1&lt;E163,表2_367162629303891213141523242526[[#This Row],[累计净值]]/MAX(INDIRECT("B21:B" &amp; ROW()))-1,E163)</f>
        <v>-0.11559633027522942</v>
      </c>
      <c r="F164" s="110">
        <f>表2_367162629303891213141523242526[[#This Row],[累计净值]]</f>
        <v>1.774</v>
      </c>
      <c r="G164" s="20">
        <f>表2_367162629303891213141523242526[[#This Row],[累计净值]]/$B$21-1</f>
        <v>0.14896373056994827</v>
      </c>
    </row>
    <row r="165" spans="1:9" x14ac:dyDescent="0.2">
      <c r="A165" s="15">
        <v>44250</v>
      </c>
      <c r="B165" s="112">
        <v>1.766</v>
      </c>
      <c r="C165" s="108">
        <f>IFERROR(B165-B164,0)</f>
        <v>-8.0000000000000071E-3</v>
      </c>
      <c r="D165" s="109">
        <f>IF(C165&lt;0,C165,"/")</f>
        <v>-8.0000000000000071E-3</v>
      </c>
      <c r="E165" s="109">
        <f ca="1">IF(表2_367162629303891213141523242526[[#This Row],[累计净值]]/MAX(INDIRECT("B21:B" &amp; ROW()))-1&lt;E164,表2_367162629303891213141523242526[[#This Row],[累计净值]]/MAX(INDIRECT("B21:B" &amp; ROW()))-1,E164)</f>
        <v>-0.11559633027522942</v>
      </c>
      <c r="F165" s="110">
        <f>表2_367162629303891213141523242526[[#This Row],[累计净值]]</f>
        <v>1.766</v>
      </c>
      <c r="G165" s="20">
        <f>表2_367162629303891213141523242526[[#This Row],[累计净值]]/$B$21-1</f>
        <v>0.14378238341968919</v>
      </c>
    </row>
    <row r="166" spans="1:9" x14ac:dyDescent="0.2">
      <c r="A166" s="15">
        <v>44251</v>
      </c>
      <c r="B166" s="112">
        <v>1.73</v>
      </c>
      <c r="C166" s="108">
        <f t="shared" ref="C166:C168" si="50">IFERROR(B166-B165,0)</f>
        <v>-3.6000000000000032E-2</v>
      </c>
      <c r="D166" s="109">
        <f t="shared" ref="D166:D168" si="51">IF(C166&lt;0,C166,"/")</f>
        <v>-3.6000000000000032E-2</v>
      </c>
      <c r="E166" s="109">
        <f ca="1">IF(表2_367162629303891213141523242526[[#This Row],[累计净值]]/MAX(INDIRECT("B21:B" &amp; ROW()))-1&lt;E165,表2_367162629303891213141523242526[[#This Row],[累计净值]]/MAX(INDIRECT("B21:B" &amp; ROW()))-1,E165)</f>
        <v>-0.11559633027522942</v>
      </c>
      <c r="F166" s="110">
        <f>表2_367162629303891213141523242526[[#This Row],[累计净值]]</f>
        <v>1.73</v>
      </c>
      <c r="G166" s="20">
        <f>表2_367162629303891213141523242526[[#This Row],[累计净值]]/$B$21-1</f>
        <v>0.1204663212435233</v>
      </c>
    </row>
    <row r="167" spans="1:9" x14ac:dyDescent="0.2">
      <c r="A167" s="15">
        <v>44252</v>
      </c>
      <c r="B167" s="112">
        <v>1.7250000000000001</v>
      </c>
      <c r="C167" s="108">
        <f t="shared" si="50"/>
        <v>-4.9999999999998934E-3</v>
      </c>
      <c r="D167" s="109">
        <f t="shared" si="51"/>
        <v>-4.9999999999998934E-3</v>
      </c>
      <c r="E167" s="109">
        <f ca="1">IF(表2_367162629303891213141523242526[[#This Row],[累计净值]]/MAX(INDIRECT("B21:B" &amp; ROW()))-1&lt;E166,表2_367162629303891213141523242526[[#This Row],[累计净值]]/MAX(INDIRECT("B21:B" &amp; ROW()))-1,E166)</f>
        <v>-0.11559633027522942</v>
      </c>
      <c r="F167" s="110">
        <f>表2_367162629303891213141523242526[[#This Row],[累计净值]]</f>
        <v>1.7250000000000001</v>
      </c>
      <c r="G167" s="20">
        <f>表2_367162629303891213141523242526[[#This Row],[累计净值]]/$B$21-1</f>
        <v>0.11722797927461137</v>
      </c>
    </row>
    <row r="168" spans="1:9" x14ac:dyDescent="0.2">
      <c r="A168" s="15">
        <v>44253</v>
      </c>
      <c r="B168" s="112">
        <v>1.6830000000000001</v>
      </c>
      <c r="C168" s="108">
        <f t="shared" si="50"/>
        <v>-4.2000000000000037E-2</v>
      </c>
      <c r="D168" s="109">
        <f t="shared" si="51"/>
        <v>-4.2000000000000037E-2</v>
      </c>
      <c r="E168" s="109">
        <f ca="1">IF(表2_367162629303891213141523242526[[#This Row],[累计净值]]/MAX(INDIRECT("B21:B" &amp; ROW()))-1&lt;E167,表2_367162629303891213141523242526[[#This Row],[累计净值]]/MAX(INDIRECT("B21:B" &amp; ROW()))-1,E167)</f>
        <v>-0.11559633027522942</v>
      </c>
      <c r="F168" s="110">
        <f>表2_367162629303891213141523242526[[#This Row],[累计净值]]</f>
        <v>1.6830000000000001</v>
      </c>
      <c r="G168" s="20">
        <f>表2_367162629303891213141523242526[[#This Row],[累计净值]]/$B$21-1</f>
        <v>9.0025906735751393E-2</v>
      </c>
    </row>
    <row r="169" spans="1:9" x14ac:dyDescent="0.2">
      <c r="A169" s="15">
        <v>44256</v>
      </c>
      <c r="B169" s="112">
        <v>1.7270000000000001</v>
      </c>
      <c r="C169" s="108">
        <f t="shared" ref="C169" si="52">IFERROR(B169-B168,0)</f>
        <v>4.4000000000000039E-2</v>
      </c>
      <c r="D169" s="109" t="str">
        <f t="shared" ref="D169" si="53">IF(C169&lt;0,C169,"/")</f>
        <v>/</v>
      </c>
      <c r="E169" s="109">
        <f ca="1">IF(表2_367162629303891213141523242526[[#This Row],[累计净值]]/MAX(INDIRECT("B21:B" &amp; ROW()))-1&lt;E168,表2_367162629303891213141523242526[[#This Row],[累计净值]]/MAX(INDIRECT("B21:B" &amp; ROW()))-1,E168)</f>
        <v>-0.11559633027522942</v>
      </c>
      <c r="F169" s="110">
        <f>表2_367162629303891213141523242526[[#This Row],[累计净值]]</f>
        <v>1.7270000000000001</v>
      </c>
      <c r="G169" s="20">
        <f>表2_367162629303891213141523242526[[#This Row],[累计净值]]/$B$21-1</f>
        <v>0.11852331606217614</v>
      </c>
    </row>
    <row r="170" spans="1:9" x14ac:dyDescent="0.2">
      <c r="A170" s="15">
        <v>44257</v>
      </c>
      <c r="B170" s="112">
        <v>1.7130000000000001</v>
      </c>
      <c r="C170" s="108">
        <f t="shared" ref="C170:C171" si="54">IFERROR(B170-B169,0)</f>
        <v>-1.4000000000000012E-2</v>
      </c>
      <c r="D170" s="109">
        <f t="shared" ref="D170:D171" si="55">IF(C170&lt;0,C170,"/")</f>
        <v>-1.4000000000000012E-2</v>
      </c>
      <c r="E170" s="109">
        <f ca="1">IF(表2_367162629303891213141523242526[[#This Row],[累计净值]]/MAX(INDIRECT("B21:B" &amp; ROW()))-1&lt;E169,表2_367162629303891213141523242526[[#This Row],[累计净值]]/MAX(INDIRECT("B21:B" &amp; ROW()))-1,E169)</f>
        <v>-0.11559633027522942</v>
      </c>
      <c r="F170" s="110">
        <f>表2_367162629303891213141523242526[[#This Row],[累计净值]]</f>
        <v>1.7130000000000001</v>
      </c>
      <c r="G170" s="20">
        <f>表2_367162629303891213141523242526[[#This Row],[累计净值]]/$B$21-1</f>
        <v>0.10945595854922274</v>
      </c>
    </row>
    <row r="171" spans="1:9" x14ac:dyDescent="0.2">
      <c r="A171" s="15">
        <v>44258</v>
      </c>
      <c r="B171" s="112">
        <v>1.742</v>
      </c>
      <c r="C171" s="108">
        <f t="shared" si="54"/>
        <v>2.8999999999999915E-2</v>
      </c>
      <c r="D171" s="109" t="str">
        <f t="shared" si="55"/>
        <v>/</v>
      </c>
      <c r="E171" s="109">
        <f ca="1">IF(表2_367162629303891213141523242526[[#This Row],[累计净值]]/MAX(INDIRECT("B21:B" &amp; ROW()))-1&lt;E170,表2_367162629303891213141523242526[[#This Row],[累计净值]]/MAX(INDIRECT("B21:B" &amp; ROW()))-1,E170)</f>
        <v>-0.11559633027522942</v>
      </c>
      <c r="F171" s="110">
        <f>表2_367162629303891213141523242526[[#This Row],[累计净值]]</f>
        <v>1.742</v>
      </c>
      <c r="G171" s="20">
        <f>表2_367162629303891213141523242526[[#This Row],[累计净值]]/$B$21-1</f>
        <v>0.12823834196891193</v>
      </c>
    </row>
    <row r="172" spans="1:9" x14ac:dyDescent="0.2">
      <c r="A172" s="15">
        <v>44259</v>
      </c>
      <c r="B172" s="112">
        <v>1.675</v>
      </c>
      <c r="C172" s="108">
        <f t="shared" ref="C172:C173" si="56">IFERROR(B172-B171,0)</f>
        <v>-6.6999999999999948E-2</v>
      </c>
      <c r="D172" s="109">
        <f t="shared" ref="D172:D173" si="57">IF(C172&lt;0,C172,"/")</f>
        <v>-6.6999999999999948E-2</v>
      </c>
      <c r="E172" s="109">
        <f ca="1">IF(表2_367162629303891213141523242526[[#This Row],[累计净值]]/MAX(INDIRECT("B21:B" &amp; ROW()))-1&lt;E171,表2_367162629303891213141523242526[[#This Row],[累计净值]]/MAX(INDIRECT("B21:B" &amp; ROW()))-1,E171)</f>
        <v>-0.11559633027522942</v>
      </c>
      <c r="F172" s="110">
        <f>表2_367162629303891213141523242526[[#This Row],[累计净值]]</f>
        <v>1.675</v>
      </c>
      <c r="G172" s="20">
        <f>表2_367162629303891213141523242526[[#This Row],[累计净值]]/$B$21-1</f>
        <v>8.4844559585492307E-2</v>
      </c>
    </row>
    <row r="173" spans="1:9" x14ac:dyDescent="0.2">
      <c r="A173" s="15">
        <v>44260</v>
      </c>
      <c r="B173" s="112">
        <v>1.6739999999999999</v>
      </c>
      <c r="C173" s="108">
        <f t="shared" si="56"/>
        <v>-1.0000000000001119E-3</v>
      </c>
      <c r="D173" s="109">
        <f t="shared" si="57"/>
        <v>-1.0000000000001119E-3</v>
      </c>
      <c r="E173" s="109">
        <f ca="1">IF(表2_367162629303891213141523242526[[#This Row],[累计净值]]/MAX(INDIRECT("B21:B" &amp; ROW()))-1&lt;E172,表2_367162629303891213141523242526[[#This Row],[累计净值]]/MAX(INDIRECT("B21:B" &amp; ROW()))-1,E172)</f>
        <v>-0.11559633027522942</v>
      </c>
      <c r="F173" s="110">
        <f>表2_367162629303891213141523242526[[#This Row],[累计净值]]</f>
        <v>1.6739999999999999</v>
      </c>
      <c r="G173" s="20">
        <f>表2_367162629303891213141523242526[[#This Row],[累计净值]]/$B$21-1</f>
        <v>8.41968911917097E-2</v>
      </c>
    </row>
    <row r="174" spans="1:9" x14ac:dyDescent="0.2">
      <c r="A174" s="15">
        <v>44263</v>
      </c>
      <c r="B174" s="112">
        <v>1.603</v>
      </c>
      <c r="C174" s="108">
        <f>IFERROR(B174-B173,0)</f>
        <v>-7.0999999999999952E-2</v>
      </c>
      <c r="D174" s="109">
        <f>IF(C174&lt;0,C174,"/")</f>
        <v>-7.0999999999999952E-2</v>
      </c>
      <c r="E174" s="109">
        <f ca="1">IF(表2_367162629303891213141523242526[[#This Row],[累计净值]]/MAX(INDIRECT("B21:B" &amp; ROW()))-1&lt;E173,表2_367162629303891213141523242526[[#This Row],[累计净值]]/MAX(INDIRECT("B21:B" &amp; ROW()))-1,E173)</f>
        <v>-0.11559633027522942</v>
      </c>
      <c r="F174" s="110">
        <f>表2_367162629303891213141523242526[[#This Row],[累计净值]]</f>
        <v>1.603</v>
      </c>
      <c r="G174" s="20">
        <f>表2_367162629303891213141523242526[[#This Row],[累计净值]]/$B$21-1</f>
        <v>3.8212435233160535E-2</v>
      </c>
    </row>
    <row r="175" spans="1:9" x14ac:dyDescent="0.2">
      <c r="A175" s="15">
        <v>44264</v>
      </c>
      <c r="B175" s="112">
        <v>1.5580000000000001</v>
      </c>
      <c r="C175" s="108">
        <f>IFERROR(B175-B174,0)</f>
        <v>-4.4999999999999929E-2</v>
      </c>
      <c r="D175" s="109">
        <f>IF(C175&lt;0,C175,"/")</f>
        <v>-4.4999999999999929E-2</v>
      </c>
      <c r="E175" s="109">
        <f ca="1">IF(表2_367162629303891213141523242526[[#This Row],[累计净值]]/MAX(INDIRECT("B21:B" &amp; ROW()))-1&lt;E174,表2_367162629303891213141523242526[[#This Row],[累计净值]]/MAX(INDIRECT("B21:B" &amp; ROW()))-1,E174)</f>
        <v>-0.13009491903964254</v>
      </c>
      <c r="F175" s="110">
        <f>表2_367162629303891213141523242526[[#This Row],[累计净值]]</f>
        <v>1.5580000000000001</v>
      </c>
      <c r="G175" s="20">
        <f>表2_367162629303891213141523242526[[#This Row],[累计净值]]/$B$21-1</f>
        <v>9.0673575129534001E-3</v>
      </c>
    </row>
    <row r="176" spans="1:9" x14ac:dyDescent="0.2">
      <c r="A176" s="15">
        <v>44265</v>
      </c>
      <c r="B176" s="112">
        <v>1.583</v>
      </c>
      <c r="C176" s="108">
        <f t="shared" ref="C176:C180" si="58">IFERROR(B176-B175,0)</f>
        <v>2.4999999999999911E-2</v>
      </c>
      <c r="D176" s="109" t="str">
        <f t="shared" ref="D176:D180" si="59">IF(C176&lt;0,C176,"/")</f>
        <v>/</v>
      </c>
      <c r="E176" s="109">
        <f ca="1">IF(表2_367162629303891213141523242526[[#This Row],[累计净值]]/MAX(INDIRECT("B21:B" &amp; ROW()))-1&lt;E175,表2_367162629303891213141523242526[[#This Row],[累计净值]]/MAX(INDIRECT("B21:B" &amp; ROW()))-1,E175)</f>
        <v>-0.13009491903964254</v>
      </c>
      <c r="F176" s="110">
        <f>表2_367162629303891213141523242526[[#This Row],[累计净值]]</f>
        <v>1.583</v>
      </c>
      <c r="G176" s="20">
        <f>表2_367162629303891213141523242526[[#This Row],[累计净值]]/$B$21-1</f>
        <v>2.5259067357512821E-2</v>
      </c>
    </row>
    <row r="177" spans="1:7" x14ac:dyDescent="0.2">
      <c r="A177" s="15">
        <v>44266</v>
      </c>
      <c r="B177" s="112">
        <v>1.6339999999999999</v>
      </c>
      <c r="C177" s="108">
        <f t="shared" si="58"/>
        <v>5.0999999999999934E-2</v>
      </c>
      <c r="D177" s="109" t="str">
        <f t="shared" si="59"/>
        <v>/</v>
      </c>
      <c r="E177" s="109">
        <f ca="1">IF(表2_367162629303891213141523242526[[#This Row],[累计净值]]/MAX(INDIRECT("B21:B" &amp; ROW()))-1&lt;E176,表2_367162629303891213141523242526[[#This Row],[累计净值]]/MAX(INDIRECT("B21:B" &amp; ROW()))-1,E176)</f>
        <v>-0.13009491903964254</v>
      </c>
      <c r="F177" s="110">
        <f>表2_367162629303891213141523242526[[#This Row],[累计净值]]</f>
        <v>1.6339999999999999</v>
      </c>
      <c r="G177" s="20">
        <f>表2_367162629303891213141523242526[[#This Row],[累计净值]]/$B$21-1</f>
        <v>5.8290155440414493E-2</v>
      </c>
    </row>
    <row r="178" spans="1:7" x14ac:dyDescent="0.2">
      <c r="A178" s="15">
        <v>44267</v>
      </c>
      <c r="B178" s="112">
        <v>1.639</v>
      </c>
      <c r="C178" s="108">
        <f t="shared" ref="C178:C179" si="60">IFERROR(B178-B177,0)</f>
        <v>5.0000000000001155E-3</v>
      </c>
      <c r="D178" s="109" t="str">
        <f t="shared" ref="D178:D179" si="61">IF(C178&lt;0,C178,"/")</f>
        <v>/</v>
      </c>
      <c r="E178" s="109">
        <f ca="1">IF(表2_367162629303891213141523242526[[#This Row],[累计净值]]/MAX(INDIRECT("B21:B" &amp; ROW()))-1&lt;E177,表2_367162629303891213141523242526[[#This Row],[累计净值]]/MAX(INDIRECT("B21:B" &amp; ROW()))-1,E177)</f>
        <v>-0.13009491903964254</v>
      </c>
      <c r="F178" s="110">
        <f>表2_367162629303891213141523242526[[#This Row],[累计净值]]</f>
        <v>1.639</v>
      </c>
      <c r="G178" s="20">
        <f>表2_367162629303891213141523242526[[#This Row],[累计净值]]/$B$21-1</f>
        <v>6.1528497409326421E-2</v>
      </c>
    </row>
    <row r="179" spans="1:7" x14ac:dyDescent="0.2">
      <c r="A179" s="15">
        <v>44270</v>
      </c>
      <c r="B179" s="112">
        <v>1.6</v>
      </c>
      <c r="C179" s="108">
        <f t="shared" si="60"/>
        <v>-3.8999999999999924E-2</v>
      </c>
      <c r="D179" s="109">
        <f t="shared" si="61"/>
        <v>-3.8999999999999924E-2</v>
      </c>
      <c r="E179" s="109">
        <f ca="1">IF(表2_367162629303891213141523242526[[#This Row],[累计净值]]/MAX(INDIRECT("B21:B" &amp; ROW()))-1&lt;E178,表2_367162629303891213141523242526[[#This Row],[累计净值]]/MAX(INDIRECT("B21:B" &amp; ROW()))-1,E178)</f>
        <v>-0.13009491903964254</v>
      </c>
      <c r="F179" s="110">
        <f>表2_367162629303891213141523242526[[#This Row],[累计净值]]</f>
        <v>1.6</v>
      </c>
      <c r="G179" s="20">
        <f>表2_367162629303891213141523242526[[#This Row],[累计净值]]/$B$21-1</f>
        <v>3.62694300518136E-2</v>
      </c>
    </row>
    <row r="180" spans="1:7" x14ac:dyDescent="0.2">
      <c r="A180" s="15">
        <v>44271</v>
      </c>
      <c r="B180" s="112">
        <v>1.6120000000000001</v>
      </c>
      <c r="C180" s="108">
        <f t="shared" si="58"/>
        <v>1.2000000000000011E-2</v>
      </c>
      <c r="D180" s="109" t="str">
        <f t="shared" si="59"/>
        <v>/</v>
      </c>
      <c r="E180" s="109">
        <f ca="1">IF(表2_367162629303891213141523242526[[#This Row],[累计净值]]/MAX(INDIRECT("B21:B" &amp; ROW()))-1&lt;E179,表2_367162629303891213141523242526[[#This Row],[累计净值]]/MAX(INDIRECT("B21:B" &amp; ROW()))-1,E179)</f>
        <v>-0.13009491903964254</v>
      </c>
      <c r="F180" s="110">
        <f>表2_367162629303891213141523242526[[#This Row],[累计净值]]</f>
        <v>1.6120000000000001</v>
      </c>
      <c r="G180" s="20">
        <f>表2_367162629303891213141523242526[[#This Row],[累计净值]]/$B$21-1</f>
        <v>4.4041450777202007E-2</v>
      </c>
    </row>
    <row r="181" spans="1:7" x14ac:dyDescent="0.2">
      <c r="A181" s="15">
        <v>44272</v>
      </c>
      <c r="B181" s="112">
        <v>1.6379999999999999</v>
      </c>
      <c r="C181" s="108">
        <f>IFERROR(B181-B180,0)</f>
        <v>2.5999999999999801E-2</v>
      </c>
      <c r="D181" s="109" t="str">
        <f>IF(C181&lt;0,C181,"/")</f>
        <v>/</v>
      </c>
      <c r="E181" s="109">
        <f ca="1">IF(表2_367162629303891213141523242526[[#This Row],[累计净值]]/MAX(INDIRECT("B21:B" &amp; ROW()))-1&lt;E180,表2_367162629303891213141523242526[[#This Row],[累计净值]]/MAX(INDIRECT("B21:B" &amp; ROW()))-1,E180)</f>
        <v>-0.13009491903964254</v>
      </c>
      <c r="F181" s="110">
        <f>表2_367162629303891213141523242526[[#This Row],[累计净值]]</f>
        <v>1.6379999999999999</v>
      </c>
      <c r="G181" s="20">
        <f>表2_367162629303891213141523242526[[#This Row],[累计净值]]/$B$21-1</f>
        <v>6.0880829015544036E-2</v>
      </c>
    </row>
    <row r="182" spans="1:7" x14ac:dyDescent="0.2">
      <c r="A182" s="15">
        <v>44273</v>
      </c>
      <c r="B182" s="112">
        <v>1.657</v>
      </c>
      <c r="C182" s="108">
        <f>IFERROR(B182-B181,0)</f>
        <v>1.9000000000000128E-2</v>
      </c>
      <c r="D182" s="109" t="str">
        <f>IF(C182&lt;0,C182,"/")</f>
        <v>/</v>
      </c>
      <c r="E182" s="109">
        <f ca="1">IF(表2_367162629303891213141523242526[[#This Row],[累计净值]]/MAX(INDIRECT("B21:B" &amp; ROW()))-1&lt;E181,表2_367162629303891213141523242526[[#This Row],[累计净值]]/MAX(INDIRECT("B21:B" &amp; ROW()))-1,E181)</f>
        <v>-0.13009491903964254</v>
      </c>
      <c r="F182" s="110">
        <f>表2_367162629303891213141523242526[[#This Row],[累计净值]]</f>
        <v>1.657</v>
      </c>
      <c r="G182" s="20">
        <f>表2_367162629303891213141523242526[[#This Row],[累计净值]]/$B$21-1</f>
        <v>7.3186528497409364E-2</v>
      </c>
    </row>
    <row r="183" spans="1:7" x14ac:dyDescent="0.2">
      <c r="A183" s="15">
        <v>44274</v>
      </c>
      <c r="B183" s="112">
        <v>1.625</v>
      </c>
      <c r="C183" s="108">
        <f>IFERROR(B183-B182,0)</f>
        <v>-3.2000000000000028E-2</v>
      </c>
      <c r="D183" s="109">
        <f>IF(C183&lt;0,C183,"/")</f>
        <v>-3.2000000000000028E-2</v>
      </c>
      <c r="E183" s="109">
        <f ca="1">IF(表2_367162629303891213141523242526[[#This Row],[累计净值]]/MAX(INDIRECT("B21:B" &amp; ROW()))-1&lt;E182,表2_367162629303891213141523242526[[#This Row],[累计净值]]/MAX(INDIRECT("B21:B" &amp; ROW()))-1,E182)</f>
        <v>-0.13009491903964254</v>
      </c>
      <c r="F183" s="110">
        <f>表2_367162629303891213141523242526[[#This Row],[累计净值]]</f>
        <v>1.625</v>
      </c>
      <c r="G183" s="20">
        <f>表2_367162629303891213141523242526[[#This Row],[累计净值]]/$B$21-1</f>
        <v>5.2461139896373021E-2</v>
      </c>
    </row>
    <row r="184" spans="1:7" x14ac:dyDescent="0.2">
      <c r="A184" s="15">
        <v>44277</v>
      </c>
      <c r="B184" s="112">
        <v>1.643</v>
      </c>
      <c r="C184" s="108">
        <f>IFERROR(B184-B183,0)</f>
        <v>1.8000000000000016E-2</v>
      </c>
      <c r="D184" s="109" t="str">
        <f>IF(C184&lt;0,C184,"/")</f>
        <v>/</v>
      </c>
      <c r="E184" s="109">
        <f ca="1">IF(表2_367162629303891213141523242526[[#This Row],[累计净值]]/MAX(INDIRECT("B21:B" &amp; ROW()))-1&lt;E183,表2_367162629303891213141523242526[[#This Row],[累计净值]]/MAX(INDIRECT("B21:B" &amp; ROW()))-1,E183)</f>
        <v>-0.13009491903964254</v>
      </c>
      <c r="F184" s="110">
        <f>表2_367162629303891213141523242526[[#This Row],[累计净值]]</f>
        <v>1.643</v>
      </c>
      <c r="G184" s="20">
        <f>表2_367162629303891213141523242526[[#This Row],[累计净值]]/$B$21-1</f>
        <v>6.4119170984455964E-2</v>
      </c>
    </row>
    <row r="185" spans="1:7" x14ac:dyDescent="0.2">
      <c r="A185" s="15">
        <v>44278</v>
      </c>
      <c r="B185" s="112">
        <v>1.613</v>
      </c>
      <c r="C185" s="108">
        <f t="shared" ref="C185:C188" si="62">IFERROR(B185-B184,0)</f>
        <v>-3.0000000000000027E-2</v>
      </c>
      <c r="D185" s="109">
        <f t="shared" ref="D185:D188" si="63">IF(C185&lt;0,C185,"/")</f>
        <v>-3.0000000000000027E-2</v>
      </c>
      <c r="E185" s="109">
        <f ca="1">IF(表2_367162629303891213141523242526[[#This Row],[累计净值]]/MAX(INDIRECT("B21:B" &amp; ROW()))-1&lt;E184,表2_367162629303891213141523242526[[#This Row],[累计净值]]/MAX(INDIRECT("B21:B" &amp; ROW()))-1,E184)</f>
        <v>-0.13009491903964254</v>
      </c>
      <c r="F185" s="110">
        <f>表2_367162629303891213141523242526[[#This Row],[累计净值]]</f>
        <v>1.613</v>
      </c>
      <c r="G185" s="20">
        <f>表2_367162629303891213141523242526[[#This Row],[累计净值]]/$B$21-1</f>
        <v>4.4689119170984393E-2</v>
      </c>
    </row>
    <row r="186" spans="1:7" x14ac:dyDescent="0.2">
      <c r="A186" s="15">
        <v>44279</v>
      </c>
      <c r="B186" s="112">
        <v>1.5780000000000001</v>
      </c>
      <c r="C186" s="108">
        <f t="shared" si="62"/>
        <v>-3.499999999999992E-2</v>
      </c>
      <c r="D186" s="109">
        <f t="shared" si="63"/>
        <v>-3.499999999999992E-2</v>
      </c>
      <c r="E186" s="109">
        <f ca="1">IF(表2_367162629303891213141523242526[[#This Row],[累计净值]]/MAX(INDIRECT("B21:B" &amp; ROW()))-1&lt;E185,表2_367162629303891213141523242526[[#This Row],[累计净值]]/MAX(INDIRECT("B21:B" &amp; ROW()))-1,E185)</f>
        <v>-0.13009491903964254</v>
      </c>
      <c r="F186" s="110">
        <f>表2_367162629303891213141523242526[[#This Row],[累计净值]]</f>
        <v>1.5780000000000001</v>
      </c>
      <c r="G186" s="20">
        <f>表2_367162629303891213141523242526[[#This Row],[累计净值]]/$B$21-1</f>
        <v>2.2020725388601115E-2</v>
      </c>
    </row>
    <row r="187" spans="1:7" x14ac:dyDescent="0.2">
      <c r="A187" s="15">
        <v>44280</v>
      </c>
      <c r="B187" s="112">
        <v>1.593</v>
      </c>
      <c r="C187" s="108">
        <f t="shared" si="62"/>
        <v>1.4999999999999902E-2</v>
      </c>
      <c r="D187" s="109" t="str">
        <f t="shared" si="63"/>
        <v>/</v>
      </c>
      <c r="E187" s="109">
        <f ca="1">IF(表2_367162629303891213141523242526[[#This Row],[累计净值]]/MAX(INDIRECT("B21:B" &amp; ROW()))-1&lt;E186,表2_367162629303891213141523242526[[#This Row],[累计净值]]/MAX(INDIRECT("B21:B" &amp; ROW()))-1,E186)</f>
        <v>-0.13009491903964254</v>
      </c>
      <c r="F187" s="110">
        <f>表2_367162629303891213141523242526[[#This Row],[累计净值]]</f>
        <v>1.593</v>
      </c>
      <c r="G187" s="20">
        <f>表2_367162629303891213141523242526[[#This Row],[累计净值]]/$B$21-1</f>
        <v>3.1735751295336678E-2</v>
      </c>
    </row>
    <row r="188" spans="1:7" x14ac:dyDescent="0.2">
      <c r="A188" s="15">
        <v>44281</v>
      </c>
      <c r="B188" s="112">
        <v>1.64</v>
      </c>
      <c r="C188" s="108">
        <f t="shared" si="62"/>
        <v>4.6999999999999931E-2</v>
      </c>
      <c r="D188" s="109" t="str">
        <f t="shared" si="63"/>
        <v>/</v>
      </c>
      <c r="E188" s="109">
        <f ca="1">IF(表2_367162629303891213141523242526[[#This Row],[累计净值]]/MAX(INDIRECT("B21:B" &amp; ROW()))-1&lt;E187,表2_367162629303891213141523242526[[#This Row],[累计净值]]/MAX(INDIRECT("B21:B" &amp; ROW()))-1,E187)</f>
        <v>-0.13009491903964254</v>
      </c>
      <c r="F188" s="110">
        <f>表2_367162629303891213141523242526[[#This Row],[累计净值]]</f>
        <v>1.64</v>
      </c>
      <c r="G188" s="20">
        <f>表2_367162629303891213141523242526[[#This Row],[累计净值]]/$B$21-1</f>
        <v>6.2176165803108807E-2</v>
      </c>
    </row>
    <row r="189" spans="1:7" x14ac:dyDescent="0.2">
      <c r="A189" s="15">
        <v>44284</v>
      </c>
      <c r="B189" s="112">
        <v>1.6439999999999999</v>
      </c>
      <c r="C189" s="108">
        <f t="shared" ref="C189:C194" si="64">IFERROR(B189-B188,0)</f>
        <v>4.0000000000000036E-3</v>
      </c>
      <c r="D189" s="109" t="str">
        <f t="shared" ref="D189:D194" si="65">IF(C189&lt;0,C189,"/")</f>
        <v>/</v>
      </c>
      <c r="E189" s="109">
        <f ca="1">IF(表2_367162629303891213141523242526[[#This Row],[累计净值]]/MAX(INDIRECT("B21:B" &amp; ROW()))-1&lt;E188,表2_367162629303891213141523242526[[#This Row],[累计净值]]/MAX(INDIRECT("B21:B" &amp; ROW()))-1,E188)</f>
        <v>-0.13009491903964254</v>
      </c>
      <c r="F189" s="110">
        <f>表2_367162629303891213141523242526[[#This Row],[累计净值]]</f>
        <v>1.6439999999999999</v>
      </c>
      <c r="G189" s="20">
        <f>表2_367162629303891213141523242526[[#This Row],[累计净值]]/$B$21-1</f>
        <v>6.476683937823835E-2</v>
      </c>
    </row>
    <row r="190" spans="1:7" x14ac:dyDescent="0.2">
      <c r="A190" s="15">
        <v>44285</v>
      </c>
      <c r="B190" s="112">
        <v>1.661</v>
      </c>
      <c r="C190" s="108">
        <f t="shared" si="64"/>
        <v>1.7000000000000126E-2</v>
      </c>
      <c r="D190" s="109" t="str">
        <f t="shared" si="65"/>
        <v>/</v>
      </c>
      <c r="E190" s="109">
        <f ca="1">IF(表2_367162629303891213141523242526[[#This Row],[累计净值]]/MAX(INDIRECT("B21:B" &amp; ROW()))-1&lt;E189,表2_367162629303891213141523242526[[#This Row],[累计净值]]/MAX(INDIRECT("B21:B" &amp; ROW()))-1,E189)</f>
        <v>-0.13009491903964254</v>
      </c>
      <c r="F190" s="110">
        <f>表2_367162629303891213141523242526[[#This Row],[累计净值]]</f>
        <v>1.661</v>
      </c>
      <c r="G190" s="20">
        <f>表2_367162629303891213141523242526[[#This Row],[累计净值]]/$B$21-1</f>
        <v>7.5777202072538907E-2</v>
      </c>
    </row>
    <row r="191" spans="1:7" x14ac:dyDescent="0.2">
      <c r="A191" s="15">
        <v>44286</v>
      </c>
      <c r="B191" s="112">
        <v>1.649</v>
      </c>
      <c r="C191" s="108">
        <f t="shared" si="64"/>
        <v>-1.2000000000000011E-2</v>
      </c>
      <c r="D191" s="109">
        <f t="shared" si="65"/>
        <v>-1.2000000000000011E-2</v>
      </c>
      <c r="E191" s="109">
        <f ca="1">IF(表2_367162629303891213141523242526[[#This Row],[累计净值]]/MAX(INDIRECT("B21:B" &amp; ROW()))-1&lt;E190,表2_367162629303891213141523242526[[#This Row],[累计净值]]/MAX(INDIRECT("B21:B" &amp; ROW()))-1,E190)</f>
        <v>-0.13009491903964254</v>
      </c>
      <c r="F191" s="110">
        <f>表2_367162629303891213141523242526[[#This Row],[累计净值]]</f>
        <v>1.649</v>
      </c>
      <c r="G191" s="20">
        <f>表2_367162629303891213141523242526[[#This Row],[累计净值]]/$B$21-1</f>
        <v>6.8005181347150279E-2</v>
      </c>
    </row>
    <row r="192" spans="1:7" x14ac:dyDescent="0.2">
      <c r="A192" s="15">
        <v>44287</v>
      </c>
      <c r="B192" s="112">
        <v>1.669</v>
      </c>
      <c r="C192" s="108">
        <f t="shared" si="64"/>
        <v>2.0000000000000018E-2</v>
      </c>
      <c r="D192" s="109" t="str">
        <f t="shared" si="65"/>
        <v>/</v>
      </c>
      <c r="E192" s="109">
        <f ca="1">IF(表2_367162629303891213141523242526[[#This Row],[累计净值]]/MAX(INDIRECT("B21:B" &amp; ROW()))-1&lt;E191,表2_367162629303891213141523242526[[#This Row],[累计净值]]/MAX(INDIRECT("B21:B" &amp; ROW()))-1,E191)</f>
        <v>-0.13009491903964254</v>
      </c>
      <c r="F192" s="110">
        <f>表2_367162629303891213141523242526[[#This Row],[累计净值]]</f>
        <v>1.669</v>
      </c>
      <c r="G192" s="20">
        <f>表2_367162629303891213141523242526[[#This Row],[累计净值]]/$B$21-1</f>
        <v>8.0958549222797993E-2</v>
      </c>
    </row>
    <row r="193" spans="1:7" x14ac:dyDescent="0.2">
      <c r="A193" s="15">
        <v>44288</v>
      </c>
      <c r="B193" s="112">
        <v>1.6850000000000001</v>
      </c>
      <c r="C193" s="108">
        <f t="shared" si="64"/>
        <v>1.6000000000000014E-2</v>
      </c>
      <c r="D193" s="109" t="str">
        <f t="shared" si="65"/>
        <v>/</v>
      </c>
      <c r="E193" s="109">
        <f ca="1">IF(表2_367162629303891213141523242526[[#This Row],[累计净值]]/MAX(INDIRECT("B21:B" &amp; ROW()))-1&lt;E192,表2_367162629303891213141523242526[[#This Row],[累计净值]]/MAX(INDIRECT("B21:B" &amp; ROW()))-1,E192)</f>
        <v>-0.13009491903964254</v>
      </c>
      <c r="F193" s="110">
        <f>表2_367162629303891213141523242526[[#This Row],[累计净值]]</f>
        <v>1.6850000000000001</v>
      </c>
      <c r="G193" s="20">
        <f>表2_367162629303891213141523242526[[#This Row],[累计净值]]/$B$21-1</f>
        <v>9.1321243523316165E-2</v>
      </c>
    </row>
    <row r="194" spans="1:7" x14ac:dyDescent="0.2">
      <c r="A194" s="15">
        <v>44292</v>
      </c>
      <c r="B194" s="112">
        <v>1.6930000000000001</v>
      </c>
      <c r="C194" s="108">
        <f t="shared" si="64"/>
        <v>8.0000000000000071E-3</v>
      </c>
      <c r="D194" s="109" t="str">
        <f t="shared" si="65"/>
        <v>/</v>
      </c>
      <c r="E194" s="109">
        <f ca="1">IF(表2_367162629303891213141523242526[[#This Row],[累计净值]]/MAX(INDIRECT("B21:B" &amp; ROW()))-1&lt;E193,表2_367162629303891213141523242526[[#This Row],[累计净值]]/MAX(INDIRECT("B21:B" &amp; ROW()))-1,E193)</f>
        <v>-0.13009491903964254</v>
      </c>
      <c r="F194" s="110">
        <f>表2_367162629303891213141523242526[[#This Row],[累计净值]]</f>
        <v>1.6930000000000001</v>
      </c>
      <c r="G194" s="20">
        <f>表2_367162629303891213141523242526[[#This Row],[累计净值]]/$B$21-1</f>
        <v>9.650259067357525E-2</v>
      </c>
    </row>
    <row r="195" spans="1:7" x14ac:dyDescent="0.2">
      <c r="A195" s="15">
        <v>44293</v>
      </c>
      <c r="B195" s="112">
        <v>1.6970000000000001</v>
      </c>
      <c r="C195" s="108">
        <f t="shared" ref="C195:C200" si="66">IFERROR(B195-B194,0)</f>
        <v>4.0000000000000036E-3</v>
      </c>
      <c r="D195" s="109" t="str">
        <f t="shared" ref="D195:D200" si="67">IF(C195&lt;0,C195,"/")</f>
        <v>/</v>
      </c>
      <c r="E195" s="109">
        <f ca="1">IF(表2_367162629303891213141523242526[[#This Row],[累计净值]]/MAX(INDIRECT("B21:B" &amp; ROW()))-1&lt;E194,表2_367162629303891213141523242526[[#This Row],[累计净值]]/MAX(INDIRECT("B21:B" &amp; ROW()))-1,E194)</f>
        <v>-0.13009491903964254</v>
      </c>
      <c r="F195" s="110">
        <f>表2_367162629303891213141523242526[[#This Row],[累计净值]]</f>
        <v>1.6970000000000001</v>
      </c>
      <c r="G195" s="20">
        <f>表2_367162629303891213141523242526[[#This Row],[累计净值]]/$B$21-1</f>
        <v>9.9093264248704571E-2</v>
      </c>
    </row>
    <row r="196" spans="1:7" x14ac:dyDescent="0.2">
      <c r="A196" s="15">
        <v>44294</v>
      </c>
      <c r="B196" s="112">
        <v>1.702</v>
      </c>
      <c r="C196" s="108">
        <f t="shared" si="66"/>
        <v>4.9999999999998934E-3</v>
      </c>
      <c r="D196" s="109" t="str">
        <f t="shared" si="67"/>
        <v>/</v>
      </c>
      <c r="E196" s="109">
        <f ca="1">IF(表2_367162629303891213141523242526[[#This Row],[累计净值]]/MAX(INDIRECT("B21:B" &amp; ROW()))-1&lt;E195,表2_367162629303891213141523242526[[#This Row],[累计净值]]/MAX(INDIRECT("B21:B" &amp; ROW()))-1,E195)</f>
        <v>-0.13009491903964254</v>
      </c>
      <c r="F196" s="110">
        <f>表2_367162629303891213141523242526[[#This Row],[累计净值]]</f>
        <v>1.702</v>
      </c>
      <c r="G196" s="20">
        <f>表2_367162629303891213141523242526[[#This Row],[累计净值]]/$B$21-1</f>
        <v>0.1023316062176165</v>
      </c>
    </row>
    <row r="197" spans="1:7" x14ac:dyDescent="0.2">
      <c r="A197" s="15">
        <v>44295</v>
      </c>
      <c r="B197" s="112">
        <v>1.696</v>
      </c>
      <c r="C197" s="108">
        <f t="shared" si="66"/>
        <v>-6.0000000000000053E-3</v>
      </c>
      <c r="D197" s="109">
        <f t="shared" si="67"/>
        <v>-6.0000000000000053E-3</v>
      </c>
      <c r="E197" s="109">
        <f ca="1">IF(表2_367162629303891213141523242526[[#This Row],[累计净值]]/MAX(INDIRECT("B21:B" &amp; ROW()))-1&lt;E196,表2_367162629303891213141523242526[[#This Row],[累计净值]]/MAX(INDIRECT("B21:B" &amp; ROW()))-1,E196)</f>
        <v>-0.13009491903964254</v>
      </c>
      <c r="F197" s="110">
        <f>表2_367162629303891213141523242526[[#This Row],[累计净值]]</f>
        <v>1.696</v>
      </c>
      <c r="G197" s="20">
        <f>表2_367162629303891213141523242526[[#This Row],[累计净值]]/$B$21-1</f>
        <v>9.8445595854922185E-2</v>
      </c>
    </row>
    <row r="198" spans="1:7" x14ac:dyDescent="0.2">
      <c r="A198" s="15">
        <v>44298</v>
      </c>
      <c r="B198" s="112">
        <v>1.66</v>
      </c>
      <c r="C198" s="108">
        <f t="shared" si="66"/>
        <v>-3.6000000000000032E-2</v>
      </c>
      <c r="D198" s="109">
        <f t="shared" si="67"/>
        <v>-3.6000000000000032E-2</v>
      </c>
      <c r="E198" s="109">
        <f ca="1">IF(表2_367162629303891213141523242526[[#This Row],[累计净值]]/MAX(INDIRECT("B21:B" &amp; ROW()))-1&lt;E197,表2_367162629303891213141523242526[[#This Row],[累计净值]]/MAX(INDIRECT("B21:B" &amp; ROW()))-1,E197)</f>
        <v>-0.13009491903964254</v>
      </c>
      <c r="F198" s="110">
        <f>表2_367162629303891213141523242526[[#This Row],[累计净值]]</f>
        <v>1.66</v>
      </c>
      <c r="G198" s="20">
        <f>表2_367162629303891213141523242526[[#This Row],[累计净值]]/$B$21-1</f>
        <v>7.51295336787563E-2</v>
      </c>
    </row>
    <row r="199" spans="1:7" x14ac:dyDescent="0.2">
      <c r="A199" s="15">
        <v>44299</v>
      </c>
      <c r="B199" s="112">
        <v>1.6559999999999999</v>
      </c>
      <c r="C199" s="108">
        <f t="shared" si="66"/>
        <v>-4.0000000000000036E-3</v>
      </c>
      <c r="D199" s="109">
        <f t="shared" si="67"/>
        <v>-4.0000000000000036E-3</v>
      </c>
      <c r="E199" s="109">
        <f ca="1">IF(表2_367162629303891213141523242526[[#This Row],[累计净值]]/MAX(INDIRECT("B21:B" &amp; ROW()))-1&lt;E198,表2_367162629303891213141523242526[[#This Row],[累计净值]]/MAX(INDIRECT("B21:B" &amp; ROW()))-1,E198)</f>
        <v>-0.13009491903964254</v>
      </c>
      <c r="F199" s="110">
        <f>表2_367162629303891213141523242526[[#This Row],[累计净值]]</f>
        <v>1.6559999999999999</v>
      </c>
      <c r="G199" s="20">
        <f>表2_367162629303891213141523242526[[#This Row],[累计净值]]/$B$21-1</f>
        <v>7.2538860103626757E-2</v>
      </c>
    </row>
    <row r="200" spans="1:7" x14ac:dyDescent="0.2">
      <c r="A200" s="15">
        <v>44300</v>
      </c>
      <c r="B200" s="112">
        <v>1.681</v>
      </c>
      <c r="C200" s="108">
        <f t="shared" si="66"/>
        <v>2.5000000000000133E-2</v>
      </c>
      <c r="D200" s="109" t="str">
        <f t="shared" si="67"/>
        <v>/</v>
      </c>
      <c r="E200" s="109">
        <f ca="1">IF(表2_367162629303891213141523242526[[#This Row],[累计净值]]/MAX(INDIRECT("B21:B" &amp; ROW()))-1&lt;E199,表2_367162629303891213141523242526[[#This Row],[累计净值]]/MAX(INDIRECT("B21:B" &amp; ROW()))-1,E199)</f>
        <v>-0.13009491903964254</v>
      </c>
      <c r="F200" s="110">
        <f>表2_367162629303891213141523242526[[#This Row],[累计净值]]</f>
        <v>1.681</v>
      </c>
      <c r="G200" s="20">
        <f>表2_367162629303891213141523242526[[#This Row],[累计净值]]/$B$21-1</f>
        <v>8.8730569948186622E-2</v>
      </c>
    </row>
    <row r="201" spans="1:7" x14ac:dyDescent="0.2">
      <c r="A201" s="15">
        <v>44301</v>
      </c>
      <c r="B201" s="112">
        <v>1.6759999999999999</v>
      </c>
      <c r="C201" s="108">
        <f t="shared" ref="C201:C206" si="68">IFERROR(B201-B200,0)</f>
        <v>-5.0000000000001155E-3</v>
      </c>
      <c r="D201" s="109">
        <f t="shared" ref="D201:D206" si="69">IF(C201&lt;0,C201,"/")</f>
        <v>-5.0000000000001155E-3</v>
      </c>
      <c r="E201" s="109">
        <f ca="1">IF(表2_367162629303891213141523242526[[#This Row],[累计净值]]/MAX(INDIRECT("B21:B" &amp; ROW()))-1&lt;E200,表2_367162629303891213141523242526[[#This Row],[累计净值]]/MAX(INDIRECT("B21:B" &amp; ROW()))-1,E200)</f>
        <v>-0.13009491903964254</v>
      </c>
      <c r="F201" s="110">
        <f>表2_367162629303891213141523242526[[#This Row],[累计净值]]</f>
        <v>1.6759999999999999</v>
      </c>
      <c r="G201" s="20">
        <f>表2_367162629303891213141523242526[[#This Row],[累计净值]]/$B$21-1</f>
        <v>8.5492227979274471E-2</v>
      </c>
    </row>
    <row r="202" spans="1:7" x14ac:dyDescent="0.2">
      <c r="A202" s="15">
        <v>44302</v>
      </c>
      <c r="B202" s="112">
        <v>1.6850000000000001</v>
      </c>
      <c r="C202" s="108">
        <f t="shared" si="68"/>
        <v>9.000000000000119E-3</v>
      </c>
      <c r="D202" s="109" t="str">
        <f t="shared" si="69"/>
        <v>/</v>
      </c>
      <c r="E202" s="109">
        <f ca="1">IF(表2_367162629303891213141523242526[[#This Row],[累计净值]]/MAX(INDIRECT("B21:B" &amp; ROW()))-1&lt;E201,表2_367162629303891213141523242526[[#This Row],[累计净值]]/MAX(INDIRECT("B21:B" &amp; ROW()))-1,E201)</f>
        <v>-0.13009491903964254</v>
      </c>
      <c r="F202" s="110">
        <f>表2_367162629303891213141523242526[[#This Row],[累计净值]]</f>
        <v>1.6850000000000001</v>
      </c>
      <c r="G202" s="20">
        <f>表2_367162629303891213141523242526[[#This Row],[累计净值]]/$B$21-1</f>
        <v>9.1321243523316165E-2</v>
      </c>
    </row>
    <row r="203" spans="1:7" x14ac:dyDescent="0.2">
      <c r="A203" s="15">
        <v>44305</v>
      </c>
      <c r="B203" s="112">
        <v>1.72</v>
      </c>
      <c r="C203" s="108">
        <f t="shared" si="68"/>
        <v>3.499999999999992E-2</v>
      </c>
      <c r="D203" s="109" t="str">
        <f t="shared" si="69"/>
        <v>/</v>
      </c>
      <c r="E203" s="109">
        <f ca="1">IF(表2_367162629303891213141523242526[[#This Row],[累计净值]]/MAX(INDIRECT("B21:B" &amp; ROW()))-1&lt;E202,表2_367162629303891213141523242526[[#This Row],[累计净值]]/MAX(INDIRECT("B21:B" &amp; ROW()))-1,E202)</f>
        <v>-0.13009491903964254</v>
      </c>
      <c r="F203" s="110">
        <f>表2_367162629303891213141523242526[[#This Row],[累计净值]]</f>
        <v>1.72</v>
      </c>
      <c r="G203" s="20">
        <f>表2_367162629303891213141523242526[[#This Row],[累计净值]]/$B$21-1</f>
        <v>0.11398963730569944</v>
      </c>
    </row>
    <row r="204" spans="1:7" x14ac:dyDescent="0.2">
      <c r="A204" s="15">
        <v>44306</v>
      </c>
      <c r="B204" s="112">
        <v>1.722</v>
      </c>
      <c r="C204" s="108">
        <f t="shared" si="68"/>
        <v>2.0000000000000018E-3</v>
      </c>
      <c r="D204" s="109" t="str">
        <f t="shared" si="69"/>
        <v>/</v>
      </c>
      <c r="E204" s="109">
        <f ca="1">IF(表2_367162629303891213141523242526[[#This Row],[累计净值]]/MAX(INDIRECT("B21:B" &amp; ROW()))-1&lt;E203,表2_367162629303891213141523242526[[#This Row],[累计净值]]/MAX(INDIRECT("B21:B" &amp; ROW()))-1,E203)</f>
        <v>-0.13009491903964254</v>
      </c>
      <c r="F204" s="110">
        <f>表2_367162629303891213141523242526[[#This Row],[累计净值]]</f>
        <v>1.722</v>
      </c>
      <c r="G204" s="20">
        <f>表2_367162629303891213141523242526[[#This Row],[累计净值]]/$B$21-1</f>
        <v>0.11528497409326421</v>
      </c>
    </row>
    <row r="205" spans="1:7" x14ac:dyDescent="0.2">
      <c r="A205" s="15">
        <v>44307</v>
      </c>
      <c r="B205" s="112">
        <v>1.7250000000000001</v>
      </c>
      <c r="C205" s="108">
        <f t="shared" si="68"/>
        <v>3.0000000000001137E-3</v>
      </c>
      <c r="D205" s="109" t="str">
        <f t="shared" si="69"/>
        <v>/</v>
      </c>
      <c r="E205" s="109">
        <f ca="1">IF(表2_367162629303891213141523242526[[#This Row],[累计净值]]/MAX(INDIRECT("B21:B" &amp; ROW()))-1&lt;E204,表2_367162629303891213141523242526[[#This Row],[累计净值]]/MAX(INDIRECT("B21:B" &amp; ROW()))-1,E204)</f>
        <v>-0.13009491903964254</v>
      </c>
      <c r="F205" s="110">
        <f>表2_367162629303891213141523242526[[#This Row],[累计净值]]</f>
        <v>1.7250000000000001</v>
      </c>
      <c r="G205" s="20">
        <f>表2_367162629303891213141523242526[[#This Row],[累计净值]]/$B$21-1</f>
        <v>0.11722797927461137</v>
      </c>
    </row>
    <row r="206" spans="1:7" x14ac:dyDescent="0.2">
      <c r="A206" s="15">
        <v>44308</v>
      </c>
      <c r="B206" s="112">
        <v>1.74</v>
      </c>
      <c r="C206" s="108">
        <f t="shared" si="68"/>
        <v>1.4999999999999902E-2</v>
      </c>
      <c r="D206" s="109" t="str">
        <f t="shared" si="69"/>
        <v>/</v>
      </c>
      <c r="E206" s="109">
        <f ca="1">IF(表2_367162629303891213141523242526[[#This Row],[累计净值]]/MAX(INDIRECT("B21:B" &amp; ROW()))-1&lt;E205,表2_367162629303891213141523242526[[#This Row],[累计净值]]/MAX(INDIRECT("B21:B" &amp; ROW()))-1,E205)</f>
        <v>-0.13009491903964254</v>
      </c>
      <c r="F206" s="110">
        <f>表2_367162629303891213141523242526[[#This Row],[累计净值]]</f>
        <v>1.74</v>
      </c>
      <c r="G206" s="20">
        <f>表2_367162629303891213141523242526[[#This Row],[累计净值]]/$B$21-1</f>
        <v>0.12694300518134716</v>
      </c>
    </row>
    <row r="207" spans="1:7" x14ac:dyDescent="0.2">
      <c r="A207" s="15">
        <v>44309</v>
      </c>
      <c r="B207" s="112">
        <v>1.742</v>
      </c>
      <c r="C207" s="108">
        <f>IFERROR(B207-B206,0)</f>
        <v>2.0000000000000018E-3</v>
      </c>
      <c r="D207" s="109" t="str">
        <f>IF(C207&lt;0,C207,"/")</f>
        <v>/</v>
      </c>
      <c r="E207" s="109">
        <f ca="1">IF(表2_367162629303891213141523242526[[#This Row],[累计净值]]/MAX(INDIRECT("B21:B" &amp; ROW()))-1&lt;E206,表2_367162629303891213141523242526[[#This Row],[累计净值]]/MAX(INDIRECT("B21:B" &amp; ROW()))-1,E206)</f>
        <v>-0.13009491903964254</v>
      </c>
      <c r="F207" s="110">
        <f>表2_367162629303891213141523242526[[#This Row],[累计净值]]</f>
        <v>1.742</v>
      </c>
      <c r="G207" s="20">
        <f>表2_367162629303891213141523242526[[#This Row],[累计净值]]/$B$21-1</f>
        <v>0.12823834196891193</v>
      </c>
    </row>
    <row r="208" spans="1:7" x14ac:dyDescent="0.2">
      <c r="A208" s="15">
        <v>44312</v>
      </c>
      <c r="B208" s="112">
        <v>1.7350000000000001</v>
      </c>
      <c r="C208" s="108">
        <f>IFERROR(B208-B207,0)</f>
        <v>-6.9999999999998952E-3</v>
      </c>
      <c r="D208" s="109">
        <f>IF(C208&lt;0,C208,"/")</f>
        <v>-6.9999999999998952E-3</v>
      </c>
      <c r="E208" s="109">
        <f ca="1">IF(表2_367162629303891213141523242526[[#This Row],[累计净值]]/MAX(INDIRECT("B21:B" &amp; ROW()))-1&lt;E207,表2_367162629303891213141523242526[[#This Row],[累计净值]]/MAX(INDIRECT("B21:B" &amp; ROW()))-1,E207)</f>
        <v>-0.13009491903964254</v>
      </c>
      <c r="F208" s="110">
        <f>表2_367162629303891213141523242526[[#This Row],[累计净值]]</f>
        <v>1.7350000000000001</v>
      </c>
      <c r="G208" s="20">
        <f>表2_367162629303891213141523242526[[#This Row],[累计净值]]/$B$21-1</f>
        <v>0.12370466321243523</v>
      </c>
    </row>
    <row r="209" spans="1:7" x14ac:dyDescent="0.2">
      <c r="A209" s="15">
        <v>44313</v>
      </c>
      <c r="B209" s="112">
        <v>1.7350000000000001</v>
      </c>
      <c r="C209" s="108">
        <f>IFERROR(B209-B208,0)</f>
        <v>0</v>
      </c>
      <c r="D209" s="109" t="str">
        <f>IF(C209&lt;0,C209,"/")</f>
        <v>/</v>
      </c>
      <c r="E209" s="109">
        <f ca="1">IF(表2_367162629303891213141523242526[[#This Row],[累计净值]]/MAX(INDIRECT("B21:B" &amp; ROW()))-1&lt;E208,表2_367162629303891213141523242526[[#This Row],[累计净值]]/MAX(INDIRECT("B21:B" &amp; ROW()))-1,E208)</f>
        <v>-0.13009491903964254</v>
      </c>
      <c r="F209" s="110">
        <f>表2_367162629303891213141523242526[[#This Row],[累计净值]]</f>
        <v>1.7350000000000001</v>
      </c>
      <c r="G209" s="20">
        <f>表2_367162629303891213141523242526[[#This Row],[累计净值]]/$B$21-1</f>
        <v>0.12370466321243523</v>
      </c>
    </row>
    <row r="210" spans="1:7" x14ac:dyDescent="0.2">
      <c r="A210" s="15">
        <v>44314</v>
      </c>
      <c r="B210" s="112">
        <v>1.7509999999999999</v>
      </c>
      <c r="C210" s="108">
        <f>IFERROR(B210-B209,0)</f>
        <v>1.5999999999999792E-2</v>
      </c>
      <c r="D210" s="109" t="str">
        <f>IF(C210&lt;0,C210,"/")</f>
        <v>/</v>
      </c>
      <c r="E210" s="109">
        <f ca="1">IF(表2_367162629303891213141523242526[[#This Row],[累计净值]]/MAX(INDIRECT("B21:B" &amp; ROW()))-1&lt;E209,表2_367162629303891213141523242526[[#This Row],[累计净值]]/MAX(INDIRECT("B21:B" &amp; ROW()))-1,E209)</f>
        <v>-0.13009491903964254</v>
      </c>
      <c r="F210" s="110">
        <f>表2_367162629303891213141523242526[[#This Row],[累计净值]]</f>
        <v>1.7509999999999999</v>
      </c>
      <c r="G210" s="20">
        <f>表2_367162629303891213141523242526[[#This Row],[累计净值]]/$B$21-1</f>
        <v>0.13406735751295318</v>
      </c>
    </row>
    <row r="211" spans="1:7" x14ac:dyDescent="0.2">
      <c r="A211" s="15">
        <v>44315</v>
      </c>
      <c r="B211" s="112">
        <v>1.7470000000000001</v>
      </c>
      <c r="C211" s="108">
        <f t="shared" ref="C211:C213" si="70">IFERROR(B211-B210,0)</f>
        <v>-3.9999999999997815E-3</v>
      </c>
      <c r="D211" s="109">
        <f t="shared" ref="D211:D213" si="71">IF(C211&lt;0,C211,"/")</f>
        <v>-3.9999999999997815E-3</v>
      </c>
      <c r="E211" s="109">
        <f ca="1">IF(表2_367162629303891213141523242526[[#This Row],[累计净值]]/MAX(INDIRECT("B21:B" &amp; ROW()))-1&lt;E210,表2_367162629303891213141523242526[[#This Row],[累计净值]]/MAX(INDIRECT("B21:B" &amp; ROW()))-1,E210)</f>
        <v>-0.13009491903964254</v>
      </c>
      <c r="F211" s="110">
        <f>表2_367162629303891213141523242526[[#This Row],[累计净值]]</f>
        <v>1.7470000000000001</v>
      </c>
      <c r="G211" s="20">
        <f>表2_367162629303891213141523242526[[#This Row],[累计净值]]/$B$21-1</f>
        <v>0.13147668393782386</v>
      </c>
    </row>
    <row r="212" spans="1:7" x14ac:dyDescent="0.2">
      <c r="A212" s="15">
        <v>44316</v>
      </c>
      <c r="B212" s="112">
        <v>1.742</v>
      </c>
      <c r="C212" s="108">
        <f t="shared" si="70"/>
        <v>-5.0000000000001155E-3</v>
      </c>
      <c r="D212" s="109">
        <f t="shared" si="71"/>
        <v>-5.0000000000001155E-3</v>
      </c>
      <c r="E212" s="109">
        <f ca="1">IF(表2_367162629303891213141523242526[[#This Row],[累计净值]]/MAX(INDIRECT("B21:B" &amp; ROW()))-1&lt;E211,表2_367162629303891213141523242526[[#This Row],[累计净值]]/MAX(INDIRECT("B21:B" &amp; ROW()))-1,E211)</f>
        <v>-0.13009491903964254</v>
      </c>
      <c r="F212" s="110">
        <f>表2_367162629303891213141523242526[[#This Row],[累计净值]]</f>
        <v>1.742</v>
      </c>
      <c r="G212" s="20">
        <f>表2_367162629303891213141523242526[[#This Row],[累计净值]]/$B$21-1</f>
        <v>0.12823834196891193</v>
      </c>
    </row>
    <row r="213" spans="1:7" x14ac:dyDescent="0.2">
      <c r="A213" s="15">
        <v>44322</v>
      </c>
      <c r="B213" s="112">
        <v>1.7370000000000001</v>
      </c>
      <c r="C213" s="108">
        <f t="shared" si="70"/>
        <v>-4.9999999999998934E-3</v>
      </c>
      <c r="D213" s="109">
        <f t="shared" si="71"/>
        <v>-4.9999999999998934E-3</v>
      </c>
      <c r="E213" s="109">
        <f ca="1">IF(表2_367162629303891213141523242526[[#This Row],[累计净值]]/MAX(INDIRECT("B21:B" &amp; ROW()))-1&lt;E212,表2_367162629303891213141523242526[[#This Row],[累计净值]]/MAX(INDIRECT("B21:B" &amp; ROW()))-1,E212)</f>
        <v>-0.13009491903964254</v>
      </c>
      <c r="F213" s="110">
        <f>表2_367162629303891213141523242526[[#This Row],[累计净值]]</f>
        <v>1.7370000000000001</v>
      </c>
      <c r="G213" s="20">
        <f>表2_367162629303891213141523242526[[#This Row],[累计净值]]/$B$21-1</f>
        <v>0.125</v>
      </c>
    </row>
    <row r="214" spans="1:7" x14ac:dyDescent="0.2">
      <c r="A214" s="15">
        <v>44323</v>
      </c>
      <c r="B214" s="112">
        <v>1.702</v>
      </c>
      <c r="C214" s="108">
        <f t="shared" ref="C214:C219" si="72">IFERROR(B214-B213,0)</f>
        <v>-3.5000000000000142E-2</v>
      </c>
      <c r="D214" s="109">
        <f t="shared" ref="D214:D219" si="73">IF(C214&lt;0,C214,"/")</f>
        <v>-3.5000000000000142E-2</v>
      </c>
      <c r="E214" s="109">
        <f ca="1">IF(表2_367162629303891213141523242526[[#This Row],[累计净值]]/MAX(INDIRECT("B21:B" &amp; ROW()))-1&lt;E213,表2_367162629303891213141523242526[[#This Row],[累计净值]]/MAX(INDIRECT("B21:B" &amp; ROW()))-1,E213)</f>
        <v>-0.13009491903964254</v>
      </c>
      <c r="F214" s="110">
        <f>表2_367162629303891213141523242526[[#This Row],[累计净值]]</f>
        <v>1.702</v>
      </c>
      <c r="G214" s="20">
        <f>表2_367162629303891213141523242526[[#This Row],[累计净值]]/$B$21-1</f>
        <v>0.1023316062176165</v>
      </c>
    </row>
    <row r="215" spans="1:7" x14ac:dyDescent="0.2">
      <c r="A215" s="15">
        <v>44326</v>
      </c>
      <c r="B215" s="112">
        <v>1.71</v>
      </c>
      <c r="C215" s="108">
        <f t="shared" si="72"/>
        <v>8.0000000000000071E-3</v>
      </c>
      <c r="D215" s="109" t="str">
        <f t="shared" si="73"/>
        <v>/</v>
      </c>
      <c r="E215" s="109">
        <f ca="1">IF(表2_367162629303891213141523242526[[#This Row],[累计净值]]/MAX(INDIRECT("B21:B" &amp; ROW()))-1&lt;E214,表2_367162629303891213141523242526[[#This Row],[累计净值]]/MAX(INDIRECT("B21:B" &amp; ROW()))-1,E214)</f>
        <v>-0.13009491903964254</v>
      </c>
      <c r="F215" s="110">
        <f>表2_367162629303891213141523242526[[#This Row],[累计净值]]</f>
        <v>1.71</v>
      </c>
      <c r="G215" s="20">
        <f>表2_367162629303891213141523242526[[#This Row],[累计净值]]/$B$21-1</f>
        <v>0.10751295336787559</v>
      </c>
    </row>
    <row r="216" spans="1:7" x14ac:dyDescent="0.2">
      <c r="A216" s="15">
        <v>44327</v>
      </c>
      <c r="B216" s="112">
        <v>1.708</v>
      </c>
      <c r="C216" s="108">
        <f t="shared" si="72"/>
        <v>-2.0000000000000018E-3</v>
      </c>
      <c r="D216" s="109">
        <f t="shared" si="73"/>
        <v>-2.0000000000000018E-3</v>
      </c>
      <c r="E216" s="109">
        <f ca="1">IF(表2_367162629303891213141523242526[[#This Row],[累计净值]]/MAX(INDIRECT("B21:B" &amp; ROW()))-1&lt;E215,表2_367162629303891213141523242526[[#This Row],[累计净值]]/MAX(INDIRECT("B21:B" &amp; ROW()))-1,E215)</f>
        <v>-0.13009491903964254</v>
      </c>
      <c r="F216" s="110">
        <f>表2_367162629303891213141523242526[[#This Row],[累计净值]]</f>
        <v>1.708</v>
      </c>
      <c r="G216" s="20">
        <f>表2_367162629303891213141523242526[[#This Row],[累计净值]]/$B$21-1</f>
        <v>0.10621761658031081</v>
      </c>
    </row>
    <row r="217" spans="1:7" x14ac:dyDescent="0.2">
      <c r="A217" s="15">
        <v>44328</v>
      </c>
      <c r="B217" s="112">
        <v>1.732</v>
      </c>
      <c r="C217" s="108">
        <f t="shared" si="72"/>
        <v>2.4000000000000021E-2</v>
      </c>
      <c r="D217" s="109" t="str">
        <f t="shared" si="73"/>
        <v>/</v>
      </c>
      <c r="E217" s="109">
        <f ca="1">IF(表2_367162629303891213141523242526[[#This Row],[累计净值]]/MAX(INDIRECT("B21:B" &amp; ROW()))-1&lt;E216,表2_367162629303891213141523242526[[#This Row],[累计净值]]/MAX(INDIRECT("B21:B" &amp; ROW()))-1,E216)</f>
        <v>-0.13009491903964254</v>
      </c>
      <c r="F217" s="110">
        <f>表2_367162629303891213141523242526[[#This Row],[累计净值]]</f>
        <v>1.732</v>
      </c>
      <c r="G217" s="20">
        <f>表2_367162629303891213141523242526[[#This Row],[累计净值]]/$B$21-1</f>
        <v>0.12176165803108807</v>
      </c>
    </row>
    <row r="218" spans="1:7" x14ac:dyDescent="0.2">
      <c r="A218" s="15">
        <v>44329</v>
      </c>
      <c r="B218" s="112">
        <v>1.7170000000000001</v>
      </c>
      <c r="C218" s="108">
        <f t="shared" si="72"/>
        <v>-1.4999999999999902E-2</v>
      </c>
      <c r="D218" s="109">
        <f t="shared" si="73"/>
        <v>-1.4999999999999902E-2</v>
      </c>
      <c r="E218" s="109">
        <f ca="1">IF(表2_367162629303891213141523242526[[#This Row],[累计净值]]/MAX(INDIRECT("B21:B" &amp; ROW()))-1&lt;E217,表2_367162629303891213141523242526[[#This Row],[累计净值]]/MAX(INDIRECT("B21:B" &amp; ROW()))-1,E217)</f>
        <v>-0.13009491903964254</v>
      </c>
      <c r="F218" s="110">
        <f>表2_367162629303891213141523242526[[#This Row],[累计净值]]</f>
        <v>1.7170000000000001</v>
      </c>
      <c r="G218" s="20">
        <f>表2_367162629303891213141523242526[[#This Row],[累计净值]]/$B$21-1</f>
        <v>0.11204663212435229</v>
      </c>
    </row>
    <row r="219" spans="1:7" x14ac:dyDescent="0.2">
      <c r="A219" s="15">
        <v>44330</v>
      </c>
      <c r="B219" s="112">
        <v>1.742</v>
      </c>
      <c r="C219" s="108">
        <f t="shared" si="72"/>
        <v>2.4999999999999911E-2</v>
      </c>
      <c r="D219" s="109" t="str">
        <f t="shared" si="73"/>
        <v>/</v>
      </c>
      <c r="E219" s="109">
        <f ca="1">IF(表2_367162629303891213141523242526[[#This Row],[累计净值]]/MAX(INDIRECT("B21:B" &amp; ROW()))-1&lt;E218,表2_367162629303891213141523242526[[#This Row],[累计净值]]/MAX(INDIRECT("B21:B" &amp; ROW()))-1,E218)</f>
        <v>-0.13009491903964254</v>
      </c>
      <c r="F219" s="110">
        <f>表2_367162629303891213141523242526[[#This Row],[累计净值]]</f>
        <v>1.742</v>
      </c>
      <c r="G219" s="20">
        <f>表2_367162629303891213141523242526[[#This Row],[累计净值]]/$B$21-1</f>
        <v>0.12823834196891193</v>
      </c>
    </row>
    <row r="220" spans="1:7" x14ac:dyDescent="0.2">
      <c r="A220" s="15">
        <v>44333</v>
      </c>
      <c r="B220" s="112">
        <v>1.7549999999999999</v>
      </c>
      <c r="C220" s="108">
        <f>IFERROR(B220-B219,0)</f>
        <v>1.2999999999999901E-2</v>
      </c>
      <c r="D220" s="109" t="str">
        <f>IF(C220&lt;0,C220,"/")</f>
        <v>/</v>
      </c>
      <c r="E220" s="109">
        <f ca="1">IF(表2_367162629303891213141523242526[[#This Row],[累计净值]]/MAX(INDIRECT("B21:B" &amp; ROW()))-1&lt;E219,表2_367162629303891213141523242526[[#This Row],[累计净值]]/MAX(INDIRECT("B21:B" &amp; ROW()))-1,E219)</f>
        <v>-0.13009491903964254</v>
      </c>
      <c r="F220" s="110">
        <f>表2_367162629303891213141523242526[[#This Row],[累计净值]]</f>
        <v>1.7549999999999999</v>
      </c>
      <c r="G220" s="20">
        <f>表2_367162629303891213141523242526[[#This Row],[累计净值]]/$B$21-1</f>
        <v>0.13665803108808272</v>
      </c>
    </row>
  </sheetData>
  <mergeCells count="1">
    <mergeCell ref="G2:G3"/>
  </mergeCells>
  <phoneticPr fontId="24" type="noConversion"/>
  <pageMargins left="0.7" right="0.7" top="0.75" bottom="0.75" header="0.3" footer="0.3"/>
  <pageSetup paperSize="9" orientation="portrait" horizontalDpi="200" verticalDpi="200" r:id="rId1"/>
  <drawing r:id="rId2"/>
  <tableParts count="1">
    <tablePart r:id="rId3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O190"/>
  <sheetViews>
    <sheetView workbookViewId="0">
      <pane xSplit="1" ySplit="20" topLeftCell="B176" activePane="bottomRight" state="frozen"/>
      <selection pane="topRight" activeCell="B1" sqref="B1"/>
      <selection pane="bottomLeft" activeCell="A21" sqref="A21"/>
      <selection pane="bottomRight" activeCell="G189" sqref="G189:G190"/>
    </sheetView>
  </sheetViews>
  <sheetFormatPr defaultColWidth="9" defaultRowHeight="14.25" x14ac:dyDescent="0.2"/>
  <cols>
    <col min="1" max="1" width="11.625" style="1" bestFit="1" customWidth="1"/>
    <col min="2" max="2" width="13" style="1" customWidth="1"/>
    <col min="3" max="4" width="13.5" style="1" bestFit="1" customWidth="1"/>
    <col min="5" max="5" width="10.75" style="1" customWidth="1"/>
    <col min="6" max="6" width="11.125" style="1" customWidth="1"/>
    <col min="7" max="7" width="18.875" style="2" customWidth="1"/>
    <col min="8" max="8" width="14.25" style="1" customWidth="1"/>
    <col min="9" max="9" width="12" style="1" bestFit="1" customWidth="1"/>
    <col min="10" max="14" width="9" style="1"/>
    <col min="15" max="15" width="10.375" style="1" bestFit="1" customWidth="1"/>
    <col min="16" max="16384" width="9" style="1"/>
  </cols>
  <sheetData>
    <row r="1" spans="1:7" ht="15" thickBot="1" x14ac:dyDescent="0.25"/>
    <row r="2" spans="1:7" ht="15" thickBot="1" x14ac:dyDescent="0.25">
      <c r="A2" s="23" t="s">
        <v>0</v>
      </c>
      <c r="B2" s="24">
        <f>COUNT(表2_367162629303891213141523242526272829[每日盈亏])</f>
        <v>170</v>
      </c>
      <c r="C2" s="27"/>
      <c r="D2" s="3" t="s">
        <v>1</v>
      </c>
      <c r="E2" s="28"/>
      <c r="F2" s="1" t="s">
        <v>2</v>
      </c>
      <c r="G2" s="394" t="s">
        <v>3</v>
      </c>
    </row>
    <row r="3" spans="1:7" x14ac:dyDescent="0.2">
      <c r="A3" s="25" t="s">
        <v>4</v>
      </c>
      <c r="B3" s="26">
        <f>COUNTIF(表2_367162629303891213141523242526272829[每日盈亏],"&gt;0")</f>
        <v>86</v>
      </c>
      <c r="C3" s="29"/>
      <c r="D3" s="30" t="s">
        <v>5</v>
      </c>
      <c r="E3" s="31">
        <f>245^0.5*(B10-0.025/365)/E10</f>
        <v>0.66171402816601432</v>
      </c>
      <c r="G3" s="394"/>
    </row>
    <row r="4" spans="1:7" x14ac:dyDescent="0.2">
      <c r="A4" s="25" t="s">
        <v>6</v>
      </c>
      <c r="B4" s="26">
        <f>COUNTIF(表2_367162629303891213141523242526272829[每日盈亏],"&lt;0")</f>
        <v>82</v>
      </c>
      <c r="C4" s="29"/>
      <c r="D4" s="32" t="s">
        <v>7</v>
      </c>
      <c r="E4" s="31">
        <f ca="1">-B9/E8</f>
        <v>1.5470388195286104</v>
      </c>
      <c r="G4" s="2">
        <f>LOOKUP(999^10,表2_367162629303891213141523242526272829[累计净值])</f>
        <v>1.091</v>
      </c>
    </row>
    <row r="5" spans="1:7" x14ac:dyDescent="0.2">
      <c r="A5" s="25" t="s">
        <v>8</v>
      </c>
      <c r="B5" s="26">
        <f>B2-B3-B4</f>
        <v>2</v>
      </c>
      <c r="C5" s="29"/>
      <c r="D5" s="33" t="s">
        <v>9</v>
      </c>
      <c r="E5" s="4">
        <f>245^0.5*(B10-0.025/365)/E9</f>
        <v>1.062806851598882</v>
      </c>
    </row>
    <row r="6" spans="1:7" ht="15" thickBot="1" x14ac:dyDescent="0.25">
      <c r="A6" s="34"/>
      <c r="B6" s="35"/>
      <c r="C6" s="35"/>
      <c r="D6" s="35"/>
      <c r="E6" s="36"/>
    </row>
    <row r="7" spans="1:7" ht="15" thickBot="1" x14ac:dyDescent="0.25">
      <c r="A7" s="5" t="s">
        <v>10</v>
      </c>
      <c r="B7" s="35"/>
      <c r="C7" s="35"/>
      <c r="D7" s="3" t="s">
        <v>11</v>
      </c>
      <c r="E7" s="37"/>
    </row>
    <row r="8" spans="1:7" x14ac:dyDescent="0.2">
      <c r="A8" s="38" t="s">
        <v>12</v>
      </c>
      <c r="B8" s="39">
        <f>LOOKUP(999^10,表2_367162629303891213141523242526272829[累计净值])/$B$21-1</f>
        <v>9.1218243648729658E-2</v>
      </c>
      <c r="C8" s="40"/>
      <c r="D8" s="30" t="s">
        <v>13</v>
      </c>
      <c r="E8" s="41">
        <f ca="1">MIN(表2_367162629303891213141523242526272829[最大回撤])</f>
        <v>-8.4976268711208447E-2</v>
      </c>
    </row>
    <row r="9" spans="1:7" x14ac:dyDescent="0.2">
      <c r="A9" s="25" t="s">
        <v>14</v>
      </c>
      <c r="B9" s="32">
        <f>B8*245/B2</f>
        <v>0.13146158643493391</v>
      </c>
      <c r="C9" s="40"/>
      <c r="D9" s="33" t="s">
        <v>15</v>
      </c>
      <c r="E9" s="6">
        <f>STDEV(表2_367162629303891213141523242526272829[下跌幅度])</f>
        <v>6.8921323992893945E-3</v>
      </c>
    </row>
    <row r="10" spans="1:7" x14ac:dyDescent="0.2">
      <c r="A10" s="42" t="s">
        <v>16</v>
      </c>
      <c r="B10" s="43">
        <f>AVERAGE(表2_367162629303891213141523242526272829[每日盈亏])</f>
        <v>5.3647058823529385E-4</v>
      </c>
      <c r="C10" s="44"/>
      <c r="D10" s="33" t="s">
        <v>17</v>
      </c>
      <c r="E10" s="6">
        <f>STDEV(表2_367162629303891213141523242526272829[每日盈亏])</f>
        <v>1.1069744971847073E-2</v>
      </c>
    </row>
    <row r="11" spans="1:7" x14ac:dyDescent="0.2">
      <c r="A11" s="7" t="s">
        <v>18</v>
      </c>
      <c r="B11" s="32">
        <f>B3/B2</f>
        <v>0.50588235294117645</v>
      </c>
      <c r="C11" s="40"/>
      <c r="D11" s="32" t="s">
        <v>19</v>
      </c>
      <c r="E11" s="41">
        <f>245^0.5*E10</f>
        <v>0.17326891575445585</v>
      </c>
    </row>
    <row r="12" spans="1:7" ht="15" thickBot="1" x14ac:dyDescent="0.25">
      <c r="A12" s="45" t="s">
        <v>20</v>
      </c>
      <c r="B12" s="46">
        <f>-(SUMIF(表2_367162629303891213141523242526272829[每日盈亏],"&gt;=0")/B3)/(SUMIF(表2_367162629303891213141523242526272829[每日盈亏],"&lt;0")/B4)</f>
        <v>1.0776256162541704</v>
      </c>
      <c r="C12" s="47"/>
      <c r="D12" s="48"/>
      <c r="E12" s="49"/>
    </row>
    <row r="14" spans="1:7" ht="28.5" x14ac:dyDescent="0.2">
      <c r="A14" s="50" t="s">
        <v>21</v>
      </c>
      <c r="B14" s="50" t="s">
        <v>14</v>
      </c>
      <c r="C14" s="51" t="s">
        <v>19</v>
      </c>
      <c r="D14" s="51" t="s">
        <v>13</v>
      </c>
      <c r="E14" s="51" t="s">
        <v>5</v>
      </c>
      <c r="F14" s="51" t="s">
        <v>7</v>
      </c>
    </row>
    <row r="15" spans="1:7" x14ac:dyDescent="0.2">
      <c r="A15" s="78">
        <f>B2</f>
        <v>170</v>
      </c>
      <c r="B15" s="53">
        <f>B9</f>
        <v>0.13146158643493391</v>
      </c>
      <c r="C15" s="53">
        <f>E11</f>
        <v>0.17326891575445585</v>
      </c>
      <c r="D15" s="53">
        <f ca="1">E8</f>
        <v>-8.4976268711208447E-2</v>
      </c>
      <c r="E15" s="54">
        <f>E3</f>
        <v>0.66171402816601432</v>
      </c>
      <c r="F15" s="54">
        <f ca="1">E4</f>
        <v>1.5470388195286104</v>
      </c>
    </row>
    <row r="19" spans="1:7" x14ac:dyDescent="0.2">
      <c r="A19" s="8"/>
      <c r="B19" s="1" t="s">
        <v>22</v>
      </c>
    </row>
    <row r="20" spans="1:7" ht="15.75" x14ac:dyDescent="0.2">
      <c r="A20" s="22" t="s">
        <v>23</v>
      </c>
      <c r="B20" s="22" t="s">
        <v>24</v>
      </c>
      <c r="C20" s="22" t="s">
        <v>25</v>
      </c>
      <c r="D20" s="22" t="s">
        <v>26</v>
      </c>
      <c r="E20" s="22" t="s">
        <v>27</v>
      </c>
      <c r="F20" s="22" t="s">
        <v>28</v>
      </c>
      <c r="G20" s="22" t="s">
        <v>29</v>
      </c>
    </row>
    <row r="21" spans="1:7" x14ac:dyDescent="0.2">
      <c r="A21" s="15">
        <v>44074</v>
      </c>
      <c r="B21" s="112">
        <v>0.99980000000000002</v>
      </c>
      <c r="C21" s="11">
        <f t="shared" ref="C21:C27" si="0">IFERROR(B21-B20,0)</f>
        <v>0</v>
      </c>
      <c r="D21" s="12" t="str">
        <f t="shared" ref="D21:D27" si="1">IF(C21&lt;0,C21,"/")</f>
        <v>/</v>
      </c>
      <c r="E21" s="12">
        <f ca="1">IF(表2_367162629303891213141523242526272829[[#This Row],[累计净值]]/MAX(INDIRECT("B21:B" &amp; ROW()))-1&lt;E20,表2_367162629303891213141523242526272829[[#This Row],[累计净值]]/MAX(INDIRECT("B21:B" &amp; ROW()))-1,E20)</f>
        <v>0</v>
      </c>
      <c r="F21" s="13">
        <f>表2_367162629303891213141523242526272829[[#This Row],[累计净值]]</f>
        <v>0.99980000000000002</v>
      </c>
      <c r="G21" s="194" t="s">
        <v>30</v>
      </c>
    </row>
    <row r="22" spans="1:7" x14ac:dyDescent="0.2">
      <c r="A22" s="15">
        <v>44075</v>
      </c>
      <c r="B22" s="112">
        <v>0.99980000000000002</v>
      </c>
      <c r="C22" s="17">
        <f t="shared" si="0"/>
        <v>0</v>
      </c>
      <c r="D22" s="18" t="str">
        <f t="shared" si="1"/>
        <v>/</v>
      </c>
      <c r="E22" s="18">
        <f ca="1">IF(表2_367162629303891213141523242526272829[[#This Row],[累计净值]]/MAX(INDIRECT("B21:B" &amp; ROW()))-1&lt;E21,表2_367162629303891213141523242526272829[[#This Row],[累计净值]]/MAX(INDIRECT("B21:B" &amp; ROW()))-1,E21)</f>
        <v>0</v>
      </c>
      <c r="F22" s="19">
        <f>表2_367162629303891213141523242526272829[[#This Row],[累计净值]]</f>
        <v>0.99980000000000002</v>
      </c>
      <c r="G22" s="20">
        <f>表2_367162629303891213141523242526272829[[#This Row],[累计净值]]/$B$21-1</f>
        <v>0</v>
      </c>
    </row>
    <row r="23" spans="1:7" x14ac:dyDescent="0.2">
      <c r="A23" s="15">
        <v>44076</v>
      </c>
      <c r="B23" s="112">
        <v>0.99819999999999998</v>
      </c>
      <c r="C23" s="17">
        <f t="shared" si="0"/>
        <v>-1.6000000000000458E-3</v>
      </c>
      <c r="D23" s="109">
        <f t="shared" si="1"/>
        <v>-1.6000000000000458E-3</v>
      </c>
      <c r="E23" s="18">
        <f ca="1">IF(表2_367162629303891213141523242526272829[[#This Row],[累计净值]]/MAX(INDIRECT("B21:B" &amp; ROW()))-1&lt;E22,表2_367162629303891213141523242526272829[[#This Row],[累计净值]]/MAX(INDIRECT("B21:B" &amp; ROW()))-1,E22)</f>
        <v>-1.6003200640128945E-3</v>
      </c>
      <c r="F23" s="110">
        <f>表2_367162629303891213141523242526272829[[#This Row],[累计净值]]</f>
        <v>0.99819999999999998</v>
      </c>
      <c r="G23" s="20">
        <f>表2_367162629303891213141523242526272829[[#This Row],[累计净值]]/$B$21-1</f>
        <v>-1.6003200640128945E-3</v>
      </c>
    </row>
    <row r="24" spans="1:7" x14ac:dyDescent="0.2">
      <c r="A24" s="15">
        <v>44077</v>
      </c>
      <c r="B24" s="112">
        <v>0.99129999999999996</v>
      </c>
      <c r="C24" s="17">
        <f t="shared" si="0"/>
        <v>-6.9000000000000172E-3</v>
      </c>
      <c r="D24" s="109">
        <f t="shared" si="1"/>
        <v>-6.9000000000000172E-3</v>
      </c>
      <c r="E24" s="18">
        <f ca="1">IF(表2_367162629303891213141523242526272829[[#This Row],[累计净值]]/MAX(INDIRECT("B21:B" &amp; ROW()))-1&lt;E23,表2_367162629303891213141523242526272829[[#This Row],[累计净值]]/MAX(INDIRECT("B21:B" &amp; ROW()))-1,E23)</f>
        <v>-8.5017003400680302E-3</v>
      </c>
      <c r="F24" s="110">
        <f>表2_367162629303891213141523242526272829[[#This Row],[累计净值]]</f>
        <v>0.99129999999999996</v>
      </c>
      <c r="G24" s="20">
        <f>表2_367162629303891213141523242526272829[[#This Row],[累计净值]]/$B$21-1</f>
        <v>-8.5017003400680302E-3</v>
      </c>
    </row>
    <row r="25" spans="1:7" x14ac:dyDescent="0.2">
      <c r="A25" s="15">
        <v>44078</v>
      </c>
      <c r="B25" s="112">
        <v>0.98460000000000003</v>
      </c>
      <c r="C25" s="17">
        <f t="shared" si="0"/>
        <v>-6.6999999999999282E-3</v>
      </c>
      <c r="D25" s="109">
        <f t="shared" si="1"/>
        <v>-6.6999999999999282E-3</v>
      </c>
      <c r="E25" s="18">
        <f ca="1">IF(表2_367162629303891213141523242526272829[[#This Row],[累计净值]]/MAX(INDIRECT("B21:B" &amp; ROW()))-1&lt;E24,表2_367162629303891213141523242526272829[[#This Row],[累计净值]]/MAX(INDIRECT("B21:B" &amp; ROW()))-1,E24)</f>
        <v>-1.520304060812161E-2</v>
      </c>
      <c r="F25" s="110">
        <f>表2_367162629303891213141523242526272829[[#This Row],[累计净值]]</f>
        <v>0.98460000000000003</v>
      </c>
      <c r="G25" s="20">
        <f>表2_367162629303891213141523242526272829[[#This Row],[累计净值]]/$B$21-1</f>
        <v>-1.520304060812161E-2</v>
      </c>
    </row>
    <row r="26" spans="1:7" x14ac:dyDescent="0.2">
      <c r="A26" s="15">
        <v>44081</v>
      </c>
      <c r="B26" s="112">
        <v>0.96789999999999998</v>
      </c>
      <c r="C26" s="17">
        <f t="shared" si="0"/>
        <v>-1.6700000000000048E-2</v>
      </c>
      <c r="D26" s="109">
        <f t="shared" si="1"/>
        <v>-1.6700000000000048E-2</v>
      </c>
      <c r="E26" s="18">
        <f ca="1">IF(表2_367162629303891213141523242526272829[[#This Row],[累计净值]]/MAX(INDIRECT("B21:B" &amp; ROW()))-1&lt;E25,表2_367162629303891213141523242526272829[[#This Row],[累计净值]]/MAX(INDIRECT("B21:B" &amp; ROW()))-1,E25)</f>
        <v>-3.1906381276255336E-2</v>
      </c>
      <c r="F26" s="110">
        <f>表2_367162629303891213141523242526272829[[#This Row],[累计净值]]</f>
        <v>0.96789999999999998</v>
      </c>
      <c r="G26" s="20">
        <f>表2_367162629303891213141523242526272829[[#This Row],[累计净值]]/$B$21-1</f>
        <v>-3.1906381276255336E-2</v>
      </c>
    </row>
    <row r="27" spans="1:7" x14ac:dyDescent="0.2">
      <c r="A27" s="15">
        <v>44082</v>
      </c>
      <c r="B27" s="112">
        <v>0.97160000000000002</v>
      </c>
      <c r="C27" s="17">
        <f t="shared" si="0"/>
        <v>3.7000000000000366E-3</v>
      </c>
      <c r="D27" s="109" t="str">
        <f t="shared" si="1"/>
        <v>/</v>
      </c>
      <c r="E27" s="18">
        <f ca="1">IF(表2_367162629303891213141523242526272829[[#This Row],[累计净值]]/MAX(INDIRECT("B21:B" &amp; ROW()))-1&lt;E26,表2_367162629303891213141523242526272829[[#This Row],[累计净值]]/MAX(INDIRECT("B21:B" &amp; ROW()))-1,E26)</f>
        <v>-3.1906381276255336E-2</v>
      </c>
      <c r="F27" s="110">
        <f>表2_367162629303891213141523242526272829[[#This Row],[累计净值]]</f>
        <v>0.97160000000000002</v>
      </c>
      <c r="G27" s="20">
        <f>表2_367162629303891213141523242526272829[[#This Row],[累计净值]]/$B$21-1</f>
        <v>-2.8205641128225656E-2</v>
      </c>
    </row>
    <row r="28" spans="1:7" x14ac:dyDescent="0.2">
      <c r="A28" s="15">
        <v>44083</v>
      </c>
      <c r="B28" s="112">
        <v>0.94879999999999998</v>
      </c>
      <c r="C28" s="108">
        <f t="shared" ref="C28:C33" si="2">IFERROR(B28-B27,0)</f>
        <v>-2.2800000000000042E-2</v>
      </c>
      <c r="D28" s="109">
        <f t="shared" ref="D28:D33" si="3">IF(C28&lt;0,C28,"/")</f>
        <v>-2.2800000000000042E-2</v>
      </c>
      <c r="E28" s="109">
        <f ca="1">IF(表2_367162629303891213141523242526272829[[#This Row],[累计净值]]/MAX(INDIRECT("B21:B" &amp; ROW()))-1&lt;E27,表2_367162629303891213141523242526272829[[#This Row],[累计净值]]/MAX(INDIRECT("B21:B" &amp; ROW()))-1,E27)</f>
        <v>-5.1010202040408181E-2</v>
      </c>
      <c r="F28" s="110">
        <f>表2_367162629303891213141523242526272829[[#This Row],[累计净值]]</f>
        <v>0.94879999999999998</v>
      </c>
      <c r="G28" s="20">
        <f>表2_367162629303891213141523242526272829[[#This Row],[累计净值]]/$B$21-1</f>
        <v>-5.1010202040408181E-2</v>
      </c>
    </row>
    <row r="29" spans="1:7" x14ac:dyDescent="0.2">
      <c r="A29" s="15">
        <v>44084</v>
      </c>
      <c r="B29" s="112">
        <v>0.93520000000000003</v>
      </c>
      <c r="C29" s="108">
        <f t="shared" si="2"/>
        <v>-1.3599999999999945E-2</v>
      </c>
      <c r="D29" s="109">
        <f t="shared" si="3"/>
        <v>-1.3599999999999945E-2</v>
      </c>
      <c r="E29" s="109">
        <f ca="1">IF(表2_367162629303891213141523242526272829[[#This Row],[累计净值]]/MAX(INDIRECT("B21:B" &amp; ROW()))-1&lt;E28,表2_367162629303891213141523242526272829[[#This Row],[累计净值]]/MAX(INDIRECT("B21:B" &amp; ROW()))-1,E28)</f>
        <v>-6.4612922584516896E-2</v>
      </c>
      <c r="F29" s="110">
        <f>表2_367162629303891213141523242526272829[[#This Row],[累计净值]]</f>
        <v>0.93520000000000003</v>
      </c>
      <c r="G29" s="20">
        <f>表2_367162629303891213141523242526272829[[#This Row],[累计净值]]/$B$21-1</f>
        <v>-6.4612922584516896E-2</v>
      </c>
    </row>
    <row r="30" spans="1:7" x14ac:dyDescent="0.2">
      <c r="A30" s="15">
        <v>44085</v>
      </c>
      <c r="B30" s="112">
        <v>0.9466</v>
      </c>
      <c r="C30" s="108">
        <f t="shared" si="2"/>
        <v>1.1399999999999966E-2</v>
      </c>
      <c r="D30" s="109" t="str">
        <f t="shared" si="3"/>
        <v>/</v>
      </c>
      <c r="E30" s="109">
        <f ca="1">IF(表2_367162629303891213141523242526272829[[#This Row],[累计净值]]/MAX(INDIRECT("B21:B" &amp; ROW()))-1&lt;E29,表2_367162629303891213141523242526272829[[#This Row],[累计净值]]/MAX(INDIRECT("B21:B" &amp; ROW()))-1,E29)</f>
        <v>-6.4612922584516896E-2</v>
      </c>
      <c r="F30" s="110">
        <f>表2_367162629303891213141523242526272829[[#This Row],[累计净值]]</f>
        <v>0.9466</v>
      </c>
      <c r="G30" s="20">
        <f>表2_367162629303891213141523242526272829[[#This Row],[累计净值]]/$B$21-1</f>
        <v>-5.3210642128425745E-2</v>
      </c>
    </row>
    <row r="31" spans="1:7" x14ac:dyDescent="0.2">
      <c r="A31" s="15">
        <v>44088</v>
      </c>
      <c r="B31" s="112">
        <v>0.95430000000000004</v>
      </c>
      <c r="C31" s="108">
        <f t="shared" si="2"/>
        <v>7.7000000000000401E-3</v>
      </c>
      <c r="D31" s="109" t="str">
        <f t="shared" si="3"/>
        <v>/</v>
      </c>
      <c r="E31" s="109">
        <f ca="1">IF(表2_367162629303891213141523242526272829[[#This Row],[累计净值]]/MAX(INDIRECT("B21:B" &amp; ROW()))-1&lt;E30,表2_367162629303891213141523242526272829[[#This Row],[累计净值]]/MAX(INDIRECT("B21:B" &amp; ROW()))-1,E30)</f>
        <v>-6.4612922584516896E-2</v>
      </c>
      <c r="F31" s="110">
        <f>表2_367162629303891213141523242526272829[[#This Row],[累计净值]]</f>
        <v>0.95430000000000004</v>
      </c>
      <c r="G31" s="20">
        <f>表2_367162629303891213141523242526272829[[#This Row],[累计净值]]/$B$21-1</f>
        <v>-4.5509101820364051E-2</v>
      </c>
    </row>
    <row r="32" spans="1:7" x14ac:dyDescent="0.2">
      <c r="A32" s="15">
        <v>44089</v>
      </c>
      <c r="B32" s="112">
        <v>0.95930000000000004</v>
      </c>
      <c r="C32" s="108">
        <f t="shared" si="2"/>
        <v>5.0000000000000044E-3</v>
      </c>
      <c r="D32" s="109" t="str">
        <f t="shared" si="3"/>
        <v>/</v>
      </c>
      <c r="E32" s="109">
        <f ca="1">IF(表2_367162629303891213141523242526272829[[#This Row],[累计净值]]/MAX(INDIRECT("B21:B" &amp; ROW()))-1&lt;E31,表2_367162629303891213141523242526272829[[#This Row],[累计净值]]/MAX(INDIRECT("B21:B" &amp; ROW()))-1,E31)</f>
        <v>-6.4612922584516896E-2</v>
      </c>
      <c r="F32" s="110">
        <f>表2_367162629303891213141523242526272829[[#This Row],[累计净值]]</f>
        <v>0.95930000000000004</v>
      </c>
      <c r="G32" s="20">
        <f>表2_367162629303891213141523242526272829[[#This Row],[累计净值]]/$B$21-1</f>
        <v>-4.0508101620324033E-2</v>
      </c>
    </row>
    <row r="33" spans="1:9" x14ac:dyDescent="0.2">
      <c r="A33" s="15">
        <v>44090</v>
      </c>
      <c r="B33" s="112">
        <v>0.95450000000000002</v>
      </c>
      <c r="C33" s="108">
        <f t="shared" si="2"/>
        <v>-4.8000000000000265E-3</v>
      </c>
      <c r="D33" s="109">
        <f t="shared" si="3"/>
        <v>-4.8000000000000265E-3</v>
      </c>
      <c r="E33" s="109">
        <f ca="1">IF(表2_367162629303891213141523242526272829[[#This Row],[累计净值]]/MAX(INDIRECT("B21:B" &amp; ROW()))-1&lt;E32,表2_367162629303891213141523242526272829[[#This Row],[累计净值]]/MAX(INDIRECT("B21:B" &amp; ROW()))-1,E32)</f>
        <v>-6.4612922584516896E-2</v>
      </c>
      <c r="F33" s="110">
        <f>表2_367162629303891213141523242526272829[[#This Row],[累计净值]]</f>
        <v>0.95450000000000002</v>
      </c>
      <c r="G33" s="20">
        <f>表2_367162629303891213141523242526272829[[#This Row],[累计净值]]/$B$21-1</f>
        <v>-4.5309061812362494E-2</v>
      </c>
    </row>
    <row r="34" spans="1:9" x14ac:dyDescent="0.2">
      <c r="A34" s="15">
        <v>44091</v>
      </c>
      <c r="B34" s="112">
        <v>0.95760000000000001</v>
      </c>
      <c r="C34" s="108">
        <f t="shared" ref="C34:C39" si="4">IFERROR(B34-B33,0)</f>
        <v>3.0999999999999917E-3</v>
      </c>
      <c r="D34" s="109" t="str">
        <f t="shared" ref="D34:D39" si="5">IF(C34&lt;0,C34,"/")</f>
        <v>/</v>
      </c>
      <c r="E34" s="109">
        <f ca="1">IF(表2_367162629303891213141523242526272829[[#This Row],[累计净值]]/MAX(INDIRECT("B21:B" &amp; ROW()))-1&lt;E33,表2_367162629303891213141523242526272829[[#This Row],[累计净值]]/MAX(INDIRECT("B21:B" &amp; ROW()))-1,E33)</f>
        <v>-6.4612922584516896E-2</v>
      </c>
      <c r="F34" s="110">
        <f>表2_367162629303891213141523242526272829[[#This Row],[累计净值]]</f>
        <v>0.95760000000000001</v>
      </c>
      <c r="G34" s="20">
        <f>表2_367162629303891213141523242526272829[[#This Row],[累计净值]]/$B$21-1</f>
        <v>-4.2208441688337706E-2</v>
      </c>
    </row>
    <row r="35" spans="1:9" x14ac:dyDescent="0.2">
      <c r="A35" s="15">
        <v>44092</v>
      </c>
      <c r="B35" s="112">
        <v>0.97040000000000004</v>
      </c>
      <c r="C35" s="108">
        <f t="shared" si="4"/>
        <v>1.2800000000000034E-2</v>
      </c>
      <c r="D35" s="109" t="str">
        <f t="shared" si="5"/>
        <v>/</v>
      </c>
      <c r="E35" s="109">
        <f ca="1">IF(表2_367162629303891213141523242526272829[[#This Row],[累计净值]]/MAX(INDIRECT("B21:B" &amp; ROW()))-1&lt;E34,表2_367162629303891213141523242526272829[[#This Row],[累计净值]]/MAX(INDIRECT("B21:B" &amp; ROW()))-1,E34)</f>
        <v>-6.4612922584516896E-2</v>
      </c>
      <c r="F35" s="110">
        <f>表2_367162629303891213141523242526272829[[#This Row],[累计净值]]</f>
        <v>0.97040000000000004</v>
      </c>
      <c r="G35" s="20">
        <f>表2_367162629303891213141523242526272829[[#This Row],[累计净值]]/$B$21-1</f>
        <v>-2.9405881176235216E-2</v>
      </c>
    </row>
    <row r="36" spans="1:9" x14ac:dyDescent="0.2">
      <c r="A36" s="15">
        <v>44095</v>
      </c>
      <c r="B36" s="112">
        <v>0.96509999999999996</v>
      </c>
      <c r="C36" s="108">
        <f t="shared" si="4"/>
        <v>-5.3000000000000824E-3</v>
      </c>
      <c r="D36" s="109">
        <f t="shared" si="5"/>
        <v>-5.3000000000000824E-3</v>
      </c>
      <c r="E36" s="109">
        <f ca="1">IF(表2_367162629303891213141523242526272829[[#This Row],[累计净值]]/MAX(INDIRECT("B21:B" &amp; ROW()))-1&lt;E35,表2_367162629303891213141523242526272829[[#This Row],[累计净值]]/MAX(INDIRECT("B21:B" &amp; ROW()))-1,E35)</f>
        <v>-6.4612922584516896E-2</v>
      </c>
      <c r="F36" s="110">
        <f>表2_367162629303891213141523242526272829[[#This Row],[累计净值]]</f>
        <v>0.96509999999999996</v>
      </c>
      <c r="G36" s="20">
        <f>表2_367162629303891213141523242526272829[[#This Row],[累计净值]]/$B$21-1</f>
        <v>-3.4706941388277679E-2</v>
      </c>
    </row>
    <row r="37" spans="1:9" x14ac:dyDescent="0.2">
      <c r="A37" s="15">
        <v>44096</v>
      </c>
      <c r="B37" s="112">
        <v>0.95499999999999996</v>
      </c>
      <c r="C37" s="108">
        <f t="shared" si="4"/>
        <v>-1.0099999999999998E-2</v>
      </c>
      <c r="D37" s="109">
        <f t="shared" si="5"/>
        <v>-1.0099999999999998E-2</v>
      </c>
      <c r="E37" s="109">
        <f ca="1">IF(表2_367162629303891213141523242526272829[[#This Row],[累计净值]]/MAX(INDIRECT("B21:B" &amp; ROW()))-1&lt;E36,表2_367162629303891213141523242526272829[[#This Row],[累计净值]]/MAX(INDIRECT("B21:B" &amp; ROW()))-1,E36)</f>
        <v>-6.4612922584516896E-2</v>
      </c>
      <c r="F37" s="110">
        <f>表2_367162629303891213141523242526272829[[#This Row],[累计净值]]</f>
        <v>0.95499999999999996</v>
      </c>
      <c r="G37" s="20">
        <f>表2_367162629303891213141523242526272829[[#This Row],[累计净值]]/$B$21-1</f>
        <v>-4.4808961792358493E-2</v>
      </c>
    </row>
    <row r="38" spans="1:9" x14ac:dyDescent="0.2">
      <c r="A38" s="15">
        <v>44097</v>
      </c>
      <c r="B38" s="112">
        <v>0.96150000000000002</v>
      </c>
      <c r="C38" s="108">
        <f t="shared" si="4"/>
        <v>6.5000000000000613E-3</v>
      </c>
      <c r="D38" s="109" t="str">
        <f t="shared" si="5"/>
        <v>/</v>
      </c>
      <c r="E38" s="109">
        <f ca="1">IF(表2_367162629303891213141523242526272829[[#This Row],[累计净值]]/MAX(INDIRECT("B21:B" &amp; ROW()))-1&lt;E37,表2_367162629303891213141523242526272829[[#This Row],[累计净值]]/MAX(INDIRECT("B21:B" &amp; ROW()))-1,E37)</f>
        <v>-6.4612922584516896E-2</v>
      </c>
      <c r="F38" s="110">
        <f>表2_367162629303891213141523242526272829[[#This Row],[累计净值]]</f>
        <v>0.96150000000000002</v>
      </c>
      <c r="G38" s="20">
        <f>表2_367162629303891213141523242526272829[[#This Row],[累计净值]]/$B$21-1</f>
        <v>-3.830766153230647E-2</v>
      </c>
    </row>
    <row r="39" spans="1:9" x14ac:dyDescent="0.2">
      <c r="A39" s="15">
        <v>44098</v>
      </c>
      <c r="B39" s="112">
        <v>0.94099999999999995</v>
      </c>
      <c r="C39" s="108">
        <f t="shared" si="4"/>
        <v>-2.0500000000000074E-2</v>
      </c>
      <c r="D39" s="109">
        <f t="shared" si="5"/>
        <v>-2.0500000000000074E-2</v>
      </c>
      <c r="E39" s="109">
        <f ca="1">IF(表2_367162629303891213141523242526272829[[#This Row],[累计净值]]/MAX(INDIRECT("B21:B" &amp; ROW()))-1&lt;E38,表2_367162629303891213141523242526272829[[#This Row],[累计净值]]/MAX(INDIRECT("B21:B" &amp; ROW()))-1,E38)</f>
        <v>-6.4612922584516896E-2</v>
      </c>
      <c r="F39" s="110">
        <f>表2_367162629303891213141523242526272829[[#This Row],[累计净值]]</f>
        <v>0.94099999999999995</v>
      </c>
      <c r="G39" s="20">
        <f>表2_367162629303891213141523242526272829[[#This Row],[累计净值]]/$B$21-1</f>
        <v>-5.8811762352470542E-2</v>
      </c>
    </row>
    <row r="40" spans="1:9" x14ac:dyDescent="0.2">
      <c r="A40" s="15">
        <v>44099</v>
      </c>
      <c r="B40" s="112">
        <v>0.93940000000000001</v>
      </c>
      <c r="C40" s="108">
        <f>IFERROR(B40-B39,0)</f>
        <v>-1.5999999999999348E-3</v>
      </c>
      <c r="D40" s="109">
        <f>IF(C40&lt;0,C40,"/")</f>
        <v>-1.5999999999999348E-3</v>
      </c>
      <c r="E40" s="109">
        <f ca="1">IF(表2_367162629303891213141523242526272829[[#This Row],[累计净值]]/MAX(INDIRECT("B21:B" &amp; ROW()))-1&lt;E39,表2_367162629303891213141523242526272829[[#This Row],[累计净值]]/MAX(INDIRECT("B21:B" &amp; ROW()))-1,E39)</f>
        <v>-6.4612922584516896E-2</v>
      </c>
      <c r="F40" s="110">
        <f>表2_367162629303891213141523242526272829[[#This Row],[累计净值]]</f>
        <v>0.93940000000000001</v>
      </c>
      <c r="G40" s="20">
        <f>表2_367162629303891213141523242526272829[[#This Row],[累计净值]]/$B$21-1</f>
        <v>-6.0412082416483326E-2</v>
      </c>
    </row>
    <row r="41" spans="1:9" x14ac:dyDescent="0.2">
      <c r="A41" s="15">
        <v>44102</v>
      </c>
      <c r="B41" s="112">
        <v>0.93400000000000005</v>
      </c>
      <c r="C41" s="108">
        <f>IFERROR(B41-B40,0)</f>
        <v>-5.3999999999999604E-3</v>
      </c>
      <c r="D41" s="109">
        <f>IF(C41&lt;0,C41,"/")</f>
        <v>-5.3999999999999604E-3</v>
      </c>
      <c r="E41" s="109">
        <f ca="1">IF(表2_367162629303891213141523242526272829[[#This Row],[累计净值]]/MAX(INDIRECT("B21:B" &amp; ROW()))-1&lt;E40,表2_367162629303891213141523242526272829[[#This Row],[累计净值]]/MAX(INDIRECT("B21:B" &amp; ROW()))-1,E40)</f>
        <v>-6.5813162632526456E-2</v>
      </c>
      <c r="F41" s="110">
        <f>表2_367162629303891213141523242526272829[[#This Row],[累计净值]]</f>
        <v>0.93400000000000005</v>
      </c>
      <c r="G41" s="20">
        <f>表2_367162629303891213141523242526272829[[#This Row],[累计净值]]/$B$21-1</f>
        <v>-6.5813162632526456E-2</v>
      </c>
    </row>
    <row r="42" spans="1:9" x14ac:dyDescent="0.2">
      <c r="A42" s="15">
        <v>44103</v>
      </c>
      <c r="B42" s="112">
        <v>0.94169999999999998</v>
      </c>
      <c r="C42" s="108">
        <f t="shared" ref="C42:C43" si="6">IFERROR(B42-B41,0)</f>
        <v>7.6999999999999291E-3</v>
      </c>
      <c r="D42" s="109" t="str">
        <f t="shared" ref="D42:D43" si="7">IF(C42&lt;0,C42,"/")</f>
        <v>/</v>
      </c>
      <c r="E42" s="109">
        <f ca="1">IF(表2_367162629303891213141523242526272829[[#This Row],[累计净值]]/MAX(INDIRECT("B21:B" &amp; ROW()))-1&lt;E41,表2_367162629303891213141523242526272829[[#This Row],[累计净值]]/MAX(INDIRECT("B21:B" &amp; ROW()))-1,E41)</f>
        <v>-6.5813162632526456E-2</v>
      </c>
      <c r="F42" s="110">
        <f>表2_367162629303891213141523242526272829[[#This Row],[累计净值]]</f>
        <v>0.94169999999999998</v>
      </c>
      <c r="G42" s="20">
        <f>表2_367162629303891213141523242526272829[[#This Row],[累计净值]]/$B$21-1</f>
        <v>-5.8111622324464984E-2</v>
      </c>
    </row>
    <row r="43" spans="1:9" x14ac:dyDescent="0.2">
      <c r="A43" s="15">
        <v>44104</v>
      </c>
      <c r="B43" s="112">
        <v>0.94030000000000002</v>
      </c>
      <c r="C43" s="108">
        <f t="shared" si="6"/>
        <v>-1.3999999999999568E-3</v>
      </c>
      <c r="D43" s="109">
        <f t="shared" si="7"/>
        <v>-1.3999999999999568E-3</v>
      </c>
      <c r="E43" s="109">
        <f ca="1">IF(表2_367162629303891213141523242526272829[[#This Row],[累计净值]]/MAX(INDIRECT("B21:B" &amp; ROW()))-1&lt;E42,表2_367162629303891213141523242526272829[[#This Row],[累计净值]]/MAX(INDIRECT("B21:B" &amp; ROW()))-1,E42)</f>
        <v>-6.5813162632526456E-2</v>
      </c>
      <c r="F43" s="110">
        <f>表2_367162629303891213141523242526272829[[#This Row],[累计净值]]</f>
        <v>0.94030000000000002</v>
      </c>
      <c r="G43" s="20">
        <f>表2_367162629303891213141523242526272829[[#This Row],[累计净值]]/$B$21-1</f>
        <v>-5.95119023804761E-2</v>
      </c>
    </row>
    <row r="44" spans="1:9" x14ac:dyDescent="0.2">
      <c r="A44" s="15">
        <v>44113</v>
      </c>
      <c r="B44" s="112">
        <v>0.96319999999999995</v>
      </c>
      <c r="C44" s="108">
        <f t="shared" ref="C44:C50" si="8">IFERROR(B44-B43,0)</f>
        <v>2.289999999999992E-2</v>
      </c>
      <c r="D44" s="109" t="str">
        <f t="shared" ref="D44:D50" si="9">IF(C44&lt;0,C44,"/")</f>
        <v>/</v>
      </c>
      <c r="E44" s="109">
        <f ca="1">IF(表2_367162629303891213141523242526272829[[#This Row],[累计净值]]/MAX(INDIRECT("B21:B" &amp; ROW()))-1&lt;E43,表2_367162629303891213141523242526272829[[#This Row],[累计净值]]/MAX(INDIRECT("B21:B" &amp; ROW()))-1,E43)</f>
        <v>-6.5813162632526456E-2</v>
      </c>
      <c r="F44" s="110">
        <f>表2_367162629303891213141523242526272829[[#This Row],[累计净值]]</f>
        <v>0.96319999999999995</v>
      </c>
      <c r="G44" s="20">
        <f>表2_367162629303891213141523242526272829[[#This Row],[累计净值]]/$B$21-1</f>
        <v>-3.6607321464292908E-2</v>
      </c>
    </row>
    <row r="45" spans="1:9" x14ac:dyDescent="0.2">
      <c r="A45" s="15">
        <v>44116</v>
      </c>
      <c r="B45" s="112">
        <v>0.98550000000000004</v>
      </c>
      <c r="C45" s="108">
        <f t="shared" si="8"/>
        <v>2.2300000000000098E-2</v>
      </c>
      <c r="D45" s="109" t="str">
        <f t="shared" si="9"/>
        <v>/</v>
      </c>
      <c r="E45" s="109">
        <f ca="1">IF(表2_367162629303891213141523242526272829[[#This Row],[累计净值]]/MAX(INDIRECT("B21:B" &amp; ROW()))-1&lt;E44,表2_367162629303891213141523242526272829[[#This Row],[累计净值]]/MAX(INDIRECT("B21:B" &amp; ROW()))-1,E44)</f>
        <v>-6.5813162632526456E-2</v>
      </c>
      <c r="F45" s="110">
        <f>表2_367162629303891213141523242526272829[[#This Row],[累计净值]]</f>
        <v>0.98550000000000004</v>
      </c>
      <c r="G45" s="20">
        <f>表2_367162629303891213141523242526272829[[#This Row],[累计净值]]/$B$21-1</f>
        <v>-1.4302860572114384E-2</v>
      </c>
      <c r="I45" s="196" t="s">
        <v>42</v>
      </c>
    </row>
    <row r="46" spans="1:9" x14ac:dyDescent="0.2">
      <c r="A46" s="15">
        <v>44117</v>
      </c>
      <c r="B46" s="112">
        <v>0.99</v>
      </c>
      <c r="C46" s="108">
        <f t="shared" si="8"/>
        <v>4.4999999999999485E-3</v>
      </c>
      <c r="D46" s="109" t="str">
        <f t="shared" si="9"/>
        <v>/</v>
      </c>
      <c r="E46" s="109">
        <f ca="1">IF(表2_367162629303891213141523242526272829[[#This Row],[累计净值]]/MAX(INDIRECT("B21:B" &amp; ROW()))-1&lt;E45,表2_367162629303891213141523242526272829[[#This Row],[累计净值]]/MAX(INDIRECT("B21:B" &amp; ROW()))-1,E45)</f>
        <v>-6.5813162632526456E-2</v>
      </c>
      <c r="F46" s="110">
        <f>表2_367162629303891213141523242526272829[[#This Row],[累计净值]]</f>
        <v>0.99</v>
      </c>
      <c r="G46" s="20">
        <f>表2_367162629303891213141523242526272829[[#This Row],[累计净值]]/$B$21-1</f>
        <v>-9.8019603920784792E-3</v>
      </c>
    </row>
    <row r="47" spans="1:9" x14ac:dyDescent="0.2">
      <c r="A47" s="15">
        <v>44118</v>
      </c>
      <c r="B47" s="112">
        <v>0.9869</v>
      </c>
      <c r="C47" s="108">
        <f t="shared" si="8"/>
        <v>-3.0999999999999917E-3</v>
      </c>
      <c r="D47" s="109">
        <f t="shared" si="9"/>
        <v>-3.0999999999999917E-3</v>
      </c>
      <c r="E47" s="109">
        <f ca="1">IF(表2_367162629303891213141523242526272829[[#This Row],[累计净值]]/MAX(INDIRECT("B21:B" &amp; ROW()))-1&lt;E46,表2_367162629303891213141523242526272829[[#This Row],[累计净值]]/MAX(INDIRECT("B21:B" &amp; ROW()))-1,E46)</f>
        <v>-6.5813162632526456E-2</v>
      </c>
      <c r="F47" s="110">
        <f>表2_367162629303891213141523242526272829[[#This Row],[累计净值]]</f>
        <v>0.9869</v>
      </c>
      <c r="G47" s="20">
        <f>表2_367162629303891213141523242526272829[[#This Row],[累计净值]]/$B$21-1</f>
        <v>-1.2902580516103268E-2</v>
      </c>
    </row>
    <row r="48" spans="1:9" x14ac:dyDescent="0.2">
      <c r="A48" s="15">
        <v>44119</v>
      </c>
      <c r="B48" s="112">
        <v>0.98140000000000005</v>
      </c>
      <c r="C48" s="108">
        <f t="shared" si="8"/>
        <v>-5.4999999999999494E-3</v>
      </c>
      <c r="D48" s="109">
        <f t="shared" si="9"/>
        <v>-5.4999999999999494E-3</v>
      </c>
      <c r="E48" s="109">
        <f ca="1">IF(表2_367162629303891213141523242526272829[[#This Row],[累计净值]]/MAX(INDIRECT("B21:B" &amp; ROW()))-1&lt;E47,表2_367162629303891213141523242526272829[[#This Row],[累计净值]]/MAX(INDIRECT("B21:B" &amp; ROW()))-1,E47)</f>
        <v>-6.5813162632526456E-2</v>
      </c>
      <c r="F48" s="110">
        <f>表2_367162629303891213141523242526272829[[#This Row],[累计净值]]</f>
        <v>0.98140000000000005</v>
      </c>
      <c r="G48" s="20">
        <f>表2_367162629303891213141523242526272829[[#This Row],[累计净值]]/$B$21-1</f>
        <v>-1.8403680736147177E-2</v>
      </c>
    </row>
    <row r="49" spans="1:7" x14ac:dyDescent="0.2">
      <c r="A49" s="15">
        <v>44120</v>
      </c>
      <c r="B49" s="112">
        <v>0.97909999999999997</v>
      </c>
      <c r="C49" s="108">
        <f t="shared" si="8"/>
        <v>-2.3000000000000798E-3</v>
      </c>
      <c r="D49" s="109">
        <f t="shared" si="9"/>
        <v>-2.3000000000000798E-3</v>
      </c>
      <c r="E49" s="109">
        <f ca="1">IF(表2_367162629303891213141523242526272829[[#This Row],[累计净值]]/MAX(INDIRECT("B21:B" &amp; ROW()))-1&lt;E48,表2_367162629303891213141523242526272829[[#This Row],[累计净值]]/MAX(INDIRECT("B21:B" &amp; ROW()))-1,E48)</f>
        <v>-6.5813162632526456E-2</v>
      </c>
      <c r="F49" s="110">
        <f>表2_367162629303891213141523242526272829[[#This Row],[累计净值]]</f>
        <v>0.97909999999999997</v>
      </c>
      <c r="G49" s="20">
        <f>表2_367162629303891213141523242526272829[[#This Row],[累计净值]]/$B$21-1</f>
        <v>-2.0704140828165629E-2</v>
      </c>
    </row>
    <row r="50" spans="1:7" x14ac:dyDescent="0.2">
      <c r="A50" s="15">
        <v>44123</v>
      </c>
      <c r="B50" s="112">
        <v>0.97260000000000002</v>
      </c>
      <c r="C50" s="108">
        <f t="shared" si="8"/>
        <v>-6.4999999999999503E-3</v>
      </c>
      <c r="D50" s="109">
        <f t="shared" si="9"/>
        <v>-6.4999999999999503E-3</v>
      </c>
      <c r="E50" s="109">
        <f ca="1">IF(表2_367162629303891213141523242526272829[[#This Row],[累计净值]]/MAX(INDIRECT("B21:B" &amp; ROW()))-1&lt;E49,表2_367162629303891213141523242526272829[[#This Row],[累计净值]]/MAX(INDIRECT("B21:B" &amp; ROW()))-1,E49)</f>
        <v>-6.5813162632526456E-2</v>
      </c>
      <c r="F50" s="110">
        <f>表2_367162629303891213141523242526272829[[#This Row],[累计净值]]</f>
        <v>0.97260000000000002</v>
      </c>
      <c r="G50" s="20">
        <f>表2_367162629303891213141523242526272829[[#This Row],[累计净值]]/$B$21-1</f>
        <v>-2.7205441088217652E-2</v>
      </c>
    </row>
    <row r="51" spans="1:7" x14ac:dyDescent="0.2">
      <c r="A51" s="15">
        <v>44124</v>
      </c>
      <c r="B51" s="112">
        <v>0.98199999999999998</v>
      </c>
      <c r="C51" s="108">
        <f t="shared" ref="C51:C56" si="10">IFERROR(B51-B50,0)</f>
        <v>9.3999999999999639E-3</v>
      </c>
      <c r="D51" s="109" t="str">
        <f t="shared" ref="D51:D56" si="11">IF(C51&lt;0,C51,"/")</f>
        <v>/</v>
      </c>
      <c r="E51" s="109">
        <f ca="1">IF(表2_367162629303891213141523242526272829[[#This Row],[累计净值]]/MAX(INDIRECT("B21:B" &amp; ROW()))-1&lt;E50,表2_367162629303891213141523242526272829[[#This Row],[累计净值]]/MAX(INDIRECT("B21:B" &amp; ROW()))-1,E50)</f>
        <v>-6.5813162632526456E-2</v>
      </c>
      <c r="F51" s="110">
        <f>表2_367162629303891213141523242526272829[[#This Row],[累计净值]]</f>
        <v>0.98199999999999998</v>
      </c>
      <c r="G51" s="20">
        <f>表2_367162629303891213141523242526272829[[#This Row],[累计净值]]/$B$21-1</f>
        <v>-1.7803560712142508E-2</v>
      </c>
    </row>
    <row r="52" spans="1:7" x14ac:dyDescent="0.2">
      <c r="A52" s="15">
        <v>44125</v>
      </c>
      <c r="B52" s="112">
        <v>0.9728</v>
      </c>
      <c r="C52" s="108">
        <f t="shared" si="10"/>
        <v>-9.199999999999986E-3</v>
      </c>
      <c r="D52" s="109">
        <f t="shared" si="11"/>
        <v>-9.199999999999986E-3</v>
      </c>
      <c r="E52" s="109">
        <f ca="1">IF(表2_367162629303891213141523242526272829[[#This Row],[累计净值]]/MAX(INDIRECT("B21:B" &amp; ROW()))-1&lt;E51,表2_367162629303891213141523242526272829[[#This Row],[累计净值]]/MAX(INDIRECT("B21:B" &amp; ROW()))-1,E51)</f>
        <v>-6.5813162632526456E-2</v>
      </c>
      <c r="F52" s="110">
        <f>表2_367162629303891213141523242526272829[[#This Row],[累计净值]]</f>
        <v>0.9728</v>
      </c>
      <c r="G52" s="20">
        <f>表2_367162629303891213141523242526272829[[#This Row],[累计净值]]/$B$21-1</f>
        <v>-2.7005401080216096E-2</v>
      </c>
    </row>
    <row r="53" spans="1:7" x14ac:dyDescent="0.2">
      <c r="A53" s="15">
        <v>44126</v>
      </c>
      <c r="B53" s="112">
        <v>0.96870000000000001</v>
      </c>
      <c r="C53" s="108">
        <f t="shared" si="10"/>
        <v>-4.0999999999999925E-3</v>
      </c>
      <c r="D53" s="109">
        <f t="shared" si="11"/>
        <v>-4.0999999999999925E-3</v>
      </c>
      <c r="E53" s="109">
        <f ca="1">IF(表2_367162629303891213141523242526272829[[#This Row],[累计净值]]/MAX(INDIRECT("B21:B" &amp; ROW()))-1&lt;E52,表2_367162629303891213141523242526272829[[#This Row],[累计净值]]/MAX(INDIRECT("B21:B" &amp; ROW()))-1,E52)</f>
        <v>-6.5813162632526456E-2</v>
      </c>
      <c r="F53" s="110">
        <f>表2_367162629303891213141523242526272829[[#This Row],[累计净值]]</f>
        <v>0.96870000000000001</v>
      </c>
      <c r="G53" s="20">
        <f>表2_367162629303891213141523242526272829[[#This Row],[累计净值]]/$B$21-1</f>
        <v>-3.1106221244248888E-2</v>
      </c>
    </row>
    <row r="54" spans="1:7" x14ac:dyDescent="0.2">
      <c r="A54" s="15">
        <v>44127</v>
      </c>
      <c r="B54" s="112">
        <v>0.95450000000000002</v>
      </c>
      <c r="C54" s="108">
        <f t="shared" si="10"/>
        <v>-1.419999999999999E-2</v>
      </c>
      <c r="D54" s="109">
        <f t="shared" si="11"/>
        <v>-1.419999999999999E-2</v>
      </c>
      <c r="E54" s="109">
        <f ca="1">IF(表2_367162629303891213141523242526272829[[#This Row],[累计净值]]/MAX(INDIRECT("B21:B" &amp; ROW()))-1&lt;E53,表2_367162629303891213141523242526272829[[#This Row],[累计净值]]/MAX(INDIRECT("B21:B" &amp; ROW()))-1,E53)</f>
        <v>-6.5813162632526456E-2</v>
      </c>
      <c r="F54" s="110">
        <f>表2_367162629303891213141523242526272829[[#This Row],[累计净值]]</f>
        <v>0.95450000000000002</v>
      </c>
      <c r="G54" s="20">
        <f>表2_367162629303891213141523242526272829[[#This Row],[累计净值]]/$B$21-1</f>
        <v>-4.5309061812362494E-2</v>
      </c>
    </row>
    <row r="55" spans="1:7" x14ac:dyDescent="0.2">
      <c r="A55" s="15">
        <v>44130</v>
      </c>
      <c r="B55" s="112">
        <v>0.95850000000000002</v>
      </c>
      <c r="C55" s="108">
        <f t="shared" si="10"/>
        <v>4.0000000000000036E-3</v>
      </c>
      <c r="D55" s="109" t="str">
        <f t="shared" si="11"/>
        <v>/</v>
      </c>
      <c r="E55" s="109">
        <f ca="1">IF(表2_367162629303891213141523242526272829[[#This Row],[累计净值]]/MAX(INDIRECT("B21:B" &amp; ROW()))-1&lt;E54,表2_367162629303891213141523242526272829[[#This Row],[累计净值]]/MAX(INDIRECT("B21:B" &amp; ROW()))-1,E54)</f>
        <v>-6.5813162632526456E-2</v>
      </c>
      <c r="F55" s="110">
        <f>表2_367162629303891213141523242526272829[[#This Row],[累计净值]]</f>
        <v>0.95850000000000002</v>
      </c>
      <c r="G55" s="20">
        <f>表2_367162629303891213141523242526272829[[#This Row],[累计净值]]/$B$21-1</f>
        <v>-4.130826165233048E-2</v>
      </c>
    </row>
    <row r="56" spans="1:7" x14ac:dyDescent="0.2">
      <c r="A56" s="15">
        <v>44131</v>
      </c>
      <c r="B56" s="112">
        <v>0.96160000000000001</v>
      </c>
      <c r="C56" s="108">
        <f t="shared" si="10"/>
        <v>3.0999999999999917E-3</v>
      </c>
      <c r="D56" s="109" t="str">
        <f t="shared" si="11"/>
        <v>/</v>
      </c>
      <c r="E56" s="109">
        <f ca="1">IF(表2_367162629303891213141523242526272829[[#This Row],[累计净值]]/MAX(INDIRECT("B21:B" &amp; ROW()))-1&lt;E55,表2_367162629303891213141523242526272829[[#This Row],[累计净值]]/MAX(INDIRECT("B21:B" &amp; ROW()))-1,E55)</f>
        <v>-6.5813162632526456E-2</v>
      </c>
      <c r="F56" s="110">
        <f>表2_367162629303891213141523242526272829[[#This Row],[累计净值]]</f>
        <v>0.96160000000000001</v>
      </c>
      <c r="G56" s="20">
        <f>表2_367162629303891213141523242526272829[[#This Row],[累计净值]]/$B$21-1</f>
        <v>-3.8207641528305691E-2</v>
      </c>
    </row>
    <row r="57" spans="1:7" x14ac:dyDescent="0.2">
      <c r="A57" s="15">
        <v>44132</v>
      </c>
      <c r="B57" s="112">
        <v>0.96809999999999996</v>
      </c>
      <c r="C57" s="108">
        <f t="shared" ref="C57:C63" si="12">IFERROR(B57-B56,0)</f>
        <v>6.4999999999999503E-3</v>
      </c>
      <c r="D57" s="109" t="str">
        <f t="shared" ref="D57:D63" si="13">IF(C57&lt;0,C57,"/")</f>
        <v>/</v>
      </c>
      <c r="E57" s="109">
        <f ca="1">IF(表2_367162629303891213141523242526272829[[#This Row],[累计净值]]/MAX(INDIRECT("B21:B" &amp; ROW()))-1&lt;E56,表2_367162629303891213141523242526272829[[#This Row],[累计净值]]/MAX(INDIRECT("B21:B" &amp; ROW()))-1,E56)</f>
        <v>-6.5813162632526456E-2</v>
      </c>
      <c r="F57" s="110">
        <f>表2_367162629303891213141523242526272829[[#This Row],[累计净值]]</f>
        <v>0.96809999999999996</v>
      </c>
      <c r="G57" s="20">
        <f>表2_367162629303891213141523242526272829[[#This Row],[累计净值]]/$B$21-1</f>
        <v>-3.1706341268253668E-2</v>
      </c>
    </row>
    <row r="58" spans="1:7" x14ac:dyDescent="0.2">
      <c r="A58" s="15">
        <v>44133</v>
      </c>
      <c r="B58" s="112">
        <v>0.97130000000000005</v>
      </c>
      <c r="C58" s="108">
        <f t="shared" si="12"/>
        <v>3.2000000000000917E-3</v>
      </c>
      <c r="D58" s="109" t="str">
        <f t="shared" si="13"/>
        <v>/</v>
      </c>
      <c r="E58" s="109">
        <f ca="1">IF(表2_367162629303891213141523242526272829[[#This Row],[累计净值]]/MAX(INDIRECT("B21:B" &amp; ROW()))-1&lt;E57,表2_367162629303891213141523242526272829[[#This Row],[累计净值]]/MAX(INDIRECT("B21:B" &amp; ROW()))-1,E57)</f>
        <v>-6.5813162632526456E-2</v>
      </c>
      <c r="F58" s="110">
        <f>表2_367162629303891213141523242526272829[[#This Row],[累计净值]]</f>
        <v>0.97130000000000005</v>
      </c>
      <c r="G58" s="20">
        <f>表2_367162629303891213141523242526272829[[#This Row],[累计净值]]/$B$21-1</f>
        <v>-2.850570114022799E-2</v>
      </c>
    </row>
    <row r="59" spans="1:7" x14ac:dyDescent="0.2">
      <c r="A59" s="15">
        <v>44134</v>
      </c>
      <c r="B59" s="112">
        <v>0.95220000000000005</v>
      </c>
      <c r="C59" s="108">
        <f t="shared" si="12"/>
        <v>-1.9100000000000006E-2</v>
      </c>
      <c r="D59" s="109">
        <f t="shared" si="13"/>
        <v>-1.9100000000000006E-2</v>
      </c>
      <c r="E59" s="109">
        <f ca="1">IF(表2_367162629303891213141523242526272829[[#This Row],[累计净值]]/MAX(INDIRECT("B21:B" &amp; ROW()))-1&lt;E58,表2_367162629303891213141523242526272829[[#This Row],[累计净值]]/MAX(INDIRECT("B21:B" &amp; ROW()))-1,E58)</f>
        <v>-6.5813162632526456E-2</v>
      </c>
      <c r="F59" s="110">
        <f>表2_367162629303891213141523242526272829[[#This Row],[累计净值]]</f>
        <v>0.95220000000000005</v>
      </c>
      <c r="G59" s="20">
        <f>表2_367162629303891213141523242526272829[[#This Row],[累计净值]]/$B$21-1</f>
        <v>-4.7609521904380836E-2</v>
      </c>
    </row>
    <row r="60" spans="1:7" x14ac:dyDescent="0.2">
      <c r="A60" s="15">
        <v>44137</v>
      </c>
      <c r="B60" s="112">
        <v>0.96120000000000005</v>
      </c>
      <c r="C60" s="108">
        <f t="shared" si="12"/>
        <v>9.000000000000008E-3</v>
      </c>
      <c r="D60" s="109" t="str">
        <f t="shared" si="13"/>
        <v>/</v>
      </c>
      <c r="E60" s="109">
        <f ca="1">IF(表2_367162629303891213141523242526272829[[#This Row],[累计净值]]/MAX(INDIRECT("B21:B" &amp; ROW()))-1&lt;E59,表2_367162629303891213141523242526272829[[#This Row],[累计净值]]/MAX(INDIRECT("B21:B" &amp; ROW()))-1,E59)</f>
        <v>-6.5813162632526456E-2</v>
      </c>
      <c r="F60" s="110">
        <f>表2_367162629303891213141523242526272829[[#This Row],[累计净值]]</f>
        <v>0.96120000000000005</v>
      </c>
      <c r="G60" s="20">
        <f>表2_367162629303891213141523242526272829[[#This Row],[累计净值]]/$B$21-1</f>
        <v>-3.8607721544308804E-2</v>
      </c>
    </row>
    <row r="61" spans="1:7" x14ac:dyDescent="0.2">
      <c r="A61" s="15">
        <v>44138</v>
      </c>
      <c r="B61" s="112">
        <v>0.97409999999999997</v>
      </c>
      <c r="C61" s="108">
        <f t="shared" si="12"/>
        <v>1.2899999999999912E-2</v>
      </c>
      <c r="D61" s="109" t="str">
        <f t="shared" si="13"/>
        <v>/</v>
      </c>
      <c r="E61" s="109">
        <f ca="1">IF(表2_367162629303891213141523242526272829[[#This Row],[累计净值]]/MAX(INDIRECT("B21:B" &amp; ROW()))-1&lt;E60,表2_367162629303891213141523242526272829[[#This Row],[累计净值]]/MAX(INDIRECT("B21:B" &amp; ROW()))-1,E60)</f>
        <v>-6.5813162632526456E-2</v>
      </c>
      <c r="F61" s="110">
        <f>表2_367162629303891213141523242526272829[[#This Row],[累计净值]]</f>
        <v>0.97409999999999997</v>
      </c>
      <c r="G61" s="20">
        <f>表2_367162629303891213141523242526272829[[#This Row],[累计净值]]/$B$21-1</f>
        <v>-2.5705141028205647E-2</v>
      </c>
    </row>
    <row r="62" spans="1:7" x14ac:dyDescent="0.2">
      <c r="A62" s="15">
        <v>44139</v>
      </c>
      <c r="B62" s="112">
        <v>0.97660000000000002</v>
      </c>
      <c r="C62" s="108">
        <f t="shared" si="12"/>
        <v>2.5000000000000577E-3</v>
      </c>
      <c r="D62" s="109" t="str">
        <f t="shared" si="13"/>
        <v>/</v>
      </c>
      <c r="E62" s="109">
        <f ca="1">IF(表2_367162629303891213141523242526272829[[#This Row],[累计净值]]/MAX(INDIRECT("B21:B" &amp; ROW()))-1&lt;E61,表2_367162629303891213141523242526272829[[#This Row],[累计净值]]/MAX(INDIRECT("B21:B" &amp; ROW()))-1,E61)</f>
        <v>-6.5813162632526456E-2</v>
      </c>
      <c r="F62" s="110">
        <f>表2_367162629303891213141523242526272829[[#This Row],[累计净值]]</f>
        <v>0.97660000000000002</v>
      </c>
      <c r="G62" s="20">
        <f>表2_367162629303891213141523242526272829[[#This Row],[累计净值]]/$B$21-1</f>
        <v>-2.3204640928185638E-2</v>
      </c>
    </row>
    <row r="63" spans="1:7" x14ac:dyDescent="0.2">
      <c r="A63" s="15">
        <v>44140</v>
      </c>
      <c r="B63" s="112">
        <v>0.99209999999999998</v>
      </c>
      <c r="C63" s="108">
        <f t="shared" si="12"/>
        <v>1.5499999999999958E-2</v>
      </c>
      <c r="D63" s="109" t="str">
        <f t="shared" si="13"/>
        <v>/</v>
      </c>
      <c r="E63" s="109">
        <f ca="1">IF(表2_367162629303891213141523242526272829[[#This Row],[累计净值]]/MAX(INDIRECT("B21:B" &amp; ROW()))-1&lt;E62,表2_367162629303891213141523242526272829[[#This Row],[累计净值]]/MAX(INDIRECT("B21:B" &amp; ROW()))-1,E62)</f>
        <v>-6.5813162632526456E-2</v>
      </c>
      <c r="F63" s="110">
        <f>表2_367162629303891213141523242526272829[[#This Row],[累计净值]]</f>
        <v>0.99209999999999998</v>
      </c>
      <c r="G63" s="20">
        <f>表2_367162629303891213141523242526272829[[#This Row],[累计净值]]/$B$21-1</f>
        <v>-7.701540308061694E-3</v>
      </c>
    </row>
    <row r="64" spans="1:7" x14ac:dyDescent="0.2">
      <c r="A64" s="15">
        <v>44141</v>
      </c>
      <c r="B64" s="112">
        <v>0.98829999999999996</v>
      </c>
      <c r="C64" s="108">
        <f>IFERROR(B64-B63,0)</f>
        <v>-3.8000000000000256E-3</v>
      </c>
      <c r="D64" s="109">
        <f>IF(C64&lt;0,C64,"/")</f>
        <v>-3.8000000000000256E-3</v>
      </c>
      <c r="E64" s="109">
        <f ca="1">IF(表2_367162629303891213141523242526272829[[#This Row],[累计净值]]/MAX(INDIRECT("B21:B" &amp; ROW()))-1&lt;E63,表2_367162629303891213141523242526272829[[#This Row],[累计净值]]/MAX(INDIRECT("B21:B" &amp; ROW()))-1,E63)</f>
        <v>-6.5813162632526456E-2</v>
      </c>
      <c r="F64" s="110">
        <f>表2_367162629303891213141523242526272829[[#This Row],[累计净值]]</f>
        <v>0.98829999999999996</v>
      </c>
      <c r="G64" s="20">
        <f>表2_367162629303891213141523242526272829[[#This Row],[累计净值]]/$B$21-1</f>
        <v>-1.1502300460092041E-2</v>
      </c>
    </row>
    <row r="65" spans="1:7" x14ac:dyDescent="0.2">
      <c r="A65" s="15">
        <v>44144</v>
      </c>
      <c r="B65" s="112">
        <v>1.0096000000000001</v>
      </c>
      <c r="C65" s="108">
        <f>IFERROR(B65-B64,0)</f>
        <v>2.1300000000000097E-2</v>
      </c>
      <c r="D65" s="109" t="str">
        <f>IF(C65&lt;0,C65,"/")</f>
        <v>/</v>
      </c>
      <c r="E65" s="109">
        <f ca="1">IF(表2_367162629303891213141523242526272829[[#This Row],[累计净值]]/MAX(INDIRECT("B21:B" &amp; ROW()))-1&lt;E64,表2_367162629303891213141523242526272829[[#This Row],[累计净值]]/MAX(INDIRECT("B21:B" &amp; ROW()))-1,E64)</f>
        <v>-6.5813162632526456E-2</v>
      </c>
      <c r="F65" s="110">
        <f>表2_367162629303891213141523242526272829[[#This Row],[累计净值]]</f>
        <v>1.0096000000000001</v>
      </c>
      <c r="G65" s="20">
        <f>表2_367162629303891213141523242526272829[[#This Row],[累计净值]]/$B$21-1</f>
        <v>9.8019603920784792E-3</v>
      </c>
    </row>
    <row r="66" spans="1:7" x14ac:dyDescent="0.2">
      <c r="A66" s="15">
        <v>44145</v>
      </c>
      <c r="B66" s="112">
        <v>1.0015000000000001</v>
      </c>
      <c r="C66" s="108">
        <f>IFERROR(B66-B65,0)</f>
        <v>-8.0999999999999961E-3</v>
      </c>
      <c r="D66" s="109">
        <f>IF(C66&lt;0,C66,"/")</f>
        <v>-8.0999999999999961E-3</v>
      </c>
      <c r="E66" s="109">
        <f ca="1">IF(表2_367162629303891213141523242526272829[[#This Row],[累计净值]]/MAX(INDIRECT("B21:B" &amp; ROW()))-1&lt;E65,表2_367162629303891213141523242526272829[[#This Row],[累计净值]]/MAX(INDIRECT("B21:B" &amp; ROW()))-1,E65)</f>
        <v>-6.5813162632526456E-2</v>
      </c>
      <c r="F66" s="110">
        <f>表2_367162629303891213141523242526272829[[#This Row],[累计净值]]</f>
        <v>1.0015000000000001</v>
      </c>
      <c r="G66" s="20">
        <f>表2_367162629303891213141523242526272829[[#This Row],[累计净值]]/$B$21-1</f>
        <v>1.7003400680135616E-3</v>
      </c>
    </row>
    <row r="67" spans="1:7" x14ac:dyDescent="0.2">
      <c r="A67" s="15">
        <v>44146</v>
      </c>
      <c r="B67" s="112">
        <v>0.98950000000000005</v>
      </c>
      <c r="C67" s="108">
        <f t="shared" ref="C67:C68" si="14">IFERROR(B67-B66,0)</f>
        <v>-1.2000000000000011E-2</v>
      </c>
      <c r="D67" s="109">
        <f t="shared" ref="D67:D68" si="15">IF(C67&lt;0,C67,"/")</f>
        <v>-1.2000000000000011E-2</v>
      </c>
      <c r="E67" s="109">
        <f ca="1">IF(表2_367162629303891213141523242526272829[[#This Row],[累计净值]]/MAX(INDIRECT("B21:B" &amp; ROW()))-1&lt;E66,表2_367162629303891213141523242526272829[[#This Row],[累计净值]]/MAX(INDIRECT("B21:B" &amp; ROW()))-1,E66)</f>
        <v>-6.5813162632526456E-2</v>
      </c>
      <c r="F67" s="110">
        <f>表2_367162629303891213141523242526272829[[#This Row],[累计净值]]</f>
        <v>0.98950000000000005</v>
      </c>
      <c r="G67" s="20">
        <f>表2_367162629303891213141523242526272829[[#This Row],[累计净值]]/$B$21-1</f>
        <v>-1.030206041208237E-2</v>
      </c>
    </row>
    <row r="68" spans="1:7" x14ac:dyDescent="0.2">
      <c r="A68" s="15">
        <v>44147</v>
      </c>
      <c r="B68" s="112">
        <v>0.99450000000000005</v>
      </c>
      <c r="C68" s="108">
        <f t="shared" si="14"/>
        <v>5.0000000000000044E-3</v>
      </c>
      <c r="D68" s="109" t="str">
        <f t="shared" si="15"/>
        <v>/</v>
      </c>
      <c r="E68" s="109">
        <f ca="1">IF(表2_367162629303891213141523242526272829[[#This Row],[累计净值]]/MAX(INDIRECT("B21:B" &amp; ROW()))-1&lt;E67,表2_367162629303891213141523242526272829[[#This Row],[累计净值]]/MAX(INDIRECT("B21:B" &amp; ROW()))-1,E67)</f>
        <v>-6.5813162632526456E-2</v>
      </c>
      <c r="F68" s="110">
        <f>表2_367162629303891213141523242526272829[[#This Row],[累计净值]]</f>
        <v>0.99450000000000005</v>
      </c>
      <c r="G68" s="20">
        <f>表2_367162629303891213141523242526272829[[#This Row],[累计净值]]/$B$21-1</f>
        <v>-5.3010602120423522E-3</v>
      </c>
    </row>
    <row r="69" spans="1:7" x14ac:dyDescent="0.2">
      <c r="A69" s="15">
        <v>44148</v>
      </c>
      <c r="B69" s="112">
        <v>0.99239999999999995</v>
      </c>
      <c r="C69" s="108">
        <f t="shared" ref="C69:C74" si="16">IFERROR(B69-B68,0)</f>
        <v>-2.1000000000001018E-3</v>
      </c>
      <c r="D69" s="109">
        <f t="shared" ref="D69:D74" si="17">IF(C69&lt;0,C69,"/")</f>
        <v>-2.1000000000001018E-3</v>
      </c>
      <c r="E69" s="109">
        <f ca="1">IF(表2_367162629303891213141523242526272829[[#This Row],[累计净值]]/MAX(INDIRECT("B21:B" &amp; ROW()))-1&lt;E68,表2_367162629303891213141523242526272829[[#This Row],[累计净值]]/MAX(INDIRECT("B21:B" &amp; ROW()))-1,E68)</f>
        <v>-6.5813162632526456E-2</v>
      </c>
      <c r="F69" s="110">
        <f>表2_367162629303891213141523242526272829[[#This Row],[累计净值]]</f>
        <v>0.99239999999999995</v>
      </c>
      <c r="G69" s="20">
        <f>表2_367162629303891213141523242526272829[[#This Row],[累计净值]]/$B$21-1</f>
        <v>-7.4014802960592485E-3</v>
      </c>
    </row>
    <row r="70" spans="1:7" x14ac:dyDescent="0.2">
      <c r="A70" s="15">
        <v>44151</v>
      </c>
      <c r="B70" s="112">
        <v>1.0041</v>
      </c>
      <c r="C70" s="108">
        <f t="shared" si="16"/>
        <v>1.1700000000000044E-2</v>
      </c>
      <c r="D70" s="109" t="str">
        <f t="shared" si="17"/>
        <v>/</v>
      </c>
      <c r="E70" s="109">
        <f ca="1">IF(表2_367162629303891213141523242526272829[[#This Row],[累计净值]]/MAX(INDIRECT("B21:B" &amp; ROW()))-1&lt;E69,表2_367162629303891213141523242526272829[[#This Row],[累计净值]]/MAX(INDIRECT("B21:B" &amp; ROW()))-1,E69)</f>
        <v>-6.5813162632526456E-2</v>
      </c>
      <c r="F70" s="110">
        <f>表2_367162629303891213141523242526272829[[#This Row],[累计净值]]</f>
        <v>1.0041</v>
      </c>
      <c r="G70" s="20">
        <f>表2_367162629303891213141523242526272829[[#This Row],[累计净值]]/$B$21-1</f>
        <v>4.3008601720344597E-3</v>
      </c>
    </row>
    <row r="71" spans="1:7" x14ac:dyDescent="0.2">
      <c r="A71" s="15">
        <v>44152</v>
      </c>
      <c r="B71" s="112">
        <v>0.99739999999999995</v>
      </c>
      <c r="C71" s="108">
        <f t="shared" si="16"/>
        <v>-6.7000000000000393E-3</v>
      </c>
      <c r="D71" s="109">
        <f t="shared" si="17"/>
        <v>-6.7000000000000393E-3</v>
      </c>
      <c r="E71" s="109">
        <f ca="1">IF(表2_367162629303891213141523242526272829[[#This Row],[累计净值]]/MAX(INDIRECT("B21:B" &amp; ROW()))-1&lt;E70,表2_367162629303891213141523242526272829[[#This Row],[累计净值]]/MAX(INDIRECT("B21:B" &amp; ROW()))-1,E70)</f>
        <v>-6.5813162632526456E-2</v>
      </c>
      <c r="F71" s="110">
        <f>表2_367162629303891213141523242526272829[[#This Row],[累计净值]]</f>
        <v>0.99739999999999995</v>
      </c>
      <c r="G71" s="20">
        <f>表2_367162629303891213141523242526272829[[#This Row],[累计净值]]/$B$21-1</f>
        <v>-2.4004800960192307E-3</v>
      </c>
    </row>
    <row r="72" spans="1:7" x14ac:dyDescent="0.2">
      <c r="A72" s="15">
        <v>44153</v>
      </c>
      <c r="B72" s="112">
        <v>0.99919999999999998</v>
      </c>
      <c r="C72" s="108">
        <f t="shared" si="16"/>
        <v>1.8000000000000238E-3</v>
      </c>
      <c r="D72" s="109" t="str">
        <f t="shared" si="17"/>
        <v>/</v>
      </c>
      <c r="E72" s="109">
        <f ca="1">IF(表2_367162629303891213141523242526272829[[#This Row],[累计净值]]/MAX(INDIRECT("B21:B" &amp; ROW()))-1&lt;E71,表2_367162629303891213141523242526272829[[#This Row],[累计净值]]/MAX(INDIRECT("B21:B" &amp; ROW()))-1,E71)</f>
        <v>-6.5813162632526456E-2</v>
      </c>
      <c r="F72" s="110">
        <f>表2_367162629303891213141523242526272829[[#This Row],[累计净值]]</f>
        <v>0.99919999999999998</v>
      </c>
      <c r="G72" s="20">
        <f>表2_367162629303891213141523242526272829[[#This Row],[累计净值]]/$B$21-1</f>
        <v>-6.0012002400489095E-4</v>
      </c>
    </row>
    <row r="73" spans="1:7" x14ac:dyDescent="0.2">
      <c r="A73" s="15">
        <v>44154</v>
      </c>
      <c r="B73" s="112">
        <v>1.0024</v>
      </c>
      <c r="C73" s="108">
        <f t="shared" si="16"/>
        <v>3.1999999999999806E-3</v>
      </c>
      <c r="D73" s="109" t="str">
        <f t="shared" si="17"/>
        <v>/</v>
      </c>
      <c r="E73" s="109">
        <f ca="1">IF(表2_367162629303891213141523242526272829[[#This Row],[累计净值]]/MAX(INDIRECT("B21:B" &amp; ROW()))-1&lt;E72,表2_367162629303891213141523242526272829[[#This Row],[累计净值]]/MAX(INDIRECT("B21:B" &amp; ROW()))-1,E72)</f>
        <v>-6.5813162632526456E-2</v>
      </c>
      <c r="F73" s="110">
        <f>表2_367162629303891213141523242526272829[[#This Row],[累计净值]]</f>
        <v>1.0024</v>
      </c>
      <c r="G73" s="20">
        <f>表2_367162629303891213141523242526272829[[#This Row],[累计净值]]/$B$21-1</f>
        <v>2.600520104020676E-3</v>
      </c>
    </row>
    <row r="74" spans="1:7" x14ac:dyDescent="0.2">
      <c r="A74" s="15">
        <v>44155</v>
      </c>
      <c r="B74" s="112">
        <v>1.0104</v>
      </c>
      <c r="C74" s="108">
        <f t="shared" si="16"/>
        <v>8.0000000000000071E-3</v>
      </c>
      <c r="D74" s="109" t="str">
        <f t="shared" si="17"/>
        <v>/</v>
      </c>
      <c r="E74" s="109">
        <f ca="1">IF(表2_367162629303891213141523242526272829[[#This Row],[累计净值]]/MAX(INDIRECT("B21:B" &amp; ROW()))-1&lt;E73,表2_367162629303891213141523242526272829[[#This Row],[累计净值]]/MAX(INDIRECT("B21:B" &amp; ROW()))-1,E73)</f>
        <v>-6.5813162632526456E-2</v>
      </c>
      <c r="F74" s="110">
        <f>表2_367162629303891213141523242526272829[[#This Row],[累计净值]]</f>
        <v>1.0104</v>
      </c>
      <c r="G74" s="20">
        <f>表2_367162629303891213141523242526272829[[#This Row],[累计净值]]/$B$21-1</f>
        <v>1.0602120424084704E-2</v>
      </c>
    </row>
    <row r="75" spans="1:7" x14ac:dyDescent="0.2">
      <c r="A75" s="15">
        <v>44158</v>
      </c>
      <c r="B75" s="112">
        <v>1.0206999999999999</v>
      </c>
      <c r="C75" s="108">
        <f t="shared" ref="C75:C80" si="18">IFERROR(B75-B74,0)</f>
        <v>1.0299999999999976E-2</v>
      </c>
      <c r="D75" s="109" t="str">
        <f t="shared" ref="D75:D80" si="19">IF(C75&lt;0,C75,"/")</f>
        <v>/</v>
      </c>
      <c r="E75" s="109">
        <f ca="1">IF(表2_367162629303891213141523242526272829[[#This Row],[累计净值]]/MAX(INDIRECT("B21:B" &amp; ROW()))-1&lt;E74,表2_367162629303891213141523242526272829[[#This Row],[累计净值]]/MAX(INDIRECT("B21:B" &amp; ROW()))-1,E74)</f>
        <v>-6.5813162632526456E-2</v>
      </c>
      <c r="F75" s="110">
        <f>表2_367162629303891213141523242526272829[[#This Row],[累计净值]]</f>
        <v>1.0206999999999999</v>
      </c>
      <c r="G75" s="20">
        <f>表2_367162629303891213141523242526272829[[#This Row],[累计净值]]/$B$21-1</f>
        <v>2.0904180836167185E-2</v>
      </c>
    </row>
    <row r="76" spans="1:7" x14ac:dyDescent="0.2">
      <c r="A76" s="15">
        <v>44159</v>
      </c>
      <c r="B76" s="112">
        <v>1.0198</v>
      </c>
      <c r="C76" s="108">
        <f t="shared" si="18"/>
        <v>-8.9999999999990088E-4</v>
      </c>
      <c r="D76" s="109">
        <f t="shared" si="19"/>
        <v>-8.9999999999990088E-4</v>
      </c>
      <c r="E76" s="109">
        <f ca="1">IF(表2_367162629303891213141523242526272829[[#This Row],[累计净值]]/MAX(INDIRECT("B21:B" &amp; ROW()))-1&lt;E75,表2_367162629303891213141523242526272829[[#This Row],[累计净值]]/MAX(INDIRECT("B21:B" &amp; ROW()))-1,E75)</f>
        <v>-6.5813162632526456E-2</v>
      </c>
      <c r="F76" s="110">
        <f>表2_367162629303891213141523242526272829[[#This Row],[累计净值]]</f>
        <v>1.0198</v>
      </c>
      <c r="G76" s="20">
        <f>表2_367162629303891213141523242526272829[[#This Row],[累计净值]]/$B$21-1</f>
        <v>2.0004000800160071E-2</v>
      </c>
    </row>
    <row r="77" spans="1:7" x14ac:dyDescent="0.2">
      <c r="A77" s="15">
        <v>44160</v>
      </c>
      <c r="B77" s="112">
        <v>1.0002</v>
      </c>
      <c r="C77" s="108">
        <f t="shared" si="18"/>
        <v>-1.9600000000000062E-2</v>
      </c>
      <c r="D77" s="109">
        <f t="shared" si="19"/>
        <v>-1.9600000000000062E-2</v>
      </c>
      <c r="E77" s="109">
        <f ca="1">IF(表2_367162629303891213141523242526272829[[#This Row],[累计净值]]/MAX(INDIRECT("B21:B" &amp; ROW()))-1&lt;E76,表2_367162629303891213141523242526272829[[#This Row],[累计净值]]/MAX(INDIRECT("B21:B" &amp; ROW()))-1,E76)</f>
        <v>-6.5813162632526456E-2</v>
      </c>
      <c r="F77" s="110">
        <f>表2_367162629303891213141523242526272829[[#This Row],[累计净值]]</f>
        <v>1.0002</v>
      </c>
      <c r="G77" s="20">
        <f>表2_367162629303891213141523242526272829[[#This Row],[累计净值]]/$B$21-1</f>
        <v>4.000800160031126E-4</v>
      </c>
    </row>
    <row r="78" spans="1:7" x14ac:dyDescent="0.2">
      <c r="A78" s="15">
        <v>44161</v>
      </c>
      <c r="B78" s="112">
        <v>0.996</v>
      </c>
      <c r="C78" s="108">
        <f t="shared" si="18"/>
        <v>-4.1999999999999815E-3</v>
      </c>
      <c r="D78" s="109">
        <f t="shared" si="19"/>
        <v>-4.1999999999999815E-3</v>
      </c>
      <c r="E78" s="109">
        <f ca="1">IF(表2_367162629303891213141523242526272829[[#This Row],[累计净值]]/MAX(INDIRECT("B21:B" &amp; ROW()))-1&lt;E77,表2_367162629303891213141523242526272829[[#This Row],[累计净值]]/MAX(INDIRECT("B21:B" &amp; ROW()))-1,E77)</f>
        <v>-6.5813162632526456E-2</v>
      </c>
      <c r="F78" s="110">
        <f>表2_367162629303891213141523242526272829[[#This Row],[累计净值]]</f>
        <v>0.996</v>
      </c>
      <c r="G78" s="20">
        <f>表2_367162629303891213141523242526272829[[#This Row],[累计净值]]/$B$21-1</f>
        <v>-3.8007601520304579E-3</v>
      </c>
    </row>
    <row r="79" spans="1:7" x14ac:dyDescent="0.2">
      <c r="A79" s="15">
        <v>44162</v>
      </c>
      <c r="B79" s="112">
        <v>0.99829999999999997</v>
      </c>
      <c r="C79" s="108">
        <f t="shared" si="18"/>
        <v>2.2999999999999687E-3</v>
      </c>
      <c r="D79" s="109" t="str">
        <f t="shared" si="19"/>
        <v>/</v>
      </c>
      <c r="E79" s="109">
        <f ca="1">IF(表2_367162629303891213141523242526272829[[#This Row],[累计净值]]/MAX(INDIRECT("B21:B" &amp; ROW()))-1&lt;E78,表2_367162629303891213141523242526272829[[#This Row],[累计净值]]/MAX(INDIRECT("B21:B" &amp; ROW()))-1,E78)</f>
        <v>-6.5813162632526456E-2</v>
      </c>
      <c r="F79" s="110">
        <f>表2_367162629303891213141523242526272829[[#This Row],[累计净值]]</f>
        <v>0.99829999999999997</v>
      </c>
      <c r="G79" s="20">
        <f>表2_367162629303891213141523242526272829[[#This Row],[累计净值]]/$B$21-1</f>
        <v>-1.5003000600120053E-3</v>
      </c>
    </row>
    <row r="80" spans="1:7" x14ac:dyDescent="0.2">
      <c r="A80" s="15">
        <v>44165</v>
      </c>
      <c r="B80" s="112">
        <v>0.99409999999999998</v>
      </c>
      <c r="C80" s="108">
        <f t="shared" si="18"/>
        <v>-4.1999999999999815E-3</v>
      </c>
      <c r="D80" s="109">
        <f t="shared" si="19"/>
        <v>-4.1999999999999815E-3</v>
      </c>
      <c r="E80" s="109">
        <f ca="1">IF(表2_367162629303891213141523242526272829[[#This Row],[累计净值]]/MAX(INDIRECT("B21:B" &amp; ROW()))-1&lt;E79,表2_367162629303891213141523242526272829[[#This Row],[累计净值]]/MAX(INDIRECT("B21:B" &amp; ROW()))-1,E79)</f>
        <v>-6.5813162632526456E-2</v>
      </c>
      <c r="F80" s="110">
        <f>表2_367162629303891213141523242526272829[[#This Row],[累计净值]]</f>
        <v>0.99409999999999998</v>
      </c>
      <c r="G80" s="20">
        <f>表2_367162629303891213141523242526272829[[#This Row],[累计净值]]/$B$21-1</f>
        <v>-5.7011402280456869E-3</v>
      </c>
    </row>
    <row r="81" spans="1:7" x14ac:dyDescent="0.2">
      <c r="A81" s="15">
        <v>44166</v>
      </c>
      <c r="B81" s="112">
        <v>1.0045999999999999</v>
      </c>
      <c r="C81" s="108">
        <f t="shared" ref="C81:C86" si="20">IFERROR(B81-B80,0)</f>
        <v>1.0499999999999954E-2</v>
      </c>
      <c r="D81" s="109" t="str">
        <f t="shared" ref="D81:D86" si="21">IF(C81&lt;0,C81,"/")</f>
        <v>/</v>
      </c>
      <c r="E81" s="109">
        <f ca="1">IF(表2_367162629303891213141523242526272829[[#This Row],[累计净值]]/MAX(INDIRECT("B21:B" &amp; ROW()))-1&lt;E80,表2_367162629303891213141523242526272829[[#This Row],[累计净值]]/MAX(INDIRECT("B21:B" &amp; ROW()))-1,E80)</f>
        <v>-6.5813162632526456E-2</v>
      </c>
      <c r="F81" s="110">
        <f>表2_367162629303891213141523242526272829[[#This Row],[累计净值]]</f>
        <v>1.0045999999999999</v>
      </c>
      <c r="G81" s="20">
        <f>表2_367162629303891213141523242526272829[[#This Row],[累计净值]]/$B$21-1</f>
        <v>4.8009601920382394E-3</v>
      </c>
    </row>
    <row r="82" spans="1:7" x14ac:dyDescent="0.2">
      <c r="A82" s="15">
        <v>44167</v>
      </c>
      <c r="B82" s="112">
        <v>1.0047999999999999</v>
      </c>
      <c r="C82" s="108">
        <f t="shared" si="20"/>
        <v>1.9999999999997797E-4</v>
      </c>
      <c r="D82" s="109" t="str">
        <f t="shared" si="21"/>
        <v>/</v>
      </c>
      <c r="E82" s="109">
        <f ca="1">IF(表2_367162629303891213141523242526272829[[#This Row],[累计净值]]/MAX(INDIRECT("B21:B" &amp; ROW()))-1&lt;E81,表2_367162629303891213141523242526272829[[#This Row],[累计净值]]/MAX(INDIRECT("B21:B" &amp; ROW()))-1,E81)</f>
        <v>-6.5813162632526456E-2</v>
      </c>
      <c r="F82" s="110">
        <f>表2_367162629303891213141523242526272829[[#This Row],[累计净值]]</f>
        <v>1.0047999999999999</v>
      </c>
      <c r="G82" s="20">
        <f>表2_367162629303891213141523242526272829[[#This Row],[累计净值]]/$B$21-1</f>
        <v>5.0010002000397957E-3</v>
      </c>
    </row>
    <row r="83" spans="1:7" x14ac:dyDescent="0.2">
      <c r="A83" s="15">
        <v>44168</v>
      </c>
      <c r="B83" s="112">
        <v>1.0012000000000001</v>
      </c>
      <c r="C83" s="108">
        <f t="shared" si="20"/>
        <v>-3.5999999999998256E-3</v>
      </c>
      <c r="D83" s="109">
        <f t="shared" si="21"/>
        <v>-3.5999999999998256E-3</v>
      </c>
      <c r="E83" s="109">
        <f ca="1">IF(表2_367162629303891213141523242526272829[[#This Row],[累计净值]]/MAX(INDIRECT("B21:B" &amp; ROW()))-1&lt;E82,表2_367162629303891213141523242526272829[[#This Row],[累计净值]]/MAX(INDIRECT("B21:B" &amp; ROW()))-1,E82)</f>
        <v>-6.5813162632526456E-2</v>
      </c>
      <c r="F83" s="110">
        <f>表2_367162629303891213141523242526272829[[#This Row],[累计净值]]</f>
        <v>1.0012000000000001</v>
      </c>
      <c r="G83" s="20">
        <f>表2_367162629303891213141523242526272829[[#This Row],[累计净值]]/$B$21-1</f>
        <v>1.4002800560113382E-3</v>
      </c>
    </row>
    <row r="84" spans="1:7" x14ac:dyDescent="0.2">
      <c r="A84" s="15">
        <v>44169</v>
      </c>
      <c r="B84" s="112">
        <v>1.0056</v>
      </c>
      <c r="C84" s="108">
        <f t="shared" si="20"/>
        <v>4.3999999999999595E-3</v>
      </c>
      <c r="D84" s="109" t="str">
        <f t="shared" si="21"/>
        <v>/</v>
      </c>
      <c r="E84" s="109">
        <f ca="1">IF(表2_367162629303891213141523242526272829[[#This Row],[累计净值]]/MAX(INDIRECT("B21:B" &amp; ROW()))-1&lt;E83,表2_367162629303891213141523242526272829[[#This Row],[累计净值]]/MAX(INDIRECT("B21:B" &amp; ROW()))-1,E83)</f>
        <v>-6.5813162632526456E-2</v>
      </c>
      <c r="F84" s="110">
        <f>表2_367162629303891213141523242526272829[[#This Row],[累计净值]]</f>
        <v>1.0056</v>
      </c>
      <c r="G84" s="20">
        <f>表2_367162629303891213141523242526272829[[#This Row],[累计净值]]/$B$21-1</f>
        <v>5.801160232046465E-3</v>
      </c>
    </row>
    <row r="85" spans="1:7" x14ac:dyDescent="0.2">
      <c r="A85" s="15">
        <v>44172</v>
      </c>
      <c r="B85" s="112">
        <v>1.002</v>
      </c>
      <c r="C85" s="108">
        <f t="shared" si="20"/>
        <v>-3.6000000000000476E-3</v>
      </c>
      <c r="D85" s="109">
        <f t="shared" si="21"/>
        <v>-3.6000000000000476E-3</v>
      </c>
      <c r="E85" s="109">
        <f ca="1">IF(表2_367162629303891213141523242526272829[[#This Row],[累计净值]]/MAX(INDIRECT("B21:B" &amp; ROW()))-1&lt;E84,表2_367162629303891213141523242526272829[[#This Row],[累计净值]]/MAX(INDIRECT("B21:B" &amp; ROW()))-1,E84)</f>
        <v>-6.5813162632526456E-2</v>
      </c>
      <c r="F85" s="110">
        <f>表2_367162629303891213141523242526272829[[#This Row],[累计净值]]</f>
        <v>1.002</v>
      </c>
      <c r="G85" s="20">
        <f>表2_367162629303891213141523242526272829[[#This Row],[累计净值]]/$B$21-1</f>
        <v>2.2004400880175634E-3</v>
      </c>
    </row>
    <row r="86" spans="1:7" x14ac:dyDescent="0.2">
      <c r="A86" s="15">
        <v>44173</v>
      </c>
      <c r="B86" s="112">
        <v>1.0024999999999999</v>
      </c>
      <c r="C86" s="108">
        <f t="shared" si="20"/>
        <v>4.9999999999994493E-4</v>
      </c>
      <c r="D86" s="109" t="str">
        <f t="shared" si="21"/>
        <v>/</v>
      </c>
      <c r="E86" s="109">
        <f ca="1">IF(表2_367162629303891213141523242526272829[[#This Row],[累计净值]]/MAX(INDIRECT("B21:B" &amp; ROW()))-1&lt;E85,表2_367162629303891213141523242526272829[[#This Row],[累计净值]]/MAX(INDIRECT("B21:B" &amp; ROW()))-1,E85)</f>
        <v>-6.5813162632526456E-2</v>
      </c>
      <c r="F86" s="110">
        <f>表2_367162629303891213141523242526272829[[#This Row],[累计净值]]</f>
        <v>1.0024999999999999</v>
      </c>
      <c r="G86" s="20">
        <f>表2_367162629303891213141523242526272829[[#This Row],[累计净值]]/$B$21-1</f>
        <v>2.7005401080215652E-3</v>
      </c>
    </row>
    <row r="87" spans="1:7" x14ac:dyDescent="0.2">
      <c r="A87" s="15">
        <v>44174</v>
      </c>
      <c r="B87" s="112">
        <v>0.98560000000000003</v>
      </c>
      <c r="C87" s="108">
        <f t="shared" ref="C87:C92" si="22">IFERROR(B87-B86,0)</f>
        <v>-1.6899999999999915E-2</v>
      </c>
      <c r="D87" s="109">
        <f t="shared" ref="D87:D92" si="23">IF(C87&lt;0,C87,"/")</f>
        <v>-1.6899999999999915E-2</v>
      </c>
      <c r="E87" s="109">
        <f ca="1">IF(表2_367162629303891213141523242526272829[[#This Row],[累计净值]]/MAX(INDIRECT("B21:B" &amp; ROW()))-1&lt;E86,表2_367162629303891213141523242526272829[[#This Row],[累计净值]]/MAX(INDIRECT("B21:B" &amp; ROW()))-1,E86)</f>
        <v>-6.5813162632526456E-2</v>
      </c>
      <c r="F87" s="110">
        <f>表2_367162629303891213141523242526272829[[#This Row],[累计净值]]</f>
        <v>0.98560000000000003</v>
      </c>
      <c r="G87" s="20">
        <f>表2_367162629303891213141523242526272829[[#This Row],[累计净值]]/$B$21-1</f>
        <v>-1.4202840568113606E-2</v>
      </c>
    </row>
    <row r="88" spans="1:7" x14ac:dyDescent="0.2">
      <c r="A88" s="15">
        <v>44175</v>
      </c>
      <c r="B88" s="112">
        <v>0.98850000000000005</v>
      </c>
      <c r="C88" s="108">
        <f t="shared" si="22"/>
        <v>2.9000000000000137E-3</v>
      </c>
      <c r="D88" s="109" t="str">
        <f t="shared" si="23"/>
        <v>/</v>
      </c>
      <c r="E88" s="109">
        <f ca="1">IF(表2_367162629303891213141523242526272829[[#This Row],[累计净值]]/MAX(INDIRECT("B21:B" &amp; ROW()))-1&lt;E87,表2_367162629303891213141523242526272829[[#This Row],[累计净值]]/MAX(INDIRECT("B21:B" &amp; ROW()))-1,E87)</f>
        <v>-6.5813162632526456E-2</v>
      </c>
      <c r="F88" s="110">
        <f>表2_367162629303891213141523242526272829[[#This Row],[累计净值]]</f>
        <v>0.98850000000000005</v>
      </c>
      <c r="G88" s="20">
        <f>表2_367162629303891213141523242526272829[[#This Row],[累计净值]]/$B$21-1</f>
        <v>-1.1302260452090374E-2</v>
      </c>
    </row>
    <row r="89" spans="1:7" x14ac:dyDescent="0.2">
      <c r="A89" s="15">
        <v>44176</v>
      </c>
      <c r="B89" s="112">
        <v>0.97460000000000002</v>
      </c>
      <c r="C89" s="108">
        <f t="shared" si="22"/>
        <v>-1.3900000000000023E-2</v>
      </c>
      <c r="D89" s="109">
        <f t="shared" si="23"/>
        <v>-1.3900000000000023E-2</v>
      </c>
      <c r="E89" s="109">
        <f ca="1">IF(表2_367162629303891213141523242526272829[[#This Row],[累计净值]]/MAX(INDIRECT("B21:B" &amp; ROW()))-1&lt;E88,表2_367162629303891213141523242526272829[[#This Row],[累计净值]]/MAX(INDIRECT("B21:B" &amp; ROW()))-1,E88)</f>
        <v>-6.5813162632526456E-2</v>
      </c>
      <c r="F89" s="110">
        <f>表2_367162629303891213141523242526272829[[#This Row],[累计净值]]</f>
        <v>0.97460000000000002</v>
      </c>
      <c r="G89" s="20">
        <f>表2_367162629303891213141523242526272829[[#This Row],[累计净值]]/$B$21-1</f>
        <v>-2.5205041008201645E-2</v>
      </c>
    </row>
    <row r="90" spans="1:7" x14ac:dyDescent="0.2">
      <c r="A90" s="15">
        <v>44179</v>
      </c>
      <c r="B90" s="112">
        <v>0.98460000000000003</v>
      </c>
      <c r="C90" s="108">
        <f t="shared" si="22"/>
        <v>1.0000000000000009E-2</v>
      </c>
      <c r="D90" s="109" t="str">
        <f t="shared" si="23"/>
        <v>/</v>
      </c>
      <c r="E90" s="109">
        <f ca="1">IF(表2_367162629303891213141523242526272829[[#This Row],[累计净值]]/MAX(INDIRECT("B21:B" &amp; ROW()))-1&lt;E89,表2_367162629303891213141523242526272829[[#This Row],[累计净值]]/MAX(INDIRECT("B21:B" &amp; ROW()))-1,E89)</f>
        <v>-6.5813162632526456E-2</v>
      </c>
      <c r="F90" s="110">
        <f>表2_367162629303891213141523242526272829[[#This Row],[累计净值]]</f>
        <v>0.98460000000000003</v>
      </c>
      <c r="G90" s="20">
        <f>表2_367162629303891213141523242526272829[[#This Row],[累计净值]]/$B$21-1</f>
        <v>-1.520304060812161E-2</v>
      </c>
    </row>
    <row r="91" spans="1:7" x14ac:dyDescent="0.2">
      <c r="A91" s="15">
        <v>44180</v>
      </c>
      <c r="B91" s="112">
        <v>0.98919999999999997</v>
      </c>
      <c r="C91" s="108">
        <f t="shared" si="22"/>
        <v>4.5999999999999375E-3</v>
      </c>
      <c r="D91" s="109" t="str">
        <f t="shared" si="23"/>
        <v>/</v>
      </c>
      <c r="E91" s="109">
        <f ca="1">IF(表2_367162629303891213141523242526272829[[#This Row],[累计净值]]/MAX(INDIRECT("B21:B" &amp; ROW()))-1&lt;E90,表2_367162629303891213141523242526272829[[#This Row],[累计净值]]/MAX(INDIRECT("B21:B" &amp; ROW()))-1,E90)</f>
        <v>-6.5813162632526456E-2</v>
      </c>
      <c r="F91" s="110">
        <f>表2_367162629303891213141523242526272829[[#This Row],[累计净值]]</f>
        <v>0.98919999999999997</v>
      </c>
      <c r="G91" s="20">
        <f>表2_367162629303891213141523242526272829[[#This Row],[累计净值]]/$B$21-1</f>
        <v>-1.0602120424084815E-2</v>
      </c>
    </row>
    <row r="92" spans="1:7" x14ac:dyDescent="0.2">
      <c r="A92" s="15">
        <v>44181</v>
      </c>
      <c r="B92" s="112">
        <v>0.98680000000000001</v>
      </c>
      <c r="C92" s="108">
        <f t="shared" si="22"/>
        <v>-2.3999999999999577E-3</v>
      </c>
      <c r="D92" s="109">
        <f t="shared" si="23"/>
        <v>-2.3999999999999577E-3</v>
      </c>
      <c r="E92" s="109">
        <f ca="1">IF(表2_367162629303891213141523242526272829[[#This Row],[累计净值]]/MAX(INDIRECT("B21:B" &amp; ROW()))-1&lt;E91,表2_367162629303891213141523242526272829[[#This Row],[累计净值]]/MAX(INDIRECT("B21:B" &amp; ROW()))-1,E91)</f>
        <v>-6.5813162632526456E-2</v>
      </c>
      <c r="F92" s="110">
        <f>表2_367162629303891213141523242526272829[[#This Row],[累计净值]]</f>
        <v>0.98680000000000001</v>
      </c>
      <c r="G92" s="20">
        <f>表2_367162629303891213141523242526272829[[#This Row],[累计净值]]/$B$21-1</f>
        <v>-1.3002600520104046E-2</v>
      </c>
    </row>
    <row r="93" spans="1:7" x14ac:dyDescent="0.2">
      <c r="A93" s="15">
        <v>44182</v>
      </c>
      <c r="B93" s="112">
        <v>0.99770000000000003</v>
      </c>
      <c r="C93" s="108">
        <f t="shared" ref="C93:C98" si="24">IFERROR(B93-B92,0)</f>
        <v>1.0900000000000021E-2</v>
      </c>
      <c r="D93" s="109" t="str">
        <f t="shared" ref="D93:D98" si="25">IF(C93&lt;0,C93,"/")</f>
        <v>/</v>
      </c>
      <c r="E93" s="109">
        <f ca="1">IF(表2_367162629303891213141523242526272829[[#This Row],[累计净值]]/MAX(INDIRECT("B21:B" &amp; ROW()))-1&lt;E92,表2_367162629303891213141523242526272829[[#This Row],[累计净值]]/MAX(INDIRECT("B21:B" &amp; ROW()))-1,E92)</f>
        <v>-6.5813162632526456E-2</v>
      </c>
      <c r="F93" s="110">
        <f>表2_367162629303891213141523242526272829[[#This Row],[累计净值]]</f>
        <v>0.99770000000000003</v>
      </c>
      <c r="G93" s="20">
        <f>表2_367162629303891213141523242526272829[[#This Row],[累计净值]]/$B$21-1</f>
        <v>-2.1004200840167853E-3</v>
      </c>
    </row>
    <row r="94" spans="1:7" x14ac:dyDescent="0.2">
      <c r="A94" s="15">
        <v>44183</v>
      </c>
      <c r="B94" s="112">
        <v>0.99660000000000004</v>
      </c>
      <c r="C94" s="108">
        <f t="shared" si="24"/>
        <v>-1.0999999999999899E-3</v>
      </c>
      <c r="D94" s="109">
        <f t="shared" si="25"/>
        <v>-1.0999999999999899E-3</v>
      </c>
      <c r="E94" s="109">
        <f ca="1">IF(表2_367162629303891213141523242526272829[[#This Row],[累计净值]]/MAX(INDIRECT("B21:B" &amp; ROW()))-1&lt;E93,表2_367162629303891213141523242526272829[[#This Row],[累计净值]]/MAX(INDIRECT("B21:B" &amp; ROW()))-1,E93)</f>
        <v>-6.5813162632526456E-2</v>
      </c>
      <c r="F94" s="110">
        <f>表2_367162629303891213141523242526272829[[#This Row],[累计净值]]</f>
        <v>0.99660000000000004</v>
      </c>
      <c r="G94" s="20">
        <f>表2_367162629303891213141523242526272829[[#This Row],[累计净值]]/$B$21-1</f>
        <v>-3.200640128025567E-3</v>
      </c>
    </row>
    <row r="95" spans="1:7" x14ac:dyDescent="0.2">
      <c r="A95" s="15">
        <v>44186</v>
      </c>
      <c r="B95" s="112">
        <v>1.0113000000000001</v>
      </c>
      <c r="C95" s="108">
        <f t="shared" si="24"/>
        <v>1.4700000000000046E-2</v>
      </c>
      <c r="D95" s="109" t="str">
        <f t="shared" si="25"/>
        <v>/</v>
      </c>
      <c r="E95" s="109">
        <f ca="1">IF(表2_367162629303891213141523242526272829[[#This Row],[累计净值]]/MAX(INDIRECT("B21:B" &amp; ROW()))-1&lt;E94,表2_367162629303891213141523242526272829[[#This Row],[累计净值]]/MAX(INDIRECT("B21:B" &amp; ROW()))-1,E94)</f>
        <v>-6.5813162632526456E-2</v>
      </c>
      <c r="F95" s="110">
        <f>表2_367162629303891213141523242526272829[[#This Row],[累计净值]]</f>
        <v>1.0113000000000001</v>
      </c>
      <c r="G95" s="20">
        <f>表2_367162629303891213141523242526272829[[#This Row],[累计净值]]/$B$21-1</f>
        <v>1.1502300460092041E-2</v>
      </c>
    </row>
    <row r="96" spans="1:7" x14ac:dyDescent="0.2">
      <c r="A96" s="15">
        <v>44187</v>
      </c>
      <c r="B96" s="112">
        <v>0.99029999999999996</v>
      </c>
      <c r="C96" s="108">
        <f t="shared" si="24"/>
        <v>-2.100000000000013E-2</v>
      </c>
      <c r="D96" s="109">
        <f t="shared" si="25"/>
        <v>-2.100000000000013E-2</v>
      </c>
      <c r="E96" s="109">
        <f ca="1">IF(表2_367162629303891213141523242526272829[[#This Row],[累计净值]]/MAX(INDIRECT("B21:B" &amp; ROW()))-1&lt;E95,表2_367162629303891213141523242526272829[[#This Row],[累计净值]]/MAX(INDIRECT("B21:B" &amp; ROW()))-1,E95)</f>
        <v>-6.5813162632526456E-2</v>
      </c>
      <c r="F96" s="110">
        <f>表2_367162629303891213141523242526272829[[#This Row],[累计净值]]</f>
        <v>0.99029999999999996</v>
      </c>
      <c r="G96" s="20">
        <f>表2_367162629303891213141523242526272829[[#This Row],[累计净值]]/$B$21-1</f>
        <v>-9.5019003800760338E-3</v>
      </c>
    </row>
    <row r="97" spans="1:7" x14ac:dyDescent="0.2">
      <c r="A97" s="15">
        <v>44188</v>
      </c>
      <c r="B97" s="112">
        <v>1.0017</v>
      </c>
      <c r="C97" s="108">
        <f t="shared" si="24"/>
        <v>1.1400000000000077E-2</v>
      </c>
      <c r="D97" s="109" t="str">
        <f t="shared" si="25"/>
        <v>/</v>
      </c>
      <c r="E97" s="109">
        <f ca="1">IF(表2_367162629303891213141523242526272829[[#This Row],[累计净值]]/MAX(INDIRECT("B21:B" &amp; ROW()))-1&lt;E96,表2_367162629303891213141523242526272829[[#This Row],[累计净值]]/MAX(INDIRECT("B21:B" &amp; ROW()))-1,E96)</f>
        <v>-6.5813162632526456E-2</v>
      </c>
      <c r="F97" s="110">
        <f>表2_367162629303891213141523242526272829[[#This Row],[累计净值]]</f>
        <v>1.0017</v>
      </c>
      <c r="G97" s="20">
        <f>表2_367162629303891213141523242526272829[[#This Row],[累计净值]]/$B$21-1</f>
        <v>1.9003800760151179E-3</v>
      </c>
    </row>
    <row r="98" spans="1:7" x14ac:dyDescent="0.2">
      <c r="A98" s="15">
        <v>44189</v>
      </c>
      <c r="B98" s="112">
        <v>0.98939999999999995</v>
      </c>
      <c r="C98" s="108">
        <f t="shared" si="24"/>
        <v>-1.2300000000000089E-2</v>
      </c>
      <c r="D98" s="109">
        <f t="shared" si="25"/>
        <v>-1.2300000000000089E-2</v>
      </c>
      <c r="E98" s="109">
        <f ca="1">IF(表2_367162629303891213141523242526272829[[#This Row],[累计净值]]/MAX(INDIRECT("B21:B" &amp; ROW()))-1&lt;E97,表2_367162629303891213141523242526272829[[#This Row],[累计净值]]/MAX(INDIRECT("B21:B" &amp; ROW()))-1,E97)</f>
        <v>-6.5813162632526456E-2</v>
      </c>
      <c r="F98" s="110">
        <f>表2_367162629303891213141523242526272829[[#This Row],[累计净值]]</f>
        <v>0.98939999999999995</v>
      </c>
      <c r="G98" s="20">
        <f>表2_367162629303891213141523242526272829[[#This Row],[累计净值]]/$B$21-1</f>
        <v>-1.0402080416083259E-2</v>
      </c>
    </row>
    <row r="99" spans="1:7" x14ac:dyDescent="0.2">
      <c r="A99" s="15">
        <v>44190</v>
      </c>
      <c r="B99" s="112">
        <v>1.0041</v>
      </c>
      <c r="C99" s="108">
        <f t="shared" ref="C99:C104" si="26">IFERROR(B99-B98,0)</f>
        <v>1.4700000000000046E-2</v>
      </c>
      <c r="D99" s="109" t="str">
        <f t="shared" ref="D99:D104" si="27">IF(C99&lt;0,C99,"/")</f>
        <v>/</v>
      </c>
      <c r="E99" s="109">
        <f ca="1">IF(表2_367162629303891213141523242526272829[[#This Row],[累计净值]]/MAX(INDIRECT("B21:B" &amp; ROW()))-1&lt;E98,表2_367162629303891213141523242526272829[[#This Row],[累计净值]]/MAX(INDIRECT("B21:B" &amp; ROW()))-1,E98)</f>
        <v>-6.5813162632526456E-2</v>
      </c>
      <c r="F99" s="110">
        <f>表2_367162629303891213141523242526272829[[#This Row],[累计净值]]</f>
        <v>1.0041</v>
      </c>
      <c r="G99" s="20">
        <f>表2_367162629303891213141523242526272829[[#This Row],[累计净值]]/$B$21-1</f>
        <v>4.3008601720344597E-3</v>
      </c>
    </row>
    <row r="100" spans="1:7" x14ac:dyDescent="0.2">
      <c r="A100" s="15">
        <v>44193</v>
      </c>
      <c r="B100" s="112">
        <v>1.0007999999999999</v>
      </c>
      <c r="C100" s="108">
        <f t="shared" si="26"/>
        <v>-3.3000000000000806E-3</v>
      </c>
      <c r="D100" s="109">
        <f t="shared" si="27"/>
        <v>-3.3000000000000806E-3</v>
      </c>
      <c r="E100" s="109">
        <f ca="1">IF(表2_367162629303891213141523242526272829[[#This Row],[累计净值]]/MAX(INDIRECT("B21:B" &amp; ROW()))-1&lt;E99,表2_367162629303891213141523242526272829[[#This Row],[累计净值]]/MAX(INDIRECT("B21:B" &amp; ROW()))-1,E99)</f>
        <v>-6.5813162632526456E-2</v>
      </c>
      <c r="F100" s="110">
        <f>表2_367162629303891213141523242526272829[[#This Row],[累计净值]]</f>
        <v>1.0007999999999999</v>
      </c>
      <c r="G100" s="20">
        <f>表2_367162629303891213141523242526272829[[#This Row],[累计净值]]/$B$21-1</f>
        <v>1.0002000400077815E-3</v>
      </c>
    </row>
    <row r="101" spans="1:7" x14ac:dyDescent="0.2">
      <c r="A101" s="15">
        <v>44194</v>
      </c>
      <c r="B101" s="112">
        <v>0.99099999999999999</v>
      </c>
      <c r="C101" s="108">
        <f t="shared" si="26"/>
        <v>-9.7999999999999199E-3</v>
      </c>
      <c r="D101" s="109">
        <f t="shared" si="27"/>
        <v>-9.7999999999999199E-3</v>
      </c>
      <c r="E101" s="109">
        <f ca="1">IF(表2_367162629303891213141523242526272829[[#This Row],[累计净值]]/MAX(INDIRECT("B21:B" &amp; ROW()))-1&lt;E100,表2_367162629303891213141523242526272829[[#This Row],[累计净值]]/MAX(INDIRECT("B21:B" &amp; ROW()))-1,E100)</f>
        <v>-6.5813162632526456E-2</v>
      </c>
      <c r="F101" s="110">
        <f>表2_367162629303891213141523242526272829[[#This Row],[累计净值]]</f>
        <v>0.99099999999999999</v>
      </c>
      <c r="G101" s="20">
        <f>表2_367162629303891213141523242526272829[[#This Row],[累计净值]]/$B$21-1</f>
        <v>-8.8017603520704757E-3</v>
      </c>
    </row>
    <row r="102" spans="1:7" x14ac:dyDescent="0.2">
      <c r="A102" s="15">
        <v>44195</v>
      </c>
      <c r="B102" s="112">
        <v>1.0005999999999999</v>
      </c>
      <c r="C102" s="108">
        <f t="shared" si="26"/>
        <v>9.5999999999999419E-3</v>
      </c>
      <c r="D102" s="109" t="str">
        <f t="shared" si="27"/>
        <v>/</v>
      </c>
      <c r="E102" s="109">
        <f ca="1">IF(表2_367162629303891213141523242526272829[[#This Row],[累计净值]]/MAX(INDIRECT("B21:B" &amp; ROW()))-1&lt;E101,表2_367162629303891213141523242526272829[[#This Row],[累计净值]]/MAX(INDIRECT("B21:B" &amp; ROW()))-1,E101)</f>
        <v>-6.5813162632526456E-2</v>
      </c>
      <c r="F102" s="110">
        <f>表2_367162629303891213141523242526272829[[#This Row],[累计净值]]</f>
        <v>1.0005999999999999</v>
      </c>
      <c r="G102" s="20">
        <f>表2_367162629303891213141523242526272829[[#This Row],[累计净值]]/$B$21-1</f>
        <v>8.0016003200622521E-4</v>
      </c>
    </row>
    <row r="103" spans="1:7" x14ac:dyDescent="0.2">
      <c r="A103" s="15">
        <v>44196</v>
      </c>
      <c r="B103" s="112">
        <v>1.0209999999999999</v>
      </c>
      <c r="C103" s="108">
        <f t="shared" si="26"/>
        <v>2.0399999999999974E-2</v>
      </c>
      <c r="D103" s="109" t="str">
        <f t="shared" si="27"/>
        <v>/</v>
      </c>
      <c r="E103" s="109">
        <f ca="1">IF(表2_367162629303891213141523242526272829[[#This Row],[累计净值]]/MAX(INDIRECT("B21:B" &amp; ROW()))-1&lt;E102,表2_367162629303891213141523242526272829[[#This Row],[累计净值]]/MAX(INDIRECT("B21:B" &amp; ROW()))-1,E102)</f>
        <v>-6.5813162632526456E-2</v>
      </c>
      <c r="F103" s="110">
        <f>表2_367162629303891213141523242526272829[[#This Row],[累计净值]]</f>
        <v>1.0209999999999999</v>
      </c>
      <c r="G103" s="20">
        <f>表2_367162629303891213141523242526272829[[#This Row],[累计净值]]/$B$21-1</f>
        <v>2.1204240848169409E-2</v>
      </c>
    </row>
    <row r="104" spans="1:7" x14ac:dyDescent="0.2">
      <c r="A104" s="15">
        <v>44200</v>
      </c>
      <c r="B104" s="112">
        <v>1.0397000000000001</v>
      </c>
      <c r="C104" s="108">
        <f t="shared" si="26"/>
        <v>1.8700000000000161E-2</v>
      </c>
      <c r="D104" s="109" t="str">
        <f t="shared" si="27"/>
        <v>/</v>
      </c>
      <c r="E104" s="109">
        <f ca="1">IF(表2_367162629303891213141523242526272829[[#This Row],[累计净值]]/MAX(INDIRECT("B21:B" &amp; ROW()))-1&lt;E103,表2_367162629303891213141523242526272829[[#This Row],[累计净值]]/MAX(INDIRECT("B21:B" &amp; ROW()))-1,E103)</f>
        <v>-6.5813162632526456E-2</v>
      </c>
      <c r="F104" s="110">
        <f>表2_367162629303891213141523242526272829[[#This Row],[累计净值]]</f>
        <v>1.0397000000000001</v>
      </c>
      <c r="G104" s="20">
        <f>表2_367162629303891213141523242526272829[[#This Row],[累计净值]]/$B$21-1</f>
        <v>3.9907981596319253E-2</v>
      </c>
    </row>
    <row r="105" spans="1:7" x14ac:dyDescent="0.2">
      <c r="A105" s="15">
        <v>44201</v>
      </c>
      <c r="B105" s="112">
        <v>1.0484</v>
      </c>
      <c r="C105" s="108">
        <f t="shared" ref="C105:C111" si="28">IFERROR(B105-B104,0)</f>
        <v>8.69999999999993E-3</v>
      </c>
      <c r="D105" s="109" t="str">
        <f t="shared" ref="D105:D111" si="29">IF(C105&lt;0,C105,"/")</f>
        <v>/</v>
      </c>
      <c r="E105" s="109">
        <f ca="1">IF(表2_367162629303891213141523242526272829[[#This Row],[累计净值]]/MAX(INDIRECT("B21:B" &amp; ROW()))-1&lt;E104,表2_367162629303891213141523242526272829[[#This Row],[累计净值]]/MAX(INDIRECT("B21:B" &amp; ROW()))-1,E104)</f>
        <v>-6.5813162632526456E-2</v>
      </c>
      <c r="F105" s="110">
        <f>表2_367162629303891213141523242526272829[[#This Row],[累计净值]]</f>
        <v>1.0484</v>
      </c>
      <c r="G105" s="20">
        <f>表2_367162629303891213141523242526272829[[#This Row],[累计净值]]/$B$21-1</f>
        <v>4.860972194438884E-2</v>
      </c>
    </row>
    <row r="106" spans="1:7" x14ac:dyDescent="0.2">
      <c r="A106" s="15">
        <v>44202</v>
      </c>
      <c r="B106" s="112">
        <v>1.0466</v>
      </c>
      <c r="C106" s="108">
        <f t="shared" si="28"/>
        <v>-1.8000000000000238E-3</v>
      </c>
      <c r="D106" s="109">
        <f t="shared" si="29"/>
        <v>-1.8000000000000238E-3</v>
      </c>
      <c r="E106" s="109">
        <f ca="1">IF(表2_367162629303891213141523242526272829[[#This Row],[累计净值]]/MAX(INDIRECT("B21:B" &amp; ROW()))-1&lt;E105,表2_367162629303891213141523242526272829[[#This Row],[累计净值]]/MAX(INDIRECT("B21:B" &amp; ROW()))-1,E105)</f>
        <v>-6.5813162632526456E-2</v>
      </c>
      <c r="F106" s="110">
        <f>表2_367162629303891213141523242526272829[[#This Row],[累计净值]]</f>
        <v>1.0466</v>
      </c>
      <c r="G106" s="20">
        <f>表2_367162629303891213141523242526272829[[#This Row],[累计净值]]/$B$21-1</f>
        <v>4.6809361872374389E-2</v>
      </c>
    </row>
    <row r="107" spans="1:7" x14ac:dyDescent="0.2">
      <c r="A107" s="15">
        <v>44203</v>
      </c>
      <c r="B107" s="112">
        <v>1.0432999999999999</v>
      </c>
      <c r="C107" s="108">
        <f t="shared" si="28"/>
        <v>-3.3000000000000806E-3</v>
      </c>
      <c r="D107" s="109">
        <f t="shared" si="29"/>
        <v>-3.3000000000000806E-3</v>
      </c>
      <c r="E107" s="109">
        <f ca="1">IF(表2_367162629303891213141523242526272829[[#This Row],[累计净值]]/MAX(INDIRECT("B21:B" &amp; ROW()))-1&lt;E106,表2_367162629303891213141523242526272829[[#This Row],[累计净值]]/MAX(INDIRECT("B21:B" &amp; ROW()))-1,E106)</f>
        <v>-6.5813162632526456E-2</v>
      </c>
      <c r="F107" s="110">
        <f>表2_367162629303891213141523242526272829[[#This Row],[累计净值]]</f>
        <v>1.0432999999999999</v>
      </c>
      <c r="G107" s="20">
        <f>表2_367162629303891213141523242526272829[[#This Row],[累计净值]]/$B$21-1</f>
        <v>4.3508701740347933E-2</v>
      </c>
    </row>
    <row r="108" spans="1:7" x14ac:dyDescent="0.2">
      <c r="A108" s="15">
        <v>44204</v>
      </c>
      <c r="B108" s="112">
        <v>1.0443</v>
      </c>
      <c r="C108" s="108">
        <f t="shared" si="28"/>
        <v>1.0000000000001119E-3</v>
      </c>
      <c r="D108" s="109" t="str">
        <f t="shared" si="29"/>
        <v>/</v>
      </c>
      <c r="E108" s="109">
        <f ca="1">IF(表2_367162629303891213141523242526272829[[#This Row],[累计净值]]/MAX(INDIRECT("B21:B" &amp; ROW()))-1&lt;E107,表2_367162629303891213141523242526272829[[#This Row],[累计净值]]/MAX(INDIRECT("B21:B" &amp; ROW()))-1,E107)</f>
        <v>-6.5813162632526456E-2</v>
      </c>
      <c r="F108" s="110">
        <f>表2_367162629303891213141523242526272829[[#This Row],[累计净值]]</f>
        <v>1.0443</v>
      </c>
      <c r="G108" s="20">
        <f>表2_367162629303891213141523242526272829[[#This Row],[累计净值]]/$B$21-1</f>
        <v>4.4508901780356158E-2</v>
      </c>
    </row>
    <row r="109" spans="1:7" x14ac:dyDescent="0.2">
      <c r="A109" s="15">
        <v>44207</v>
      </c>
      <c r="B109" s="112">
        <v>1.0349999999999999</v>
      </c>
      <c r="C109" s="108">
        <f t="shared" si="28"/>
        <v>-9.300000000000086E-3</v>
      </c>
      <c r="D109" s="109">
        <f t="shared" si="29"/>
        <v>-9.300000000000086E-3</v>
      </c>
      <c r="E109" s="109">
        <f ca="1">IF(表2_367162629303891213141523242526272829[[#This Row],[累计净值]]/MAX(INDIRECT("B21:B" &amp; ROW()))-1&lt;E108,表2_367162629303891213141523242526272829[[#This Row],[累计净值]]/MAX(INDIRECT("B21:B" &amp; ROW()))-1,E108)</f>
        <v>-6.5813162632526456E-2</v>
      </c>
      <c r="F109" s="110">
        <f>表2_367162629303891213141523242526272829[[#This Row],[累计净值]]</f>
        <v>1.0349999999999999</v>
      </c>
      <c r="G109" s="20">
        <f>表2_367162629303891213141523242526272829[[#This Row],[累计净值]]/$B$21-1</f>
        <v>3.5207041408281459E-2</v>
      </c>
    </row>
    <row r="110" spans="1:7" x14ac:dyDescent="0.2">
      <c r="A110" s="15">
        <v>44208</v>
      </c>
      <c r="B110" s="112">
        <v>1.0476000000000001</v>
      </c>
      <c r="C110" s="108">
        <f t="shared" si="28"/>
        <v>1.2600000000000167E-2</v>
      </c>
      <c r="D110" s="109" t="str">
        <f t="shared" si="29"/>
        <v>/</v>
      </c>
      <c r="E110" s="109">
        <f ca="1">IF(表2_367162629303891213141523242526272829[[#This Row],[累计净值]]/MAX(INDIRECT("B21:B" &amp; ROW()))-1&lt;E109,表2_367162629303891213141523242526272829[[#This Row],[累计净值]]/MAX(INDIRECT("B21:B" &amp; ROW()))-1,E109)</f>
        <v>-6.5813162632526456E-2</v>
      </c>
      <c r="F110" s="110">
        <f>表2_367162629303891213141523242526272829[[#This Row],[累计净值]]</f>
        <v>1.0476000000000001</v>
      </c>
      <c r="G110" s="20">
        <f>表2_367162629303891213141523242526272829[[#This Row],[累计净值]]/$B$21-1</f>
        <v>4.7809561912382614E-2</v>
      </c>
    </row>
    <row r="111" spans="1:7" x14ac:dyDescent="0.2">
      <c r="A111" s="15">
        <v>44209</v>
      </c>
      <c r="B111" s="112">
        <v>1.0429999999999999</v>
      </c>
      <c r="C111" s="108">
        <f t="shared" si="28"/>
        <v>-4.6000000000001595E-3</v>
      </c>
      <c r="D111" s="109">
        <f t="shared" si="29"/>
        <v>-4.6000000000001595E-3</v>
      </c>
      <c r="E111" s="109">
        <f ca="1">IF(表2_367162629303891213141523242526272829[[#This Row],[累计净值]]/MAX(INDIRECT("B21:B" &amp; ROW()))-1&lt;E110,表2_367162629303891213141523242526272829[[#This Row],[累计净值]]/MAX(INDIRECT("B21:B" &amp; ROW()))-1,E110)</f>
        <v>-6.5813162632526456E-2</v>
      </c>
      <c r="F111" s="110">
        <f>表2_367162629303891213141523242526272829[[#This Row],[累计净值]]</f>
        <v>1.0429999999999999</v>
      </c>
      <c r="G111" s="20">
        <f>表2_367162629303891213141523242526272829[[#This Row],[累计净值]]/$B$21-1</f>
        <v>4.3208641728345487E-2</v>
      </c>
    </row>
    <row r="112" spans="1:7" x14ac:dyDescent="0.2">
      <c r="A112" s="15">
        <v>44210</v>
      </c>
      <c r="B112" s="112">
        <v>1.0364</v>
      </c>
      <c r="C112" s="108">
        <f t="shared" ref="C112:C117" si="30">IFERROR(B112-B111,0)</f>
        <v>-6.5999999999999392E-3</v>
      </c>
      <c r="D112" s="109">
        <f t="shared" ref="D112:D117" si="31">IF(C112&lt;0,C112,"/")</f>
        <v>-6.5999999999999392E-3</v>
      </c>
      <c r="E112" s="109">
        <f ca="1">IF(表2_367162629303891213141523242526272829[[#This Row],[累计净值]]/MAX(INDIRECT("B21:B" &amp; ROW()))-1&lt;E111,表2_367162629303891213141523242526272829[[#This Row],[累计净值]]/MAX(INDIRECT("B21:B" &amp; ROW()))-1,E111)</f>
        <v>-6.5813162632526456E-2</v>
      </c>
      <c r="F112" s="110">
        <f>表2_367162629303891213141523242526272829[[#This Row],[累计净值]]</f>
        <v>1.0364</v>
      </c>
      <c r="G112" s="20">
        <f>表2_367162629303891213141523242526272829[[#This Row],[累计净值]]/$B$21-1</f>
        <v>3.6607321464292797E-2</v>
      </c>
    </row>
    <row r="113" spans="1:15" x14ac:dyDescent="0.2">
      <c r="A113" s="15">
        <v>44211</v>
      </c>
      <c r="B113" s="112">
        <v>1.0346</v>
      </c>
      <c r="C113" s="108">
        <f t="shared" si="30"/>
        <v>-1.8000000000000238E-3</v>
      </c>
      <c r="D113" s="109">
        <f t="shared" si="31"/>
        <v>-1.8000000000000238E-3</v>
      </c>
      <c r="E113" s="109">
        <f ca="1">IF(表2_367162629303891213141523242526272829[[#This Row],[累计净值]]/MAX(INDIRECT("B21:B" &amp; ROW()))-1&lt;E112,表2_367162629303891213141523242526272829[[#This Row],[累计净值]]/MAX(INDIRECT("B21:B" &amp; ROW()))-1,E112)</f>
        <v>-6.5813162632526456E-2</v>
      </c>
      <c r="F113" s="110">
        <f>表2_367162629303891213141523242526272829[[#This Row],[累计净值]]</f>
        <v>1.0346</v>
      </c>
      <c r="G113" s="20">
        <f>表2_367162629303891213141523242526272829[[#This Row],[累计净值]]/$B$21-1</f>
        <v>3.4806961392278346E-2</v>
      </c>
    </row>
    <row r="114" spans="1:15" x14ac:dyDescent="0.2">
      <c r="A114" s="15">
        <v>44214</v>
      </c>
      <c r="B114" s="112">
        <v>1.0523</v>
      </c>
      <c r="C114" s="108">
        <f t="shared" si="30"/>
        <v>1.7700000000000049E-2</v>
      </c>
      <c r="D114" s="109" t="str">
        <f t="shared" si="31"/>
        <v>/</v>
      </c>
      <c r="E114" s="109">
        <f ca="1">IF(表2_367162629303891213141523242526272829[[#This Row],[累计净值]]/MAX(INDIRECT("B21:B" &amp; ROW()))-1&lt;E113,表2_367162629303891213141523242526272829[[#This Row],[累计净值]]/MAX(INDIRECT("B21:B" &amp; ROW()))-1,E113)</f>
        <v>-6.5813162632526456E-2</v>
      </c>
      <c r="F114" s="110">
        <f>表2_367162629303891213141523242526272829[[#This Row],[累计净值]]</f>
        <v>1.0523</v>
      </c>
      <c r="G114" s="20">
        <f>表2_367162629303891213141523242526272829[[#This Row],[累计净值]]/$B$21-1</f>
        <v>5.2510502100419965E-2</v>
      </c>
    </row>
    <row r="115" spans="1:15" x14ac:dyDescent="0.2">
      <c r="A115" s="15">
        <v>44215</v>
      </c>
      <c r="B115" s="112">
        <v>1.0476000000000001</v>
      </c>
      <c r="C115" s="108">
        <f t="shared" si="30"/>
        <v>-4.6999999999999265E-3</v>
      </c>
      <c r="D115" s="109">
        <f t="shared" si="31"/>
        <v>-4.6999999999999265E-3</v>
      </c>
      <c r="E115" s="109">
        <f ca="1">IF(表2_367162629303891213141523242526272829[[#This Row],[累计净值]]/MAX(INDIRECT("B21:B" &amp; ROW()))-1&lt;E114,表2_367162629303891213141523242526272829[[#This Row],[累计净值]]/MAX(INDIRECT("B21:B" &amp; ROW()))-1,E114)</f>
        <v>-6.5813162632526456E-2</v>
      </c>
      <c r="F115" s="110">
        <f>表2_367162629303891213141523242526272829[[#This Row],[累计净值]]</f>
        <v>1.0476000000000001</v>
      </c>
      <c r="G115" s="20">
        <f>表2_367162629303891213141523242526272829[[#This Row],[累计净值]]/$B$21-1</f>
        <v>4.7809561912382614E-2</v>
      </c>
    </row>
    <row r="116" spans="1:15" x14ac:dyDescent="0.2">
      <c r="A116" s="15">
        <v>44216</v>
      </c>
      <c r="B116" s="112">
        <v>1.0567</v>
      </c>
      <c r="C116" s="108">
        <f t="shared" si="30"/>
        <v>9.099999999999886E-3</v>
      </c>
      <c r="D116" s="109" t="str">
        <f t="shared" si="31"/>
        <v>/</v>
      </c>
      <c r="E116" s="109">
        <f ca="1">IF(表2_367162629303891213141523242526272829[[#This Row],[累计净值]]/MAX(INDIRECT("B21:B" &amp; ROW()))-1&lt;E115,表2_367162629303891213141523242526272829[[#This Row],[累计净值]]/MAX(INDIRECT("B21:B" &amp; ROW()))-1,E115)</f>
        <v>-6.5813162632526456E-2</v>
      </c>
      <c r="F116" s="110">
        <f>表2_367162629303891213141523242526272829[[#This Row],[累计净值]]</f>
        <v>1.0567</v>
      </c>
      <c r="G116" s="20">
        <f>表2_367162629303891213141523242526272829[[#This Row],[累计净值]]/$B$21-1</f>
        <v>5.6911382276455313E-2</v>
      </c>
    </row>
    <row r="117" spans="1:15" x14ac:dyDescent="0.2">
      <c r="A117" s="15">
        <v>44217</v>
      </c>
      <c r="B117" s="112">
        <v>1.0691999999999999</v>
      </c>
      <c r="C117" s="108">
        <f t="shared" si="30"/>
        <v>1.2499999999999956E-2</v>
      </c>
      <c r="D117" s="109" t="str">
        <f t="shared" si="31"/>
        <v>/</v>
      </c>
      <c r="E117" s="109">
        <f ca="1">IF(表2_367162629303891213141523242526272829[[#This Row],[累计净值]]/MAX(INDIRECT("B21:B" &amp; ROW()))-1&lt;E116,表2_367162629303891213141523242526272829[[#This Row],[累计净值]]/MAX(INDIRECT("B21:B" &amp; ROW()))-1,E116)</f>
        <v>-6.5813162632526456E-2</v>
      </c>
      <c r="F117" s="110">
        <f>表2_367162629303891213141523242526272829[[#This Row],[累计净值]]</f>
        <v>1.0691999999999999</v>
      </c>
      <c r="G117" s="20">
        <f>表2_367162629303891213141523242526272829[[#This Row],[累计净值]]/$B$21-1</f>
        <v>6.9413882776555136E-2</v>
      </c>
    </row>
    <row r="118" spans="1:15" x14ac:dyDescent="0.2">
      <c r="A118" s="15">
        <v>44218</v>
      </c>
      <c r="B118" s="112">
        <v>1.0722</v>
      </c>
      <c r="C118" s="108">
        <f t="shared" ref="C118:C123" si="32">IFERROR(B118-B117,0)</f>
        <v>3.0000000000001137E-3</v>
      </c>
      <c r="D118" s="109" t="str">
        <f t="shared" ref="D118:D123" si="33">IF(C118&lt;0,C118,"/")</f>
        <v>/</v>
      </c>
      <c r="E118" s="109">
        <f ca="1">IF(表2_367162629303891213141523242526272829[[#This Row],[累计净值]]/MAX(INDIRECT("B21:B" &amp; ROW()))-1&lt;E117,表2_367162629303891213141523242526272829[[#This Row],[累计净值]]/MAX(INDIRECT("B21:B" &amp; ROW()))-1,E117)</f>
        <v>-6.5813162632526456E-2</v>
      </c>
      <c r="F118" s="110">
        <f>表2_367162629303891213141523242526272829[[#This Row],[累计净值]]</f>
        <v>1.0722</v>
      </c>
      <c r="G118" s="20">
        <f>表2_367162629303891213141523242526272829[[#This Row],[累计净值]]/$B$21-1</f>
        <v>7.2414482896579369E-2</v>
      </c>
    </row>
    <row r="119" spans="1:15" x14ac:dyDescent="0.2">
      <c r="A119" s="15">
        <v>44221</v>
      </c>
      <c r="B119" s="112">
        <v>1.0727</v>
      </c>
      <c r="C119" s="108">
        <f t="shared" si="32"/>
        <v>4.9999999999994493E-4</v>
      </c>
      <c r="D119" s="109" t="str">
        <f t="shared" si="33"/>
        <v>/</v>
      </c>
      <c r="E119" s="109">
        <f ca="1">IF(表2_367162629303891213141523242526272829[[#This Row],[累计净值]]/MAX(INDIRECT("B21:B" &amp; ROW()))-1&lt;E118,表2_367162629303891213141523242526272829[[#This Row],[累计净值]]/MAX(INDIRECT("B21:B" &amp; ROW()))-1,E118)</f>
        <v>-6.5813162632526456E-2</v>
      </c>
      <c r="F119" s="110">
        <f>表2_367162629303891213141523242526272829[[#This Row],[累计净值]]</f>
        <v>1.0727</v>
      </c>
      <c r="G119" s="20">
        <f>表2_367162629303891213141523242526272829[[#This Row],[累计净值]]/$B$21-1</f>
        <v>7.291458291658337E-2</v>
      </c>
    </row>
    <row r="120" spans="1:15" x14ac:dyDescent="0.2">
      <c r="A120" s="15">
        <v>44222</v>
      </c>
      <c r="B120" s="112">
        <v>1.0579000000000001</v>
      </c>
      <c r="C120" s="108">
        <f t="shared" si="32"/>
        <v>-1.4799999999999924E-2</v>
      </c>
      <c r="D120" s="109">
        <f t="shared" si="33"/>
        <v>-1.4799999999999924E-2</v>
      </c>
      <c r="E120" s="109">
        <f ca="1">IF(表2_367162629303891213141523242526272829[[#This Row],[累计净值]]/MAX(INDIRECT("B21:B" &amp; ROW()))-1&lt;E119,表2_367162629303891213141523242526272829[[#This Row],[累计净值]]/MAX(INDIRECT("B21:B" &amp; ROW()))-1,E119)</f>
        <v>-6.5813162632526456E-2</v>
      </c>
      <c r="F120" s="110">
        <f>表2_367162629303891213141523242526272829[[#This Row],[累计净值]]</f>
        <v>1.0579000000000001</v>
      </c>
      <c r="G120" s="20">
        <f>表2_367162629303891213141523242526272829[[#This Row],[累计净值]]/$B$21-1</f>
        <v>5.8111622324464873E-2</v>
      </c>
    </row>
    <row r="121" spans="1:15" x14ac:dyDescent="0.2">
      <c r="A121" s="15">
        <v>44223</v>
      </c>
      <c r="B121" s="112">
        <v>1.0610999999999999</v>
      </c>
      <c r="C121" s="108">
        <f t="shared" si="32"/>
        <v>3.1999999999998696E-3</v>
      </c>
      <c r="D121" s="109" t="str">
        <f t="shared" si="33"/>
        <v>/</v>
      </c>
      <c r="E121" s="109">
        <f ca="1">IF(表2_367162629303891213141523242526272829[[#This Row],[累计净值]]/MAX(INDIRECT("B21:B" &amp; ROW()))-1&lt;E120,表2_367162629303891213141523242526272829[[#This Row],[累计净值]]/MAX(INDIRECT("B21:B" &amp; ROW()))-1,E120)</f>
        <v>-6.5813162632526456E-2</v>
      </c>
      <c r="F121" s="110">
        <f>表2_367162629303891213141523242526272829[[#This Row],[累计净值]]</f>
        <v>1.0610999999999999</v>
      </c>
      <c r="G121" s="20">
        <f>表2_367162629303891213141523242526272829[[#This Row],[累计净值]]/$B$21-1</f>
        <v>6.131226245249044E-2</v>
      </c>
    </row>
    <row r="122" spans="1:15" x14ac:dyDescent="0.2">
      <c r="A122" s="15">
        <v>44224</v>
      </c>
      <c r="B122" s="112">
        <v>1.0398000000000001</v>
      </c>
      <c r="C122" s="108">
        <f t="shared" si="32"/>
        <v>-2.1299999999999875E-2</v>
      </c>
      <c r="D122" s="109">
        <f t="shared" si="33"/>
        <v>-2.1299999999999875E-2</v>
      </c>
      <c r="E122" s="109">
        <f ca="1">IF(表2_367162629303891213141523242526272829[[#This Row],[累计净值]]/MAX(INDIRECT("B21:B" &amp; ROW()))-1&lt;E121,表2_367162629303891213141523242526272829[[#This Row],[累计净值]]/MAX(INDIRECT("B21:B" &amp; ROW()))-1,E121)</f>
        <v>-6.5813162632526456E-2</v>
      </c>
      <c r="F122" s="110">
        <f>表2_367162629303891213141523242526272829[[#This Row],[累计净值]]</f>
        <v>1.0398000000000001</v>
      </c>
      <c r="G122" s="20">
        <f>表2_367162629303891213141523242526272829[[#This Row],[累计净值]]/$B$21-1</f>
        <v>4.0008001600320142E-2</v>
      </c>
      <c r="O122" s="220"/>
    </row>
    <row r="123" spans="1:15" x14ac:dyDescent="0.2">
      <c r="A123" s="15">
        <v>44225</v>
      </c>
      <c r="B123" s="112">
        <v>1.0306</v>
      </c>
      <c r="C123" s="108">
        <f t="shared" si="32"/>
        <v>-9.200000000000097E-3</v>
      </c>
      <c r="D123" s="109">
        <f t="shared" si="33"/>
        <v>-9.200000000000097E-3</v>
      </c>
      <c r="E123" s="109">
        <f ca="1">IF(表2_367162629303891213141523242526272829[[#This Row],[累计净值]]/MAX(INDIRECT("B21:B" &amp; ROW()))-1&lt;E122,表2_367162629303891213141523242526272829[[#This Row],[累计净值]]/MAX(INDIRECT("B21:B" &amp; ROW()))-1,E122)</f>
        <v>-6.5813162632526456E-2</v>
      </c>
      <c r="F123" s="110">
        <f>表2_367162629303891213141523242526272829[[#This Row],[累计净值]]</f>
        <v>1.0306</v>
      </c>
      <c r="G123" s="20">
        <f>表2_367162629303891213141523242526272829[[#This Row],[累计净值]]/$B$21-1</f>
        <v>3.0806161232246332E-2</v>
      </c>
    </row>
    <row r="124" spans="1:15" x14ac:dyDescent="0.2">
      <c r="A124" s="15">
        <v>44228</v>
      </c>
      <c r="B124" s="112">
        <v>1.0452999999999999</v>
      </c>
      <c r="C124" s="108">
        <f t="shared" ref="C124:C129" si="34">IFERROR(B124-B123,0)</f>
        <v>1.4699999999999935E-2</v>
      </c>
      <c r="D124" s="109" t="str">
        <f t="shared" ref="D124:D129" si="35">IF(C124&lt;0,C124,"/")</f>
        <v>/</v>
      </c>
      <c r="E124" s="109">
        <f ca="1">IF(表2_367162629303891213141523242526272829[[#This Row],[累计净值]]/MAX(INDIRECT("B21:B" &amp; ROW()))-1&lt;E123,表2_367162629303891213141523242526272829[[#This Row],[累计净值]]/MAX(INDIRECT("B21:B" &amp; ROW()))-1,E123)</f>
        <v>-6.5813162632526456E-2</v>
      </c>
      <c r="F124" s="110">
        <f>表2_367162629303891213141523242526272829[[#This Row],[累计净值]]</f>
        <v>1.0452999999999999</v>
      </c>
      <c r="G124" s="20">
        <f>表2_367162629303891213141523242526272829[[#This Row],[累计净值]]/$B$21-1</f>
        <v>4.550910182036394E-2</v>
      </c>
    </row>
    <row r="125" spans="1:15" x14ac:dyDescent="0.2">
      <c r="A125" s="15">
        <v>44229</v>
      </c>
      <c r="B125" s="112">
        <v>1.0577000000000001</v>
      </c>
      <c r="C125" s="108">
        <f t="shared" si="34"/>
        <v>1.2400000000000189E-2</v>
      </c>
      <c r="D125" s="109" t="str">
        <f t="shared" si="35"/>
        <v>/</v>
      </c>
      <c r="E125" s="109">
        <f ca="1">IF(表2_367162629303891213141523242526272829[[#This Row],[累计净值]]/MAX(INDIRECT("B21:B" &amp; ROW()))-1&lt;E124,表2_367162629303891213141523242526272829[[#This Row],[累计净值]]/MAX(INDIRECT("B21:B" &amp; ROW()))-1,E124)</f>
        <v>-6.5813162632526456E-2</v>
      </c>
      <c r="F125" s="110">
        <f>表2_367162629303891213141523242526272829[[#This Row],[累计净值]]</f>
        <v>1.0577000000000001</v>
      </c>
      <c r="G125" s="20">
        <f>表2_367162629303891213141523242526272829[[#This Row],[累计净值]]/$B$21-1</f>
        <v>5.7911582316463317E-2</v>
      </c>
    </row>
    <row r="126" spans="1:15" x14ac:dyDescent="0.2">
      <c r="A126" s="15">
        <v>44230</v>
      </c>
      <c r="B126" s="112">
        <v>1.0490999999999999</v>
      </c>
      <c r="C126" s="108">
        <f t="shared" si="34"/>
        <v>-8.6000000000001631E-3</v>
      </c>
      <c r="D126" s="109">
        <f t="shared" si="35"/>
        <v>-8.6000000000001631E-3</v>
      </c>
      <c r="E126" s="109">
        <f ca="1">IF(表2_367162629303891213141523242526272829[[#This Row],[累计净值]]/MAX(INDIRECT("B21:B" &amp; ROW()))-1&lt;E125,表2_367162629303891213141523242526272829[[#This Row],[累计净值]]/MAX(INDIRECT("B21:B" &amp; ROW()))-1,E125)</f>
        <v>-6.5813162632526456E-2</v>
      </c>
      <c r="F126" s="110">
        <f>表2_367162629303891213141523242526272829[[#This Row],[累计净值]]</f>
        <v>1.0490999999999999</v>
      </c>
      <c r="G126" s="20">
        <f>表2_367162629303891213141523242526272829[[#This Row],[累计净值]]/$B$21-1</f>
        <v>4.9309861972394398E-2</v>
      </c>
    </row>
    <row r="127" spans="1:15" x14ac:dyDescent="0.2">
      <c r="A127" s="15">
        <v>44231</v>
      </c>
      <c r="B127" s="112">
        <v>1.0399</v>
      </c>
      <c r="C127" s="108">
        <f t="shared" si="34"/>
        <v>-9.1999999999998749E-3</v>
      </c>
      <c r="D127" s="109">
        <f t="shared" si="35"/>
        <v>-9.1999999999998749E-3</v>
      </c>
      <c r="E127" s="109">
        <f ca="1">IF(表2_367162629303891213141523242526272829[[#This Row],[累计净值]]/MAX(INDIRECT("B21:B" &amp; ROW()))-1&lt;E126,表2_367162629303891213141523242526272829[[#This Row],[累计净值]]/MAX(INDIRECT("B21:B" &amp; ROW()))-1,E126)</f>
        <v>-6.5813162632526456E-2</v>
      </c>
      <c r="F127" s="110">
        <f>表2_367162629303891213141523242526272829[[#This Row],[累计净值]]</f>
        <v>1.0399</v>
      </c>
      <c r="G127" s="20">
        <f>表2_367162629303891213141523242526272829[[#This Row],[累计净值]]/$B$21-1</f>
        <v>4.0108021604320809E-2</v>
      </c>
    </row>
    <row r="128" spans="1:15" x14ac:dyDescent="0.2">
      <c r="A128" s="15">
        <v>44232</v>
      </c>
      <c r="B128" s="112">
        <v>1.0265</v>
      </c>
      <c r="C128" s="108">
        <f t="shared" si="34"/>
        <v>-1.3400000000000079E-2</v>
      </c>
      <c r="D128" s="109">
        <f t="shared" si="35"/>
        <v>-1.3400000000000079E-2</v>
      </c>
      <c r="E128" s="109">
        <f ca="1">IF(表2_367162629303891213141523242526272829[[#This Row],[累计净值]]/MAX(INDIRECT("B21:B" &amp; ROW()))-1&lt;E127,表2_367162629303891213141523242526272829[[#This Row],[累计净值]]/MAX(INDIRECT("B21:B" &amp; ROW()))-1,E127)</f>
        <v>-6.5813162632526456E-2</v>
      </c>
      <c r="F128" s="110">
        <f>表2_367162629303891213141523242526272829[[#This Row],[累计净值]]</f>
        <v>1.0265</v>
      </c>
      <c r="G128" s="20">
        <f>表2_367162629303891213141523242526272829[[#This Row],[累计净值]]/$B$21-1</f>
        <v>2.6705341068213651E-2</v>
      </c>
    </row>
    <row r="129" spans="1:7" x14ac:dyDescent="0.2">
      <c r="A129" s="15">
        <v>44235</v>
      </c>
      <c r="B129" s="112">
        <v>1.0385</v>
      </c>
      <c r="C129" s="108">
        <f t="shared" si="34"/>
        <v>1.2000000000000011E-2</v>
      </c>
      <c r="D129" s="109" t="str">
        <f t="shared" si="35"/>
        <v>/</v>
      </c>
      <c r="E129" s="109">
        <f ca="1">IF(表2_367162629303891213141523242526272829[[#This Row],[累计净值]]/MAX(INDIRECT("B21:B" &amp; ROW()))-1&lt;E128,表2_367162629303891213141523242526272829[[#This Row],[累计净值]]/MAX(INDIRECT("B21:B" &amp; ROW()))-1,E128)</f>
        <v>-6.5813162632526456E-2</v>
      </c>
      <c r="F129" s="110">
        <f>表2_367162629303891213141523242526272829[[#This Row],[累计净值]]</f>
        <v>1.0385</v>
      </c>
      <c r="G129" s="20">
        <f>表2_367162629303891213141523242526272829[[#This Row],[累计净值]]/$B$21-1</f>
        <v>3.8707741548309693E-2</v>
      </c>
    </row>
    <row r="130" spans="1:7" x14ac:dyDescent="0.2">
      <c r="A130" s="15">
        <v>44236</v>
      </c>
      <c r="B130" s="112">
        <v>1.0587</v>
      </c>
      <c r="C130" s="108">
        <f>IFERROR(B130-B129,0)</f>
        <v>2.0199999999999996E-2</v>
      </c>
      <c r="D130" s="109" t="str">
        <f>IF(C130&lt;0,C130,"/")</f>
        <v>/</v>
      </c>
      <c r="E130" s="109">
        <f ca="1">IF(表2_367162629303891213141523242526272829[[#This Row],[累计净值]]/MAX(INDIRECT("B21:B" &amp; ROW()))-1&lt;E129,表2_367162629303891213141523242526272829[[#This Row],[累计净值]]/MAX(INDIRECT("B21:B" &amp; ROW()))-1,E129)</f>
        <v>-6.5813162632526456E-2</v>
      </c>
      <c r="F130" s="110">
        <f>表2_367162629303891213141523242526272829[[#This Row],[累计净值]]</f>
        <v>1.0587</v>
      </c>
      <c r="G130" s="20">
        <f>表2_367162629303891213141523242526272829[[#This Row],[累计净值]]/$B$21-1</f>
        <v>5.8911782356471321E-2</v>
      </c>
    </row>
    <row r="131" spans="1:7" x14ac:dyDescent="0.2">
      <c r="A131" s="15">
        <v>44237</v>
      </c>
      <c r="B131" s="112">
        <v>1.069</v>
      </c>
      <c r="C131" s="108">
        <f t="shared" ref="C131:C132" si="36">IFERROR(B131-B130,0)</f>
        <v>1.0299999999999976E-2</v>
      </c>
      <c r="D131" s="109" t="str">
        <f t="shared" ref="D131:D132" si="37">IF(C131&lt;0,C131,"/")</f>
        <v>/</v>
      </c>
      <c r="E131" s="109">
        <f ca="1">IF(表2_367162629303891213141523242526272829[[#This Row],[累计净值]]/MAX(INDIRECT("B21:B" &amp; ROW()))-1&lt;E130,表2_367162629303891213141523242526272829[[#This Row],[累计净值]]/MAX(INDIRECT("B21:B" &amp; ROW()))-1,E130)</f>
        <v>-6.5813162632526456E-2</v>
      </c>
      <c r="F131" s="110">
        <f>表2_367162629303891213141523242526272829[[#This Row],[累计净值]]</f>
        <v>1.069</v>
      </c>
      <c r="G131" s="20">
        <f>表2_367162629303891213141523242526272829[[#This Row],[累计净值]]/$B$21-1</f>
        <v>6.921384276855358E-2</v>
      </c>
    </row>
    <row r="132" spans="1:7" x14ac:dyDescent="0.2">
      <c r="A132" s="15">
        <v>44245</v>
      </c>
      <c r="B132" s="112">
        <v>1.0806</v>
      </c>
      <c r="C132" s="108">
        <f t="shared" si="36"/>
        <v>1.1600000000000055E-2</v>
      </c>
      <c r="D132" s="109" t="str">
        <f t="shared" si="37"/>
        <v>/</v>
      </c>
      <c r="E132" s="109">
        <f ca="1">IF(表2_367162629303891213141523242526272829[[#This Row],[累计净值]]/MAX(INDIRECT("B21:B" &amp; ROW()))-1&lt;E131,表2_367162629303891213141523242526272829[[#This Row],[累计净值]]/MAX(INDIRECT("B21:B" &amp; ROW()))-1,E131)</f>
        <v>-6.5813162632526456E-2</v>
      </c>
      <c r="F132" s="110">
        <f>表2_367162629303891213141523242526272829[[#This Row],[累计净值]]</f>
        <v>1.0806</v>
      </c>
      <c r="G132" s="20">
        <f>表2_367162629303891213141523242526272829[[#This Row],[累计净值]]/$B$21-1</f>
        <v>8.081616323264651E-2</v>
      </c>
    </row>
    <row r="133" spans="1:7" x14ac:dyDescent="0.2">
      <c r="A133" s="15">
        <v>44246</v>
      </c>
      <c r="B133" s="117">
        <v>1.0955999999999999</v>
      </c>
      <c r="C133" s="108">
        <f>IFERROR(B133-B132,0)</f>
        <v>1.4999999999999902E-2</v>
      </c>
      <c r="D133" s="109" t="str">
        <f>IF(C133&lt;0,C133,"/")</f>
        <v>/</v>
      </c>
      <c r="E133" s="109">
        <f ca="1">IF(表2_367162629303891213141523242526272829[[#This Row],[累计净值]]/MAX(INDIRECT("B21:B" &amp; ROW()))-1&lt;E132,表2_367162629303891213141523242526272829[[#This Row],[累计净值]]/MAX(INDIRECT("B21:B" &amp; ROW()))-1,E132)</f>
        <v>-6.5813162632526456E-2</v>
      </c>
      <c r="F133" s="110">
        <f>表2_367162629303891213141523242526272829[[#This Row],[累计净值]]</f>
        <v>1.0955999999999999</v>
      </c>
      <c r="G133" s="20">
        <f>表2_367162629303891213141523242526272829[[#This Row],[累计净值]]/$B$21-1</f>
        <v>9.5819163832766341E-2</v>
      </c>
    </row>
    <row r="134" spans="1:7" x14ac:dyDescent="0.2">
      <c r="A134" s="15">
        <v>44249</v>
      </c>
      <c r="B134" s="112">
        <v>1.0891</v>
      </c>
      <c r="C134" s="108">
        <f>IFERROR(B134-B133,0)</f>
        <v>-6.4999999999999503E-3</v>
      </c>
      <c r="D134" s="109">
        <f>IF(C134&lt;0,C134,"/")</f>
        <v>-6.4999999999999503E-3</v>
      </c>
      <c r="E134" s="109">
        <f ca="1">IF(表2_367162629303891213141523242526272829[[#This Row],[累计净值]]/MAX(INDIRECT("B21:B" &amp; ROW()))-1&lt;E133,表2_367162629303891213141523242526272829[[#This Row],[累计净值]]/MAX(INDIRECT("B21:B" &amp; ROW()))-1,E133)</f>
        <v>-6.5813162632526456E-2</v>
      </c>
      <c r="F134" s="110">
        <f>表2_367162629303891213141523242526272829[[#This Row],[累计净值]]</f>
        <v>1.0891</v>
      </c>
      <c r="G134" s="20">
        <f>表2_367162629303891213141523242526272829[[#This Row],[累计净值]]/$B$21-1</f>
        <v>8.931786357271454E-2</v>
      </c>
    </row>
    <row r="135" spans="1:7" x14ac:dyDescent="0.2">
      <c r="A135" s="15">
        <v>44250</v>
      </c>
      <c r="B135" s="112">
        <v>1.0866</v>
      </c>
      <c r="C135" s="108">
        <f t="shared" ref="C135:C138" si="38">IFERROR(B135-B134,0)</f>
        <v>-2.4999999999999467E-3</v>
      </c>
      <c r="D135" s="109">
        <f t="shared" ref="D135:D138" si="39">IF(C135&lt;0,C135,"/")</f>
        <v>-2.4999999999999467E-3</v>
      </c>
      <c r="E135" s="109">
        <f ca="1">IF(表2_367162629303891213141523242526272829[[#This Row],[累计净值]]/MAX(INDIRECT("B21:B" &amp; ROW()))-1&lt;E134,表2_367162629303891213141523242526272829[[#This Row],[累计净值]]/MAX(INDIRECT("B21:B" &amp; ROW()))-1,E134)</f>
        <v>-6.5813162632526456E-2</v>
      </c>
      <c r="F135" s="110">
        <f>表2_367162629303891213141523242526272829[[#This Row],[累计净值]]</f>
        <v>1.0866</v>
      </c>
      <c r="G135" s="20">
        <f>表2_367162629303891213141523242526272829[[#This Row],[累计净值]]/$B$21-1</f>
        <v>8.6817363472694531E-2</v>
      </c>
    </row>
    <row r="136" spans="1:7" x14ac:dyDescent="0.2">
      <c r="A136" s="15">
        <v>44251</v>
      </c>
      <c r="B136" s="112">
        <v>1.0705</v>
      </c>
      <c r="C136" s="108">
        <f t="shared" si="38"/>
        <v>-1.6100000000000003E-2</v>
      </c>
      <c r="D136" s="109">
        <f t="shared" si="39"/>
        <v>-1.6100000000000003E-2</v>
      </c>
      <c r="E136" s="109">
        <f ca="1">IF(表2_367162629303891213141523242526272829[[#This Row],[累计净值]]/MAX(INDIRECT("B21:B" &amp; ROW()))-1&lt;E135,表2_367162629303891213141523242526272829[[#This Row],[累计净值]]/MAX(INDIRECT("B21:B" &amp; ROW()))-1,E135)</f>
        <v>-6.5813162632526456E-2</v>
      </c>
      <c r="F136" s="110">
        <f>表2_367162629303891213141523242526272829[[#This Row],[累计净值]]</f>
        <v>1.0705</v>
      </c>
      <c r="G136" s="20">
        <f>表2_367162629303891213141523242526272829[[#This Row],[累计净值]]/$B$21-1</f>
        <v>7.0714142828565807E-2</v>
      </c>
    </row>
    <row r="137" spans="1:7" x14ac:dyDescent="0.2">
      <c r="A137" s="15">
        <v>44252</v>
      </c>
      <c r="B137" s="112">
        <v>1.0696000000000001</v>
      </c>
      <c r="C137" s="108">
        <f t="shared" si="38"/>
        <v>-8.9999999999990088E-4</v>
      </c>
      <c r="D137" s="109">
        <f t="shared" si="39"/>
        <v>-8.9999999999990088E-4</v>
      </c>
      <c r="E137" s="109">
        <f ca="1">IF(表2_367162629303891213141523242526272829[[#This Row],[累计净值]]/MAX(INDIRECT("B21:B" &amp; ROW()))-1&lt;E136,表2_367162629303891213141523242526272829[[#This Row],[累计净值]]/MAX(INDIRECT("B21:B" &amp; ROW()))-1,E136)</f>
        <v>-6.5813162632526456E-2</v>
      </c>
      <c r="F137" s="110">
        <f>表2_367162629303891213141523242526272829[[#This Row],[累计净值]]</f>
        <v>1.0696000000000001</v>
      </c>
      <c r="G137" s="20">
        <f>表2_367162629303891213141523242526272829[[#This Row],[累计净值]]/$B$21-1</f>
        <v>6.9813962792558693E-2</v>
      </c>
    </row>
    <row r="138" spans="1:7" x14ac:dyDescent="0.2">
      <c r="A138" s="15">
        <v>44253</v>
      </c>
      <c r="B138" s="112">
        <v>1.0469999999999999</v>
      </c>
      <c r="C138" s="108">
        <f t="shared" si="38"/>
        <v>-2.2600000000000176E-2</v>
      </c>
      <c r="D138" s="109">
        <f t="shared" si="39"/>
        <v>-2.2600000000000176E-2</v>
      </c>
      <c r="E138" s="109">
        <f ca="1">IF(表2_367162629303891213141523242526272829[[#This Row],[累计净值]]/MAX(INDIRECT("B21:B" &amp; ROW()))-1&lt;E137,表2_367162629303891213141523242526272829[[#This Row],[累计净值]]/MAX(INDIRECT("B21:B" &amp; ROW()))-1,E137)</f>
        <v>-6.5813162632526456E-2</v>
      </c>
      <c r="F138" s="110">
        <f>表2_367162629303891213141523242526272829[[#This Row],[累计净值]]</f>
        <v>1.0469999999999999</v>
      </c>
      <c r="G138" s="20">
        <f>表2_367162629303891213141523242526272829[[#This Row],[累计净值]]/$B$21-1</f>
        <v>4.7209441888377501E-2</v>
      </c>
    </row>
    <row r="139" spans="1:7" x14ac:dyDescent="0.2">
      <c r="A139" s="15">
        <v>44256</v>
      </c>
      <c r="B139" s="112">
        <v>1.0709</v>
      </c>
      <c r="C139" s="108">
        <f t="shared" ref="C139:C140" si="40">IFERROR(B139-B138,0)</f>
        <v>2.3900000000000032E-2</v>
      </c>
      <c r="D139" s="109" t="str">
        <f t="shared" ref="D139:D140" si="41">IF(C139&lt;0,C139,"/")</f>
        <v>/</v>
      </c>
      <c r="E139" s="109">
        <f ca="1">IF(表2_367162629303891213141523242526272829[[#This Row],[累计净值]]/MAX(INDIRECT("B21:B" &amp; ROW()))-1&lt;E138,表2_367162629303891213141523242526272829[[#This Row],[累计净值]]/MAX(INDIRECT("B21:B" &amp; ROW()))-1,E138)</f>
        <v>-6.5813162632526456E-2</v>
      </c>
      <c r="F139" s="110">
        <f>表2_367162629303891213141523242526272829[[#This Row],[累计净值]]</f>
        <v>1.0709</v>
      </c>
      <c r="G139" s="20">
        <f>表2_367162629303891213141523242526272829[[#This Row],[累计净值]]/$B$21-1</f>
        <v>7.111422284456892E-2</v>
      </c>
    </row>
    <row r="140" spans="1:7" x14ac:dyDescent="0.2">
      <c r="A140" s="15">
        <v>44257</v>
      </c>
      <c r="B140" s="112">
        <v>1.0585</v>
      </c>
      <c r="C140" s="108">
        <f t="shared" si="40"/>
        <v>-1.2399999999999967E-2</v>
      </c>
      <c r="D140" s="109">
        <f t="shared" si="41"/>
        <v>-1.2399999999999967E-2</v>
      </c>
      <c r="E140" s="109">
        <f ca="1">IF(表2_367162629303891213141523242526272829[[#This Row],[累计净值]]/MAX(INDIRECT("B21:B" &amp; ROW()))-1&lt;E139,表2_367162629303891213141523242526272829[[#This Row],[累计净值]]/MAX(INDIRECT("B21:B" &amp; ROW()))-1,E139)</f>
        <v>-6.5813162632526456E-2</v>
      </c>
      <c r="F140" s="110">
        <f>表2_367162629303891213141523242526272829[[#This Row],[累计净值]]</f>
        <v>1.0585</v>
      </c>
      <c r="G140" s="20">
        <f>表2_367162629303891213141523242526272829[[#This Row],[累计净值]]/$B$21-1</f>
        <v>5.8711742348469764E-2</v>
      </c>
    </row>
    <row r="141" spans="1:7" x14ac:dyDescent="0.2">
      <c r="A141" s="15">
        <v>44258</v>
      </c>
      <c r="B141" s="112">
        <v>1.0759000000000001</v>
      </c>
      <c r="C141" s="108">
        <f t="shared" ref="C141:C142" si="42">IFERROR(B141-B140,0)</f>
        <v>1.7400000000000082E-2</v>
      </c>
      <c r="D141" s="109" t="str">
        <f t="shared" ref="D141:D142" si="43">IF(C141&lt;0,C141,"/")</f>
        <v>/</v>
      </c>
      <c r="E141" s="109">
        <f ca="1">IF(表2_367162629303891213141523242526272829[[#This Row],[累计净值]]/MAX(INDIRECT("B21:B" &amp; ROW()))-1&lt;E140,表2_367162629303891213141523242526272829[[#This Row],[累计净值]]/MAX(INDIRECT("B21:B" &amp; ROW()))-1,E140)</f>
        <v>-6.5813162632526456E-2</v>
      </c>
      <c r="F141" s="110">
        <f>表2_367162629303891213141523242526272829[[#This Row],[累计净值]]</f>
        <v>1.0759000000000001</v>
      </c>
      <c r="G141" s="20">
        <f>表2_367162629303891213141523242526272829[[#This Row],[累计净值]]/$B$21-1</f>
        <v>7.6115223044608937E-2</v>
      </c>
    </row>
    <row r="142" spans="1:7" x14ac:dyDescent="0.2">
      <c r="A142" s="15">
        <v>44259</v>
      </c>
      <c r="B142" s="112">
        <v>1.0529999999999999</v>
      </c>
      <c r="C142" s="108">
        <f t="shared" si="42"/>
        <v>-2.2900000000000142E-2</v>
      </c>
      <c r="D142" s="109">
        <f t="shared" si="43"/>
        <v>-2.2900000000000142E-2</v>
      </c>
      <c r="E142" s="109">
        <f ca="1">IF(表2_367162629303891213141523242526272829[[#This Row],[累计净值]]/MAX(INDIRECT("B21:B" &amp; ROW()))-1&lt;E141,表2_367162629303891213141523242526272829[[#This Row],[累计净值]]/MAX(INDIRECT("B21:B" &amp; ROW()))-1,E141)</f>
        <v>-6.5813162632526456E-2</v>
      </c>
      <c r="F142" s="110">
        <f>表2_367162629303891213141523242526272829[[#This Row],[累计净值]]</f>
        <v>1.0529999999999999</v>
      </c>
      <c r="G142" s="20">
        <f>表2_367162629303891213141523242526272829[[#This Row],[累计净值]]/$B$21-1</f>
        <v>5.3210642128425523E-2</v>
      </c>
    </row>
    <row r="143" spans="1:7" x14ac:dyDescent="0.2">
      <c r="A143" s="15">
        <v>44260</v>
      </c>
      <c r="B143" s="112">
        <v>1.0506</v>
      </c>
      <c r="C143" s="108">
        <f t="shared" ref="C143:C148" si="44">IFERROR(B143-B142,0)</f>
        <v>-2.3999999999999577E-3</v>
      </c>
      <c r="D143" s="109">
        <f t="shared" ref="D143:D148" si="45">IF(C143&lt;0,C143,"/")</f>
        <v>-2.3999999999999577E-3</v>
      </c>
      <c r="E143" s="109">
        <f ca="1">IF(表2_367162629303891213141523242526272829[[#This Row],[累计净值]]/MAX(INDIRECT("B21:B" &amp; ROW()))-1&lt;E142,表2_367162629303891213141523242526272829[[#This Row],[累计净值]]/MAX(INDIRECT("B21:B" &amp; ROW()))-1,E142)</f>
        <v>-6.5813162632526456E-2</v>
      </c>
      <c r="F143" s="110">
        <f>表2_367162629303891213141523242526272829[[#This Row],[累计净值]]</f>
        <v>1.0506</v>
      </c>
      <c r="G143" s="20">
        <f>表2_367162629303891213141523242526272829[[#This Row],[累计净值]]/$B$21-1</f>
        <v>5.0810162032406403E-2</v>
      </c>
    </row>
    <row r="144" spans="1:7" x14ac:dyDescent="0.2">
      <c r="A144" s="15">
        <v>44263</v>
      </c>
      <c r="B144" s="112">
        <v>1.0278</v>
      </c>
      <c r="C144" s="108">
        <f t="shared" si="44"/>
        <v>-2.2799999999999931E-2</v>
      </c>
      <c r="D144" s="109">
        <f t="shared" si="45"/>
        <v>-2.2799999999999931E-2</v>
      </c>
      <c r="E144" s="109">
        <f ca="1">IF(表2_367162629303891213141523242526272829[[#This Row],[累计净值]]/MAX(INDIRECT("B21:B" &amp; ROW()))-1&lt;E143,表2_367162629303891213141523242526272829[[#This Row],[累计净值]]/MAX(INDIRECT("B21:B" &amp; ROW()))-1,E143)</f>
        <v>-6.5813162632526456E-2</v>
      </c>
      <c r="F144" s="110">
        <f>表2_367162629303891213141523242526272829[[#This Row],[累计净值]]</f>
        <v>1.0278</v>
      </c>
      <c r="G144" s="20">
        <f>表2_367162629303891213141523242526272829[[#This Row],[累计净值]]/$B$21-1</f>
        <v>2.80056011202241E-2</v>
      </c>
    </row>
    <row r="145" spans="1:7" x14ac:dyDescent="0.2">
      <c r="A145" s="15">
        <v>44264</v>
      </c>
      <c r="B145" s="112">
        <v>1.0038</v>
      </c>
      <c r="C145" s="108">
        <f t="shared" si="44"/>
        <v>-2.4000000000000021E-2</v>
      </c>
      <c r="D145" s="109">
        <f t="shared" si="45"/>
        <v>-2.4000000000000021E-2</v>
      </c>
      <c r="E145" s="109">
        <f ca="1">IF(表2_367162629303891213141523242526272829[[#This Row],[累计净值]]/MAX(INDIRECT("B21:B" &amp; ROW()))-1&lt;E144,表2_367162629303891213141523242526272829[[#This Row],[累计净值]]/MAX(INDIRECT("B21:B" &amp; ROW()))-1,E144)</f>
        <v>-8.3789704271631904E-2</v>
      </c>
      <c r="F145" s="110">
        <f>表2_367162629303891213141523242526272829[[#This Row],[累计净值]]</f>
        <v>1.0038</v>
      </c>
      <c r="G145" s="20">
        <f>表2_367162629303891213141523242526272829[[#This Row],[累计净值]]/$B$21-1</f>
        <v>4.0008001600320142E-3</v>
      </c>
    </row>
    <row r="146" spans="1:7" x14ac:dyDescent="0.2">
      <c r="A146" s="15">
        <v>44265</v>
      </c>
      <c r="B146" s="112">
        <v>1.0024999999999999</v>
      </c>
      <c r="C146" s="108">
        <f t="shared" si="44"/>
        <v>-1.3000000000000789E-3</v>
      </c>
      <c r="D146" s="109">
        <f t="shared" si="45"/>
        <v>-1.3000000000000789E-3</v>
      </c>
      <c r="E146" s="109">
        <f ca="1">IF(表2_367162629303891213141523242526272829[[#This Row],[累计净值]]/MAX(INDIRECT("B21:B" &amp; ROW()))-1&lt;E145,表2_367162629303891213141523242526272829[[#This Row],[累计净值]]/MAX(INDIRECT("B21:B" &amp; ROW()))-1,E145)</f>
        <v>-8.4976268711208447E-2</v>
      </c>
      <c r="F146" s="110">
        <f>表2_367162629303891213141523242526272829[[#This Row],[累计净值]]</f>
        <v>1.0024999999999999</v>
      </c>
      <c r="G146" s="20">
        <f>表2_367162629303891213141523242526272829[[#This Row],[累计净值]]/$B$21-1</f>
        <v>2.7005401080215652E-3</v>
      </c>
    </row>
    <row r="147" spans="1:7" x14ac:dyDescent="0.2">
      <c r="A147" s="15">
        <v>44266</v>
      </c>
      <c r="B147" s="112">
        <v>1.0314000000000001</v>
      </c>
      <c r="C147" s="108">
        <f t="shared" si="44"/>
        <v>2.8900000000000148E-2</v>
      </c>
      <c r="D147" s="109" t="str">
        <f t="shared" si="45"/>
        <v>/</v>
      </c>
      <c r="E147" s="109">
        <f ca="1">IF(表2_367162629303891213141523242526272829[[#This Row],[累计净值]]/MAX(INDIRECT("B21:B" &amp; ROW()))-1&lt;E146,表2_367162629303891213141523242526272829[[#This Row],[累计净值]]/MAX(INDIRECT("B21:B" &amp; ROW()))-1,E146)</f>
        <v>-8.4976268711208447E-2</v>
      </c>
      <c r="F147" s="110">
        <f>表2_367162629303891213141523242526272829[[#This Row],[累计净值]]</f>
        <v>1.0314000000000001</v>
      </c>
      <c r="G147" s="20">
        <f>表2_367162629303891213141523242526272829[[#This Row],[累计净值]]/$B$21-1</f>
        <v>3.1606321264253001E-2</v>
      </c>
    </row>
    <row r="148" spans="1:7" x14ac:dyDescent="0.2">
      <c r="A148" s="15">
        <v>44267</v>
      </c>
      <c r="B148" s="112">
        <v>1.0359</v>
      </c>
      <c r="C148" s="108">
        <f t="shared" si="44"/>
        <v>4.4999999999999485E-3</v>
      </c>
      <c r="D148" s="109" t="str">
        <f t="shared" si="45"/>
        <v>/</v>
      </c>
      <c r="E148" s="109">
        <f ca="1">IF(表2_367162629303891213141523242526272829[[#This Row],[累计净值]]/MAX(INDIRECT("B21:B" &amp; ROW()))-1&lt;E147,表2_367162629303891213141523242526272829[[#This Row],[累计净值]]/MAX(INDIRECT("B21:B" &amp; ROW()))-1,E147)</f>
        <v>-8.4976268711208447E-2</v>
      </c>
      <c r="F148" s="110">
        <f>表2_367162629303891213141523242526272829[[#This Row],[累计净值]]</f>
        <v>1.0359</v>
      </c>
      <c r="G148" s="20">
        <f>表2_367162629303891213141523242526272829[[#This Row],[累计净值]]/$B$21-1</f>
        <v>3.6107221444288795E-2</v>
      </c>
    </row>
    <row r="149" spans="1:7" x14ac:dyDescent="0.2">
      <c r="A149" s="15">
        <v>44270</v>
      </c>
      <c r="B149" s="112">
        <v>1.0257000000000001</v>
      </c>
      <c r="C149" s="108">
        <f t="shared" ref="C149:C154" si="46">IFERROR(B149-B148,0)</f>
        <v>-1.0199999999999987E-2</v>
      </c>
      <c r="D149" s="109">
        <f t="shared" ref="D149:D154" si="47">IF(C149&lt;0,C149,"/")</f>
        <v>-1.0199999999999987E-2</v>
      </c>
      <c r="E149" s="109">
        <f ca="1">IF(表2_367162629303891213141523242526272829[[#This Row],[累计净值]]/MAX(INDIRECT("B21:B" &amp; ROW()))-1&lt;E148,表2_367162629303891213141523242526272829[[#This Row],[累计净值]]/MAX(INDIRECT("B21:B" &amp; ROW()))-1,E148)</f>
        <v>-8.4976268711208447E-2</v>
      </c>
      <c r="F149" s="110">
        <f>表2_367162629303891213141523242526272829[[#This Row],[累计净值]]</f>
        <v>1.0257000000000001</v>
      </c>
      <c r="G149" s="20">
        <f>表2_367162629303891213141523242526272829[[#This Row],[累计净值]]/$B$21-1</f>
        <v>2.5905181036207203E-2</v>
      </c>
    </row>
    <row r="150" spans="1:7" x14ac:dyDescent="0.2">
      <c r="A150" s="15">
        <v>44271</v>
      </c>
      <c r="B150" s="112">
        <v>1.0333000000000001</v>
      </c>
      <c r="C150" s="108">
        <f t="shared" si="46"/>
        <v>7.6000000000000512E-3</v>
      </c>
      <c r="D150" s="109" t="str">
        <f t="shared" si="47"/>
        <v>/</v>
      </c>
      <c r="E150" s="109">
        <f ca="1">IF(表2_367162629303891213141523242526272829[[#This Row],[累计净值]]/MAX(INDIRECT("B21:B" &amp; ROW()))-1&lt;E149,表2_367162629303891213141523242526272829[[#This Row],[累计净值]]/MAX(INDIRECT("B21:B" &amp; ROW()))-1,E149)</f>
        <v>-8.4976268711208447E-2</v>
      </c>
      <c r="F150" s="110">
        <f>表2_367162629303891213141523242526272829[[#This Row],[累计净值]]</f>
        <v>1.0333000000000001</v>
      </c>
      <c r="G150" s="20">
        <f>表2_367162629303891213141523242526272829[[#This Row],[累计净值]]/$B$21-1</f>
        <v>3.3506701340268119E-2</v>
      </c>
    </row>
    <row r="151" spans="1:7" x14ac:dyDescent="0.2">
      <c r="A151" s="15">
        <v>44272</v>
      </c>
      <c r="B151" s="112">
        <v>1.0389999999999999</v>
      </c>
      <c r="C151" s="108">
        <f t="shared" si="46"/>
        <v>5.6999999999998163E-3</v>
      </c>
      <c r="D151" s="109" t="str">
        <f t="shared" si="47"/>
        <v>/</v>
      </c>
      <c r="E151" s="109">
        <f ca="1">IF(表2_367162629303891213141523242526272829[[#This Row],[累计净值]]/MAX(INDIRECT("B21:B" &amp; ROW()))-1&lt;E150,表2_367162629303891213141523242526272829[[#This Row],[累计净值]]/MAX(INDIRECT("B21:B" &amp; ROW()))-1,E150)</f>
        <v>-8.4976268711208447E-2</v>
      </c>
      <c r="F151" s="110">
        <f>表2_367162629303891213141523242526272829[[#This Row],[累计净值]]</f>
        <v>1.0389999999999999</v>
      </c>
      <c r="G151" s="20">
        <f>表2_367162629303891213141523242526272829[[#This Row],[累计净值]]/$B$21-1</f>
        <v>3.9207841568313473E-2</v>
      </c>
    </row>
    <row r="152" spans="1:7" x14ac:dyDescent="0.2">
      <c r="A152" s="15">
        <v>44273</v>
      </c>
      <c r="B152" s="112">
        <v>1.0468</v>
      </c>
      <c r="C152" s="108">
        <f t="shared" si="46"/>
        <v>7.8000000000000291E-3</v>
      </c>
      <c r="D152" s="109" t="str">
        <f t="shared" si="47"/>
        <v>/</v>
      </c>
      <c r="E152" s="109">
        <f ca="1">IF(表2_367162629303891213141523242526272829[[#This Row],[累计净值]]/MAX(INDIRECT("B21:B" &amp; ROW()))-1&lt;E151,表2_367162629303891213141523242526272829[[#This Row],[累计净值]]/MAX(INDIRECT("B21:B" &amp; ROW()))-1,E151)</f>
        <v>-8.4976268711208447E-2</v>
      </c>
      <c r="F152" s="110">
        <f>表2_367162629303891213141523242526272829[[#This Row],[累计净值]]</f>
        <v>1.0468</v>
      </c>
      <c r="G152" s="20">
        <f>表2_367162629303891213141523242526272829[[#This Row],[累计净值]]/$B$21-1</f>
        <v>4.7009401880375945E-2</v>
      </c>
    </row>
    <row r="153" spans="1:7" x14ac:dyDescent="0.2">
      <c r="A153" s="15">
        <v>44274</v>
      </c>
      <c r="B153" s="112">
        <v>1.0294000000000001</v>
      </c>
      <c r="C153" s="108">
        <f t="shared" si="46"/>
        <v>-1.739999999999986E-2</v>
      </c>
      <c r="D153" s="109">
        <f t="shared" si="47"/>
        <v>-1.739999999999986E-2</v>
      </c>
      <c r="E153" s="109">
        <f ca="1">IF(表2_367162629303891213141523242526272829[[#This Row],[累计净值]]/MAX(INDIRECT("B21:B" &amp; ROW()))-1&lt;E152,表2_367162629303891213141523242526272829[[#This Row],[累计净值]]/MAX(INDIRECT("B21:B" &amp; ROW()))-1,E152)</f>
        <v>-8.4976268711208447E-2</v>
      </c>
      <c r="F153" s="110">
        <f>表2_367162629303891213141523242526272829[[#This Row],[累计净值]]</f>
        <v>1.0294000000000001</v>
      </c>
      <c r="G153" s="20">
        <f>表2_367162629303891213141523242526272829[[#This Row],[累计净值]]/$B$21-1</f>
        <v>2.9605921184236994E-2</v>
      </c>
    </row>
    <row r="154" spans="1:7" x14ac:dyDescent="0.2">
      <c r="A154" s="15">
        <v>44277</v>
      </c>
      <c r="B154" s="112">
        <v>1.0406</v>
      </c>
      <c r="C154" s="108">
        <f t="shared" si="46"/>
        <v>1.1199999999999877E-2</v>
      </c>
      <c r="D154" s="109" t="str">
        <f t="shared" si="47"/>
        <v>/</v>
      </c>
      <c r="E154" s="109">
        <f ca="1">IF(表2_367162629303891213141523242526272829[[#This Row],[累计净值]]/MAX(INDIRECT("B21:B" &amp; ROW()))-1&lt;E153,表2_367162629303891213141523242526272829[[#This Row],[累计净值]]/MAX(INDIRECT("B21:B" &amp; ROW()))-1,E153)</f>
        <v>-8.4976268711208447E-2</v>
      </c>
      <c r="F154" s="110">
        <f>表2_367162629303891213141523242526272829[[#This Row],[累计净值]]</f>
        <v>1.0406</v>
      </c>
      <c r="G154" s="20">
        <f>表2_367162629303891213141523242526272829[[#This Row],[累计净值]]/$B$21-1</f>
        <v>4.0808161632326367E-2</v>
      </c>
    </row>
    <row r="155" spans="1:7" x14ac:dyDescent="0.2">
      <c r="A155" s="15">
        <v>44278</v>
      </c>
      <c r="B155" s="112">
        <v>1.0246</v>
      </c>
      <c r="C155" s="108">
        <f t="shared" ref="C155:C158" si="48">IFERROR(B155-B154,0)</f>
        <v>-1.6000000000000014E-2</v>
      </c>
      <c r="D155" s="109">
        <f t="shared" ref="D155:D158" si="49">IF(C155&lt;0,C155,"/")</f>
        <v>-1.6000000000000014E-2</v>
      </c>
      <c r="E155" s="109">
        <f ca="1">IF(表2_367162629303891213141523242526272829[[#This Row],[累计净值]]/MAX(INDIRECT("B21:B" &amp; ROW()))-1&lt;E154,表2_367162629303891213141523242526272829[[#This Row],[累计净值]]/MAX(INDIRECT("B21:B" &amp; ROW()))-1,E154)</f>
        <v>-8.4976268711208447E-2</v>
      </c>
      <c r="F155" s="110">
        <f>表2_367162629303891213141523242526272829[[#This Row],[累计净值]]</f>
        <v>1.0246</v>
      </c>
      <c r="G155" s="20">
        <f>表2_367162629303891213141523242526272829[[#This Row],[累计净值]]/$B$21-1</f>
        <v>2.4804960992198311E-2</v>
      </c>
    </row>
    <row r="156" spans="1:7" x14ac:dyDescent="0.2">
      <c r="A156" s="15">
        <v>44279</v>
      </c>
      <c r="B156" s="112">
        <v>1.0078</v>
      </c>
      <c r="C156" s="108">
        <f t="shared" si="48"/>
        <v>-1.6799999999999926E-2</v>
      </c>
      <c r="D156" s="109">
        <f t="shared" si="49"/>
        <v>-1.6799999999999926E-2</v>
      </c>
      <c r="E156" s="109">
        <f ca="1">IF(表2_367162629303891213141523242526272829[[#This Row],[累计净值]]/MAX(INDIRECT("B21:B" &amp; ROW()))-1&lt;E155,表2_367162629303891213141523242526272829[[#This Row],[累计净值]]/MAX(INDIRECT("B21:B" &amp; ROW()))-1,E155)</f>
        <v>-8.4976268711208447E-2</v>
      </c>
      <c r="F156" s="110">
        <f>表2_367162629303891213141523242526272829[[#This Row],[累计净值]]</f>
        <v>1.0078</v>
      </c>
      <c r="G156" s="20">
        <f>表2_367162629303891213141523242526272829[[#This Row],[累计净值]]/$B$21-1</f>
        <v>8.0016003200640284E-3</v>
      </c>
    </row>
    <row r="157" spans="1:7" x14ac:dyDescent="0.2">
      <c r="A157" s="15">
        <v>44280</v>
      </c>
      <c r="B157" s="112">
        <v>1.0109999999999999</v>
      </c>
      <c r="C157" s="108">
        <f t="shared" si="48"/>
        <v>3.1999999999998696E-3</v>
      </c>
      <c r="D157" s="109" t="str">
        <f t="shared" si="49"/>
        <v>/</v>
      </c>
      <c r="E157" s="109">
        <f ca="1">IF(表2_367162629303891213141523242526272829[[#This Row],[累计净值]]/MAX(INDIRECT("B21:B" &amp; ROW()))-1&lt;E156,表2_367162629303891213141523242526272829[[#This Row],[累计净值]]/MAX(INDIRECT("B21:B" &amp; ROW()))-1,E156)</f>
        <v>-8.4976268711208447E-2</v>
      </c>
      <c r="F157" s="110">
        <f>表2_367162629303891213141523242526272829[[#This Row],[累计净值]]</f>
        <v>1.0109999999999999</v>
      </c>
      <c r="G157" s="20">
        <f>表2_367162629303891213141523242526272829[[#This Row],[累计净值]]/$B$21-1</f>
        <v>1.1202240448089595E-2</v>
      </c>
    </row>
    <row r="158" spans="1:7" x14ac:dyDescent="0.2">
      <c r="A158" s="15">
        <v>44281</v>
      </c>
      <c r="B158" s="112">
        <v>1.0329999999999999</v>
      </c>
      <c r="C158" s="108">
        <f t="shared" si="48"/>
        <v>2.200000000000002E-2</v>
      </c>
      <c r="D158" s="109" t="str">
        <f t="shared" si="49"/>
        <v>/</v>
      </c>
      <c r="E158" s="109">
        <f ca="1">IF(表2_367162629303891213141523242526272829[[#This Row],[累计净值]]/MAX(INDIRECT("B21:B" &amp; ROW()))-1&lt;E157,表2_367162629303891213141523242526272829[[#This Row],[累计净值]]/MAX(INDIRECT("B21:B" &amp; ROW()))-1,E157)</f>
        <v>-8.4976268711208447E-2</v>
      </c>
      <c r="F158" s="110">
        <f>表2_367162629303891213141523242526272829[[#This Row],[累计净值]]</f>
        <v>1.0329999999999999</v>
      </c>
      <c r="G158" s="20">
        <f>表2_367162629303891213141523242526272829[[#This Row],[累计净值]]/$B$21-1</f>
        <v>3.3206641328265452E-2</v>
      </c>
    </row>
    <row r="159" spans="1:7" x14ac:dyDescent="0.2">
      <c r="A159" s="15">
        <v>44284</v>
      </c>
      <c r="B159" s="112">
        <v>1.0361</v>
      </c>
      <c r="C159" s="108">
        <f t="shared" ref="C159:C165" si="50">IFERROR(B159-B158,0)</f>
        <v>3.1000000000001027E-3</v>
      </c>
      <c r="D159" s="109" t="str">
        <f t="shared" ref="D159:D165" si="51">IF(C159&lt;0,C159,"/")</f>
        <v>/</v>
      </c>
      <c r="E159" s="109">
        <f ca="1">IF(表2_367162629303891213141523242526272829[[#This Row],[累计净值]]/MAX(INDIRECT("B21:B" &amp; ROW()))-1&lt;E158,表2_367162629303891213141523242526272829[[#This Row],[累计净值]]/MAX(INDIRECT("B21:B" &amp; ROW()))-1,E158)</f>
        <v>-8.4976268711208447E-2</v>
      </c>
      <c r="F159" s="110">
        <f>表2_367162629303891213141523242526272829[[#This Row],[累计净值]]</f>
        <v>1.0361</v>
      </c>
      <c r="G159" s="20">
        <f>表2_367162629303891213141523242526272829[[#This Row],[累计净值]]/$B$21-1</f>
        <v>3.6307261452290351E-2</v>
      </c>
    </row>
    <row r="160" spans="1:7" x14ac:dyDescent="0.2">
      <c r="A160" s="15">
        <v>44285</v>
      </c>
      <c r="B160" s="112">
        <v>1.0404</v>
      </c>
      <c r="C160" s="108">
        <f t="shared" si="50"/>
        <v>4.2999999999999705E-3</v>
      </c>
      <c r="D160" s="109" t="str">
        <f t="shared" si="51"/>
        <v>/</v>
      </c>
      <c r="E160" s="109">
        <f ca="1">IF(表2_367162629303891213141523242526272829[[#This Row],[累计净值]]/MAX(INDIRECT("B21:B" &amp; ROW()))-1&lt;E159,表2_367162629303891213141523242526272829[[#This Row],[累计净值]]/MAX(INDIRECT("B21:B" &amp; ROW()))-1,E159)</f>
        <v>-8.4976268711208447E-2</v>
      </c>
      <c r="F160" s="110">
        <f>表2_367162629303891213141523242526272829[[#This Row],[累计净值]]</f>
        <v>1.0404</v>
      </c>
      <c r="G160" s="20">
        <f>表2_367162629303891213141523242526272829[[#This Row],[累计净值]]/$B$21-1</f>
        <v>4.0608121624324811E-2</v>
      </c>
    </row>
    <row r="161" spans="1:7" x14ac:dyDescent="0.2">
      <c r="A161" s="15">
        <v>44286</v>
      </c>
      <c r="B161" s="112">
        <v>1.0347999999999999</v>
      </c>
      <c r="C161" s="108">
        <f t="shared" si="50"/>
        <v>-5.6000000000000494E-3</v>
      </c>
      <c r="D161" s="109">
        <f t="shared" si="51"/>
        <v>-5.6000000000000494E-3</v>
      </c>
      <c r="E161" s="109">
        <f ca="1">IF(表2_367162629303891213141523242526272829[[#This Row],[累计净值]]/MAX(INDIRECT("B21:B" &amp; ROW()))-1&lt;E160,表2_367162629303891213141523242526272829[[#This Row],[累计净值]]/MAX(INDIRECT("B21:B" &amp; ROW()))-1,E160)</f>
        <v>-8.4976268711208447E-2</v>
      </c>
      <c r="F161" s="110">
        <f>表2_367162629303891213141523242526272829[[#This Row],[累计净值]]</f>
        <v>1.0347999999999999</v>
      </c>
      <c r="G161" s="20">
        <f>表2_367162629303891213141523242526272829[[#This Row],[累计净值]]/$B$21-1</f>
        <v>3.5007001400279902E-2</v>
      </c>
    </row>
    <row r="162" spans="1:7" x14ac:dyDescent="0.2">
      <c r="A162" s="15">
        <v>44287</v>
      </c>
      <c r="B162" s="112">
        <v>1.0442</v>
      </c>
      <c r="C162" s="108">
        <f t="shared" si="50"/>
        <v>9.400000000000075E-3</v>
      </c>
      <c r="D162" s="109" t="str">
        <f t="shared" si="51"/>
        <v>/</v>
      </c>
      <c r="E162" s="109">
        <f ca="1">IF(表2_367162629303891213141523242526272829[[#This Row],[累计净值]]/MAX(INDIRECT("B21:B" &amp; ROW()))-1&lt;E161,表2_367162629303891213141523242526272829[[#This Row],[累计净值]]/MAX(INDIRECT("B21:B" &amp; ROW()))-1,E161)</f>
        <v>-8.4976268711208447E-2</v>
      </c>
      <c r="F162" s="110">
        <f>表2_367162629303891213141523242526272829[[#This Row],[累计净值]]</f>
        <v>1.0442</v>
      </c>
      <c r="G162" s="20">
        <f>表2_367162629303891213141523242526272829[[#This Row],[累计净值]]/$B$21-1</f>
        <v>4.4408881776355269E-2</v>
      </c>
    </row>
    <row r="163" spans="1:7" x14ac:dyDescent="0.2">
      <c r="A163" s="15">
        <v>44288</v>
      </c>
      <c r="B163" s="112">
        <v>1.0519000000000001</v>
      </c>
      <c r="C163" s="108">
        <f t="shared" si="50"/>
        <v>7.7000000000000401E-3</v>
      </c>
      <c r="D163" s="109" t="str">
        <f t="shared" si="51"/>
        <v>/</v>
      </c>
      <c r="E163" s="109">
        <f ca="1">IF(表2_367162629303891213141523242526272829[[#This Row],[累计净值]]/MAX(INDIRECT("B21:B" &amp; ROW()))-1&lt;E162,表2_367162629303891213141523242526272829[[#This Row],[累计净值]]/MAX(INDIRECT("B21:B" &amp; ROW()))-1,E162)</f>
        <v>-8.4976268711208447E-2</v>
      </c>
      <c r="F163" s="110">
        <f>表2_367162629303891213141523242526272829[[#This Row],[累计净值]]</f>
        <v>1.0519000000000001</v>
      </c>
      <c r="G163" s="20">
        <f>表2_367162629303891213141523242526272829[[#This Row],[累计净值]]/$B$21-1</f>
        <v>5.2110422084416852E-2</v>
      </c>
    </row>
    <row r="164" spans="1:7" x14ac:dyDescent="0.2">
      <c r="A164" s="15">
        <v>44292</v>
      </c>
      <c r="B164" s="112">
        <v>1.0564</v>
      </c>
      <c r="C164" s="108">
        <f t="shared" si="50"/>
        <v>4.4999999999999485E-3</v>
      </c>
      <c r="D164" s="109" t="str">
        <f t="shared" si="51"/>
        <v>/</v>
      </c>
      <c r="E164" s="109">
        <f ca="1">IF(表2_367162629303891213141523242526272829[[#This Row],[累计净值]]/MAX(INDIRECT("B21:B" &amp; ROW()))-1&lt;E163,表2_367162629303891213141523242526272829[[#This Row],[累计净值]]/MAX(INDIRECT("B21:B" &amp; ROW()))-1,E163)</f>
        <v>-8.4976268711208447E-2</v>
      </c>
      <c r="F164" s="110">
        <f>表2_367162629303891213141523242526272829[[#This Row],[累计净值]]</f>
        <v>1.0564</v>
      </c>
      <c r="G164" s="20">
        <f>表2_367162629303891213141523242526272829[[#This Row],[累计净值]]/$B$21-1</f>
        <v>5.6611322264452868E-2</v>
      </c>
    </row>
    <row r="165" spans="1:7" x14ac:dyDescent="0.2">
      <c r="A165" s="15">
        <v>44293</v>
      </c>
      <c r="B165" s="112">
        <v>1.0576000000000001</v>
      </c>
      <c r="C165" s="108">
        <f t="shared" si="50"/>
        <v>1.2000000000000899E-3</v>
      </c>
      <c r="D165" s="109" t="str">
        <f t="shared" si="51"/>
        <v>/</v>
      </c>
      <c r="E165" s="109">
        <f ca="1">IF(表2_367162629303891213141523242526272829[[#This Row],[累计净值]]/MAX(INDIRECT("B21:B" &amp; ROW()))-1&lt;E164,表2_367162629303891213141523242526272829[[#This Row],[累计净值]]/MAX(INDIRECT("B21:B" &amp; ROW()))-1,E164)</f>
        <v>-8.4976268711208447E-2</v>
      </c>
      <c r="F165" s="110">
        <f>表2_367162629303891213141523242526272829[[#This Row],[累计净值]]</f>
        <v>1.0576000000000001</v>
      </c>
      <c r="G165" s="20">
        <f>表2_367162629303891213141523242526272829[[#This Row],[累计净值]]/$B$21-1</f>
        <v>5.781156231246265E-2</v>
      </c>
    </row>
    <row r="166" spans="1:7" x14ac:dyDescent="0.2">
      <c r="A166" s="15">
        <v>44294</v>
      </c>
      <c r="B166" s="112">
        <v>1.0596000000000001</v>
      </c>
      <c r="C166" s="108">
        <f t="shared" ref="C166:C171" si="52">IFERROR(B166-B165,0)</f>
        <v>2.0000000000000018E-3</v>
      </c>
      <c r="D166" s="109" t="str">
        <f t="shared" ref="D166:D171" si="53">IF(C166&lt;0,C166,"/")</f>
        <v>/</v>
      </c>
      <c r="E166" s="109">
        <f ca="1">IF(表2_367162629303891213141523242526272829[[#This Row],[累计净值]]/MAX(INDIRECT("B21:B" &amp; ROW()))-1&lt;E165,表2_367162629303891213141523242526272829[[#This Row],[累计净值]]/MAX(INDIRECT("B21:B" &amp; ROW()))-1,E165)</f>
        <v>-8.4976268711208447E-2</v>
      </c>
      <c r="F166" s="110">
        <f>表2_367162629303891213141523242526272829[[#This Row],[累计净值]]</f>
        <v>1.0596000000000001</v>
      </c>
      <c r="G166" s="20">
        <f>表2_367162629303891213141523242526272829[[#This Row],[累计净值]]/$B$21-1</f>
        <v>5.9811962392478657E-2</v>
      </c>
    </row>
    <row r="167" spans="1:7" x14ac:dyDescent="0.2">
      <c r="A167" s="15">
        <v>44295</v>
      </c>
      <c r="B167" s="112">
        <v>1.0565</v>
      </c>
      <c r="C167" s="108">
        <f t="shared" si="52"/>
        <v>-3.1000000000001027E-3</v>
      </c>
      <c r="D167" s="109">
        <f t="shared" si="53"/>
        <v>-3.1000000000001027E-3</v>
      </c>
      <c r="E167" s="109">
        <f ca="1">IF(表2_367162629303891213141523242526272829[[#This Row],[累计净值]]/MAX(INDIRECT("B21:B" &amp; ROW()))-1&lt;E166,表2_367162629303891213141523242526272829[[#This Row],[累计净值]]/MAX(INDIRECT("B21:B" &amp; ROW()))-1,E166)</f>
        <v>-8.4976268711208447E-2</v>
      </c>
      <c r="F167" s="110">
        <f>表2_367162629303891213141523242526272829[[#This Row],[累计净值]]</f>
        <v>1.0565</v>
      </c>
      <c r="G167" s="20">
        <f>表2_367162629303891213141523242526272829[[#This Row],[累计净值]]/$B$21-1</f>
        <v>5.6711342268453757E-2</v>
      </c>
    </row>
    <row r="168" spans="1:7" x14ac:dyDescent="0.2">
      <c r="A168" s="15">
        <v>44298</v>
      </c>
      <c r="B168" s="112">
        <v>1.0373000000000001</v>
      </c>
      <c r="C168" s="108">
        <f t="shared" si="52"/>
        <v>-1.9199999999999884E-2</v>
      </c>
      <c r="D168" s="109">
        <f t="shared" si="53"/>
        <v>-1.9199999999999884E-2</v>
      </c>
      <c r="E168" s="109">
        <f ca="1">IF(表2_367162629303891213141523242526272829[[#This Row],[累计净值]]/MAX(INDIRECT("B21:B" &amp; ROW()))-1&lt;E167,表2_367162629303891213141523242526272829[[#This Row],[累计净值]]/MAX(INDIRECT("B21:B" &amp; ROW()))-1,E167)</f>
        <v>-8.4976268711208447E-2</v>
      </c>
      <c r="F168" s="110">
        <f>表2_367162629303891213141523242526272829[[#This Row],[累计净值]]</f>
        <v>1.0373000000000001</v>
      </c>
      <c r="G168" s="20">
        <f>表2_367162629303891213141523242526272829[[#This Row],[累计净值]]/$B$21-1</f>
        <v>3.7507501500300133E-2</v>
      </c>
    </row>
    <row r="169" spans="1:7" x14ac:dyDescent="0.2">
      <c r="A169" s="15">
        <v>44299</v>
      </c>
      <c r="B169" s="112">
        <v>1.0346</v>
      </c>
      <c r="C169" s="108">
        <f t="shared" si="52"/>
        <v>-2.7000000000001467E-3</v>
      </c>
      <c r="D169" s="109">
        <f t="shared" si="53"/>
        <v>-2.7000000000001467E-3</v>
      </c>
      <c r="E169" s="109">
        <f ca="1">IF(表2_367162629303891213141523242526272829[[#This Row],[累计净值]]/MAX(INDIRECT("B21:B" &amp; ROW()))-1&lt;E168,表2_367162629303891213141523242526272829[[#This Row],[累计净值]]/MAX(INDIRECT("B21:B" &amp; ROW()))-1,E168)</f>
        <v>-8.4976268711208447E-2</v>
      </c>
      <c r="F169" s="110">
        <f>表2_367162629303891213141523242526272829[[#This Row],[累计净值]]</f>
        <v>1.0346</v>
      </c>
      <c r="G169" s="20">
        <f>表2_367162629303891213141523242526272829[[#This Row],[累计净值]]/$B$21-1</f>
        <v>3.4806961392278346E-2</v>
      </c>
    </row>
    <row r="170" spans="1:7" x14ac:dyDescent="0.2">
      <c r="A170" s="15">
        <v>44300</v>
      </c>
      <c r="B170" s="112">
        <v>1.0502</v>
      </c>
      <c r="C170" s="108">
        <f t="shared" si="52"/>
        <v>1.5600000000000058E-2</v>
      </c>
      <c r="D170" s="109" t="str">
        <f t="shared" si="53"/>
        <v>/</v>
      </c>
      <c r="E170" s="109">
        <f ca="1">IF(表2_367162629303891213141523242526272829[[#This Row],[累计净值]]/MAX(INDIRECT("B21:B" &amp; ROW()))-1&lt;E169,表2_367162629303891213141523242526272829[[#This Row],[累计净值]]/MAX(INDIRECT("B21:B" &amp; ROW()))-1,E169)</f>
        <v>-8.4976268711208447E-2</v>
      </c>
      <c r="F170" s="110">
        <f>表2_367162629303891213141523242526272829[[#This Row],[累计净值]]</f>
        <v>1.0502</v>
      </c>
      <c r="G170" s="20">
        <f>表2_367162629303891213141523242526272829[[#This Row],[累计净值]]/$B$21-1</f>
        <v>5.041008201640329E-2</v>
      </c>
    </row>
    <row r="171" spans="1:7" x14ac:dyDescent="0.2">
      <c r="A171" s="15">
        <v>44301</v>
      </c>
      <c r="B171" s="112">
        <v>1.0494000000000001</v>
      </c>
      <c r="C171" s="108">
        <f t="shared" si="52"/>
        <v>-7.9999999999991189E-4</v>
      </c>
      <c r="D171" s="109">
        <f t="shared" si="53"/>
        <v>-7.9999999999991189E-4</v>
      </c>
      <c r="E171" s="109">
        <f ca="1">IF(表2_367162629303891213141523242526272829[[#This Row],[累计净值]]/MAX(INDIRECT("B21:B" &amp; ROW()))-1&lt;E170,表2_367162629303891213141523242526272829[[#This Row],[累计净值]]/MAX(INDIRECT("B21:B" &amp; ROW()))-1,E170)</f>
        <v>-8.4976268711208447E-2</v>
      </c>
      <c r="F171" s="110">
        <f>表2_367162629303891213141523242526272829[[#This Row],[累计净值]]</f>
        <v>1.0494000000000001</v>
      </c>
      <c r="G171" s="20">
        <f>表2_367162629303891213141523242526272829[[#This Row],[累计净值]]/$B$21-1</f>
        <v>4.9609921984397065E-2</v>
      </c>
    </row>
    <row r="172" spans="1:7" x14ac:dyDescent="0.2">
      <c r="A172" s="15">
        <v>44302</v>
      </c>
      <c r="B172" s="112">
        <v>1.0570999999999999</v>
      </c>
      <c r="C172" s="108">
        <f t="shared" ref="C172:C177" si="54">IFERROR(B172-B171,0)</f>
        <v>7.6999999999998181E-3</v>
      </c>
      <c r="D172" s="109" t="str">
        <f t="shared" ref="D172:D177" si="55">IF(C172&lt;0,C172,"/")</f>
        <v>/</v>
      </c>
      <c r="E172" s="109">
        <f ca="1">IF(表2_367162629303891213141523242526272829[[#This Row],[累计净值]]/MAX(INDIRECT("B21:B" &amp; ROW()))-1&lt;E171,表2_367162629303891213141523242526272829[[#This Row],[累计净值]]/MAX(INDIRECT("B21:B" &amp; ROW()))-1,E171)</f>
        <v>-8.4976268711208447E-2</v>
      </c>
      <c r="F172" s="110">
        <f>表2_367162629303891213141523242526272829[[#This Row],[累计净值]]</f>
        <v>1.0570999999999999</v>
      </c>
      <c r="G172" s="20">
        <f>表2_367162629303891213141523242526272829[[#This Row],[累计净值]]/$B$21-1</f>
        <v>5.7311462292458426E-2</v>
      </c>
    </row>
    <row r="173" spans="1:7" x14ac:dyDescent="0.2">
      <c r="A173" s="15">
        <v>44305</v>
      </c>
      <c r="B173" s="112">
        <v>1.0783</v>
      </c>
      <c r="C173" s="108">
        <f t="shared" si="54"/>
        <v>2.1200000000000108E-2</v>
      </c>
      <c r="D173" s="109" t="str">
        <f t="shared" si="55"/>
        <v>/</v>
      </c>
      <c r="E173" s="109">
        <f ca="1">IF(表2_367162629303891213141523242526272829[[#This Row],[累计净值]]/MAX(INDIRECT("B21:B" &amp; ROW()))-1&lt;E172,表2_367162629303891213141523242526272829[[#This Row],[累计净值]]/MAX(INDIRECT("B21:B" &amp; ROW()))-1,E172)</f>
        <v>-8.4976268711208447E-2</v>
      </c>
      <c r="F173" s="110">
        <f>表2_367162629303891213141523242526272829[[#This Row],[累计净值]]</f>
        <v>1.0783</v>
      </c>
      <c r="G173" s="20">
        <f>表2_367162629303891213141523242526272829[[#This Row],[累计净值]]/$B$21-1</f>
        <v>7.8515703140628057E-2</v>
      </c>
    </row>
    <row r="174" spans="1:7" x14ac:dyDescent="0.2">
      <c r="A174" s="15">
        <v>44306</v>
      </c>
      <c r="B174" s="112">
        <v>1.0778000000000001</v>
      </c>
      <c r="C174" s="108">
        <f t="shared" si="54"/>
        <v>-4.9999999999994493E-4</v>
      </c>
      <c r="D174" s="109">
        <f t="shared" si="55"/>
        <v>-4.9999999999994493E-4</v>
      </c>
      <c r="E174" s="109">
        <f ca="1">IF(表2_367162629303891213141523242526272829[[#This Row],[累计净值]]/MAX(INDIRECT("B21:B" &amp; ROW()))-1&lt;E173,表2_367162629303891213141523242526272829[[#This Row],[累计净值]]/MAX(INDIRECT("B21:B" &amp; ROW()))-1,E173)</f>
        <v>-8.4976268711208447E-2</v>
      </c>
      <c r="F174" s="110">
        <f>表2_367162629303891213141523242526272829[[#This Row],[累计净值]]</f>
        <v>1.0778000000000001</v>
      </c>
      <c r="G174" s="20">
        <f>表2_367162629303891213141523242526272829[[#This Row],[累计净值]]/$B$21-1</f>
        <v>7.8015603120624277E-2</v>
      </c>
    </row>
    <row r="175" spans="1:7" x14ac:dyDescent="0.2">
      <c r="A175" s="15">
        <v>44307</v>
      </c>
      <c r="B175" s="112">
        <v>1.0767</v>
      </c>
      <c r="C175" s="108">
        <f t="shared" si="54"/>
        <v>-1.1000000000001009E-3</v>
      </c>
      <c r="D175" s="109">
        <f t="shared" si="55"/>
        <v>-1.1000000000001009E-3</v>
      </c>
      <c r="E175" s="109">
        <f ca="1">IF(表2_367162629303891213141523242526272829[[#This Row],[累计净值]]/MAX(INDIRECT("B21:B" &amp; ROW()))-1&lt;E174,表2_367162629303891213141523242526272829[[#This Row],[累计净值]]/MAX(INDIRECT("B21:B" &amp; ROW()))-1,E174)</f>
        <v>-8.4976268711208447E-2</v>
      </c>
      <c r="F175" s="110">
        <f>表2_367162629303891213141523242526272829[[#This Row],[累计净值]]</f>
        <v>1.0767</v>
      </c>
      <c r="G175" s="20">
        <f>表2_367162629303891213141523242526272829[[#This Row],[累计净值]]/$B$21-1</f>
        <v>7.6915383076615385E-2</v>
      </c>
    </row>
    <row r="176" spans="1:7" x14ac:dyDescent="0.2">
      <c r="A176" s="15">
        <v>44308</v>
      </c>
      <c r="B176" s="112">
        <v>1.0808</v>
      </c>
      <c r="C176" s="108">
        <f t="shared" si="54"/>
        <v>4.0999999999999925E-3</v>
      </c>
      <c r="D176" s="109" t="str">
        <f t="shared" si="55"/>
        <v>/</v>
      </c>
      <c r="E176" s="109">
        <f ca="1">IF(表2_367162629303891213141523242526272829[[#This Row],[累计净值]]/MAX(INDIRECT("B21:B" &amp; ROW()))-1&lt;E175,表2_367162629303891213141523242526272829[[#This Row],[累计净值]]/MAX(INDIRECT("B21:B" &amp; ROW()))-1,E175)</f>
        <v>-8.4976268711208447E-2</v>
      </c>
      <c r="F176" s="110">
        <f>表2_367162629303891213141523242526272829[[#This Row],[累计净值]]</f>
        <v>1.0808</v>
      </c>
      <c r="G176" s="20">
        <f>表2_367162629303891213141523242526272829[[#This Row],[累计净值]]/$B$21-1</f>
        <v>8.1016203240648066E-2</v>
      </c>
    </row>
    <row r="177" spans="1:7" x14ac:dyDescent="0.2">
      <c r="A177" s="15">
        <v>44309</v>
      </c>
      <c r="B177" s="112">
        <v>1.0814999999999999</v>
      </c>
      <c r="C177" s="108">
        <f t="shared" si="54"/>
        <v>6.9999999999992291E-4</v>
      </c>
      <c r="D177" s="109" t="str">
        <f t="shared" si="55"/>
        <v>/</v>
      </c>
      <c r="E177" s="109">
        <f ca="1">IF(表2_367162629303891213141523242526272829[[#This Row],[累计净值]]/MAX(INDIRECT("B21:B" &amp; ROW()))-1&lt;E176,表2_367162629303891213141523242526272829[[#This Row],[累计净值]]/MAX(INDIRECT("B21:B" &amp; ROW()))-1,E176)</f>
        <v>-8.4976268711208447E-2</v>
      </c>
      <c r="F177" s="110">
        <f>表2_367162629303891213141523242526272829[[#This Row],[累计净值]]</f>
        <v>1.0814999999999999</v>
      </c>
      <c r="G177" s="20">
        <f>表2_367162629303891213141523242526272829[[#This Row],[累计净值]]/$B$21-1</f>
        <v>8.1716343268653624E-2</v>
      </c>
    </row>
    <row r="178" spans="1:7" x14ac:dyDescent="0.2">
      <c r="A178" s="15">
        <v>44312</v>
      </c>
      <c r="B178" s="112">
        <v>1.0774999999999999</v>
      </c>
      <c r="C178" s="108">
        <f>IFERROR(B178-B177,0)</f>
        <v>-4.0000000000000036E-3</v>
      </c>
      <c r="D178" s="109">
        <f>IF(C178&lt;0,C178,"/")</f>
        <v>-4.0000000000000036E-3</v>
      </c>
      <c r="E178" s="109">
        <f ca="1">IF(表2_367162629303891213141523242526272829[[#This Row],[累计净值]]/MAX(INDIRECT("B21:B" &amp; ROW()))-1&lt;E177,表2_367162629303891213141523242526272829[[#This Row],[累计净值]]/MAX(INDIRECT("B21:B" &amp; ROW()))-1,E177)</f>
        <v>-8.4976268711208447E-2</v>
      </c>
      <c r="F178" s="110">
        <f>表2_367162629303891213141523242526272829[[#This Row],[累计净值]]</f>
        <v>1.0774999999999999</v>
      </c>
      <c r="G178" s="20">
        <f>表2_367162629303891213141523242526272829[[#This Row],[累计净值]]/$B$21-1</f>
        <v>7.771554310862161E-2</v>
      </c>
    </row>
    <row r="179" spans="1:7" x14ac:dyDescent="0.2">
      <c r="A179" s="15">
        <v>44313</v>
      </c>
      <c r="B179" s="112">
        <v>1.0761000000000001</v>
      </c>
      <c r="C179" s="108">
        <f>IFERROR(B179-B178,0)</f>
        <v>-1.3999999999998458E-3</v>
      </c>
      <c r="D179" s="109">
        <f>IF(C179&lt;0,C179,"/")</f>
        <v>-1.3999999999998458E-3</v>
      </c>
      <c r="E179" s="109">
        <f ca="1">IF(表2_367162629303891213141523242526272829[[#This Row],[累计净值]]/MAX(INDIRECT("B21:B" &amp; ROW()))-1&lt;E178,表2_367162629303891213141523242526272829[[#This Row],[累计净值]]/MAX(INDIRECT("B21:B" &amp; ROW()))-1,E178)</f>
        <v>-8.4976268711208447E-2</v>
      </c>
      <c r="F179" s="110">
        <f>表2_367162629303891213141523242526272829[[#This Row],[累计净值]]</f>
        <v>1.0761000000000001</v>
      </c>
      <c r="G179" s="20">
        <f>表2_367162629303891213141523242526272829[[#This Row],[累计净值]]/$B$21-1</f>
        <v>7.6315263052610494E-2</v>
      </c>
    </row>
    <row r="180" spans="1:7" x14ac:dyDescent="0.2">
      <c r="A180" s="15">
        <v>44314</v>
      </c>
      <c r="B180" s="112">
        <v>1.0815999999999999</v>
      </c>
      <c r="C180" s="108">
        <f>IFERROR(B180-B179,0)</f>
        <v>5.4999999999998384E-3</v>
      </c>
      <c r="D180" s="109" t="str">
        <f>IF(C180&lt;0,C180,"/")</f>
        <v>/</v>
      </c>
      <c r="E180" s="109">
        <f ca="1">IF(表2_367162629303891213141523242526272829[[#This Row],[累计净值]]/MAX(INDIRECT("B21:B" &amp; ROW()))-1&lt;E179,表2_367162629303891213141523242526272829[[#This Row],[累计净值]]/MAX(INDIRECT("B21:B" &amp; ROW()))-1,E179)</f>
        <v>-8.4976268711208447E-2</v>
      </c>
      <c r="F180" s="110">
        <f>表2_367162629303891213141523242526272829[[#This Row],[累计净值]]</f>
        <v>1.0815999999999999</v>
      </c>
      <c r="G180" s="20">
        <f>表2_367162629303891213141523242526272829[[#This Row],[累计净值]]/$B$21-1</f>
        <v>8.1816363272654291E-2</v>
      </c>
    </row>
    <row r="181" spans="1:7" x14ac:dyDescent="0.2">
      <c r="A181" s="15">
        <v>44315</v>
      </c>
      <c r="B181" s="112">
        <v>1.0820000000000001</v>
      </c>
      <c r="C181" s="108">
        <f>IFERROR(B181-B180,0)</f>
        <v>4.0000000000017799E-4</v>
      </c>
      <c r="D181" s="109" t="str">
        <f>IF(C181&lt;0,C181,"/")</f>
        <v>/</v>
      </c>
      <c r="E181" s="109">
        <f ca="1">IF(表2_367162629303891213141523242526272829[[#This Row],[累计净值]]/MAX(INDIRECT("B21:B" &amp; ROW()))-1&lt;E180,表2_367162629303891213141523242526272829[[#This Row],[累计净值]]/MAX(INDIRECT("B21:B" &amp; ROW()))-1,E180)</f>
        <v>-8.4976268711208447E-2</v>
      </c>
      <c r="F181" s="110">
        <f>表2_367162629303891213141523242526272829[[#This Row],[累计净值]]</f>
        <v>1.0820000000000001</v>
      </c>
      <c r="G181" s="20">
        <f>表2_367162629303891213141523242526272829[[#This Row],[累计净值]]/$B$21-1</f>
        <v>8.2216443288657848E-2</v>
      </c>
    </row>
    <row r="182" spans="1:7" x14ac:dyDescent="0.2">
      <c r="A182" s="15">
        <v>44316</v>
      </c>
      <c r="B182" s="112">
        <v>1.0786</v>
      </c>
      <c r="C182" s="108">
        <f t="shared" ref="C182:C183" si="56">IFERROR(B182-B181,0)</f>
        <v>-3.4000000000000696E-3</v>
      </c>
      <c r="D182" s="109">
        <f t="shared" ref="D182:D183" si="57">IF(C182&lt;0,C182,"/")</f>
        <v>-3.4000000000000696E-3</v>
      </c>
      <c r="E182" s="109">
        <f ca="1">IF(表2_367162629303891213141523242526272829[[#This Row],[累计净值]]/MAX(INDIRECT("B21:B" &amp; ROW()))-1&lt;E181,表2_367162629303891213141523242526272829[[#This Row],[累计净值]]/MAX(INDIRECT("B21:B" &amp; ROW()))-1,E181)</f>
        <v>-8.4976268711208447E-2</v>
      </c>
      <c r="F182" s="110">
        <f>表2_367162629303891213141523242526272829[[#This Row],[累计净值]]</f>
        <v>1.0786</v>
      </c>
      <c r="G182" s="20">
        <f>表2_367162629303891213141523242526272829[[#This Row],[累计净值]]/$B$21-1</f>
        <v>7.8815763152630502E-2</v>
      </c>
    </row>
    <row r="183" spans="1:7" x14ac:dyDescent="0.2">
      <c r="A183" s="15">
        <v>44322</v>
      </c>
      <c r="B183" s="112">
        <v>1.0763</v>
      </c>
      <c r="C183" s="108">
        <f t="shared" si="56"/>
        <v>-2.2999999999999687E-3</v>
      </c>
      <c r="D183" s="109">
        <f t="shared" si="57"/>
        <v>-2.2999999999999687E-3</v>
      </c>
      <c r="E183" s="109">
        <f ca="1">IF(表2_367162629303891213141523242526272829[[#This Row],[累计净值]]/MAX(INDIRECT("B21:B" &amp; ROW()))-1&lt;E182,表2_367162629303891213141523242526272829[[#This Row],[累计净值]]/MAX(INDIRECT("B21:B" &amp; ROW()))-1,E182)</f>
        <v>-8.4976268711208447E-2</v>
      </c>
      <c r="F183" s="110">
        <f>表2_367162629303891213141523242526272829[[#This Row],[累计净值]]</f>
        <v>1.0763</v>
      </c>
      <c r="G183" s="20">
        <f>表2_367162629303891213141523242526272829[[#This Row],[累计净值]]/$B$21-1</f>
        <v>7.651530306061205E-2</v>
      </c>
    </row>
    <row r="184" spans="1:7" x14ac:dyDescent="0.2">
      <c r="A184" s="15">
        <v>44323</v>
      </c>
      <c r="B184" s="112">
        <v>1.0654999999999999</v>
      </c>
      <c r="C184" s="108">
        <f t="shared" ref="C184:C190" si="58">IFERROR(B184-B183,0)</f>
        <v>-1.0800000000000143E-2</v>
      </c>
      <c r="D184" s="109">
        <f t="shared" ref="D184:D190" si="59">IF(C184&lt;0,C184,"/")</f>
        <v>-1.0800000000000143E-2</v>
      </c>
      <c r="E184" s="109">
        <f ca="1">IF(表2_367162629303891213141523242526272829[[#This Row],[累计净值]]/MAX(INDIRECT("B21:B" &amp; ROW()))-1&lt;E183,表2_367162629303891213141523242526272829[[#This Row],[累计净值]]/MAX(INDIRECT("B21:B" &amp; ROW()))-1,E183)</f>
        <v>-8.4976268711208447E-2</v>
      </c>
      <c r="F184" s="110">
        <f>表2_367162629303891213141523242526272829[[#This Row],[累计净值]]</f>
        <v>1.0654999999999999</v>
      </c>
      <c r="G184" s="20">
        <f>表2_367162629303891213141523242526272829[[#This Row],[累计净值]]/$B$21-1</f>
        <v>6.5713142628525567E-2</v>
      </c>
    </row>
    <row r="185" spans="1:7" x14ac:dyDescent="0.2">
      <c r="A185" s="15">
        <v>44326</v>
      </c>
      <c r="B185" s="112">
        <v>1.0713999999999999</v>
      </c>
      <c r="C185" s="108">
        <f t="shared" si="58"/>
        <v>5.9000000000000163E-3</v>
      </c>
      <c r="D185" s="109" t="str">
        <f t="shared" si="59"/>
        <v>/</v>
      </c>
      <c r="E185" s="109">
        <f ca="1">IF(表2_367162629303891213141523242526272829[[#This Row],[累计净值]]/MAX(INDIRECT("B21:B" &amp; ROW()))-1&lt;E184,表2_367162629303891213141523242526272829[[#This Row],[累计净值]]/MAX(INDIRECT("B21:B" &amp; ROW()))-1,E184)</f>
        <v>-8.4976268711208447E-2</v>
      </c>
      <c r="F185" s="110">
        <f>表2_367162629303891213141523242526272829[[#This Row],[累计净值]]</f>
        <v>1.0713999999999999</v>
      </c>
      <c r="G185" s="20">
        <f>表2_367162629303891213141523242526272829[[#This Row],[累计净值]]/$B$21-1</f>
        <v>7.1614322864572699E-2</v>
      </c>
    </row>
    <row r="186" spans="1:7" x14ac:dyDescent="0.2">
      <c r="A186" s="15">
        <v>44327</v>
      </c>
      <c r="B186" s="112">
        <v>1.0689</v>
      </c>
      <c r="C186" s="108">
        <f t="shared" si="58"/>
        <v>-2.4999999999999467E-3</v>
      </c>
      <c r="D186" s="109">
        <f t="shared" si="59"/>
        <v>-2.4999999999999467E-3</v>
      </c>
      <c r="E186" s="109">
        <f ca="1">IF(表2_367162629303891213141523242526272829[[#This Row],[累计净值]]/MAX(INDIRECT("B21:B" &amp; ROW()))-1&lt;E185,表2_367162629303891213141523242526272829[[#This Row],[累计净值]]/MAX(INDIRECT("B21:B" &amp; ROW()))-1,E185)</f>
        <v>-8.4976268711208447E-2</v>
      </c>
      <c r="F186" s="110">
        <f>表2_367162629303891213141523242526272829[[#This Row],[累计净值]]</f>
        <v>1.0689</v>
      </c>
      <c r="G186" s="20">
        <f>表2_367162629303891213141523242526272829[[#This Row],[累计净值]]/$B$21-1</f>
        <v>6.9113822764552912E-2</v>
      </c>
    </row>
    <row r="187" spans="1:7" x14ac:dyDescent="0.2">
      <c r="A187" s="15">
        <v>44328</v>
      </c>
      <c r="B187" s="112">
        <v>1.0808</v>
      </c>
      <c r="C187" s="108">
        <f t="shared" si="58"/>
        <v>1.1900000000000022E-2</v>
      </c>
      <c r="D187" s="109" t="str">
        <f t="shared" si="59"/>
        <v>/</v>
      </c>
      <c r="E187" s="109">
        <f ca="1">IF(表2_367162629303891213141523242526272829[[#This Row],[累计净值]]/MAX(INDIRECT("B21:B" &amp; ROW()))-1&lt;E186,表2_367162629303891213141523242526272829[[#This Row],[累计净值]]/MAX(INDIRECT("B21:B" &amp; ROW()))-1,E186)</f>
        <v>-8.4976268711208447E-2</v>
      </c>
      <c r="F187" s="110">
        <f>表2_367162629303891213141523242526272829[[#This Row],[累计净值]]</f>
        <v>1.0808</v>
      </c>
      <c r="G187" s="20">
        <f>表2_367162629303891213141523242526272829[[#This Row],[累计净值]]/$B$21-1</f>
        <v>8.1016203240648066E-2</v>
      </c>
    </row>
    <row r="188" spans="1:7" x14ac:dyDescent="0.2">
      <c r="A188" s="15">
        <v>44329</v>
      </c>
      <c r="B188" s="112">
        <v>1.0720000000000001</v>
      </c>
      <c r="C188" s="108">
        <f t="shared" si="58"/>
        <v>-8.799999999999919E-3</v>
      </c>
      <c r="D188" s="109">
        <f t="shared" si="59"/>
        <v>-8.799999999999919E-3</v>
      </c>
      <c r="E188" s="109">
        <f ca="1">IF(表2_367162629303891213141523242526272829[[#This Row],[累计净值]]/MAX(INDIRECT("B21:B" &amp; ROW()))-1&lt;E187,表2_367162629303891213141523242526272829[[#This Row],[累计净值]]/MAX(INDIRECT("B21:B" &amp; ROW()))-1,E187)</f>
        <v>-8.4976268711208447E-2</v>
      </c>
      <c r="F188" s="110">
        <f>表2_367162629303891213141523242526272829[[#This Row],[累计净值]]</f>
        <v>1.0720000000000001</v>
      </c>
      <c r="G188" s="20">
        <f>表2_367162629303891213141523242526272829[[#This Row],[累计净值]]/$B$21-1</f>
        <v>7.2214442888577812E-2</v>
      </c>
    </row>
    <row r="189" spans="1:7" x14ac:dyDescent="0.2">
      <c r="A189" s="15">
        <v>44333</v>
      </c>
      <c r="B189" s="112">
        <v>1.0871999999999999</v>
      </c>
      <c r="C189" s="108">
        <f t="shared" si="58"/>
        <v>1.519999999999988E-2</v>
      </c>
      <c r="D189" s="109" t="str">
        <f t="shared" si="59"/>
        <v>/</v>
      </c>
      <c r="E189" s="109">
        <f ca="1">IF(表2_367162629303891213141523242526272829[[#This Row],[累计净值]]/MAX(INDIRECT("B21:B" &amp; ROW()))-1&lt;E188,表2_367162629303891213141523242526272829[[#This Row],[累计净值]]/MAX(INDIRECT("B21:B" &amp; ROW()))-1,E188)</f>
        <v>-8.4976268711208447E-2</v>
      </c>
      <c r="F189" s="110">
        <f>表2_367162629303891213141523242526272829[[#This Row],[累计净值]]</f>
        <v>1.0871999999999999</v>
      </c>
      <c r="G189" s="20">
        <f>表2_367162629303891213141523242526272829[[#This Row],[累计净值]]/$B$21-1</f>
        <v>8.74174834966992E-2</v>
      </c>
    </row>
    <row r="190" spans="1:7" x14ac:dyDescent="0.2">
      <c r="A190" s="15">
        <v>44331</v>
      </c>
      <c r="B190" s="112">
        <v>1.091</v>
      </c>
      <c r="C190" s="108">
        <f t="shared" si="58"/>
        <v>3.8000000000000256E-3</v>
      </c>
      <c r="D190" s="109" t="str">
        <f t="shared" si="59"/>
        <v>/</v>
      </c>
      <c r="E190" s="109">
        <f ca="1">IF(表2_367162629303891213141523242526272829[[#This Row],[累计净值]]/MAX(INDIRECT("B21:B" &amp; ROW()))-1&lt;E189,表2_367162629303891213141523242526272829[[#This Row],[累计净值]]/MAX(INDIRECT("B21:B" &amp; ROW()))-1,E189)</f>
        <v>-8.4976268711208447E-2</v>
      </c>
      <c r="F190" s="110">
        <f>表2_367162629303891213141523242526272829[[#This Row],[累计净值]]</f>
        <v>1.091</v>
      </c>
      <c r="G190" s="20">
        <f>表2_367162629303891213141523242526272829[[#This Row],[累计净值]]/$B$21-1</f>
        <v>9.1218243648729658E-2</v>
      </c>
    </row>
  </sheetData>
  <mergeCells count="1">
    <mergeCell ref="G2:G3"/>
  </mergeCells>
  <phoneticPr fontId="24" type="noConversion"/>
  <pageMargins left="0.7" right="0.7" top="0.75" bottom="0.75" header="0.3" footer="0.3"/>
  <pageSetup paperSize="9" orientation="portrait" horizontalDpi="200" verticalDpi="200" r:id="rId1"/>
  <drawing r:id="rId2"/>
  <tableParts count="1"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I125"/>
  <sheetViews>
    <sheetView tabSelected="1" workbookViewId="0">
      <pane xSplit="1" ySplit="20" topLeftCell="B111" activePane="bottomRight" state="frozen"/>
      <selection pane="topRight" activeCell="B1" sqref="B1"/>
      <selection pane="bottomLeft" activeCell="A21" sqref="A21"/>
      <selection pane="bottomRight" activeCell="G124" sqref="G124:G125"/>
    </sheetView>
  </sheetViews>
  <sheetFormatPr defaultColWidth="9" defaultRowHeight="14.25" x14ac:dyDescent="0.2"/>
  <cols>
    <col min="1" max="1" width="11.625" style="1" bestFit="1" customWidth="1"/>
    <col min="2" max="2" width="13" style="1" customWidth="1"/>
    <col min="3" max="4" width="13.5" style="1" bestFit="1" customWidth="1"/>
    <col min="5" max="5" width="10.75" style="1" customWidth="1"/>
    <col min="6" max="6" width="11.125" style="1" customWidth="1"/>
    <col min="7" max="7" width="18.875" style="2" customWidth="1"/>
    <col min="8" max="8" width="14.25" style="1" customWidth="1"/>
    <col min="9" max="9" width="12" style="1" bestFit="1" customWidth="1"/>
    <col min="10" max="16384" width="9" style="1"/>
  </cols>
  <sheetData>
    <row r="1" spans="1:7" ht="15" thickBot="1" x14ac:dyDescent="0.25"/>
    <row r="2" spans="1:7" ht="15" thickBot="1" x14ac:dyDescent="0.25">
      <c r="A2" s="23" t="s">
        <v>0</v>
      </c>
      <c r="B2" s="24">
        <f>COUNT(表2_3671626293038912131415232425262728313236[每日盈亏])</f>
        <v>105</v>
      </c>
      <c r="C2" s="27"/>
      <c r="D2" s="3" t="s">
        <v>1</v>
      </c>
      <c r="E2" s="28"/>
      <c r="F2" s="1" t="s">
        <v>2</v>
      </c>
      <c r="G2" s="394" t="s">
        <v>3</v>
      </c>
    </row>
    <row r="3" spans="1:7" x14ac:dyDescent="0.2">
      <c r="A3" s="25" t="s">
        <v>4</v>
      </c>
      <c r="B3" s="26">
        <f>COUNTIF(表2_3671626293038912131415232425262728313236[每日盈亏],"&gt;0")</f>
        <v>57</v>
      </c>
      <c r="C3" s="29"/>
      <c r="D3" s="30" t="s">
        <v>5</v>
      </c>
      <c r="E3" s="31">
        <f>245^0.5*(B10-0.025/365)/E10</f>
        <v>1.1756165429144765</v>
      </c>
      <c r="G3" s="394"/>
    </row>
    <row r="4" spans="1:7" x14ac:dyDescent="0.2">
      <c r="A4" s="25" t="s">
        <v>6</v>
      </c>
      <c r="B4" s="26">
        <f>COUNTIF(表2_3671626293038912131415232425262728313236[每日盈亏],"&lt;0")</f>
        <v>45</v>
      </c>
      <c r="C4" s="29"/>
      <c r="D4" s="32" t="s">
        <v>7</v>
      </c>
      <c r="E4" s="31">
        <f ca="1">-B9/E8</f>
        <v>3.0885177989705368</v>
      </c>
      <c r="G4" s="2">
        <f>LOOKUP(999^10,表2_3671626293038912131415232425262728313236[累计净值])</f>
        <v>1.107</v>
      </c>
    </row>
    <row r="5" spans="1:7" x14ac:dyDescent="0.2">
      <c r="A5" s="25" t="s">
        <v>8</v>
      </c>
      <c r="B5" s="26">
        <f>B2-B3-B4</f>
        <v>3</v>
      </c>
      <c r="C5" s="29"/>
      <c r="D5" s="33" t="s">
        <v>9</v>
      </c>
      <c r="E5" s="4">
        <f>245^0.5*(B10-0.025/365)/E9</f>
        <v>1.8349735019989404</v>
      </c>
    </row>
    <row r="6" spans="1:7" ht="15" thickBot="1" x14ac:dyDescent="0.25">
      <c r="A6" s="34"/>
      <c r="B6" s="35"/>
      <c r="C6" s="35"/>
      <c r="D6" s="35"/>
      <c r="E6" s="36"/>
    </row>
    <row r="7" spans="1:7" ht="15" thickBot="1" x14ac:dyDescent="0.25">
      <c r="A7" s="5" t="s">
        <v>10</v>
      </c>
      <c r="B7" s="35"/>
      <c r="C7" s="35"/>
      <c r="D7" s="3" t="s">
        <v>11</v>
      </c>
      <c r="E7" s="37"/>
    </row>
    <row r="8" spans="1:7" x14ac:dyDescent="0.2">
      <c r="A8" s="38" t="s">
        <v>12</v>
      </c>
      <c r="B8" s="39">
        <f>LOOKUP(999^10,表2_3671626293038912131415232425262728313236[累计净值])/B21-1</f>
        <v>0.10379898294944678</v>
      </c>
      <c r="C8" s="40"/>
      <c r="D8" s="30" t="s">
        <v>13</v>
      </c>
      <c r="E8" s="41">
        <f ca="1">MIN(表2_3671626293038912131415232425262728313236[最大回撤])</f>
        <v>-7.8418724659048977E-2</v>
      </c>
    </row>
    <row r="9" spans="1:7" x14ac:dyDescent="0.2">
      <c r="A9" s="25" t="s">
        <v>14</v>
      </c>
      <c r="B9" s="32">
        <f>B8*245/B2</f>
        <v>0.24219762688204252</v>
      </c>
      <c r="C9" s="40"/>
      <c r="D9" s="33" t="s">
        <v>15</v>
      </c>
      <c r="E9" s="6">
        <f>STDEV(表2_3671626293038912131415232425262728313236[下跌幅度])</f>
        <v>6.8816011467851242E-3</v>
      </c>
    </row>
    <row r="10" spans="1:7" x14ac:dyDescent="0.2">
      <c r="A10" s="42" t="s">
        <v>16</v>
      </c>
      <c r="B10" s="43">
        <f>AVERAGE(表2_3671626293038912131415232425262728313236[每日盈亏])</f>
        <v>8.7523809523809613E-4</v>
      </c>
      <c r="C10" s="44"/>
      <c r="D10" s="33" t="s">
        <v>17</v>
      </c>
      <c r="E10" s="6">
        <f>STDEV(表2_3671626293038912131415232425262728313236[每日盈亏])</f>
        <v>1.0741219857600157E-2</v>
      </c>
    </row>
    <row r="11" spans="1:7" x14ac:dyDescent="0.2">
      <c r="A11" s="7" t="s">
        <v>18</v>
      </c>
      <c r="B11" s="32">
        <f>B3/B2</f>
        <v>0.54285714285714282</v>
      </c>
      <c r="C11" s="40"/>
      <c r="D11" s="32" t="s">
        <v>19</v>
      </c>
      <c r="E11" s="41">
        <f>245^0.5*E10</f>
        <v>0.16812668434005196</v>
      </c>
    </row>
    <row r="12" spans="1:7" ht="15" thickBot="1" x14ac:dyDescent="0.25">
      <c r="A12" s="45" t="s">
        <v>20</v>
      </c>
      <c r="B12" s="46">
        <f>-(SUMIF(表2_3671626293038912131415232425262728313236[每日盈亏],"&gt;=0")/B3)/(SUMIF(表2_3671626293038912131415232425262728313236[每日盈亏],"&lt;0")/B4)</f>
        <v>0.96990798308878434</v>
      </c>
      <c r="C12" s="47"/>
      <c r="D12" s="48"/>
      <c r="E12" s="49"/>
    </row>
    <row r="14" spans="1:7" ht="28.5" x14ac:dyDescent="0.2">
      <c r="A14" s="50" t="s">
        <v>21</v>
      </c>
      <c r="B14" s="50" t="s">
        <v>14</v>
      </c>
      <c r="C14" s="51" t="s">
        <v>19</v>
      </c>
      <c r="D14" s="51" t="s">
        <v>13</v>
      </c>
      <c r="E14" s="51" t="s">
        <v>5</v>
      </c>
      <c r="F14" s="51" t="s">
        <v>7</v>
      </c>
    </row>
    <row r="15" spans="1:7" x14ac:dyDescent="0.2">
      <c r="A15" s="78">
        <f>B2</f>
        <v>105</v>
      </c>
      <c r="B15" s="53">
        <f>B9</f>
        <v>0.24219762688204252</v>
      </c>
      <c r="C15" s="53">
        <f>E11</f>
        <v>0.16812668434005196</v>
      </c>
      <c r="D15" s="53">
        <f ca="1">E8</f>
        <v>-7.8418724659048977E-2</v>
      </c>
      <c r="E15" s="54">
        <f>E3</f>
        <v>1.1756165429144765</v>
      </c>
      <c r="F15" s="54">
        <f ca="1">E4</f>
        <v>3.0885177989705368</v>
      </c>
    </row>
    <row r="19" spans="1:9" x14ac:dyDescent="0.2">
      <c r="A19" s="8"/>
      <c r="B19" s="1" t="s">
        <v>22</v>
      </c>
    </row>
    <row r="20" spans="1:9" ht="15.75" x14ac:dyDescent="0.2">
      <c r="A20" s="22" t="s">
        <v>23</v>
      </c>
      <c r="B20" s="22" t="s">
        <v>24</v>
      </c>
      <c r="C20" s="22" t="s">
        <v>25</v>
      </c>
      <c r="D20" s="22" t="s">
        <v>26</v>
      </c>
      <c r="E20" s="22" t="s">
        <v>27</v>
      </c>
      <c r="F20" s="22" t="s">
        <v>28</v>
      </c>
      <c r="G20" s="22" t="s">
        <v>29</v>
      </c>
    </row>
    <row r="21" spans="1:9" x14ac:dyDescent="0.2">
      <c r="A21" s="15">
        <v>44174</v>
      </c>
      <c r="B21" s="112">
        <v>1.0028999999999999</v>
      </c>
      <c r="C21" s="57">
        <f>IFERROR(#REF!-B20,0)</f>
        <v>0</v>
      </c>
      <c r="D21" s="58" t="str">
        <f t="shared" ref="D21:D43" si="0">IF(C21&lt;0,C21,"/")</f>
        <v>/</v>
      </c>
      <c r="E21" s="58">
        <f ca="1">IF(表2_3671626293038912131415232425262728313236[[#This Row],[累计净值]]/MAX(INDIRECT("B21:B" &amp; ROW()))-1&lt;E20,表2_3671626293038912131415232425262728313236[[#This Row],[累计净值]]/MAX(INDIRECT("B21:B" &amp; ROW()))-1,E20)</f>
        <v>0</v>
      </c>
      <c r="F21" s="21">
        <f>表2_3671626293038912131415232425262728313236[[#This Row],[累计净值]]</f>
        <v>1.0028999999999999</v>
      </c>
      <c r="G21" s="205"/>
    </row>
    <row r="22" spans="1:9" x14ac:dyDescent="0.2">
      <c r="A22" s="280">
        <v>44175</v>
      </c>
      <c r="B22" s="112">
        <v>1.0016</v>
      </c>
      <c r="C22" s="17">
        <f>IFERROR(B22-B21,0)</f>
        <v>-1.2999999999998568E-3</v>
      </c>
      <c r="D22" s="18">
        <f t="shared" si="0"/>
        <v>-1.2999999999998568E-3</v>
      </c>
      <c r="E22" s="58">
        <f ca="1">IF(表2_3671626293038912131415232425262728313236[[#This Row],[累计净值]]/MAX(INDIRECT("B21:B" &amp; ROW()))-1&lt;E21,表2_3671626293038912131415232425262728313236[[#This Row],[累计净值]]/MAX(INDIRECT("B21:B" &amp; ROW()))-1,E21)</f>
        <v>-1.2962409013858034E-3</v>
      </c>
      <c r="F22" s="19">
        <f>表2_3671626293038912131415232425262728313236[[#This Row],[累计净值]]</f>
        <v>1.0016</v>
      </c>
      <c r="G22" s="194"/>
    </row>
    <row r="23" spans="1:9" x14ac:dyDescent="0.2">
      <c r="A23" s="280">
        <v>44176</v>
      </c>
      <c r="B23" s="112">
        <v>0.98070000000000002</v>
      </c>
      <c r="C23" s="17">
        <f t="shared" ref="C23:C86" si="1">IFERROR(B23-B22,0)</f>
        <v>-2.090000000000003E-2</v>
      </c>
      <c r="D23" s="109">
        <f t="shared" si="0"/>
        <v>-2.090000000000003E-2</v>
      </c>
      <c r="E23" s="58">
        <f ca="1">IF(表2_3671626293038912131415232425262728313236[[#This Row],[累计净值]]/MAX(INDIRECT("B21:B" &amp; ROW()))-1&lt;E22,表2_3671626293038912131415232425262728313236[[#This Row],[累计净值]]/MAX(INDIRECT("B21:B" &amp; ROW()))-1,E22)</f>
        <v>-2.2135806162129734E-2</v>
      </c>
      <c r="F23" s="110">
        <f>表2_3671626293038912131415232425262728313236[[#This Row],[累计净值]]</f>
        <v>0.98070000000000002</v>
      </c>
      <c r="G23" s="20"/>
    </row>
    <row r="24" spans="1:9" x14ac:dyDescent="0.2">
      <c r="A24" s="280">
        <v>44179</v>
      </c>
      <c r="B24" s="112">
        <v>0.9899</v>
      </c>
      <c r="C24" s="17">
        <f t="shared" si="1"/>
        <v>9.199999999999986E-3</v>
      </c>
      <c r="D24" s="109" t="str">
        <f t="shared" si="0"/>
        <v>/</v>
      </c>
      <c r="E24" s="58">
        <f ca="1">IF(表2_3671626293038912131415232425262728313236[[#This Row],[累计净值]]/MAX(INDIRECT("B21:B" &amp; ROW()))-1&lt;E23,表2_3671626293038912131415232425262728313236[[#This Row],[累计净值]]/MAX(INDIRECT("B21:B" &amp; ROW()))-1,E23)</f>
        <v>-2.2135806162129734E-2</v>
      </c>
      <c r="F24" s="110">
        <f>表2_3671626293038912131415232425262728313236[[#This Row],[累计净值]]</f>
        <v>0.9899</v>
      </c>
      <c r="G24" s="20"/>
    </row>
    <row r="25" spans="1:9" x14ac:dyDescent="0.2">
      <c r="A25" s="280">
        <v>44180</v>
      </c>
      <c r="B25" s="112">
        <v>0.99199999999999999</v>
      </c>
      <c r="C25" s="17">
        <f t="shared" si="1"/>
        <v>2.0999999999999908E-3</v>
      </c>
      <c r="D25" s="109" t="str">
        <f t="shared" si="0"/>
        <v>/</v>
      </c>
      <c r="E25" s="58">
        <f ca="1">IF(表2_3671626293038912131415232425262728313236[[#This Row],[累计净值]]/MAX(INDIRECT("B21:B" &amp; ROW()))-1&lt;E24,表2_3671626293038912131415232425262728313236[[#This Row],[累计净值]]/MAX(INDIRECT("B21:B" &amp; ROW()))-1,E24)</f>
        <v>-2.2135806162129734E-2</v>
      </c>
      <c r="F25" s="110">
        <f>表2_3671626293038912131415232425262728313236[[#This Row],[累计净值]]</f>
        <v>0.99199999999999999</v>
      </c>
      <c r="G25" s="20"/>
    </row>
    <row r="26" spans="1:9" x14ac:dyDescent="0.2">
      <c r="A26" s="280">
        <v>44181</v>
      </c>
      <c r="B26" s="112">
        <v>0.98850000000000005</v>
      </c>
      <c r="C26" s="17">
        <f t="shared" si="1"/>
        <v>-3.4999999999999476E-3</v>
      </c>
      <c r="D26" s="109">
        <f t="shared" si="0"/>
        <v>-3.4999999999999476E-3</v>
      </c>
      <c r="E26" s="58">
        <f ca="1">IF(表2_3671626293038912131415232425262728313236[[#This Row],[累计净值]]/MAX(INDIRECT("B21:B" &amp; ROW()))-1&lt;E25,表2_3671626293038912131415232425262728313236[[#This Row],[累计净值]]/MAX(INDIRECT("B21:B" &amp; ROW()))-1,E25)</f>
        <v>-2.2135806162129734E-2</v>
      </c>
      <c r="F26" s="110">
        <f>表2_3671626293038912131415232425262728313236[[#This Row],[累计净值]]</f>
        <v>0.98850000000000005</v>
      </c>
      <c r="G26" s="20"/>
    </row>
    <row r="27" spans="1:9" x14ac:dyDescent="0.2">
      <c r="A27" s="280">
        <v>44182</v>
      </c>
      <c r="B27" s="112">
        <v>1.0009999999999999</v>
      </c>
      <c r="C27" s="17">
        <f t="shared" si="1"/>
        <v>1.2499999999999845E-2</v>
      </c>
      <c r="D27" s="109" t="str">
        <f t="shared" si="0"/>
        <v>/</v>
      </c>
      <c r="E27" s="58">
        <f ca="1">IF(表2_3671626293038912131415232425262728313236[[#This Row],[累计净值]]/MAX(INDIRECT("B21:B" &amp; ROW()))-1&lt;E26,表2_3671626293038912131415232425262728313236[[#This Row],[累计净值]]/MAX(INDIRECT("B21:B" &amp; ROW()))-1,E26)</f>
        <v>-2.2135806162129734E-2</v>
      </c>
      <c r="F27" s="110">
        <f>表2_3671626293038912131415232425262728313236[[#This Row],[累计净值]]</f>
        <v>1.0009999999999999</v>
      </c>
      <c r="G27" s="20"/>
    </row>
    <row r="28" spans="1:9" x14ac:dyDescent="0.2">
      <c r="A28" s="280">
        <v>44183</v>
      </c>
      <c r="B28" s="112">
        <v>0.99750000000000005</v>
      </c>
      <c r="C28" s="17">
        <f t="shared" si="1"/>
        <v>-3.4999999999998366E-3</v>
      </c>
      <c r="D28" s="109">
        <f t="shared" si="0"/>
        <v>-3.4999999999998366E-3</v>
      </c>
      <c r="E28" s="58">
        <f ca="1">IF(表2_3671626293038912131415232425262728313236[[#This Row],[累计净值]]/MAX(INDIRECT("B21:B" &amp; ROW()))-1&lt;E27,表2_3671626293038912131415232425262728313236[[#This Row],[累计净值]]/MAX(INDIRECT("B21:B" &amp; ROW()))-1,E27)</f>
        <v>-2.2135806162129734E-2</v>
      </c>
      <c r="F28" s="110">
        <f>表2_3671626293038912131415232425262728313236[[#This Row],[累计净值]]</f>
        <v>0.99750000000000005</v>
      </c>
      <c r="G28" s="20"/>
    </row>
    <row r="29" spans="1:9" x14ac:dyDescent="0.2">
      <c r="A29" s="280">
        <v>44186</v>
      </c>
      <c r="B29" s="112">
        <v>1.0141</v>
      </c>
      <c r="C29" s="17">
        <f t="shared" si="1"/>
        <v>1.6599999999999948E-2</v>
      </c>
      <c r="D29" s="109" t="str">
        <f t="shared" si="0"/>
        <v>/</v>
      </c>
      <c r="E29" s="58">
        <f ca="1">IF(表2_3671626293038912131415232425262728313236[[#This Row],[累计净值]]/MAX(INDIRECT("B21:B" &amp; ROW()))-1&lt;E28,表2_3671626293038912131415232425262728313236[[#This Row],[累计净值]]/MAX(INDIRECT("B21:B" &amp; ROW()))-1,E28)</f>
        <v>-2.2135806162129734E-2</v>
      </c>
      <c r="F29" s="110">
        <f>表2_3671626293038912131415232425262728313236[[#This Row],[累计净值]]</f>
        <v>1.0141</v>
      </c>
      <c r="G29" s="20"/>
      <c r="I29" s="196" t="s">
        <v>44</v>
      </c>
    </row>
    <row r="30" spans="1:9" x14ac:dyDescent="0.2">
      <c r="A30" s="280">
        <v>44187</v>
      </c>
      <c r="B30" s="112">
        <v>0.9909</v>
      </c>
      <c r="C30" s="17">
        <f t="shared" si="1"/>
        <v>-2.3199999999999998E-2</v>
      </c>
      <c r="D30" s="109">
        <f t="shared" si="0"/>
        <v>-2.3199999999999998E-2</v>
      </c>
      <c r="E30" s="58">
        <f ca="1">IF(表2_3671626293038912131415232425262728313236[[#This Row],[累计净值]]/MAX(INDIRECT("B21:B" &amp; ROW()))-1&lt;E29,表2_3671626293038912131415232425262728313236[[#This Row],[累计净值]]/MAX(INDIRECT("B21:B" &amp; ROW()))-1,E29)</f>
        <v>-2.2877428261512622E-2</v>
      </c>
      <c r="F30" s="110">
        <f>表2_3671626293038912131415232425262728313236[[#This Row],[累计净值]]</f>
        <v>0.9909</v>
      </c>
      <c r="G30" s="20"/>
    </row>
    <row r="31" spans="1:9" x14ac:dyDescent="0.2">
      <c r="A31" s="280">
        <v>44188</v>
      </c>
      <c r="B31" s="112">
        <v>0.99960000000000004</v>
      </c>
      <c r="C31" s="17">
        <f t="shared" si="1"/>
        <v>8.700000000000041E-3</v>
      </c>
      <c r="D31" s="109" t="str">
        <f t="shared" si="0"/>
        <v>/</v>
      </c>
      <c r="E31" s="58">
        <f ca="1">IF(表2_3671626293038912131415232425262728313236[[#This Row],[累计净值]]/MAX(INDIRECT("B21:B" &amp; ROW()))-1&lt;E30,表2_3671626293038912131415232425262728313236[[#This Row],[累计净值]]/MAX(INDIRECT("B21:B" &amp; ROW()))-1,E30)</f>
        <v>-2.2877428261512622E-2</v>
      </c>
      <c r="F31" s="110">
        <f>表2_3671626293038912131415232425262728313236[[#This Row],[累计净值]]</f>
        <v>0.99960000000000004</v>
      </c>
      <c r="G31" s="20"/>
    </row>
    <row r="32" spans="1:9" x14ac:dyDescent="0.2">
      <c r="A32" s="280">
        <v>44189</v>
      </c>
      <c r="B32" s="112">
        <v>0.98460000000000003</v>
      </c>
      <c r="C32" s="17">
        <f t="shared" si="1"/>
        <v>-1.5000000000000013E-2</v>
      </c>
      <c r="D32" s="109">
        <f t="shared" si="0"/>
        <v>-1.5000000000000013E-2</v>
      </c>
      <c r="E32" s="58">
        <f ca="1">IF(表2_3671626293038912131415232425262728313236[[#This Row],[累计净值]]/MAX(INDIRECT("B21:B" &amp; ROW()))-1&lt;E31,表2_3671626293038912131415232425262728313236[[#This Row],[累计净值]]/MAX(INDIRECT("B21:B" &amp; ROW()))-1,E31)</f>
        <v>-2.9089833349768224E-2</v>
      </c>
      <c r="F32" s="110">
        <f>表2_3671626293038912131415232425262728313236[[#This Row],[累计净值]]</f>
        <v>0.98460000000000003</v>
      </c>
      <c r="G32" s="20"/>
    </row>
    <row r="33" spans="1:7" x14ac:dyDescent="0.2">
      <c r="A33" s="280">
        <v>44190</v>
      </c>
      <c r="B33" s="112">
        <v>0.99670000000000003</v>
      </c>
      <c r="C33" s="17">
        <f t="shared" si="1"/>
        <v>1.21E-2</v>
      </c>
      <c r="D33" s="109" t="str">
        <f t="shared" si="0"/>
        <v>/</v>
      </c>
      <c r="E33" s="58">
        <f ca="1">IF(表2_3671626293038912131415232425262728313236[[#This Row],[累计净值]]/MAX(INDIRECT("B21:B" &amp; ROW()))-1&lt;E32,表2_3671626293038912131415232425262728313236[[#This Row],[累计净值]]/MAX(INDIRECT("B21:B" &amp; ROW()))-1,E32)</f>
        <v>-2.9089833349768224E-2</v>
      </c>
      <c r="F33" s="110">
        <f>表2_3671626293038912131415232425262728313236[[#This Row],[累计净值]]</f>
        <v>0.99670000000000003</v>
      </c>
      <c r="G33" s="20"/>
    </row>
    <row r="34" spans="1:7" x14ac:dyDescent="0.2">
      <c r="A34" s="280">
        <v>44193</v>
      </c>
      <c r="B34" s="112">
        <v>0.99060000000000004</v>
      </c>
      <c r="C34" s="17">
        <f t="shared" si="1"/>
        <v>-6.0999999999999943E-3</v>
      </c>
      <c r="D34" s="109">
        <f t="shared" si="0"/>
        <v>-6.0999999999999943E-3</v>
      </c>
      <c r="E34" s="58">
        <f ca="1">IF(表2_3671626293038912131415232425262728313236[[#This Row],[累计净值]]/MAX(INDIRECT("B21:B" &amp; ROW()))-1&lt;E33,表2_3671626293038912131415232425262728313236[[#This Row],[累计净值]]/MAX(INDIRECT("B21:B" &amp; ROW()))-1,E33)</f>
        <v>-2.9089833349768224E-2</v>
      </c>
      <c r="F34" s="110">
        <f>表2_3671626293038912131415232425262728313236[[#This Row],[累计净值]]</f>
        <v>0.99060000000000004</v>
      </c>
      <c r="G34" s="20"/>
    </row>
    <row r="35" spans="1:7" x14ac:dyDescent="0.2">
      <c r="A35" s="280">
        <v>44194</v>
      </c>
      <c r="B35" s="112">
        <v>0.98770000000000002</v>
      </c>
      <c r="C35" s="17">
        <f t="shared" si="1"/>
        <v>-2.9000000000000137E-3</v>
      </c>
      <c r="D35" s="109">
        <f t="shared" si="0"/>
        <v>-2.9000000000000137E-3</v>
      </c>
      <c r="E35" s="58">
        <f ca="1">IF(表2_3671626293038912131415232425262728313236[[#This Row],[累计净值]]/MAX(INDIRECT("B21:B" &amp; ROW()))-1&lt;E34,表2_3671626293038912131415232425262728313236[[#This Row],[累计净值]]/MAX(INDIRECT("B21:B" &amp; ROW()))-1,E34)</f>
        <v>-2.9089833349768224E-2</v>
      </c>
      <c r="F35" s="110">
        <f>表2_3671626293038912131415232425262728313236[[#This Row],[累计净值]]</f>
        <v>0.98770000000000002</v>
      </c>
      <c r="G35" s="20"/>
    </row>
    <row r="36" spans="1:7" x14ac:dyDescent="0.2">
      <c r="A36" s="280">
        <v>44195</v>
      </c>
      <c r="B36" s="112">
        <v>0.99770000000000003</v>
      </c>
      <c r="C36" s="17">
        <f t="shared" si="1"/>
        <v>1.0000000000000009E-2</v>
      </c>
      <c r="D36" s="109" t="str">
        <f t="shared" si="0"/>
        <v>/</v>
      </c>
      <c r="E36" s="58">
        <f ca="1">IF(表2_3671626293038912131415232425262728313236[[#This Row],[累计净值]]/MAX(INDIRECT("B21:B" &amp; ROW()))-1&lt;E35,表2_3671626293038912131415232425262728313236[[#This Row],[累计净值]]/MAX(INDIRECT("B21:B" &amp; ROW()))-1,E35)</f>
        <v>-2.9089833349768224E-2</v>
      </c>
      <c r="F36" s="110">
        <f>表2_3671626293038912131415232425262728313236[[#This Row],[累计净值]]</f>
        <v>0.99770000000000003</v>
      </c>
      <c r="G36" s="20"/>
    </row>
    <row r="37" spans="1:7" x14ac:dyDescent="0.2">
      <c r="A37" s="280">
        <v>44196</v>
      </c>
      <c r="B37" s="112">
        <v>1.0125999999999999</v>
      </c>
      <c r="C37" s="17">
        <f t="shared" si="1"/>
        <v>1.4899999999999913E-2</v>
      </c>
      <c r="D37" s="109" t="str">
        <f t="shared" si="0"/>
        <v>/</v>
      </c>
      <c r="E37" s="58">
        <f ca="1">IF(表2_3671626293038912131415232425262728313236[[#This Row],[累计净值]]/MAX(INDIRECT("B21:B" &amp; ROW()))-1&lt;E36,表2_3671626293038912131415232425262728313236[[#This Row],[累计净值]]/MAX(INDIRECT("B21:B" &amp; ROW()))-1,E36)</f>
        <v>-2.9089833349768224E-2</v>
      </c>
      <c r="F37" s="110">
        <f>表2_3671626293038912131415232425262728313236[[#This Row],[累计净值]]</f>
        <v>1.0125999999999999</v>
      </c>
      <c r="G37" s="20"/>
    </row>
    <row r="38" spans="1:7" x14ac:dyDescent="0.2">
      <c r="A38" s="280">
        <v>44200</v>
      </c>
      <c r="B38" s="112">
        <v>1.0279</v>
      </c>
      <c r="C38" s="17">
        <f t="shared" si="1"/>
        <v>1.5300000000000091E-2</v>
      </c>
      <c r="D38" s="109" t="str">
        <f t="shared" si="0"/>
        <v>/</v>
      </c>
      <c r="E38" s="58">
        <f ca="1">IF(表2_3671626293038912131415232425262728313236[[#This Row],[累计净值]]/MAX(INDIRECT("B21:B" &amp; ROW()))-1&lt;E37,表2_3671626293038912131415232425262728313236[[#This Row],[累计净值]]/MAX(INDIRECT("B21:B" &amp; ROW()))-1,E37)</f>
        <v>-2.9089833349768224E-2</v>
      </c>
      <c r="F38" s="110">
        <f>表2_3671626293038912131415232425262728313236[[#This Row],[累计净值]]</f>
        <v>1.0279</v>
      </c>
      <c r="G38" s="20"/>
    </row>
    <row r="39" spans="1:7" x14ac:dyDescent="0.2">
      <c r="A39" s="280">
        <v>44201</v>
      </c>
      <c r="B39" s="112">
        <v>1.0365</v>
      </c>
      <c r="C39" s="17">
        <f t="shared" si="1"/>
        <v>8.599999999999941E-3</v>
      </c>
      <c r="D39" s="109" t="str">
        <f t="shared" si="0"/>
        <v>/</v>
      </c>
      <c r="E39" s="58">
        <f ca="1">IF(表2_3671626293038912131415232425262728313236[[#This Row],[累计净值]]/MAX(INDIRECT("B21:B" &amp; ROW()))-1&lt;E38,表2_3671626293038912131415232425262728313236[[#This Row],[累计净值]]/MAX(INDIRECT("B21:B" &amp; ROW()))-1,E38)</f>
        <v>-2.9089833349768224E-2</v>
      </c>
      <c r="F39" s="110">
        <f>表2_3671626293038912131415232425262728313236[[#This Row],[累计净值]]</f>
        <v>1.0365</v>
      </c>
      <c r="G39" s="20"/>
    </row>
    <row r="40" spans="1:7" x14ac:dyDescent="0.2">
      <c r="A40" s="280">
        <v>44202</v>
      </c>
      <c r="B40" s="190">
        <v>1.0347999999999999</v>
      </c>
      <c r="C40" s="11">
        <f t="shared" si="1"/>
        <v>-1.7000000000000348E-3</v>
      </c>
      <c r="D40" s="192">
        <f t="shared" si="0"/>
        <v>-1.7000000000000348E-3</v>
      </c>
      <c r="E40" s="12">
        <f ca="1">IF(表2_3671626293038912131415232425262728313236[[#This Row],[累计净值]]/MAX(INDIRECT("B21:B" &amp; ROW()))-1&lt;E39,表2_3671626293038912131415232425262728313236[[#This Row],[累计净值]]/MAX(INDIRECT("B21:B" &amp; ROW()))-1,E39)</f>
        <v>-2.9089833349768224E-2</v>
      </c>
      <c r="F40" s="193">
        <f>表2_3671626293038912131415232425262728313236[[#This Row],[累计净值]]</f>
        <v>1.0347999999999999</v>
      </c>
      <c r="G40" s="217" t="s">
        <v>49</v>
      </c>
    </row>
    <row r="41" spans="1:7" x14ac:dyDescent="0.2">
      <c r="A41" s="280">
        <v>44203</v>
      </c>
      <c r="B41" s="112">
        <v>1.0369999999999999</v>
      </c>
      <c r="C41" s="17">
        <f t="shared" si="1"/>
        <v>2.1999999999999797E-3</v>
      </c>
      <c r="D41" s="281" t="str">
        <f t="shared" si="0"/>
        <v>/</v>
      </c>
      <c r="E41" s="58">
        <f ca="1">IF(表2_3671626293038912131415232425262728313236[[#This Row],[累计净值]]/MAX(INDIRECT("B21:B" &amp; ROW()))-1&lt;E40,表2_3671626293038912131415232425262728313236[[#This Row],[累计净值]]/MAX(INDIRECT("B21:B" &amp; ROW()))-1,E40)</f>
        <v>-2.9089833349768224E-2</v>
      </c>
      <c r="F41" s="282">
        <f>表2_3671626293038912131415232425262728313236[[#This Row],[累计净值]]</f>
        <v>1.0369999999999999</v>
      </c>
      <c r="G41" s="20">
        <f>表2_3671626293038912131415232425262728313236[[#This Row],[累计净值]]/$B$40-1</f>
        <v>2.1260146888286702E-3</v>
      </c>
    </row>
    <row r="42" spans="1:7" x14ac:dyDescent="0.2">
      <c r="A42" s="280">
        <v>44204</v>
      </c>
      <c r="B42" s="112">
        <v>1.0390999999999999</v>
      </c>
      <c r="C42" s="17">
        <f t="shared" si="1"/>
        <v>2.0999999999999908E-3</v>
      </c>
      <c r="D42" s="281" t="str">
        <f t="shared" si="0"/>
        <v>/</v>
      </c>
      <c r="E42" s="58">
        <f ca="1">IF(表2_3671626293038912131415232425262728313236[[#This Row],[累计净值]]/MAX(INDIRECT("B21:B" &amp; ROW()))-1&lt;E41,表2_3671626293038912131415232425262728313236[[#This Row],[累计净值]]/MAX(INDIRECT("B21:B" &amp; ROW()))-1,E41)</f>
        <v>-2.9089833349768224E-2</v>
      </c>
      <c r="F42" s="282">
        <f>表2_3671626293038912131415232425262728313236[[#This Row],[累计净值]]</f>
        <v>1.0390999999999999</v>
      </c>
      <c r="G42" s="20">
        <f>表2_3671626293038912131415232425262728313236[[#This Row],[累计净值]]/$B$40-1</f>
        <v>4.1553923463470976E-3</v>
      </c>
    </row>
    <row r="43" spans="1:7" x14ac:dyDescent="0.2">
      <c r="A43" s="280">
        <v>44207</v>
      </c>
      <c r="B43" s="112">
        <v>1.0270999999999999</v>
      </c>
      <c r="C43" s="17">
        <f t="shared" si="1"/>
        <v>-1.2000000000000011E-2</v>
      </c>
      <c r="D43" s="281">
        <f t="shared" si="0"/>
        <v>-1.2000000000000011E-2</v>
      </c>
      <c r="E43" s="58">
        <f ca="1">IF(表2_3671626293038912131415232425262728313236[[#This Row],[累计净值]]/MAX(INDIRECT("B21:B" &amp; ROW()))-1&lt;E42,表2_3671626293038912131415232425262728313236[[#This Row],[累计净值]]/MAX(INDIRECT("B21:B" &amp; ROW()))-1,E42)</f>
        <v>-2.9089833349768224E-2</v>
      </c>
      <c r="F43" s="282">
        <f>表2_3671626293038912131415232425262728313236[[#This Row],[累计净值]]</f>
        <v>1.0270999999999999</v>
      </c>
      <c r="G43" s="20">
        <f>表2_3671626293038912131415232425262728313236[[#This Row],[累计净值]]/$B$40-1</f>
        <v>-7.4410514109006787E-3</v>
      </c>
    </row>
    <row r="44" spans="1:7" x14ac:dyDescent="0.2">
      <c r="A44" s="280">
        <v>44208</v>
      </c>
      <c r="B44" s="112">
        <v>1.0395000000000001</v>
      </c>
      <c r="C44" s="17">
        <f t="shared" si="1"/>
        <v>1.2400000000000189E-2</v>
      </c>
      <c r="D44" s="281" t="str">
        <f t="shared" ref="D44:D49" si="2">IF(C44&lt;0,C44,"/")</f>
        <v>/</v>
      </c>
      <c r="E44" s="58">
        <f ca="1">IF(表2_3671626293038912131415232425262728313236[[#This Row],[累计净值]]/MAX(INDIRECT("B21:B" &amp; ROW()))-1&lt;E43,表2_3671626293038912131415232425262728313236[[#This Row],[累计净值]]/MAX(INDIRECT("B21:B" &amp; ROW()))-1,E43)</f>
        <v>-2.9089833349768224E-2</v>
      </c>
      <c r="F44" s="282">
        <f>表2_3671626293038912131415232425262728313236[[#This Row],[累计净值]]</f>
        <v>1.0395000000000001</v>
      </c>
      <c r="G44" s="20">
        <f>表2_3671626293038912131415232425262728313236[[#This Row],[累计净值]]/$B$40-1</f>
        <v>4.5419404715889566E-3</v>
      </c>
    </row>
    <row r="45" spans="1:7" x14ac:dyDescent="0.2">
      <c r="A45" s="280">
        <v>44209</v>
      </c>
      <c r="B45" s="112">
        <v>1.0343</v>
      </c>
      <c r="C45" s="17">
        <f t="shared" si="1"/>
        <v>-5.2000000000000934E-3</v>
      </c>
      <c r="D45" s="281">
        <f t="shared" si="2"/>
        <v>-5.2000000000000934E-3</v>
      </c>
      <c r="E45" s="58">
        <f ca="1">IF(表2_3671626293038912131415232425262728313236[[#This Row],[累计净值]]/MAX(INDIRECT("B21:B" &amp; ROW()))-1&lt;E44,表2_3671626293038912131415232425262728313236[[#This Row],[累计净值]]/MAX(INDIRECT("B21:B" &amp; ROW()))-1,E44)</f>
        <v>-2.9089833349768224E-2</v>
      </c>
      <c r="F45" s="282">
        <f>表2_3671626293038912131415232425262728313236[[#This Row],[累计净值]]</f>
        <v>1.0343</v>
      </c>
      <c r="G45" s="20">
        <f>表2_3671626293038912131415232425262728313236[[#This Row],[累计净值]]/$B$40-1</f>
        <v>-4.8318515655199068E-4</v>
      </c>
    </row>
    <row r="46" spans="1:7" x14ac:dyDescent="0.2">
      <c r="A46" s="280">
        <v>44210</v>
      </c>
      <c r="B46" s="112">
        <v>1.0297000000000001</v>
      </c>
      <c r="C46" s="17">
        <f t="shared" si="1"/>
        <v>-4.5999999999999375E-3</v>
      </c>
      <c r="D46" s="281">
        <f t="shared" si="2"/>
        <v>-4.5999999999999375E-3</v>
      </c>
      <c r="E46" s="58">
        <f ca="1">IF(表2_3671626293038912131415232425262728313236[[#This Row],[累计净值]]/MAX(INDIRECT("B21:B" &amp; ROW()))-1&lt;E45,表2_3671626293038912131415232425262728313236[[#This Row],[累计净值]]/MAX(INDIRECT("B21:B" &amp; ROW()))-1,E45)</f>
        <v>-2.9089833349768224E-2</v>
      </c>
      <c r="F46" s="282">
        <f>表2_3671626293038912131415232425262728313236[[#This Row],[累计净值]]</f>
        <v>1.0297000000000001</v>
      </c>
      <c r="G46" s="20">
        <f>表2_3671626293038912131415232425262728313236[[#This Row],[累计净值]]/$B$40-1</f>
        <v>-4.9284885968301495E-3</v>
      </c>
    </row>
    <row r="47" spans="1:7" x14ac:dyDescent="0.2">
      <c r="A47" s="280">
        <v>44211</v>
      </c>
      <c r="B47" s="112">
        <v>1.026</v>
      </c>
      <c r="C47" s="17">
        <f t="shared" si="1"/>
        <v>-3.7000000000000366E-3</v>
      </c>
      <c r="D47" s="281">
        <f t="shared" si="2"/>
        <v>-3.7000000000000366E-3</v>
      </c>
      <c r="E47" s="58">
        <f ca="1">IF(表2_3671626293038912131415232425262728313236[[#This Row],[累计净值]]/MAX(INDIRECT("B21:B" &amp; ROW()))-1&lt;E46,表2_3671626293038912131415232425262728313236[[#This Row],[累计净值]]/MAX(INDIRECT("B21:B" &amp; ROW()))-1,E46)</f>
        <v>-2.9089833349768224E-2</v>
      </c>
      <c r="F47" s="282">
        <f>表2_3671626293038912131415232425262728313236[[#This Row],[累计净值]]</f>
        <v>1.026</v>
      </c>
      <c r="G47" s="20">
        <f>表2_3671626293038912131415232425262728313236[[#This Row],[累计净值]]/$B$40-1</f>
        <v>-8.5040587553150138E-3</v>
      </c>
    </row>
    <row r="48" spans="1:7" x14ac:dyDescent="0.2">
      <c r="A48" s="280">
        <v>44214</v>
      </c>
      <c r="B48" s="190">
        <v>1.0404</v>
      </c>
      <c r="C48" s="11">
        <f t="shared" si="1"/>
        <v>1.4399999999999968E-2</v>
      </c>
      <c r="D48" s="192" t="str">
        <f t="shared" si="2"/>
        <v>/</v>
      </c>
      <c r="E48" s="12">
        <f ca="1">IF(表2_3671626293038912131415232425262728313236[[#This Row],[累计净值]]/MAX(INDIRECT("B21:B" &amp; ROW()))-1&lt;E47,表2_3671626293038912131415232425262728313236[[#This Row],[累计净值]]/MAX(INDIRECT("B21:B" &amp; ROW()))-1,E47)</f>
        <v>-2.9089833349768224E-2</v>
      </c>
      <c r="F48" s="193">
        <f>表2_3671626293038912131415232425262728313236[[#This Row],[累计净值]]</f>
        <v>1.0404</v>
      </c>
      <c r="G48" s="82">
        <f>表2_3671626293038912131415232425262728313236[[#This Row],[累计净值]]/$B$40-1</f>
        <v>5.4116737533822512E-3</v>
      </c>
    </row>
    <row r="49" spans="1:7" x14ac:dyDescent="0.2">
      <c r="A49" s="280">
        <v>44215</v>
      </c>
      <c r="B49" s="112">
        <v>1.0367</v>
      </c>
      <c r="C49" s="17">
        <f t="shared" si="1"/>
        <v>-3.7000000000000366E-3</v>
      </c>
      <c r="D49" s="281">
        <f t="shared" si="2"/>
        <v>-3.7000000000000366E-3</v>
      </c>
      <c r="E49" s="58">
        <f ca="1">IF(表2_3671626293038912131415232425262728313236[[#This Row],[累计净值]]/MAX(INDIRECT("B21:B" &amp; ROW()))-1&lt;E48,表2_3671626293038912131415232425262728313236[[#This Row],[累计净值]]/MAX(INDIRECT("B21:B" &amp; ROW()))-1,E48)</f>
        <v>-2.9089833349768224E-2</v>
      </c>
      <c r="F49" s="282">
        <f>表2_3671626293038912131415232425262728313236[[#This Row],[累计净值]]</f>
        <v>1.0367</v>
      </c>
      <c r="G49" s="20">
        <f>表2_3671626293038912131415232425262728313236[[#This Row],[累计净值]]/$B$40-1</f>
        <v>1.836103594897498E-3</v>
      </c>
    </row>
    <row r="50" spans="1:7" x14ac:dyDescent="0.2">
      <c r="A50" s="280">
        <v>44216</v>
      </c>
      <c r="B50" s="112">
        <v>1.0457000000000001</v>
      </c>
      <c r="C50" s="17">
        <f t="shared" si="1"/>
        <v>9.000000000000119E-3</v>
      </c>
      <c r="D50" s="109" t="str">
        <f t="shared" ref="D50:D56" si="3">IF(C50&lt;0,C50,"/")</f>
        <v>/</v>
      </c>
      <c r="E50" s="58">
        <f ca="1">IF(表2_3671626293038912131415232425262728313236[[#This Row],[累计净值]]/MAX(INDIRECT("B21:B" &amp; ROW()))-1&lt;E49,表2_3671626293038912131415232425262728313236[[#This Row],[累计净值]]/MAX(INDIRECT("B21:B" &amp; ROW()))-1,E49)</f>
        <v>-2.9089833349768224E-2</v>
      </c>
      <c r="F50" s="110">
        <f>表2_3671626293038912131415232425262728313236[[#This Row],[累计净值]]</f>
        <v>1.0457000000000001</v>
      </c>
      <c r="G50" s="20">
        <f>表2_3671626293038912131415232425262728313236[[#This Row],[累计净值]]/$B$40-1</f>
        <v>1.0533436412833552E-2</v>
      </c>
    </row>
    <row r="51" spans="1:7" x14ac:dyDescent="0.2">
      <c r="A51" s="280">
        <v>44217</v>
      </c>
      <c r="B51" s="112">
        <v>1.0586</v>
      </c>
      <c r="C51" s="17">
        <f t="shared" si="1"/>
        <v>1.2899999999999912E-2</v>
      </c>
      <c r="D51" s="109" t="str">
        <f t="shared" si="3"/>
        <v>/</v>
      </c>
      <c r="E51" s="58">
        <f ca="1">IF(表2_3671626293038912131415232425262728313236[[#This Row],[累计净值]]/MAX(INDIRECT("B21:B" &amp; ROW()))-1&lt;E50,表2_3671626293038912131415232425262728313236[[#This Row],[累计净值]]/MAX(INDIRECT("B21:B" &amp; ROW()))-1,E50)</f>
        <v>-2.9089833349768224E-2</v>
      </c>
      <c r="F51" s="110">
        <f>表2_3671626293038912131415232425262728313236[[#This Row],[累计净值]]</f>
        <v>1.0586</v>
      </c>
      <c r="G51" s="20">
        <f>表2_3671626293038912131415232425262728313236[[#This Row],[累计净值]]/$B$40-1</f>
        <v>2.2999613451874845E-2</v>
      </c>
    </row>
    <row r="52" spans="1:7" x14ac:dyDescent="0.2">
      <c r="A52" s="280">
        <v>44218</v>
      </c>
      <c r="B52" s="112">
        <v>1.0599000000000001</v>
      </c>
      <c r="C52" s="17">
        <f t="shared" si="1"/>
        <v>1.3000000000000789E-3</v>
      </c>
      <c r="D52" s="109" t="str">
        <f t="shared" si="3"/>
        <v>/</v>
      </c>
      <c r="E52" s="58">
        <f ca="1">IF(表2_3671626293038912131415232425262728313236[[#This Row],[累计净值]]/MAX(INDIRECT("B21:B" &amp; ROW()))-1&lt;E51,表2_3671626293038912131415232425262728313236[[#This Row],[累计净值]]/MAX(INDIRECT("B21:B" &amp; ROW()))-1,E51)</f>
        <v>-2.9089833349768224E-2</v>
      </c>
      <c r="F52" s="110">
        <f>表2_3671626293038912131415232425262728313236[[#This Row],[累计净值]]</f>
        <v>1.0599000000000001</v>
      </c>
      <c r="G52" s="20">
        <f>表2_3671626293038912131415232425262728313236[[#This Row],[累计净值]]/$B$40-1</f>
        <v>2.4255894858909999E-2</v>
      </c>
    </row>
    <row r="53" spans="1:7" x14ac:dyDescent="0.2">
      <c r="A53" s="280">
        <v>44221</v>
      </c>
      <c r="B53" s="112">
        <v>1.0613999999999999</v>
      </c>
      <c r="C53" s="17">
        <f t="shared" si="1"/>
        <v>1.4999999999998348E-3</v>
      </c>
      <c r="D53" s="109" t="str">
        <f t="shared" si="3"/>
        <v>/</v>
      </c>
      <c r="E53" s="58">
        <f ca="1">IF(表2_3671626293038912131415232425262728313236[[#This Row],[累计净值]]/MAX(INDIRECT("B21:B" &amp; ROW()))-1&lt;E52,表2_3671626293038912131415232425262728313236[[#This Row],[累计净值]]/MAX(INDIRECT("B21:B" &amp; ROW()))-1,E52)</f>
        <v>-2.9089833349768224E-2</v>
      </c>
      <c r="F53" s="110">
        <f>表2_3671626293038912131415232425262728313236[[#This Row],[累计净值]]</f>
        <v>1.0613999999999999</v>
      </c>
      <c r="G53" s="20">
        <f>表2_3671626293038912131415232425262728313236[[#This Row],[累计净值]]/$B$40-1</f>
        <v>2.570545032856586E-2</v>
      </c>
    </row>
    <row r="54" spans="1:7" x14ac:dyDescent="0.2">
      <c r="A54" s="280">
        <v>44222</v>
      </c>
      <c r="B54" s="112">
        <v>1.0445</v>
      </c>
      <c r="C54" s="17">
        <f t="shared" si="1"/>
        <v>-1.6899999999999915E-2</v>
      </c>
      <c r="D54" s="109">
        <f t="shared" si="3"/>
        <v>-1.6899999999999915E-2</v>
      </c>
      <c r="E54" s="58">
        <f ca="1">IF(表2_3671626293038912131415232425262728313236[[#This Row],[累计净值]]/MAX(INDIRECT("B21:B" &amp; ROW()))-1&lt;E53,表2_3671626293038912131415232425262728313236[[#This Row],[累计净值]]/MAX(INDIRECT("B21:B" &amp; ROW()))-1,E53)</f>
        <v>-2.9089833349768224E-2</v>
      </c>
      <c r="F54" s="110">
        <f>表2_3671626293038912131415232425262728313236[[#This Row],[累计净值]]</f>
        <v>1.0445</v>
      </c>
      <c r="G54" s="20">
        <f>表2_3671626293038912131415232425262728313236[[#This Row],[累计净值]]/$B$40-1</f>
        <v>9.3737920371086414E-3</v>
      </c>
    </row>
    <row r="55" spans="1:7" x14ac:dyDescent="0.2">
      <c r="A55" s="280">
        <v>44223</v>
      </c>
      <c r="B55" s="112">
        <v>1.0489999999999999</v>
      </c>
      <c r="C55" s="17">
        <f t="shared" si="1"/>
        <v>4.4999999999999485E-3</v>
      </c>
      <c r="D55" s="109" t="str">
        <f t="shared" si="3"/>
        <v>/</v>
      </c>
      <c r="E55" s="58">
        <f ca="1">IF(表2_3671626293038912131415232425262728313236[[#This Row],[累计净值]]/MAX(INDIRECT("B21:B" &amp; ROW()))-1&lt;E54,表2_3671626293038912131415232425262728313236[[#This Row],[累计净值]]/MAX(INDIRECT("B21:B" &amp; ROW()))-1,E54)</f>
        <v>-2.9089833349768224E-2</v>
      </c>
      <c r="F55" s="110">
        <f>表2_3671626293038912131415232425262728313236[[#This Row],[累计净值]]</f>
        <v>1.0489999999999999</v>
      </c>
      <c r="G55" s="20">
        <f>表2_3671626293038912131415232425262728313236[[#This Row],[累计净值]]/$B$40-1</f>
        <v>1.3722458446076446E-2</v>
      </c>
    </row>
    <row r="56" spans="1:7" x14ac:dyDescent="0.2">
      <c r="A56" s="280">
        <v>44224</v>
      </c>
      <c r="B56" s="112">
        <v>1.0281</v>
      </c>
      <c r="C56" s="17">
        <f t="shared" si="1"/>
        <v>-2.0899999999999919E-2</v>
      </c>
      <c r="D56" s="109">
        <f t="shared" si="3"/>
        <v>-2.0899999999999919E-2</v>
      </c>
      <c r="E56" s="58">
        <f ca="1">IF(表2_3671626293038912131415232425262728313236[[#This Row],[累计净值]]/MAX(INDIRECT("B21:B" &amp; ROW()))-1&lt;E55,表2_3671626293038912131415232425262728313236[[#This Row],[累计净值]]/MAX(INDIRECT("B21:B" &amp; ROW()))-1,E55)</f>
        <v>-3.1373657433578228E-2</v>
      </c>
      <c r="F56" s="110">
        <f>表2_3671626293038912131415232425262728313236[[#This Row],[累计净值]]</f>
        <v>1.0281</v>
      </c>
      <c r="G56" s="20">
        <f>表2_3671626293038912131415232425262728313236[[#This Row],[累计净值]]/$B$40-1</f>
        <v>-6.4746810977965863E-3</v>
      </c>
    </row>
    <row r="57" spans="1:7" x14ac:dyDescent="0.2">
      <c r="A57" s="280">
        <v>44225</v>
      </c>
      <c r="B57" s="112">
        <v>1.0158</v>
      </c>
      <c r="C57" s="17">
        <f t="shared" si="1"/>
        <v>-1.2299999999999978E-2</v>
      </c>
      <c r="D57" s="109">
        <f t="shared" ref="D57:D62" si="4">IF(C57&lt;0,C57,"/")</f>
        <v>-1.2299999999999978E-2</v>
      </c>
      <c r="E57" s="58">
        <f ca="1">IF(表2_3671626293038912131415232425262728313236[[#This Row],[累计净值]]/MAX(INDIRECT("B21:B" &amp; ROW()))-1&lt;E56,表2_3671626293038912131415232425262728313236[[#This Row],[累计净值]]/MAX(INDIRECT("B21:B" &amp; ROW()))-1,E56)</f>
        <v>-4.2962125494629633E-2</v>
      </c>
      <c r="F57" s="110">
        <f>表2_3671626293038912131415232425262728313236[[#This Row],[累计净值]]</f>
        <v>1.0158</v>
      </c>
      <c r="G57" s="20">
        <f>表2_3671626293038912131415232425262728313236[[#This Row],[累计净值]]/$B$40-1</f>
        <v>-1.8361035948975535E-2</v>
      </c>
    </row>
    <row r="58" spans="1:7" x14ac:dyDescent="0.2">
      <c r="A58" s="280">
        <v>44228</v>
      </c>
      <c r="B58" s="112">
        <v>1.0245</v>
      </c>
      <c r="C58" s="17">
        <f t="shared" si="1"/>
        <v>8.69999999999993E-3</v>
      </c>
      <c r="D58" s="109" t="str">
        <f t="shared" si="4"/>
        <v>/</v>
      </c>
      <c r="E58" s="58">
        <f ca="1">IF(表2_3671626293038912131415232425262728313236[[#This Row],[累计净值]]/MAX(INDIRECT("B21:B" &amp; ROW()))-1&lt;E57,表2_3671626293038912131415232425262728313236[[#This Row],[累计净值]]/MAX(INDIRECT("B21:B" &amp; ROW()))-1,E57)</f>
        <v>-4.2962125494629633E-2</v>
      </c>
      <c r="F58" s="110">
        <f>表2_3671626293038912131415232425262728313236[[#This Row],[累计净值]]</f>
        <v>1.0245</v>
      </c>
      <c r="G58" s="20">
        <f>表2_3671626293038912131415232425262728313236[[#This Row],[累计净值]]/$B$40-1</f>
        <v>-9.9536142249709858E-3</v>
      </c>
    </row>
    <row r="59" spans="1:7" x14ac:dyDescent="0.2">
      <c r="A59" s="280">
        <v>44229</v>
      </c>
      <c r="B59" s="112">
        <v>1.0347</v>
      </c>
      <c r="C59" s="17">
        <f t="shared" si="1"/>
        <v>1.0199999999999987E-2</v>
      </c>
      <c r="D59" s="109" t="str">
        <f t="shared" si="4"/>
        <v>/</v>
      </c>
      <c r="E59" s="58">
        <f ca="1">IF(表2_3671626293038912131415232425262728313236[[#This Row],[累计净值]]/MAX(INDIRECT("B21:B" &amp; ROW()))-1&lt;E58,表2_3671626293038912131415232425262728313236[[#This Row],[累计净值]]/MAX(INDIRECT("B21:B" &amp; ROW()))-1,E58)</f>
        <v>-4.2962125494629633E-2</v>
      </c>
      <c r="F59" s="110">
        <f>表2_3671626293038912131415232425262728313236[[#This Row],[累计净值]]</f>
        <v>1.0347</v>
      </c>
      <c r="G59" s="20">
        <f>表2_3671626293038912131415232425262728313236[[#This Row],[累计净值]]/$B$40-1</f>
        <v>-9.6637031310353727E-5</v>
      </c>
    </row>
    <row r="60" spans="1:7" x14ac:dyDescent="0.2">
      <c r="A60" s="280">
        <v>44230</v>
      </c>
      <c r="B60" s="112">
        <v>1.0273000000000001</v>
      </c>
      <c r="C60" s="17">
        <f t="shared" si="1"/>
        <v>-7.3999999999998511E-3</v>
      </c>
      <c r="D60" s="109">
        <f t="shared" si="4"/>
        <v>-7.3999999999998511E-3</v>
      </c>
      <c r="E60" s="58">
        <f ca="1">IF(表2_3671626293038912131415232425262728313236[[#This Row],[累计净值]]/MAX(INDIRECT("B21:B" &amp; ROW()))-1&lt;E59,表2_3671626293038912131415232425262728313236[[#This Row],[累计净值]]/MAX(INDIRECT("B21:B" &amp; ROW()))-1,E59)</f>
        <v>-4.2962125494629633E-2</v>
      </c>
      <c r="F60" s="110">
        <f>表2_3671626293038912131415232425262728313236[[#This Row],[累计净值]]</f>
        <v>1.0273000000000001</v>
      </c>
      <c r="G60" s="20">
        <f>表2_3671626293038912131415232425262728313236[[#This Row],[累计净值]]/$B$40-1</f>
        <v>-7.2477773482797492E-3</v>
      </c>
    </row>
    <row r="61" spans="1:7" x14ac:dyDescent="0.2">
      <c r="A61" s="280">
        <v>44231</v>
      </c>
      <c r="B61" s="112">
        <v>1.0165999999999999</v>
      </c>
      <c r="C61" s="17">
        <f t="shared" si="1"/>
        <v>-1.0700000000000154E-2</v>
      </c>
      <c r="D61" s="109">
        <f t="shared" si="4"/>
        <v>-1.0700000000000154E-2</v>
      </c>
      <c r="E61" s="58">
        <f ca="1">IF(表2_3671626293038912131415232425262728313236[[#This Row],[累计净值]]/MAX(INDIRECT("B21:B" &amp; ROW()))-1&lt;E60,表2_3671626293038912131415232425262728313236[[#This Row],[累计净值]]/MAX(INDIRECT("B21:B" &amp; ROW()))-1,E60)</f>
        <v>-4.2962125494629633E-2</v>
      </c>
      <c r="F61" s="110">
        <f>表2_3671626293038912131415232425262728313236[[#This Row],[累计净值]]</f>
        <v>1.0165999999999999</v>
      </c>
      <c r="G61" s="20">
        <f>表2_3671626293038912131415232425262728313236[[#This Row],[累计净值]]/$B$40-1</f>
        <v>-1.7587939698492483E-2</v>
      </c>
    </row>
    <row r="62" spans="1:7" x14ac:dyDescent="0.2">
      <c r="A62" s="280">
        <v>44232</v>
      </c>
      <c r="B62" s="112">
        <v>1.0037</v>
      </c>
      <c r="C62" s="17">
        <f t="shared" si="1"/>
        <v>-1.2899999999999912E-2</v>
      </c>
      <c r="D62" s="109">
        <f t="shared" si="4"/>
        <v>-1.2899999999999912E-2</v>
      </c>
      <c r="E62" s="58">
        <f ca="1">IF(表2_3671626293038912131415232425262728313236[[#This Row],[累计净值]]/MAX(INDIRECT("B21:B" &amp; ROW()))-1&lt;E61,表2_3671626293038912131415232425262728313236[[#This Row],[累计净值]]/MAX(INDIRECT("B21:B" &amp; ROW()))-1,E61)</f>
        <v>-5.4362163180704637E-2</v>
      </c>
      <c r="F62" s="110">
        <f>表2_3671626293038912131415232425262728313236[[#This Row],[累计净值]]</f>
        <v>1.0037</v>
      </c>
      <c r="G62" s="20">
        <f>表2_3671626293038912131415232425262728313236[[#This Row],[累计净值]]/$B$40-1</f>
        <v>-3.0054116737533776E-2</v>
      </c>
    </row>
    <row r="63" spans="1:7" x14ac:dyDescent="0.2">
      <c r="A63" s="280">
        <v>44235</v>
      </c>
      <c r="B63" s="112">
        <v>1.0178</v>
      </c>
      <c r="C63" s="17">
        <f t="shared" si="1"/>
        <v>1.4100000000000001E-2</v>
      </c>
      <c r="D63" s="109" t="str">
        <f>IF(C63&lt;0,C63,"/")</f>
        <v>/</v>
      </c>
      <c r="E63" s="58">
        <f ca="1">IF(表2_3671626293038912131415232425262728313236[[#This Row],[累计净值]]/MAX(INDIRECT("B21:B" &amp; ROW()))-1&lt;E62,表2_3671626293038912131415232425262728313236[[#This Row],[累计净值]]/MAX(INDIRECT("B21:B" &amp; ROW()))-1,E62)</f>
        <v>-5.4362163180704637E-2</v>
      </c>
      <c r="F63" s="110">
        <f>表2_3671626293038912131415232425262728313236[[#This Row],[累计净值]]</f>
        <v>1.0178</v>
      </c>
      <c r="G63" s="20">
        <f>表2_3671626293038912131415232425262728313236[[#This Row],[累计净值]]/$B$40-1</f>
        <v>-1.6428295322767572E-2</v>
      </c>
    </row>
    <row r="64" spans="1:7" x14ac:dyDescent="0.2">
      <c r="A64" s="280">
        <v>44236</v>
      </c>
      <c r="B64" s="112">
        <v>1.0415000000000001</v>
      </c>
      <c r="C64" s="17">
        <f t="shared" si="1"/>
        <v>2.3700000000000054E-2</v>
      </c>
      <c r="D64" s="109" t="str">
        <f>IF(C64&lt;0,C64,"/")</f>
        <v>/</v>
      </c>
      <c r="E64" s="58">
        <f ca="1">IF(表2_3671626293038912131415232425262728313236[[#This Row],[累计净值]]/MAX(INDIRECT("B21:B" &amp; ROW()))-1&lt;E63,表2_3671626293038912131415232425262728313236[[#This Row],[累计净值]]/MAX(INDIRECT("B21:B" &amp; ROW()))-1,E63)</f>
        <v>-5.4362163180704637E-2</v>
      </c>
      <c r="F64" s="110">
        <f>表2_3671626293038912131415232425262728313236[[#This Row],[累计净值]]</f>
        <v>1.0415000000000001</v>
      </c>
      <c r="G64" s="20">
        <f>表2_3671626293038912131415232425262728313236[[#This Row],[累计净值]]/$B$40-1</f>
        <v>6.4746810977969194E-3</v>
      </c>
    </row>
    <row r="65" spans="1:7" x14ac:dyDescent="0.2">
      <c r="A65" s="280">
        <v>44237</v>
      </c>
      <c r="B65" s="112">
        <v>1.0513999999999999</v>
      </c>
      <c r="C65" s="17">
        <f t="shared" si="1"/>
        <v>9.8999999999997979E-3</v>
      </c>
      <c r="D65" s="109" t="str">
        <f t="shared" ref="D65:D67" si="5">IF(C65&lt;0,C65,"/")</f>
        <v>/</v>
      </c>
      <c r="E65" s="58">
        <f ca="1">IF(表2_3671626293038912131415232425262728313236[[#This Row],[累计净值]]/MAX(INDIRECT("B21:B" &amp; ROW()))-1&lt;E64,表2_3671626293038912131415232425262728313236[[#This Row],[累计净值]]/MAX(INDIRECT("B21:B" &amp; ROW()))-1,E64)</f>
        <v>-5.4362163180704637E-2</v>
      </c>
      <c r="F65" s="110">
        <f>表2_3671626293038912131415232425262728313236[[#This Row],[累计净值]]</f>
        <v>1.0513999999999999</v>
      </c>
      <c r="G65" s="20">
        <f>表2_3671626293038912131415232425262728313236[[#This Row],[累计净值]]/$B$40-1</f>
        <v>1.6041747197526046E-2</v>
      </c>
    </row>
    <row r="66" spans="1:7" x14ac:dyDescent="0.2">
      <c r="A66" s="280">
        <v>44245</v>
      </c>
      <c r="B66" s="112">
        <v>1.0687</v>
      </c>
      <c r="C66" s="17">
        <f t="shared" si="1"/>
        <v>1.7300000000000093E-2</v>
      </c>
      <c r="D66" s="109" t="str">
        <f t="shared" si="5"/>
        <v>/</v>
      </c>
      <c r="E66" s="58">
        <f ca="1">IF(表2_3671626293038912131415232425262728313236[[#This Row],[累计净值]]/MAX(INDIRECT("B21:B" &amp; ROW()))-1&lt;E65,表2_3671626293038912131415232425262728313236[[#This Row],[累计净值]]/MAX(INDIRECT("B21:B" &amp; ROW()))-1,E65)</f>
        <v>-5.4362163180704637E-2</v>
      </c>
      <c r="F66" s="110">
        <f>表2_3671626293038912131415232425262728313236[[#This Row],[累计净值]]</f>
        <v>1.0687</v>
      </c>
      <c r="G66" s="20">
        <f>表2_3671626293038912131415232425262728313236[[#This Row],[累计净值]]/$B$40-1</f>
        <v>3.2759953614225124E-2</v>
      </c>
    </row>
    <row r="67" spans="1:7" x14ac:dyDescent="0.2">
      <c r="A67" s="280">
        <v>44246</v>
      </c>
      <c r="B67" s="117">
        <v>1.0851999999999999</v>
      </c>
      <c r="C67" s="17">
        <f t="shared" si="1"/>
        <v>1.6499999999999959E-2</v>
      </c>
      <c r="D67" s="109" t="str">
        <f t="shared" si="5"/>
        <v>/</v>
      </c>
      <c r="E67" s="58">
        <f ca="1">IF(表2_3671626293038912131415232425262728313236[[#This Row],[累计净值]]/MAX(INDIRECT("B21:B" &amp; ROW()))-1&lt;E66,表2_3671626293038912131415232425262728313236[[#This Row],[累计净值]]/MAX(INDIRECT("B21:B" &amp; ROW()))-1,E66)</f>
        <v>-5.4362163180704637E-2</v>
      </c>
      <c r="F67" s="110">
        <f>表2_3671626293038912131415232425262728313236[[#This Row],[累计净值]]</f>
        <v>1.0851999999999999</v>
      </c>
      <c r="G67" s="20">
        <f>表2_3671626293038912131415232425262728313236[[#This Row],[累计净值]]/$B$40-1</f>
        <v>4.8705063780440705E-2</v>
      </c>
    </row>
    <row r="68" spans="1:7" x14ac:dyDescent="0.2">
      <c r="A68" s="280">
        <v>44249</v>
      </c>
      <c r="B68" s="112">
        <v>1.0844</v>
      </c>
      <c r="C68" s="17">
        <f t="shared" si="1"/>
        <v>-7.9999999999991189E-4</v>
      </c>
      <c r="D68" s="109">
        <f>IF(C68&lt;0,C68,"/")</f>
        <v>-7.9999999999991189E-4</v>
      </c>
      <c r="E68" s="58">
        <f ca="1">IF(表2_3671626293038912131415232425262728313236[[#This Row],[累计净值]]/MAX(INDIRECT("B21:B" &amp; ROW()))-1&lt;E67,表2_3671626293038912131415232425262728313236[[#This Row],[累计净值]]/MAX(INDIRECT("B21:B" &amp; ROW()))-1,E67)</f>
        <v>-5.4362163180704637E-2</v>
      </c>
      <c r="F68" s="110">
        <f>表2_3671626293038912131415232425262728313236[[#This Row],[累计净值]]</f>
        <v>1.0844</v>
      </c>
      <c r="G68" s="20">
        <f>表2_3671626293038912131415232425262728313236[[#This Row],[累计净值]]/$B$40-1</f>
        <v>4.7931967529957653E-2</v>
      </c>
    </row>
    <row r="69" spans="1:7" x14ac:dyDescent="0.2">
      <c r="A69" s="280">
        <v>44250</v>
      </c>
      <c r="B69" s="112">
        <v>1.0793999999999999</v>
      </c>
      <c r="C69" s="17">
        <f t="shared" si="1"/>
        <v>-5.0000000000001155E-3</v>
      </c>
      <c r="D69" s="109">
        <f>IF(C69&lt;0,C69,"/")</f>
        <v>-5.0000000000001155E-3</v>
      </c>
      <c r="E69" s="58">
        <f ca="1">IF(表2_3671626293038912131415232425262728313236[[#This Row],[累计净值]]/MAX(INDIRECT("B21:B" &amp; ROW()))-1&lt;E68,表2_3671626293038912131415232425262728313236[[#This Row],[累计净值]]/MAX(INDIRECT("B21:B" &amp; ROW()))-1,E68)</f>
        <v>-5.4362163180704637E-2</v>
      </c>
      <c r="F69" s="110">
        <f>表2_3671626293038912131415232425262728313236[[#This Row],[累计净值]]</f>
        <v>1.0793999999999999</v>
      </c>
      <c r="G69" s="20">
        <f>表2_3671626293038912131415232425262728313236[[#This Row],[累计净值]]/$B$40-1</f>
        <v>4.3100115964437524E-2</v>
      </c>
    </row>
    <row r="70" spans="1:7" x14ac:dyDescent="0.2">
      <c r="A70" s="280">
        <v>44251</v>
      </c>
      <c r="B70" s="112">
        <v>1.0649999999999999</v>
      </c>
      <c r="C70" s="17">
        <f t="shared" si="1"/>
        <v>-1.4399999999999968E-2</v>
      </c>
      <c r="D70" s="109">
        <f>IF(C70&lt;0,C70,"/")</f>
        <v>-1.4399999999999968E-2</v>
      </c>
      <c r="E70" s="58">
        <f ca="1">IF(表2_3671626293038912131415232425262728313236[[#This Row],[累计净值]]/MAX(INDIRECT("B21:B" &amp; ROW()))-1&lt;E69,表2_3671626293038912131415232425262728313236[[#This Row],[累计净值]]/MAX(INDIRECT("B21:B" &amp; ROW()))-1,E69)</f>
        <v>-5.4362163180704637E-2</v>
      </c>
      <c r="F70" s="110">
        <f>表2_3671626293038912131415232425262728313236[[#This Row],[累计净值]]</f>
        <v>1.0649999999999999</v>
      </c>
      <c r="G70" s="20">
        <f>表2_3671626293038912131415232425262728313236[[#This Row],[累计净值]]/$B$40-1</f>
        <v>2.9184383455740148E-2</v>
      </c>
    </row>
    <row r="71" spans="1:7" x14ac:dyDescent="0.2">
      <c r="A71" s="280">
        <v>44252</v>
      </c>
      <c r="B71" s="112">
        <v>1.0613999999999999</v>
      </c>
      <c r="C71" s="17">
        <f t="shared" si="1"/>
        <v>-3.6000000000000476E-3</v>
      </c>
      <c r="D71" s="109">
        <f>IF(C71&lt;0,C71,"/")</f>
        <v>-3.6000000000000476E-3</v>
      </c>
      <c r="E71" s="58">
        <f ca="1">IF(表2_3671626293038912131415232425262728313236[[#This Row],[累计净值]]/MAX(INDIRECT("B21:B" &amp; ROW()))-1&lt;E70,表2_3671626293038912131415232425262728313236[[#This Row],[累计净值]]/MAX(INDIRECT("B21:B" &amp; ROW()))-1,E70)</f>
        <v>-5.4362163180704637E-2</v>
      </c>
      <c r="F71" s="110">
        <f>表2_3671626293038912131415232425262728313236[[#This Row],[累计净值]]</f>
        <v>1.0613999999999999</v>
      </c>
      <c r="G71" s="20">
        <f>表2_3671626293038912131415232425262728313236[[#This Row],[累计净值]]/$B$40-1</f>
        <v>2.570545032856586E-2</v>
      </c>
    </row>
    <row r="72" spans="1:7" x14ac:dyDescent="0.2">
      <c r="A72" s="280">
        <v>44253</v>
      </c>
      <c r="B72" s="112">
        <v>1.0415000000000001</v>
      </c>
      <c r="C72" s="17">
        <f t="shared" si="1"/>
        <v>-1.9899999999999807E-2</v>
      </c>
      <c r="D72" s="109">
        <f t="shared" ref="D72:D75" si="6">IF(C72&lt;0,C72,"/")</f>
        <v>-1.9899999999999807E-2</v>
      </c>
      <c r="E72" s="58">
        <f ca="1">IF(表2_3671626293038912131415232425262728313236[[#This Row],[累计净值]]/MAX(INDIRECT("B21:B" &amp; ROW()))-1&lt;E71,表2_3671626293038912131415232425262728313236[[#This Row],[累计净值]]/MAX(INDIRECT("B21:B" &amp; ROW()))-1,E71)</f>
        <v>-5.4362163180704637E-2</v>
      </c>
      <c r="F72" s="110">
        <f>表2_3671626293038912131415232425262728313236[[#This Row],[累计净值]]</f>
        <v>1.0415000000000001</v>
      </c>
      <c r="G72" s="20">
        <f>表2_3671626293038912131415232425262728313236[[#This Row],[累计净值]]/$B$40-1</f>
        <v>6.4746810977969194E-3</v>
      </c>
    </row>
    <row r="73" spans="1:7" x14ac:dyDescent="0.2">
      <c r="A73" s="280">
        <v>44256</v>
      </c>
      <c r="B73" s="112">
        <v>1.0603</v>
      </c>
      <c r="C73" s="17">
        <f t="shared" si="1"/>
        <v>1.8799999999999928E-2</v>
      </c>
      <c r="D73" s="109" t="str">
        <f t="shared" si="6"/>
        <v>/</v>
      </c>
      <c r="E73" s="58">
        <f ca="1">IF(表2_3671626293038912131415232425262728313236[[#This Row],[累计净值]]/MAX(INDIRECT("B21:B" &amp; ROW()))-1&lt;E72,表2_3671626293038912131415232425262728313236[[#This Row],[累计净值]]/MAX(INDIRECT("B21:B" &amp; ROW()))-1,E72)</f>
        <v>-5.4362163180704637E-2</v>
      </c>
      <c r="F73" s="110">
        <f>表2_3671626293038912131415232425262728313236[[#This Row],[累计净值]]</f>
        <v>1.0603</v>
      </c>
      <c r="G73" s="20">
        <f>表2_3671626293038912131415232425262728313236[[#This Row],[累计净值]]/$B$40-1</f>
        <v>2.4642442984151636E-2</v>
      </c>
    </row>
    <row r="74" spans="1:7" x14ac:dyDescent="0.2">
      <c r="A74" s="280">
        <v>44257</v>
      </c>
      <c r="B74" s="112">
        <v>1.0508999999999999</v>
      </c>
      <c r="C74" s="17">
        <f t="shared" si="1"/>
        <v>-9.400000000000075E-3</v>
      </c>
      <c r="D74" s="109">
        <f t="shared" si="6"/>
        <v>-9.400000000000075E-3</v>
      </c>
      <c r="E74" s="58">
        <f ca="1">IF(表2_3671626293038912131415232425262728313236[[#This Row],[累计净值]]/MAX(INDIRECT("B21:B" &amp; ROW()))-1&lt;E73,表2_3671626293038912131415232425262728313236[[#This Row],[累计净值]]/MAX(INDIRECT("B21:B" &amp; ROW()))-1,E73)</f>
        <v>-5.4362163180704637E-2</v>
      </c>
      <c r="F74" s="110">
        <f>表2_3671626293038912131415232425262728313236[[#This Row],[累计净值]]</f>
        <v>1.0508999999999999</v>
      </c>
      <c r="G74" s="20">
        <f>表2_3671626293038912131415232425262728313236[[#This Row],[累计净值]]/$B$40-1</f>
        <v>1.5558562040974167E-2</v>
      </c>
    </row>
    <row r="75" spans="1:7" x14ac:dyDescent="0.2">
      <c r="A75" s="280">
        <v>44258</v>
      </c>
      <c r="B75" s="112">
        <v>1.0658000000000001</v>
      </c>
      <c r="C75" s="17">
        <f t="shared" si="1"/>
        <v>1.4900000000000135E-2</v>
      </c>
      <c r="D75" s="109" t="str">
        <f t="shared" si="6"/>
        <v>/</v>
      </c>
      <c r="E75" s="58">
        <f ca="1">IF(表2_3671626293038912131415232425262728313236[[#This Row],[累计净值]]/MAX(INDIRECT("B21:B" &amp; ROW()))-1&lt;E74,表2_3671626293038912131415232425262728313236[[#This Row],[累计净值]]/MAX(INDIRECT("B21:B" &amp; ROW()))-1,E74)</f>
        <v>-5.4362163180704637E-2</v>
      </c>
      <c r="F75" s="110">
        <f>表2_3671626293038912131415232425262728313236[[#This Row],[累计净值]]</f>
        <v>1.0658000000000001</v>
      </c>
      <c r="G75" s="20">
        <f>表2_3671626293038912131415232425262728313236[[#This Row],[累计净值]]/$B$40-1</f>
        <v>2.9957479706223644E-2</v>
      </c>
    </row>
    <row r="76" spans="1:7" x14ac:dyDescent="0.2">
      <c r="A76" s="280">
        <v>44259</v>
      </c>
      <c r="B76" s="112">
        <v>1.0504</v>
      </c>
      <c r="C76" s="17">
        <f t="shared" si="1"/>
        <v>-1.540000000000008E-2</v>
      </c>
      <c r="D76" s="109">
        <f t="shared" ref="D76" si="7">IF(C76&lt;0,C76,"/")</f>
        <v>-1.540000000000008E-2</v>
      </c>
      <c r="E76" s="58">
        <f ca="1">IF(表2_3671626293038912131415232425262728313236[[#This Row],[累计净值]]/MAX(INDIRECT("B21:B" &amp; ROW()))-1&lt;E75,表2_3671626293038912131415232425262728313236[[#This Row],[累计净值]]/MAX(INDIRECT("B21:B" &amp; ROW()))-1,E75)</f>
        <v>-5.4362163180704637E-2</v>
      </c>
      <c r="F76" s="110">
        <f>表2_3671626293038912131415232425262728313236[[#This Row],[累计净值]]</f>
        <v>1.0504</v>
      </c>
      <c r="G76" s="20">
        <f>表2_3671626293038912131415232425262728313236[[#This Row],[累计净值]]/$B$40-1</f>
        <v>1.5075376884422065E-2</v>
      </c>
    </row>
    <row r="77" spans="1:7" x14ac:dyDescent="0.2">
      <c r="A77" s="280">
        <v>44260</v>
      </c>
      <c r="B77" s="112">
        <v>1.0527</v>
      </c>
      <c r="C77" s="17">
        <f t="shared" si="1"/>
        <v>2.2999999999999687E-3</v>
      </c>
      <c r="D77" s="109" t="str">
        <f t="shared" ref="D77:D80" si="8">IF(C77&lt;0,C77,"/")</f>
        <v>/</v>
      </c>
      <c r="E77" s="58">
        <f ca="1">IF(表2_3671626293038912131415232425262728313236[[#This Row],[累计净值]]/MAX(INDIRECT("B21:B" &amp; ROW()))-1&lt;E76,表2_3671626293038912131415232425262728313236[[#This Row],[累计净值]]/MAX(INDIRECT("B21:B" &amp; ROW()))-1,E76)</f>
        <v>-5.4362163180704637E-2</v>
      </c>
      <c r="F77" s="110">
        <f>表2_3671626293038912131415232425262728313236[[#This Row],[累计净值]]</f>
        <v>1.0527</v>
      </c>
      <c r="G77" s="20">
        <f>表2_3671626293038912131415232425262728313236[[#This Row],[累计净值]]/$B$40-1</f>
        <v>1.72980286045612E-2</v>
      </c>
    </row>
    <row r="78" spans="1:7" x14ac:dyDescent="0.2">
      <c r="A78" s="280">
        <v>44263</v>
      </c>
      <c r="B78" s="112">
        <v>1.0299</v>
      </c>
      <c r="C78" s="17">
        <f t="shared" si="1"/>
        <v>-2.2799999999999931E-2</v>
      </c>
      <c r="D78" s="109">
        <f t="shared" si="8"/>
        <v>-2.2799999999999931E-2</v>
      </c>
      <c r="E78" s="58">
        <f ca="1">IF(表2_3671626293038912131415232425262728313236[[#This Row],[累计净值]]/MAX(INDIRECT("B21:B" &amp; ROW()))-1&lt;E77,表2_3671626293038912131415232425262728313236[[#This Row],[累计净值]]/MAX(INDIRECT("B21:B" &amp; ROW()))-1,E77)</f>
        <v>-5.4362163180704637E-2</v>
      </c>
      <c r="F78" s="110">
        <f>表2_3671626293038912131415232425262728313236[[#This Row],[累计净值]]</f>
        <v>1.0299</v>
      </c>
      <c r="G78" s="20">
        <f>表2_3671626293038912131415232425262728313236[[#This Row],[累计净值]]/$B$40-1</f>
        <v>-4.735214534209442E-3</v>
      </c>
    </row>
    <row r="79" spans="1:7" x14ac:dyDescent="0.2">
      <c r="A79" s="280">
        <v>44264</v>
      </c>
      <c r="B79" s="112">
        <v>1.0078</v>
      </c>
      <c r="C79" s="17">
        <f t="shared" si="1"/>
        <v>-2.2100000000000009E-2</v>
      </c>
      <c r="D79" s="109">
        <f t="shared" si="8"/>
        <v>-2.2100000000000009E-2</v>
      </c>
      <c r="E79" s="58">
        <f ca="1">IF(表2_3671626293038912131415232425262728313236[[#This Row],[累计净值]]/MAX(INDIRECT("B21:B" &amp; ROW()))-1&lt;E78,表2_3671626293038912131415232425262728313236[[#This Row],[累计净值]]/MAX(INDIRECT("B21:B" &amp; ROW()))-1,E78)</f>
        <v>-7.1323258385550981E-2</v>
      </c>
      <c r="F79" s="110">
        <f>表2_3671626293038912131415232425262728313236[[#This Row],[累计净值]]</f>
        <v>1.0078</v>
      </c>
      <c r="G79" s="20">
        <f>表2_3671626293038912131415232425262728313236[[#This Row],[累计净值]]/$B$40-1</f>
        <v>-2.6091998453807386E-2</v>
      </c>
    </row>
    <row r="80" spans="1:7" x14ac:dyDescent="0.2">
      <c r="A80" s="280">
        <v>44265</v>
      </c>
      <c r="B80" s="112">
        <v>1.0001</v>
      </c>
      <c r="C80" s="17">
        <f t="shared" si="1"/>
        <v>-7.7000000000000401E-3</v>
      </c>
      <c r="D80" s="109">
        <f t="shared" si="8"/>
        <v>-7.7000000000000401E-3</v>
      </c>
      <c r="E80" s="58">
        <f ca="1">IF(表2_3671626293038912131415232425262728313236[[#This Row],[累计净值]]/MAX(INDIRECT("B21:B" &amp; ROW()))-1&lt;E79,表2_3671626293038912131415232425262728313236[[#This Row],[累计净值]]/MAX(INDIRECT("B21:B" &amp; ROW()))-1,E79)</f>
        <v>-7.8418724659048977E-2</v>
      </c>
      <c r="F80" s="110">
        <f>表2_3671626293038912131415232425262728313236[[#This Row],[累计净值]]</f>
        <v>1.0001</v>
      </c>
      <c r="G80" s="20">
        <f>表2_3671626293038912131415232425262728313236[[#This Row],[累计净值]]/$B$40-1</f>
        <v>-3.3533049864708064E-2</v>
      </c>
    </row>
    <row r="81" spans="1:7" x14ac:dyDescent="0.2">
      <c r="A81" s="280">
        <v>44266</v>
      </c>
      <c r="B81" s="112">
        <v>1.0239</v>
      </c>
      <c r="C81" s="17">
        <f t="shared" si="1"/>
        <v>2.3800000000000043E-2</v>
      </c>
      <c r="D81" s="109" t="str">
        <f t="shared" ref="D81:D86" si="9">IF(C81&lt;0,C81,"/")</f>
        <v>/</v>
      </c>
      <c r="E81" s="58">
        <f ca="1">IF(表2_3671626293038912131415232425262728313236[[#This Row],[累计净值]]/MAX(INDIRECT("B21:B" &amp; ROW()))-1&lt;E80,表2_3671626293038912131415232425262728313236[[#This Row],[累计净值]]/MAX(INDIRECT("B21:B" &amp; ROW()))-1,E80)</f>
        <v>-7.8418724659048977E-2</v>
      </c>
      <c r="F81" s="110">
        <f>表2_3671626293038912131415232425262728313236[[#This Row],[累计净值]]</f>
        <v>1.0239</v>
      </c>
      <c r="G81" s="20">
        <f>表2_3671626293038912131415232425262728313236[[#This Row],[累计净值]]/$B$40-1</f>
        <v>-1.053343641283333E-2</v>
      </c>
    </row>
    <row r="82" spans="1:7" x14ac:dyDescent="0.2">
      <c r="A82" s="280">
        <v>44267</v>
      </c>
      <c r="B82" s="112">
        <v>1.0266999999999999</v>
      </c>
      <c r="C82" s="17">
        <f t="shared" si="1"/>
        <v>2.7999999999999137E-3</v>
      </c>
      <c r="D82" s="109" t="str">
        <f t="shared" si="9"/>
        <v>/</v>
      </c>
      <c r="E82" s="58">
        <f ca="1">IF(表2_3671626293038912131415232425262728313236[[#This Row],[累计净值]]/MAX(INDIRECT("B21:B" &amp; ROW()))-1&lt;E81,表2_3671626293038912131415232425262728313236[[#This Row],[累计净值]]/MAX(INDIRECT("B21:B" &amp; ROW()))-1,E81)</f>
        <v>-7.8418724659048977E-2</v>
      </c>
      <c r="F82" s="110">
        <f>表2_3671626293038912131415232425262728313236[[#This Row],[累计净值]]</f>
        <v>1.0266999999999999</v>
      </c>
      <c r="G82" s="20">
        <f>表2_3671626293038912131415232425262728313236[[#This Row],[累计净值]]/$B$40-1</f>
        <v>-7.8275995361422046E-3</v>
      </c>
    </row>
    <row r="83" spans="1:7" x14ac:dyDescent="0.2">
      <c r="A83" s="280">
        <v>44270</v>
      </c>
      <c r="B83" s="112">
        <v>1.0197000000000001</v>
      </c>
      <c r="C83" s="17">
        <f t="shared" si="1"/>
        <v>-6.9999999999998952E-3</v>
      </c>
      <c r="D83" s="109">
        <f t="shared" si="9"/>
        <v>-6.9999999999998952E-3</v>
      </c>
      <c r="E83" s="58">
        <f ca="1">IF(表2_3671626293038912131415232425262728313236[[#This Row],[累计净值]]/MAX(INDIRECT("B21:B" &amp; ROW()))-1&lt;E82,表2_3671626293038912131415232425262728313236[[#This Row],[累计净值]]/MAX(INDIRECT("B21:B" &amp; ROW()))-1,E82)</f>
        <v>-7.8418724659048977E-2</v>
      </c>
      <c r="F83" s="110">
        <f>表2_3671626293038912131415232425262728313236[[#This Row],[累计净值]]</f>
        <v>1.0197000000000001</v>
      </c>
      <c r="G83" s="20">
        <f>表2_3671626293038912131415232425262728313236[[#This Row],[累计净值]]/$B$40-1</f>
        <v>-1.4592191727869963E-2</v>
      </c>
    </row>
    <row r="84" spans="1:7" x14ac:dyDescent="0.2">
      <c r="A84" s="280">
        <v>44271</v>
      </c>
      <c r="B84" s="112">
        <v>1.0226</v>
      </c>
      <c r="C84" s="17">
        <f t="shared" si="1"/>
        <v>2.8999999999999027E-3</v>
      </c>
      <c r="D84" s="109" t="str">
        <f t="shared" si="9"/>
        <v>/</v>
      </c>
      <c r="E84" s="58">
        <f ca="1">IF(表2_3671626293038912131415232425262728313236[[#This Row],[累计净值]]/MAX(INDIRECT("B21:B" &amp; ROW()))-1&lt;E83,表2_3671626293038912131415232425262728313236[[#This Row],[累计净值]]/MAX(INDIRECT("B21:B" &amp; ROW()))-1,E83)</f>
        <v>-7.8418724659048977E-2</v>
      </c>
      <c r="F84" s="110">
        <f>表2_3671626293038912131415232425262728313236[[#This Row],[累计净值]]</f>
        <v>1.0226</v>
      </c>
      <c r="G84" s="20">
        <f>表2_3671626293038912131415232425262728313236[[#This Row],[累计净值]]/$B$40-1</f>
        <v>-1.1789717819868595E-2</v>
      </c>
    </row>
    <row r="85" spans="1:7" x14ac:dyDescent="0.2">
      <c r="A85" s="280">
        <v>44272</v>
      </c>
      <c r="B85" s="112">
        <v>1.0284</v>
      </c>
      <c r="C85" s="17">
        <f t="shared" si="1"/>
        <v>5.8000000000000274E-3</v>
      </c>
      <c r="D85" s="109" t="str">
        <f t="shared" si="9"/>
        <v>/</v>
      </c>
      <c r="E85" s="58">
        <f ca="1">IF(表2_3671626293038912131415232425262728313236[[#This Row],[累计净值]]/MAX(INDIRECT("B21:B" &amp; ROW()))-1&lt;E84,表2_3671626293038912131415232425262728313236[[#This Row],[累计净值]]/MAX(INDIRECT("B21:B" &amp; ROW()))-1,E84)</f>
        <v>-7.8418724659048977E-2</v>
      </c>
      <c r="F85" s="110">
        <f>表2_3671626293038912131415232425262728313236[[#This Row],[累计净值]]</f>
        <v>1.0284</v>
      </c>
      <c r="G85" s="20">
        <f>表2_3671626293038912131415232425262728313236[[#This Row],[累计净值]]/$B$40-1</f>
        <v>-6.1847700038654141E-3</v>
      </c>
    </row>
    <row r="86" spans="1:7" x14ac:dyDescent="0.2">
      <c r="A86" s="280">
        <v>44273</v>
      </c>
      <c r="B86" s="112">
        <v>1.0356000000000001</v>
      </c>
      <c r="C86" s="17">
        <f t="shared" si="1"/>
        <v>7.2000000000000952E-3</v>
      </c>
      <c r="D86" s="109" t="str">
        <f t="shared" si="9"/>
        <v>/</v>
      </c>
      <c r="E86" s="58">
        <f ca="1">IF(表2_3671626293038912131415232425262728313236[[#This Row],[累计净值]]/MAX(INDIRECT("B21:B" &amp; ROW()))-1&lt;E85,表2_3671626293038912131415232425262728313236[[#This Row],[累计净值]]/MAX(INDIRECT("B21:B" &amp; ROW()))-1,E85)</f>
        <v>-7.8418724659048977E-2</v>
      </c>
      <c r="F86" s="110">
        <f>表2_3671626293038912131415232425262728313236[[#This Row],[累计净值]]</f>
        <v>1.0356000000000001</v>
      </c>
      <c r="G86" s="20">
        <f>表2_3671626293038912131415232425262728313236[[#This Row],[累计净值]]/$B$40-1</f>
        <v>7.7309625048327391E-4</v>
      </c>
    </row>
    <row r="87" spans="1:7" x14ac:dyDescent="0.2">
      <c r="A87" s="280">
        <v>44274</v>
      </c>
      <c r="B87" s="112">
        <v>1.0251999999999999</v>
      </c>
      <c r="C87" s="17">
        <f t="shared" ref="C87:C123" si="10">IFERROR(B87-B86,0)</f>
        <v>-1.0400000000000187E-2</v>
      </c>
      <c r="D87" s="109">
        <f>IF(C87&lt;0,C87,"/")</f>
        <v>-1.0400000000000187E-2</v>
      </c>
      <c r="E87" s="58">
        <f ca="1">IF(表2_3671626293038912131415232425262728313236[[#This Row],[累计净值]]/MAX(INDIRECT("B21:B" &amp; ROW()))-1&lt;E86,表2_3671626293038912131415232425262728313236[[#This Row],[累计净值]]/MAX(INDIRECT("B21:B" &amp; ROW()))-1,E86)</f>
        <v>-7.8418724659048977E-2</v>
      </c>
      <c r="F87" s="110">
        <f>表2_3671626293038912131415232425262728313236[[#This Row],[累计净值]]</f>
        <v>1.0251999999999999</v>
      </c>
      <c r="G87" s="20">
        <f>表2_3671626293038912131415232425262728313236[[#This Row],[累计净值]]/$B$40-1</f>
        <v>-9.2771550057982877E-3</v>
      </c>
    </row>
    <row r="88" spans="1:7" x14ac:dyDescent="0.2">
      <c r="A88" s="280">
        <v>44277</v>
      </c>
      <c r="B88" s="112">
        <v>1.042</v>
      </c>
      <c r="C88" s="17">
        <f t="shared" si="10"/>
        <v>1.6800000000000148E-2</v>
      </c>
      <c r="D88" s="109" t="str">
        <f>IF(C88&lt;0,C88,"/")</f>
        <v>/</v>
      </c>
      <c r="E88" s="58">
        <f ca="1">IF(表2_3671626293038912131415232425262728313236[[#This Row],[累计净值]]/MAX(INDIRECT("B21:B" &amp; ROW()))-1&lt;E87,表2_3671626293038912131415232425262728313236[[#This Row],[累计净值]]/MAX(INDIRECT("B21:B" &amp; ROW()))-1,E87)</f>
        <v>-7.8418724659048977E-2</v>
      </c>
      <c r="F88" s="110">
        <f>表2_3671626293038912131415232425262728313236[[#This Row],[累计净值]]</f>
        <v>1.042</v>
      </c>
      <c r="G88" s="20">
        <f>表2_3671626293038912131415232425262728313236[[#This Row],[累计净值]]/$B$40-1</f>
        <v>6.957866254348799E-3</v>
      </c>
    </row>
    <row r="89" spans="1:7" x14ac:dyDescent="0.2">
      <c r="A89" s="280">
        <v>44278</v>
      </c>
      <c r="B89" s="112">
        <v>1.0277000000000001</v>
      </c>
      <c r="C89" s="17">
        <f t="shared" si="10"/>
        <v>-1.4299999999999979E-2</v>
      </c>
      <c r="D89" s="109">
        <f>IF(C89&lt;0,C89,"/")</f>
        <v>-1.4299999999999979E-2</v>
      </c>
      <c r="E89" s="58">
        <f ca="1">IF(表2_3671626293038912131415232425262728313236[[#This Row],[累计净值]]/MAX(INDIRECT("B21:B" &amp; ROW()))-1&lt;E88,表2_3671626293038912131415232425262728313236[[#This Row],[累计净值]]/MAX(INDIRECT("B21:B" &amp; ROW()))-1,E88)</f>
        <v>-7.8418724659048977E-2</v>
      </c>
      <c r="F89" s="110">
        <f>表2_3671626293038912131415232425262728313236[[#This Row],[累计净值]]</f>
        <v>1.0277000000000001</v>
      </c>
      <c r="G89" s="20">
        <f>表2_3671626293038912131415232425262728313236[[#This Row],[累计净值]]/$B$40-1</f>
        <v>-6.8612292230381122E-3</v>
      </c>
    </row>
    <row r="90" spans="1:7" x14ac:dyDescent="0.2">
      <c r="A90" s="280">
        <v>44279</v>
      </c>
      <c r="B90" s="112">
        <v>1.0167999999999999</v>
      </c>
      <c r="C90" s="17">
        <f t="shared" si="10"/>
        <v>-1.0900000000000132E-2</v>
      </c>
      <c r="D90" s="109">
        <f t="shared" ref="D90:D93" si="11">IF(C90&lt;0,C90,"/")</f>
        <v>-1.0900000000000132E-2</v>
      </c>
      <c r="E90" s="58">
        <f ca="1">IF(表2_3671626293038912131415232425262728313236[[#This Row],[累计净值]]/MAX(INDIRECT("B21:B" &amp; ROW()))-1&lt;E89,表2_3671626293038912131415232425262728313236[[#This Row],[累计净值]]/MAX(INDIRECT("B21:B" &amp; ROW()))-1,E89)</f>
        <v>-7.8418724659048977E-2</v>
      </c>
      <c r="F90" s="110">
        <f>表2_3671626293038912131415232425262728313236[[#This Row],[累计净值]]</f>
        <v>1.0167999999999999</v>
      </c>
      <c r="G90" s="20">
        <f>表2_3671626293038912131415232425262728313236[[#This Row],[累计净值]]/$B$40-1</f>
        <v>-1.7394665635871664E-2</v>
      </c>
    </row>
    <row r="91" spans="1:7" x14ac:dyDescent="0.2">
      <c r="A91" s="280">
        <v>44280</v>
      </c>
      <c r="B91" s="112">
        <v>1.0193000000000001</v>
      </c>
      <c r="C91" s="17">
        <f t="shared" si="10"/>
        <v>2.5000000000001688E-3</v>
      </c>
      <c r="D91" s="109" t="str">
        <f t="shared" si="11"/>
        <v>/</v>
      </c>
      <c r="E91" s="58">
        <f ca="1">IF(表2_3671626293038912131415232425262728313236[[#This Row],[累计净值]]/MAX(INDIRECT("B21:B" &amp; ROW()))-1&lt;E90,表2_3671626293038912131415232425262728313236[[#This Row],[累计净值]]/MAX(INDIRECT("B21:B" &amp; ROW()))-1,E90)</f>
        <v>-7.8418724659048977E-2</v>
      </c>
      <c r="F91" s="110">
        <f>表2_3671626293038912131415232425262728313236[[#This Row],[累计净值]]</f>
        <v>1.0193000000000001</v>
      </c>
      <c r="G91" s="20">
        <f>表2_3671626293038912131415232425262728313236[[#This Row],[累计净值]]/$B$40-1</f>
        <v>-1.49787398531116E-2</v>
      </c>
    </row>
    <row r="92" spans="1:7" x14ac:dyDescent="0.2">
      <c r="A92" s="280">
        <v>44281</v>
      </c>
      <c r="B92" s="112">
        <v>1.0350999999999999</v>
      </c>
      <c r="C92" s="17">
        <f t="shared" si="10"/>
        <v>1.5799999999999814E-2</v>
      </c>
      <c r="D92" s="109" t="str">
        <f t="shared" si="11"/>
        <v>/</v>
      </c>
      <c r="E92" s="58">
        <f ca="1">IF(表2_3671626293038912131415232425262728313236[[#This Row],[累计净值]]/MAX(INDIRECT("B21:B" &amp; ROW()))-1&lt;E91,表2_3671626293038912131415232425262728313236[[#This Row],[累计净值]]/MAX(INDIRECT("B21:B" &amp; ROW()))-1,E91)</f>
        <v>-7.8418724659048977E-2</v>
      </c>
      <c r="F92" s="110">
        <f>表2_3671626293038912131415232425262728313236[[#This Row],[累计净值]]</f>
        <v>1.0350999999999999</v>
      </c>
      <c r="G92" s="20">
        <f>表2_3671626293038912131415232425262728313236[[#This Row],[累计净值]]/$B$40-1</f>
        <v>2.899110939311722E-4</v>
      </c>
    </row>
    <row r="93" spans="1:7" x14ac:dyDescent="0.2">
      <c r="A93" s="280">
        <v>44284</v>
      </c>
      <c r="B93" s="112">
        <v>1.0358000000000001</v>
      </c>
      <c r="C93" s="17">
        <f t="shared" si="10"/>
        <v>7.0000000000014495E-4</v>
      </c>
      <c r="D93" s="109" t="str">
        <f t="shared" si="11"/>
        <v>/</v>
      </c>
      <c r="E93" s="58">
        <f ca="1">IF(表2_3671626293038912131415232425262728313236[[#This Row],[累计净值]]/MAX(INDIRECT("B21:B" &amp; ROW()))-1&lt;E92,表2_3671626293038912131415232425262728313236[[#This Row],[累计净值]]/MAX(INDIRECT("B21:B" &amp; ROW()))-1,E92)</f>
        <v>-7.8418724659048977E-2</v>
      </c>
      <c r="F93" s="110">
        <f>表2_3671626293038912131415232425262728313236[[#This Row],[累计净值]]</f>
        <v>1.0358000000000001</v>
      </c>
      <c r="G93" s="20">
        <f>表2_3671626293038912131415232425262728313236[[#This Row],[累计净值]]/$B$40-1</f>
        <v>9.6637031310398136E-4</v>
      </c>
    </row>
    <row r="94" spans="1:7" x14ac:dyDescent="0.2">
      <c r="A94" s="280">
        <v>44285</v>
      </c>
      <c r="B94" s="63">
        <v>1.0411999999999999</v>
      </c>
      <c r="C94" s="17">
        <f t="shared" si="10"/>
        <v>5.3999999999998494E-3</v>
      </c>
      <c r="D94" s="109" t="str">
        <f t="shared" ref="D94:D99" si="12">IF(C94&lt;0,C94,"/")</f>
        <v>/</v>
      </c>
      <c r="E94" s="58">
        <f ca="1">IF(表2_3671626293038912131415232425262728313236[[#This Row],[累计净值]]/MAX(INDIRECT("B21:B" &amp; ROW()))-1&lt;E93,表2_3671626293038912131415232425262728313236[[#This Row],[累计净值]]/MAX(INDIRECT("B21:B" &amp; ROW()))-1,E93)</f>
        <v>-7.8418724659048977E-2</v>
      </c>
      <c r="F94" s="110">
        <f>表2_3671626293038912131415232425262728313236[[#This Row],[累计净值]]</f>
        <v>1.0411999999999999</v>
      </c>
      <c r="G94" s="20">
        <f>表2_3671626293038912131415232425262728313236[[#This Row],[累计净值]]/$B$40-1</f>
        <v>6.1847700038655251E-3</v>
      </c>
    </row>
    <row r="95" spans="1:7" x14ac:dyDescent="0.2">
      <c r="A95" s="280">
        <v>44286</v>
      </c>
      <c r="B95" s="112">
        <v>1.0374000000000001</v>
      </c>
      <c r="C95" s="17">
        <f t="shared" si="10"/>
        <v>-3.7999999999998035E-3</v>
      </c>
      <c r="D95" s="109">
        <f t="shared" si="12"/>
        <v>-3.7999999999998035E-3</v>
      </c>
      <c r="E95" s="109">
        <f ca="1">IF(表2_3671626293038912131415232425262728313236[[#This Row],[累计净值]]/MAX(INDIRECT("B21:B" &amp; ROW()))-1&lt;E94,表2_3671626293038912131415232425262728313236[[#This Row],[累计净值]]/MAX(INDIRECT("B21:B" &amp; ROW()))-1,E94)</f>
        <v>-7.8418724659048977E-2</v>
      </c>
      <c r="F95" s="110">
        <f>表2_3671626293038912131415232425262728313236[[#This Row],[累计净值]]</f>
        <v>1.0374000000000001</v>
      </c>
      <c r="G95" s="20">
        <f>表2_3671626293038912131415232425262728313236[[#This Row],[累计净值]]/$B$40-1</f>
        <v>2.5125628140705292E-3</v>
      </c>
    </row>
    <row r="96" spans="1:7" x14ac:dyDescent="0.2">
      <c r="A96" s="280">
        <v>44287</v>
      </c>
      <c r="B96" s="112">
        <v>1.0482</v>
      </c>
      <c r="C96" s="17">
        <f t="shared" si="10"/>
        <v>1.0799999999999921E-2</v>
      </c>
      <c r="D96" s="109" t="str">
        <f t="shared" si="12"/>
        <v>/</v>
      </c>
      <c r="E96" s="109">
        <f ca="1">IF(表2_3671626293038912131415232425262728313236[[#This Row],[累计净值]]/MAX(INDIRECT("B21:B" &amp; ROW()))-1&lt;E95,表2_3671626293038912131415232425262728313236[[#This Row],[累计净值]]/MAX(INDIRECT("B21:B" &amp; ROW()))-1,E95)</f>
        <v>-7.8418724659048977E-2</v>
      </c>
      <c r="F96" s="110">
        <f>表2_3671626293038912131415232425262728313236[[#This Row],[累计净值]]</f>
        <v>1.0482</v>
      </c>
      <c r="G96" s="20">
        <f>表2_3671626293038912131415232425262728313236[[#This Row],[累计净值]]/$B$40-1</f>
        <v>1.2949362195593395E-2</v>
      </c>
    </row>
    <row r="97" spans="1:7" x14ac:dyDescent="0.2">
      <c r="A97" s="280">
        <v>44288</v>
      </c>
      <c r="B97" s="112">
        <v>1.0508999999999999</v>
      </c>
      <c r="C97" s="17">
        <f t="shared" si="10"/>
        <v>2.6999999999999247E-3</v>
      </c>
      <c r="D97" s="109" t="str">
        <f t="shared" si="12"/>
        <v>/</v>
      </c>
      <c r="E97" s="109">
        <f ca="1">IF(表2_3671626293038912131415232425262728313236[[#This Row],[累计净值]]/MAX(INDIRECT("B21:B" &amp; ROW()))-1&lt;E96,表2_3671626293038912131415232425262728313236[[#This Row],[累计净值]]/MAX(INDIRECT("B21:B" &amp; ROW()))-1,E96)</f>
        <v>-7.8418724659048977E-2</v>
      </c>
      <c r="F97" s="110">
        <f>表2_3671626293038912131415232425262728313236[[#This Row],[累计净值]]</f>
        <v>1.0508999999999999</v>
      </c>
      <c r="G97" s="20">
        <f>表2_3671626293038912131415232425262728313236[[#This Row],[累计净值]]/$B$40-1</f>
        <v>1.5558562040974167E-2</v>
      </c>
    </row>
    <row r="98" spans="1:7" x14ac:dyDescent="0.2">
      <c r="A98" s="280">
        <v>44292</v>
      </c>
      <c r="B98" s="112">
        <v>1.0544</v>
      </c>
      <c r="C98" s="17">
        <f t="shared" si="10"/>
        <v>3.5000000000000586E-3</v>
      </c>
      <c r="D98" s="109" t="str">
        <f t="shared" si="12"/>
        <v>/</v>
      </c>
      <c r="E98" s="109">
        <f ca="1">IF(表2_3671626293038912131415232425262728313236[[#This Row],[累计净值]]/MAX(INDIRECT("B21:B" &amp; ROW()))-1&lt;E97,表2_3671626293038912131415232425262728313236[[#This Row],[累计净值]]/MAX(INDIRECT("B21:B" &amp; ROW()))-1,E97)</f>
        <v>-7.8418724659048977E-2</v>
      </c>
      <c r="F98" s="110">
        <f>表2_3671626293038912131415232425262728313236[[#This Row],[累计净值]]</f>
        <v>1.0544</v>
      </c>
      <c r="G98" s="20">
        <f>表2_3671626293038912131415232425262728313236[[#This Row],[累计净值]]/$B$40-1</f>
        <v>1.894085813683799E-2</v>
      </c>
    </row>
    <row r="99" spans="1:7" x14ac:dyDescent="0.2">
      <c r="A99" s="280">
        <v>44293</v>
      </c>
      <c r="B99" s="112">
        <v>1.0555000000000001</v>
      </c>
      <c r="C99" s="17">
        <f t="shared" si="10"/>
        <v>1.1000000000001009E-3</v>
      </c>
      <c r="D99" s="109" t="str">
        <f t="shared" si="12"/>
        <v>/</v>
      </c>
      <c r="E99" s="109">
        <f ca="1">IF(表2_3671626293038912131415232425262728313236[[#This Row],[累计净值]]/MAX(INDIRECT("B21:B" &amp; ROW()))-1&lt;E98,表2_3671626293038912131415232425262728313236[[#This Row],[累计净值]]/MAX(INDIRECT("B21:B" &amp; ROW()))-1,E98)</f>
        <v>-7.8418724659048977E-2</v>
      </c>
      <c r="F99" s="110">
        <f>表2_3671626293038912131415232425262728313236[[#This Row],[累计净值]]</f>
        <v>1.0555000000000001</v>
      </c>
      <c r="G99" s="20">
        <f>表2_3671626293038912131415232425262728313236[[#This Row],[累计净值]]/$B$40-1</f>
        <v>2.0003865481252658E-2</v>
      </c>
    </row>
    <row r="100" spans="1:7" x14ac:dyDescent="0.2">
      <c r="A100" s="280">
        <v>44294</v>
      </c>
      <c r="B100" s="112">
        <v>1.0589999999999999</v>
      </c>
      <c r="C100" s="17">
        <f t="shared" si="10"/>
        <v>3.4999999999998366E-3</v>
      </c>
      <c r="D100" s="109" t="str">
        <f t="shared" ref="D100:D105" si="13">IF(C100&lt;0,C100,"/")</f>
        <v>/</v>
      </c>
      <c r="E100" s="109">
        <f ca="1">IF(表2_3671626293038912131415232425262728313236[[#This Row],[累计净值]]/MAX(INDIRECT("B21:B" &amp; ROW()))-1&lt;E99,表2_3671626293038912131415232425262728313236[[#This Row],[累计净值]]/MAX(INDIRECT("B21:B" &amp; ROW()))-1,E99)</f>
        <v>-7.8418724659048977E-2</v>
      </c>
      <c r="F100" s="110">
        <f>表2_3671626293038912131415232425262728313236[[#This Row],[累计净值]]</f>
        <v>1.0589999999999999</v>
      </c>
      <c r="G100" s="20">
        <f>表2_3671626293038912131415232425262728313236[[#This Row],[累计净值]]/$B$40-1</f>
        <v>2.338616157711626E-2</v>
      </c>
    </row>
    <row r="101" spans="1:7" x14ac:dyDescent="0.2">
      <c r="A101" s="280">
        <v>44295</v>
      </c>
      <c r="B101" s="112">
        <v>1.0555000000000001</v>
      </c>
      <c r="C101" s="17">
        <f t="shared" si="10"/>
        <v>-3.4999999999998366E-3</v>
      </c>
      <c r="D101" s="109">
        <f t="shared" si="13"/>
        <v>-3.4999999999998366E-3</v>
      </c>
      <c r="E101" s="109">
        <f ca="1">IF(表2_3671626293038912131415232425262728313236[[#This Row],[累计净值]]/MAX(INDIRECT("B21:B" &amp; ROW()))-1&lt;E100,表2_3671626293038912131415232425262728313236[[#This Row],[累计净值]]/MAX(INDIRECT("B21:B" &amp; ROW()))-1,E100)</f>
        <v>-7.8418724659048977E-2</v>
      </c>
      <c r="F101" s="110">
        <f>表2_3671626293038912131415232425262728313236[[#This Row],[累计净值]]</f>
        <v>1.0555000000000001</v>
      </c>
      <c r="G101" s="20">
        <f>表2_3671626293038912131415232425262728313236[[#This Row],[累计净值]]/$B$40-1</f>
        <v>2.0003865481252658E-2</v>
      </c>
    </row>
    <row r="102" spans="1:7" x14ac:dyDescent="0.2">
      <c r="A102" s="280">
        <v>44298</v>
      </c>
      <c r="B102" s="112">
        <v>1.0403</v>
      </c>
      <c r="C102" s="17">
        <f t="shared" si="10"/>
        <v>-1.5200000000000102E-2</v>
      </c>
      <c r="D102" s="109">
        <f t="shared" si="13"/>
        <v>-1.5200000000000102E-2</v>
      </c>
      <c r="E102" s="109">
        <f ca="1">IF(表2_3671626293038912131415232425262728313236[[#This Row],[累计净值]]/MAX(INDIRECT("B21:B" &amp; ROW()))-1&lt;E101,表2_3671626293038912131415232425262728313236[[#This Row],[累计净值]]/MAX(INDIRECT("B21:B" &amp; ROW()))-1,E101)</f>
        <v>-7.8418724659048977E-2</v>
      </c>
      <c r="F102" s="110">
        <f>表2_3671626293038912131415232425262728313236[[#This Row],[累计净值]]</f>
        <v>1.0403</v>
      </c>
      <c r="G102" s="20">
        <f>表2_3671626293038912131415232425262728313236[[#This Row],[累计净值]]/$B$40-1</f>
        <v>5.3150367220720085E-3</v>
      </c>
    </row>
    <row r="103" spans="1:7" x14ac:dyDescent="0.2">
      <c r="A103" s="280">
        <v>44299</v>
      </c>
      <c r="B103" s="112">
        <v>1.0386</v>
      </c>
      <c r="C103" s="17">
        <f t="shared" si="10"/>
        <v>-1.7000000000000348E-3</v>
      </c>
      <c r="D103" s="109">
        <f t="shared" si="13"/>
        <v>-1.7000000000000348E-3</v>
      </c>
      <c r="E103" s="109">
        <f ca="1">IF(表2_3671626293038912131415232425262728313236[[#This Row],[累计净值]]/MAX(INDIRECT("B21:B" &amp; ROW()))-1&lt;E102,表2_3671626293038912131415232425262728313236[[#This Row],[累计净值]]/MAX(INDIRECT("B21:B" &amp; ROW()))-1,E102)</f>
        <v>-7.8418724659048977E-2</v>
      </c>
      <c r="F103" s="110">
        <f>表2_3671626293038912131415232425262728313236[[#This Row],[累计净值]]</f>
        <v>1.0386</v>
      </c>
      <c r="G103" s="20">
        <f>表2_3671626293038912131415232425262728313236[[#This Row],[累计净值]]/$B$40-1</f>
        <v>3.672207189795218E-3</v>
      </c>
    </row>
    <row r="104" spans="1:7" x14ac:dyDescent="0.2">
      <c r="A104" s="280">
        <v>44300</v>
      </c>
      <c r="B104" s="112">
        <v>1.0495000000000001</v>
      </c>
      <c r="C104" s="17">
        <f t="shared" si="10"/>
        <v>1.0900000000000132E-2</v>
      </c>
      <c r="D104" s="109" t="str">
        <f t="shared" si="13"/>
        <v>/</v>
      </c>
      <c r="E104" s="109">
        <f ca="1">IF(表2_3671626293038912131415232425262728313236[[#This Row],[累计净值]]/MAX(INDIRECT("B21:B" &amp; ROW()))-1&lt;E103,表2_3671626293038912131415232425262728313236[[#This Row],[累计净值]]/MAX(INDIRECT("B21:B" &amp; ROW()))-1,E103)</f>
        <v>-7.8418724659048977E-2</v>
      </c>
      <c r="F104" s="110">
        <f>表2_3671626293038912131415232425262728313236[[#This Row],[累计净值]]</f>
        <v>1.0495000000000001</v>
      </c>
      <c r="G104" s="20">
        <f>表2_3671626293038912131415232425262728313236[[#This Row],[累计净值]]/$B$40-1</f>
        <v>1.420564360262877E-2</v>
      </c>
    </row>
    <row r="105" spans="1:7" x14ac:dyDescent="0.2">
      <c r="A105" s="280">
        <v>44301</v>
      </c>
      <c r="B105" s="112">
        <v>1.0492999999999999</v>
      </c>
      <c r="C105" s="17">
        <f t="shared" si="10"/>
        <v>-2.0000000000020002E-4</v>
      </c>
      <c r="D105" s="109">
        <f t="shared" si="13"/>
        <v>-2.0000000000020002E-4</v>
      </c>
      <c r="E105" s="109">
        <f ca="1">IF(表2_3671626293038912131415232425262728313236[[#This Row],[累计净值]]/MAX(INDIRECT("B21:B" &amp; ROW()))-1&lt;E104,表2_3671626293038912131415232425262728313236[[#This Row],[累计净值]]/MAX(INDIRECT("B21:B" &amp; ROW()))-1,E104)</f>
        <v>-7.8418724659048977E-2</v>
      </c>
      <c r="F105" s="110">
        <f>表2_3671626293038912131415232425262728313236[[#This Row],[累计净值]]</f>
        <v>1.0492999999999999</v>
      </c>
      <c r="G105" s="20">
        <f>表2_3671626293038912131415232425262728313236[[#This Row],[累计净值]]/$B$40-1</f>
        <v>1.4012369540007619E-2</v>
      </c>
    </row>
    <row r="106" spans="1:7" x14ac:dyDescent="0.2">
      <c r="A106" s="280">
        <v>44302</v>
      </c>
      <c r="B106" s="112">
        <v>1.0588</v>
      </c>
      <c r="C106" s="17">
        <f t="shared" si="10"/>
        <v>9.5000000000000639E-3</v>
      </c>
      <c r="D106" s="109" t="str">
        <f t="shared" ref="D106:D111" si="14">IF(C106&lt;0,C106,"/")</f>
        <v>/</v>
      </c>
      <c r="E106" s="109">
        <f ca="1">IF(表2_3671626293038912131415232425262728313236[[#This Row],[累计净值]]/MAX(INDIRECT("B21:B" &amp; ROW()))-1&lt;E105,表2_3671626293038912131415232425262728313236[[#This Row],[累计净值]]/MAX(INDIRECT("B21:B" &amp; ROW()))-1,E105)</f>
        <v>-7.8418724659048977E-2</v>
      </c>
      <c r="F106" s="110">
        <f>表2_3671626293038912131415232425262728313236[[#This Row],[累计净值]]</f>
        <v>1.0588</v>
      </c>
      <c r="G106" s="20">
        <f>表2_3671626293038912131415232425262728313236[[#This Row],[累计净值]]/$B$40-1</f>
        <v>2.3192887514495553E-2</v>
      </c>
    </row>
    <row r="107" spans="1:7" x14ac:dyDescent="0.2">
      <c r="A107" s="280">
        <v>44305</v>
      </c>
      <c r="B107" s="112">
        <v>1.0726</v>
      </c>
      <c r="C107" s="17">
        <f t="shared" si="10"/>
        <v>1.3800000000000034E-2</v>
      </c>
      <c r="D107" s="109" t="str">
        <f t="shared" si="14"/>
        <v>/</v>
      </c>
      <c r="E107" s="109">
        <f ca="1">IF(表2_3671626293038912131415232425262728313236[[#This Row],[累计净值]]/MAX(INDIRECT("B21:B" &amp; ROW()))-1&lt;E106,表2_3671626293038912131415232425262728313236[[#This Row],[累计净值]]/MAX(INDIRECT("B21:B" &amp; ROW()))-1,E106)</f>
        <v>-7.8418724659048977E-2</v>
      </c>
      <c r="F107" s="110">
        <f>表2_3671626293038912131415232425262728313236[[#This Row],[累计净值]]</f>
        <v>1.0726</v>
      </c>
      <c r="G107" s="20">
        <f>表2_3671626293038912131415232425262728313236[[#This Row],[累计净值]]/$B$40-1</f>
        <v>3.6528797835330584E-2</v>
      </c>
    </row>
    <row r="108" spans="1:7" x14ac:dyDescent="0.2">
      <c r="A108" s="280">
        <v>44306</v>
      </c>
      <c r="B108" s="112">
        <v>1.0731999999999999</v>
      </c>
      <c r="C108" s="17">
        <f t="shared" si="10"/>
        <v>5.9999999999993392E-4</v>
      </c>
      <c r="D108" s="109" t="str">
        <f t="shared" si="14"/>
        <v>/</v>
      </c>
      <c r="E108" s="109">
        <f ca="1">IF(表2_3671626293038912131415232425262728313236[[#This Row],[累计净值]]/MAX(INDIRECT("B21:B" &amp; ROW()))-1&lt;E107,表2_3671626293038912131415232425262728313236[[#This Row],[累计净值]]/MAX(INDIRECT("B21:B" &amp; ROW()))-1,E107)</f>
        <v>-7.8418724659048977E-2</v>
      </c>
      <c r="F108" s="110">
        <f>表2_3671626293038912131415232425262728313236[[#This Row],[累计净值]]</f>
        <v>1.0731999999999999</v>
      </c>
      <c r="G108" s="20">
        <f>表2_3671626293038912131415232425262728313236[[#This Row],[累计净值]]/$B$40-1</f>
        <v>3.7108620023192929E-2</v>
      </c>
    </row>
    <row r="109" spans="1:7" x14ac:dyDescent="0.2">
      <c r="A109" s="280">
        <v>44307</v>
      </c>
      <c r="B109" s="112">
        <v>1.0711999999999999</v>
      </c>
      <c r="C109" s="17">
        <f t="shared" si="10"/>
        <v>-2.0000000000000018E-3</v>
      </c>
      <c r="D109" s="109">
        <f t="shared" si="14"/>
        <v>-2.0000000000000018E-3</v>
      </c>
      <c r="E109" s="109">
        <f ca="1">IF(表2_3671626293038912131415232425262728313236[[#This Row],[累计净值]]/MAX(INDIRECT("B21:B" &amp; ROW()))-1&lt;E108,表2_3671626293038912131415232425262728313236[[#This Row],[累计净值]]/MAX(INDIRECT("B21:B" &amp; ROW()))-1,E108)</f>
        <v>-7.8418724659048977E-2</v>
      </c>
      <c r="F109" s="110">
        <f>表2_3671626293038912131415232425262728313236[[#This Row],[累计净值]]</f>
        <v>1.0711999999999999</v>
      </c>
      <c r="G109" s="20">
        <f>表2_3671626293038912131415232425262728313236[[#This Row],[累计净值]]/$B$40-1</f>
        <v>3.5175879396984966E-2</v>
      </c>
    </row>
    <row r="110" spans="1:7" x14ac:dyDescent="0.2">
      <c r="A110" s="280">
        <v>44308</v>
      </c>
      <c r="B110" s="112">
        <v>1.075</v>
      </c>
      <c r="C110" s="17">
        <f t="shared" si="10"/>
        <v>3.8000000000000256E-3</v>
      </c>
      <c r="D110" s="109" t="str">
        <f t="shared" si="14"/>
        <v>/</v>
      </c>
      <c r="E110" s="109">
        <f ca="1">IF(表2_3671626293038912131415232425262728313236[[#This Row],[累计净值]]/MAX(INDIRECT("B21:B" &amp; ROW()))-1&lt;E109,表2_3671626293038912131415232425262728313236[[#This Row],[累计净值]]/MAX(INDIRECT("B21:B" &amp; ROW()))-1,E109)</f>
        <v>-7.8418724659048977E-2</v>
      </c>
      <c r="F110" s="110">
        <f>表2_3671626293038912131415232425262728313236[[#This Row],[累计净值]]</f>
        <v>1.075</v>
      </c>
      <c r="G110" s="20">
        <f>表2_3671626293038912131415232425262728313236[[#This Row],[累计净值]]/$B$40-1</f>
        <v>3.8848086586779962E-2</v>
      </c>
    </row>
    <row r="111" spans="1:7" x14ac:dyDescent="0.2">
      <c r="A111" s="280">
        <v>44309</v>
      </c>
      <c r="B111" s="112">
        <v>1.079</v>
      </c>
      <c r="C111" s="17">
        <f t="shared" si="10"/>
        <v>4.0000000000000036E-3</v>
      </c>
      <c r="D111" s="109" t="str">
        <f t="shared" si="14"/>
        <v>/</v>
      </c>
      <c r="E111" s="109">
        <f ca="1">IF(表2_3671626293038912131415232425262728313236[[#This Row],[累计净值]]/MAX(INDIRECT("B21:B" &amp; ROW()))-1&lt;E110,表2_3671626293038912131415232425262728313236[[#This Row],[累计净值]]/MAX(INDIRECT("B21:B" &amp; ROW()))-1,E110)</f>
        <v>-7.8418724659048977E-2</v>
      </c>
      <c r="F111" s="110">
        <f>表2_3671626293038912131415232425262728313236[[#This Row],[累计净值]]</f>
        <v>1.079</v>
      </c>
      <c r="G111" s="20">
        <f>表2_3671626293038912131415232425262728313236[[#This Row],[累计净值]]/$B$40-1</f>
        <v>4.2713567839196109E-2</v>
      </c>
    </row>
    <row r="112" spans="1:7" x14ac:dyDescent="0.2">
      <c r="A112" s="280">
        <v>44312</v>
      </c>
      <c r="B112" s="112">
        <v>1.0761000000000001</v>
      </c>
      <c r="C112" s="17">
        <f t="shared" si="10"/>
        <v>-2.8999999999999027E-3</v>
      </c>
      <c r="D112" s="109">
        <f>IF(C112&lt;0,C112,"/")</f>
        <v>-2.8999999999999027E-3</v>
      </c>
      <c r="E112" s="109">
        <f ca="1">IF(表2_3671626293038912131415232425262728313236[[#This Row],[累计净值]]/MAX(INDIRECT("B21:B" &amp; ROW()))-1&lt;E111,表2_3671626293038912131415232425262728313236[[#This Row],[累计净值]]/MAX(INDIRECT("B21:B" &amp; ROW()))-1,E111)</f>
        <v>-7.8418724659048977E-2</v>
      </c>
      <c r="F112" s="110">
        <f>表2_3671626293038912131415232425262728313236[[#This Row],[累计净值]]</f>
        <v>1.0761000000000001</v>
      </c>
      <c r="G112" s="20">
        <f>表2_3671626293038912131415232425262728313236[[#This Row],[累计净值]]/$B$40-1</f>
        <v>3.991109393119463E-2</v>
      </c>
    </row>
    <row r="113" spans="1:7" x14ac:dyDescent="0.2">
      <c r="A113" s="280">
        <v>44313</v>
      </c>
      <c r="B113" s="112">
        <v>1.0763</v>
      </c>
      <c r="C113" s="17">
        <f t="shared" si="10"/>
        <v>1.9999999999997797E-4</v>
      </c>
      <c r="D113" s="109" t="str">
        <f>IF(C113&lt;0,C113,"/")</f>
        <v>/</v>
      </c>
      <c r="E113" s="109">
        <f ca="1">IF(表2_3671626293038912131415232425262728313236[[#This Row],[累计净值]]/MAX(INDIRECT("B21:B" &amp; ROW()))-1&lt;E112,表2_3671626293038912131415232425262728313236[[#This Row],[累计净值]]/MAX(INDIRECT("B21:B" &amp; ROW()))-1,E112)</f>
        <v>-7.8418724659048977E-2</v>
      </c>
      <c r="F113" s="110">
        <f>表2_3671626293038912131415232425262728313236[[#This Row],[累计净值]]</f>
        <v>1.0763</v>
      </c>
      <c r="G113" s="20">
        <f>表2_3671626293038912131415232425262728313236[[#This Row],[累计净值]]/$B$40-1</f>
        <v>4.0104367993815337E-2</v>
      </c>
    </row>
    <row r="114" spans="1:7" x14ac:dyDescent="0.2">
      <c r="A114" s="280">
        <v>44314</v>
      </c>
      <c r="B114" s="112">
        <v>1.0828</v>
      </c>
      <c r="C114" s="17">
        <f t="shared" si="10"/>
        <v>6.4999999999999503E-3</v>
      </c>
      <c r="D114" s="109" t="str">
        <f>IF(C114&lt;0,C114,"/")</f>
        <v>/</v>
      </c>
      <c r="E114" s="109">
        <f ca="1">IF(表2_3671626293038912131415232425262728313236[[#This Row],[累计净值]]/MAX(INDIRECT("B21:B" &amp; ROW()))-1&lt;E113,表2_3671626293038912131415232425262728313236[[#This Row],[累计净值]]/MAX(INDIRECT("B21:B" &amp; ROW()))-1,E113)</f>
        <v>-7.8418724659048977E-2</v>
      </c>
      <c r="F114" s="110">
        <f>表2_3671626293038912131415232425262728313236[[#This Row],[累计净值]]</f>
        <v>1.0828</v>
      </c>
      <c r="G114" s="20">
        <f>表2_3671626293038912131415232425262728313236[[#This Row],[累计净值]]/$B$40-1</f>
        <v>4.6385775028991105E-2</v>
      </c>
    </row>
    <row r="115" spans="1:7" x14ac:dyDescent="0.2">
      <c r="A115" s="280">
        <v>44315</v>
      </c>
      <c r="B115" s="112">
        <v>1.0822000000000001</v>
      </c>
      <c r="C115" s="17">
        <f t="shared" si="10"/>
        <v>-5.9999999999993392E-4</v>
      </c>
      <c r="D115" s="109">
        <f t="shared" ref="D115:D116" si="15">IF(C115&lt;0,C115,"/")</f>
        <v>-5.9999999999993392E-4</v>
      </c>
      <c r="E115" s="109">
        <f ca="1">IF(表2_3671626293038912131415232425262728313236[[#This Row],[累计净值]]/MAX(INDIRECT("B21:B" &amp; ROW()))-1&lt;E114,表2_3671626293038912131415232425262728313236[[#This Row],[累计净值]]/MAX(INDIRECT("B21:B" &amp; ROW()))-1,E114)</f>
        <v>-7.8418724659048977E-2</v>
      </c>
      <c r="F115" s="110">
        <f>表2_3671626293038912131415232425262728313236[[#This Row],[累计净值]]</f>
        <v>1.0822000000000001</v>
      </c>
      <c r="G115" s="20">
        <f>表2_3671626293038912131415232425262728313236[[#This Row],[累计净值]]/$B$40-1</f>
        <v>4.5805952841128761E-2</v>
      </c>
    </row>
    <row r="116" spans="1:7" x14ac:dyDescent="0.2">
      <c r="A116" s="280">
        <v>44316</v>
      </c>
      <c r="B116" s="112">
        <v>1.0823</v>
      </c>
      <c r="C116" s="17">
        <f t="shared" si="10"/>
        <v>9.9999999999988987E-5</v>
      </c>
      <c r="D116" s="109" t="str">
        <f t="shared" si="15"/>
        <v>/</v>
      </c>
      <c r="E116" s="109">
        <f ca="1">IF(表2_3671626293038912131415232425262728313236[[#This Row],[累计净值]]/MAX(INDIRECT("B21:B" &amp; ROW()))-1&lt;E115,表2_3671626293038912131415232425262728313236[[#This Row],[累计净值]]/MAX(INDIRECT("B21:B" &amp; ROW()))-1,E115)</f>
        <v>-7.8418724659048977E-2</v>
      </c>
      <c r="F116" s="110">
        <f>表2_3671626293038912131415232425262728313236[[#This Row],[累计净值]]</f>
        <v>1.0823</v>
      </c>
      <c r="G116" s="20">
        <f>表2_3671626293038912131415232425262728313236[[#This Row],[累计净值]]/$B$40-1</f>
        <v>4.5902589872439226E-2</v>
      </c>
    </row>
    <row r="117" spans="1:7" x14ac:dyDescent="0.2">
      <c r="A117" s="280">
        <v>44322</v>
      </c>
      <c r="B117" s="112">
        <v>1.0846</v>
      </c>
      <c r="C117" s="17">
        <f t="shared" si="10"/>
        <v>2.2999999999999687E-3</v>
      </c>
      <c r="D117" s="109" t="str">
        <f t="shared" ref="D117:D122" si="16">IF(C117&lt;0,C117,"/")</f>
        <v>/</v>
      </c>
      <c r="E117" s="109">
        <f ca="1">IF(表2_3671626293038912131415232425262728313236[[#This Row],[累计净值]]/MAX(INDIRECT("B21:B" &amp; ROW()))-1&lt;E116,表2_3671626293038912131415232425262728313236[[#This Row],[累计净值]]/MAX(INDIRECT("B21:B" &amp; ROW()))-1,E116)</f>
        <v>-7.8418724659048977E-2</v>
      </c>
      <c r="F117" s="110">
        <f>表2_3671626293038912131415232425262728313236[[#This Row],[累计净值]]</f>
        <v>1.0846</v>
      </c>
      <c r="G117" s="20">
        <f>表2_3671626293038912131415232425262728313236[[#This Row],[累计净值]]/$B$40-1</f>
        <v>4.8125241592578361E-2</v>
      </c>
    </row>
    <row r="118" spans="1:7" x14ac:dyDescent="0.2">
      <c r="A118" s="280">
        <v>44323</v>
      </c>
      <c r="B118" s="112">
        <v>1.0784</v>
      </c>
      <c r="C118" s="17">
        <f t="shared" si="10"/>
        <v>-6.1999999999999833E-3</v>
      </c>
      <c r="D118" s="109">
        <f t="shared" si="16"/>
        <v>-6.1999999999999833E-3</v>
      </c>
      <c r="E118" s="109">
        <f ca="1">IF(表2_3671626293038912131415232425262728313236[[#This Row],[累计净值]]/MAX(INDIRECT("B21:B" &amp; ROW()))-1&lt;E117,表2_3671626293038912131415232425262728313236[[#This Row],[累计净值]]/MAX(INDIRECT("B21:B" &amp; ROW()))-1,E117)</f>
        <v>-7.8418724659048977E-2</v>
      </c>
      <c r="F118" s="110">
        <f>表2_3671626293038912131415232425262728313236[[#This Row],[累计净值]]</f>
        <v>1.0784</v>
      </c>
      <c r="G118" s="20">
        <f>表2_3671626293038912131415232425262728313236[[#This Row],[累计净值]]/$B$40-1</f>
        <v>4.2133745651333765E-2</v>
      </c>
    </row>
    <row r="119" spans="1:7" x14ac:dyDescent="0.2">
      <c r="A119" s="280">
        <v>44326</v>
      </c>
      <c r="B119" s="112">
        <v>1.085</v>
      </c>
      <c r="C119" s="17">
        <f t="shared" si="10"/>
        <v>6.5999999999999392E-3</v>
      </c>
      <c r="D119" s="109" t="str">
        <f t="shared" si="16"/>
        <v>/</v>
      </c>
      <c r="E119" s="109">
        <f ca="1">IF(表2_3671626293038912131415232425262728313236[[#This Row],[累计净值]]/MAX(INDIRECT("B21:B" &amp; ROW()))-1&lt;E118,表2_3671626293038912131415232425262728313236[[#This Row],[累计净值]]/MAX(INDIRECT("B21:B" &amp; ROW()))-1,E118)</f>
        <v>-7.8418724659048977E-2</v>
      </c>
      <c r="F119" s="110">
        <f>表2_3671626293038912131415232425262728313236[[#This Row],[累计净值]]</f>
        <v>1.085</v>
      </c>
      <c r="G119" s="20">
        <f>表2_3671626293038912131415232425262728313236[[#This Row],[累计净值]]/$B$40-1</f>
        <v>4.8511789717819997E-2</v>
      </c>
    </row>
    <row r="120" spans="1:7" x14ac:dyDescent="0.2">
      <c r="A120" s="280">
        <v>44327</v>
      </c>
      <c r="B120" s="112">
        <v>1.083</v>
      </c>
      <c r="C120" s="17">
        <f t="shared" si="10"/>
        <v>-2.0000000000000018E-3</v>
      </c>
      <c r="D120" s="109">
        <f t="shared" si="16"/>
        <v>-2.0000000000000018E-3</v>
      </c>
      <c r="E120" s="109">
        <f ca="1">IF(表2_3671626293038912131415232425262728313236[[#This Row],[累计净值]]/MAX(INDIRECT("B21:B" &amp; ROW()))-1&lt;E119,表2_3671626293038912131415232425262728313236[[#This Row],[累计净值]]/MAX(INDIRECT("B21:B" &amp; ROW()))-1,E119)</f>
        <v>-7.8418724659048977E-2</v>
      </c>
      <c r="F120" s="110">
        <f>表2_3671626293038912131415232425262728313236[[#This Row],[累计净值]]</f>
        <v>1.083</v>
      </c>
      <c r="G120" s="20">
        <f>表2_3671626293038912131415232425262728313236[[#This Row],[累计净值]]/$B$40-1</f>
        <v>4.6579049091612035E-2</v>
      </c>
    </row>
    <row r="121" spans="1:7" x14ac:dyDescent="0.2">
      <c r="A121" s="280">
        <v>44328</v>
      </c>
      <c r="B121" s="112">
        <v>1.0927</v>
      </c>
      <c r="C121" s="17">
        <f t="shared" si="10"/>
        <v>9.7000000000000419E-3</v>
      </c>
      <c r="D121" s="109" t="str">
        <f t="shared" si="16"/>
        <v>/</v>
      </c>
      <c r="E121" s="109">
        <f ca="1">IF(表2_3671626293038912131415232425262728313236[[#This Row],[累计净值]]/MAX(INDIRECT("B21:B" &amp; ROW()))-1&lt;E120,表2_3671626293038912131415232425262728313236[[#This Row],[累计净值]]/MAX(INDIRECT("B21:B" &amp; ROW()))-1,E120)</f>
        <v>-7.8418724659048977E-2</v>
      </c>
      <c r="F121" s="110">
        <f>表2_3671626293038912131415232425262728313236[[#This Row],[累计净值]]</f>
        <v>1.0927</v>
      </c>
      <c r="G121" s="20">
        <f>表2_3671626293038912131415232425262728313236[[#This Row],[累计净值]]/$B$40-1</f>
        <v>5.5952841128720676E-2</v>
      </c>
    </row>
    <row r="122" spans="1:7" x14ac:dyDescent="0.2">
      <c r="A122" s="280">
        <v>44329</v>
      </c>
      <c r="B122" s="112">
        <v>1.0808</v>
      </c>
      <c r="C122" s="17">
        <f t="shared" si="10"/>
        <v>-1.1900000000000022E-2</v>
      </c>
      <c r="D122" s="109">
        <f t="shared" si="16"/>
        <v>-1.1900000000000022E-2</v>
      </c>
      <c r="E122" s="109">
        <f ca="1">IF(表2_3671626293038912131415232425262728313236[[#This Row],[累计净值]]/MAX(INDIRECT("B21:B" &amp; ROW()))-1&lt;E121,表2_3671626293038912131415232425262728313236[[#This Row],[累计净值]]/MAX(INDIRECT("B21:B" &amp; ROW()))-1,E121)</f>
        <v>-7.8418724659048977E-2</v>
      </c>
      <c r="F122" s="110">
        <f>表2_3671626293038912131415232425262728313236[[#This Row],[累计净值]]</f>
        <v>1.0808</v>
      </c>
      <c r="G122" s="20">
        <f>表2_3671626293038912131415232425262728313236[[#This Row],[累计净值]]/$B$40-1</f>
        <v>4.4453034402783143E-2</v>
      </c>
    </row>
    <row r="123" spans="1:7" x14ac:dyDescent="0.2">
      <c r="A123" s="280">
        <v>44330</v>
      </c>
      <c r="B123" s="112">
        <v>1.0948</v>
      </c>
      <c r="C123" s="17">
        <f t="shared" si="10"/>
        <v>1.4000000000000012E-2</v>
      </c>
      <c r="D123" s="109" t="str">
        <f>IF(C123&lt;0,C123,"/")</f>
        <v>/</v>
      </c>
      <c r="E123" s="109">
        <f ca="1">IF(表2_3671626293038912131415232425262728313236[[#This Row],[累计净值]]/MAX(INDIRECT("B21:B" &amp; ROW()))-1&lt;E122,表2_3671626293038912131415232425262728313236[[#This Row],[累计净值]]/MAX(INDIRECT("B21:B" &amp; ROW()))-1,E122)</f>
        <v>-7.8418724659048977E-2</v>
      </c>
      <c r="F123" s="110">
        <f>表2_3671626293038912131415232425262728313236[[#This Row],[累计净值]]</f>
        <v>1.0948</v>
      </c>
      <c r="G123" s="20">
        <f>表2_3671626293038912131415232425262728313236[[#This Row],[累计净值]]/$B$40-1</f>
        <v>5.7982218786238882E-2</v>
      </c>
    </row>
    <row r="124" spans="1:7" x14ac:dyDescent="0.2">
      <c r="A124" s="280">
        <v>44333</v>
      </c>
      <c r="B124" s="112">
        <v>1.1034999999999999</v>
      </c>
      <c r="C124" s="108">
        <f>IFERROR(#REF!-B123,0)</f>
        <v>0</v>
      </c>
      <c r="D124" s="109" t="str">
        <f>IF(C124&lt;0,C124,"/")</f>
        <v>/</v>
      </c>
      <c r="E124" s="109">
        <f ca="1">IF(表2_3671626293038912131415232425262728313236[[#This Row],[累计净值]]/MAX(INDIRECT("B21:B" &amp; ROW()))-1&lt;E123,表2_3671626293038912131415232425262728313236[[#This Row],[累计净值]]/MAX(INDIRECT("B21:B" &amp; ROW()))-1,E123)</f>
        <v>-7.8418724659048977E-2</v>
      </c>
      <c r="F124" s="110">
        <f>表2_3671626293038912131415232425262728313236[[#This Row],[累计净值]]</f>
        <v>1.1034999999999999</v>
      </c>
      <c r="G124" s="20">
        <f>表2_3671626293038912131415232425262728313236[[#This Row],[累计净值]]/$B$40-1</f>
        <v>6.6389640510243542E-2</v>
      </c>
    </row>
    <row r="125" spans="1:7" x14ac:dyDescent="0.2">
      <c r="A125" s="280">
        <v>44334</v>
      </c>
      <c r="B125" s="112">
        <v>1.107</v>
      </c>
      <c r="C125" s="108">
        <f>IFERROR(#REF!-B124,0)</f>
        <v>0</v>
      </c>
      <c r="D125" s="109" t="str">
        <f>IF(C125&lt;0,C125,"/")</f>
        <v>/</v>
      </c>
      <c r="E125" s="109">
        <f ca="1">IF(表2_3671626293038912131415232425262728313236[[#This Row],[累计净值]]/MAX(INDIRECT("B21:B" &amp; ROW()))-1&lt;E124,表2_3671626293038912131415232425262728313236[[#This Row],[累计净值]]/MAX(INDIRECT("B21:B" &amp; ROW()))-1,E124)</f>
        <v>-7.8418724659048977E-2</v>
      </c>
      <c r="F125" s="110">
        <f>表2_3671626293038912131415232425262728313236[[#This Row],[累计净值]]</f>
        <v>1.107</v>
      </c>
      <c r="G125" s="20">
        <f>表2_3671626293038912131415232425262728313236[[#This Row],[累计净值]]/$B$40-1</f>
        <v>6.9771936606107587E-2</v>
      </c>
    </row>
  </sheetData>
  <mergeCells count="1">
    <mergeCell ref="G2:G3"/>
  </mergeCells>
  <phoneticPr fontId="24" type="noConversion"/>
  <pageMargins left="0.7" right="0.7" top="0.75" bottom="0.75" header="0.3" footer="0.3"/>
  <pageSetup paperSize="9" orientation="portrait" horizontalDpi="200" verticalDpi="200" r:id="rId1"/>
  <drawing r:id="rId2"/>
  <tableParts count="1">
    <tablePart r:id="rId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I126"/>
  <sheetViews>
    <sheetView workbookViewId="0">
      <pane xSplit="1" ySplit="20" topLeftCell="B115" activePane="bottomRight" state="frozen"/>
      <selection pane="topRight" activeCell="B1" sqref="B1"/>
      <selection pane="bottomLeft" activeCell="A21" sqref="A21"/>
      <selection pane="bottomRight" activeCell="C132" sqref="C132"/>
    </sheetView>
  </sheetViews>
  <sheetFormatPr defaultColWidth="9" defaultRowHeight="14.25" x14ac:dyDescent="0.2"/>
  <cols>
    <col min="1" max="1" width="11.625" style="1" bestFit="1" customWidth="1"/>
    <col min="2" max="2" width="13" style="1" customWidth="1"/>
    <col min="3" max="4" width="13.5" style="1" bestFit="1" customWidth="1"/>
    <col min="5" max="5" width="10.75" style="1" customWidth="1"/>
    <col min="6" max="6" width="11.125" style="1" customWidth="1"/>
    <col min="7" max="7" width="18.875" style="2" customWidth="1"/>
    <col min="8" max="8" width="14.25" style="1" customWidth="1"/>
    <col min="9" max="9" width="12" style="1" bestFit="1" customWidth="1"/>
    <col min="10" max="16384" width="9" style="1"/>
  </cols>
  <sheetData>
    <row r="1" spans="1:7" ht="15" thickBot="1" x14ac:dyDescent="0.25"/>
    <row r="2" spans="1:7" ht="15" thickBot="1" x14ac:dyDescent="0.25">
      <c r="A2" s="23" t="s">
        <v>0</v>
      </c>
      <c r="B2" s="24">
        <f>COUNT(表2_367162629303891213141523242526272831323637[每日盈亏])</f>
        <v>106</v>
      </c>
      <c r="C2" s="27"/>
      <c r="D2" s="3" t="s">
        <v>1</v>
      </c>
      <c r="E2" s="28"/>
      <c r="F2" s="1" t="s">
        <v>2</v>
      </c>
      <c r="G2" s="394" t="s">
        <v>3</v>
      </c>
    </row>
    <row r="3" spans="1:7" x14ac:dyDescent="0.2">
      <c r="A3" s="25" t="s">
        <v>4</v>
      </c>
      <c r="B3" s="26">
        <f>COUNTIF(表2_367162629303891213141523242526272831323637[每日盈亏],"&gt;0")</f>
        <v>56</v>
      </c>
      <c r="C3" s="29"/>
      <c r="D3" s="30" t="s">
        <v>5</v>
      </c>
      <c r="E3" s="31">
        <f>245^0.5*(B10-0.025/365)/E10</f>
        <v>0.44718859259630878</v>
      </c>
      <c r="G3" s="394"/>
    </row>
    <row r="4" spans="1:7" x14ac:dyDescent="0.2">
      <c r="A4" s="25" t="s">
        <v>6</v>
      </c>
      <c r="B4" s="26">
        <f>COUNTIF(表2_367162629303891213141523242526272831323637[每日盈亏],"&lt;0")</f>
        <v>48</v>
      </c>
      <c r="C4" s="29"/>
      <c r="D4" s="32" t="s">
        <v>7</v>
      </c>
      <c r="E4" s="31">
        <f ca="1">-B9/E8</f>
        <v>0.96571654051574085</v>
      </c>
      <c r="G4" s="2">
        <f>LOOKUP(999^10,表2_367162629303891213141523242526272831323637[累计净值])</f>
        <v>1.0435000000000001</v>
      </c>
    </row>
    <row r="5" spans="1:7" x14ac:dyDescent="0.2">
      <c r="A5" s="25" t="s">
        <v>8</v>
      </c>
      <c r="B5" s="26">
        <f>B2-B3-B4</f>
        <v>2</v>
      </c>
      <c r="C5" s="29"/>
      <c r="D5" s="33" t="s">
        <v>9</v>
      </c>
      <c r="E5" s="4">
        <f>245^0.5*(B10-0.025/365)/E9</f>
        <v>0.70011796096416357</v>
      </c>
    </row>
    <row r="6" spans="1:7" ht="15" thickBot="1" x14ac:dyDescent="0.25">
      <c r="A6" s="34"/>
      <c r="B6" s="35"/>
      <c r="C6" s="35"/>
      <c r="D6" s="35"/>
      <c r="E6" s="36"/>
    </row>
    <row r="7" spans="1:7" ht="15" thickBot="1" x14ac:dyDescent="0.25">
      <c r="A7" s="5" t="s">
        <v>10</v>
      </c>
      <c r="B7" s="35"/>
      <c r="C7" s="35"/>
      <c r="D7" s="3" t="s">
        <v>11</v>
      </c>
      <c r="E7" s="37"/>
    </row>
    <row r="8" spans="1:7" x14ac:dyDescent="0.2">
      <c r="A8" s="38" t="s">
        <v>12</v>
      </c>
      <c r="B8" s="39">
        <f>LOOKUP(999^10,表2_367162629303891213141523242526272831323637[累计净值])/$B$21-1</f>
        <v>4.4022011005502737E-2</v>
      </c>
      <c r="C8" s="40"/>
      <c r="D8" s="30" t="s">
        <v>13</v>
      </c>
      <c r="E8" s="41">
        <f ca="1">MIN(表2_367162629303891213141523242526272831323637[最大回撤])</f>
        <v>-0.10536113179448992</v>
      </c>
    </row>
    <row r="9" spans="1:7" x14ac:dyDescent="0.2">
      <c r="A9" s="25" t="s">
        <v>14</v>
      </c>
      <c r="B9" s="32">
        <f>B8*245/B2</f>
        <v>0.10174898770139783</v>
      </c>
      <c r="C9" s="40"/>
      <c r="D9" s="33" t="s">
        <v>15</v>
      </c>
      <c r="E9" s="6">
        <f>STDEV(表2_367162629303891213141523242526272831323637[下跌幅度])</f>
        <v>7.7489323789915934E-3</v>
      </c>
    </row>
    <row r="10" spans="1:7" x14ac:dyDescent="0.2">
      <c r="A10" s="42" t="s">
        <v>16</v>
      </c>
      <c r="B10" s="43">
        <f>AVERAGE(表2_367162629303891213141523242526272831323637[每日盈亏])</f>
        <v>4.1509433962264188E-4</v>
      </c>
      <c r="C10" s="44"/>
      <c r="D10" s="33" t="s">
        <v>17</v>
      </c>
      <c r="E10" s="6">
        <f>STDEV(表2_367162629303891213141523242526272831323637[每日盈亏])</f>
        <v>1.2131719875346303E-2</v>
      </c>
    </row>
    <row r="11" spans="1:7" x14ac:dyDescent="0.2">
      <c r="A11" s="7" t="s">
        <v>18</v>
      </c>
      <c r="B11" s="32">
        <f>B3/B2</f>
        <v>0.52830188679245282</v>
      </c>
      <c r="C11" s="40"/>
      <c r="D11" s="32" t="s">
        <v>19</v>
      </c>
      <c r="E11" s="41">
        <f>245^0.5*E10</f>
        <v>0.18989145227681728</v>
      </c>
    </row>
    <row r="12" spans="1:7" ht="15" thickBot="1" x14ac:dyDescent="0.25">
      <c r="A12" s="45" t="s">
        <v>20</v>
      </c>
      <c r="B12" s="46">
        <f>-(SUMIF(表2_367162629303891213141523242526272831323637[每日盈亏],"&gt;=0")/B3)/(SUMIF(表2_367162629303891213141523242526272831323637[每日盈亏],"&lt;0")/B4)</f>
        <v>0.93428396107880674</v>
      </c>
      <c r="C12" s="47"/>
      <c r="D12" s="48"/>
      <c r="E12" s="49"/>
    </row>
    <row r="14" spans="1:7" ht="28.5" x14ac:dyDescent="0.2">
      <c r="A14" s="50" t="s">
        <v>21</v>
      </c>
      <c r="B14" s="50" t="s">
        <v>14</v>
      </c>
      <c r="C14" s="51" t="s">
        <v>19</v>
      </c>
      <c r="D14" s="51" t="s">
        <v>13</v>
      </c>
      <c r="E14" s="51" t="s">
        <v>5</v>
      </c>
      <c r="F14" s="51" t="s">
        <v>7</v>
      </c>
    </row>
    <row r="15" spans="1:7" x14ac:dyDescent="0.2">
      <c r="A15" s="78">
        <f>B2</f>
        <v>106</v>
      </c>
      <c r="B15" s="53">
        <f>B9</f>
        <v>0.10174898770139783</v>
      </c>
      <c r="C15" s="53">
        <f>E11</f>
        <v>0.18989145227681728</v>
      </c>
      <c r="D15" s="53">
        <f ca="1">E8</f>
        <v>-0.10536113179448992</v>
      </c>
      <c r="E15" s="54">
        <f>E3</f>
        <v>0.44718859259630878</v>
      </c>
      <c r="F15" s="54">
        <f ca="1">E4</f>
        <v>0.96571654051574085</v>
      </c>
    </row>
    <row r="19" spans="1:9" x14ac:dyDescent="0.2">
      <c r="A19" s="8"/>
      <c r="B19" s="1" t="s">
        <v>22</v>
      </c>
    </row>
    <row r="20" spans="1:9" ht="15.75" x14ac:dyDescent="0.2">
      <c r="A20" s="22" t="s">
        <v>23</v>
      </c>
      <c r="B20" s="22" t="s">
        <v>24</v>
      </c>
      <c r="C20" s="22" t="s">
        <v>25</v>
      </c>
      <c r="D20" s="22" t="s">
        <v>26</v>
      </c>
      <c r="E20" s="22" t="s">
        <v>27</v>
      </c>
      <c r="F20" s="22" t="s">
        <v>28</v>
      </c>
      <c r="G20" s="22" t="s">
        <v>29</v>
      </c>
    </row>
    <row r="21" spans="1:9" x14ac:dyDescent="0.2">
      <c r="A21" s="15">
        <v>44172</v>
      </c>
      <c r="B21" s="204">
        <v>0.99950000000000006</v>
      </c>
      <c r="C21" s="57">
        <f t="shared" ref="C21:C43" si="0">IFERROR(B21-B20,0)</f>
        <v>0</v>
      </c>
      <c r="D21" s="58" t="str">
        <f t="shared" ref="D21:D43" si="1">IF(C21&lt;0,C21,"/")</f>
        <v>/</v>
      </c>
      <c r="E21" s="58">
        <f ca="1">IF(表2_367162629303891213141523242526272831323637[[#This Row],[累计净值]]/MAX(INDIRECT("B21:B" &amp; ROW()))-1&lt;E20,表2_367162629303891213141523242526272831323637[[#This Row],[累计净值]]/MAX(INDIRECT("B21:B" &amp; ROW()))-1,E20)</f>
        <v>0</v>
      </c>
      <c r="F21" s="21">
        <f>表2_367162629303891213141523242526272831323637[[#This Row],[累计净值]]</f>
        <v>0.99950000000000006</v>
      </c>
      <c r="G21" s="205"/>
    </row>
    <row r="22" spans="1:9" x14ac:dyDescent="0.2">
      <c r="A22" s="15">
        <v>44173</v>
      </c>
      <c r="B22" s="112">
        <v>0.99939999999999996</v>
      </c>
      <c r="C22" s="17">
        <f t="shared" si="0"/>
        <v>-1.0000000000010001E-4</v>
      </c>
      <c r="D22" s="18">
        <f t="shared" si="1"/>
        <v>-1.0000000000010001E-4</v>
      </c>
      <c r="E22" s="18">
        <f ca="1">IF(表2_367162629303891213141523242526272831323637[[#This Row],[累计净值]]/MAX(INDIRECT("B21:B" &amp; ROW()))-1&lt;E21,表2_367162629303891213141523242526272831323637[[#This Row],[累计净值]]/MAX(INDIRECT("B21:B" &amp; ROW()))-1,E21)</f>
        <v>-1.0005002501256577E-4</v>
      </c>
      <c r="F22" s="19">
        <f>表2_367162629303891213141523242526272831323637[[#This Row],[累计净值]]</f>
        <v>0.99939999999999996</v>
      </c>
      <c r="G22" s="118"/>
    </row>
    <row r="23" spans="1:9" x14ac:dyDescent="0.2">
      <c r="A23" s="15">
        <v>44174</v>
      </c>
      <c r="B23" s="112">
        <v>0.99539999999999995</v>
      </c>
      <c r="C23" s="108">
        <f t="shared" si="0"/>
        <v>-4.0000000000000036E-3</v>
      </c>
      <c r="D23" s="109">
        <f t="shared" si="1"/>
        <v>-4.0000000000000036E-3</v>
      </c>
      <c r="E23" s="109">
        <f ca="1">IF(表2_367162629303891213141523242526272831323637[[#This Row],[累计净值]]/MAX(INDIRECT("B21:B" &amp; ROW()))-1&lt;E22,表2_367162629303891213141523242526272831323637[[#This Row],[累计净值]]/MAX(INDIRECT("B21:B" &amp; ROW()))-1,E22)</f>
        <v>-4.102051025512865E-3</v>
      </c>
      <c r="F23" s="110">
        <f>表2_367162629303891213141523242526272831323637[[#This Row],[累计净值]]</f>
        <v>0.99539999999999995</v>
      </c>
      <c r="G23" s="20"/>
    </row>
    <row r="24" spans="1:9" x14ac:dyDescent="0.2">
      <c r="A24" s="15">
        <v>44175</v>
      </c>
      <c r="B24" s="112">
        <v>0.998</v>
      </c>
      <c r="C24" s="108">
        <f t="shared" si="0"/>
        <v>2.6000000000000467E-3</v>
      </c>
      <c r="D24" s="109" t="str">
        <f t="shared" si="1"/>
        <v>/</v>
      </c>
      <c r="E24" s="109">
        <f ca="1">IF(表2_367162629303891213141523242526272831323637[[#This Row],[累计净值]]/MAX(INDIRECT("B21:B" &amp; ROW()))-1&lt;E23,表2_367162629303891213141523242526272831323637[[#This Row],[累计净值]]/MAX(INDIRECT("B21:B" &amp; ROW()))-1,E23)</f>
        <v>-4.102051025512865E-3</v>
      </c>
      <c r="F24" s="110">
        <f>表2_367162629303891213141523242526272831323637[[#This Row],[累计净值]]</f>
        <v>0.998</v>
      </c>
      <c r="G24" s="20"/>
    </row>
    <row r="25" spans="1:9" x14ac:dyDescent="0.2">
      <c r="A25" s="15">
        <v>44176</v>
      </c>
      <c r="B25" s="112">
        <v>0.98119999999999996</v>
      </c>
      <c r="C25" s="108">
        <f t="shared" si="0"/>
        <v>-1.6800000000000037E-2</v>
      </c>
      <c r="D25" s="109">
        <f t="shared" si="1"/>
        <v>-1.6800000000000037E-2</v>
      </c>
      <c r="E25" s="109">
        <f ca="1">IF(表2_367162629303891213141523242526272831323637[[#This Row],[累计净值]]/MAX(INDIRECT("B21:B" &amp; ROW()))-1&lt;E24,表2_367162629303891213141523242526272831323637[[#This Row],[累计净值]]/MAX(INDIRECT("B21:B" &amp; ROW()))-1,E24)</f>
        <v>-1.8309154577288766E-2</v>
      </c>
      <c r="F25" s="110">
        <f>表2_367162629303891213141523242526272831323637[[#This Row],[累计净值]]</f>
        <v>0.98119999999999996</v>
      </c>
      <c r="G25" s="20"/>
    </row>
    <row r="26" spans="1:9" x14ac:dyDescent="0.2">
      <c r="A26" s="15">
        <v>44179</v>
      </c>
      <c r="B26" s="112">
        <v>0.98499999999999999</v>
      </c>
      <c r="C26" s="108">
        <f t="shared" si="0"/>
        <v>3.8000000000000256E-3</v>
      </c>
      <c r="D26" s="109" t="str">
        <f t="shared" si="1"/>
        <v>/</v>
      </c>
      <c r="E26" s="109">
        <f ca="1">IF(表2_367162629303891213141523242526272831323637[[#This Row],[累计净值]]/MAX(INDIRECT("B21:B" &amp; ROW()))-1&lt;E25,表2_367162629303891213141523242526272831323637[[#This Row],[累计净值]]/MAX(INDIRECT("B21:B" &amp; ROW()))-1,E25)</f>
        <v>-1.8309154577288766E-2</v>
      </c>
      <c r="F26" s="110">
        <f>表2_367162629303891213141523242526272831323637[[#This Row],[累计净值]]</f>
        <v>0.98499999999999999</v>
      </c>
      <c r="G26" s="20"/>
    </row>
    <row r="27" spans="1:9" x14ac:dyDescent="0.2">
      <c r="A27" s="15">
        <v>44180</v>
      </c>
      <c r="B27" s="112">
        <v>0.98980000000000001</v>
      </c>
      <c r="C27" s="108">
        <f t="shared" si="0"/>
        <v>4.8000000000000265E-3</v>
      </c>
      <c r="D27" s="109" t="str">
        <f t="shared" si="1"/>
        <v>/</v>
      </c>
      <c r="E27" s="109">
        <f ca="1">IF(表2_367162629303891213141523242526272831323637[[#This Row],[累计净值]]/MAX(INDIRECT("B21:B" &amp; ROW()))-1&lt;E26,表2_367162629303891213141523242526272831323637[[#This Row],[累计净值]]/MAX(INDIRECT("B21:B" &amp; ROW()))-1,E26)</f>
        <v>-1.8309154577288766E-2</v>
      </c>
      <c r="F27" s="110">
        <f>表2_367162629303891213141523242526272831323637[[#This Row],[累计净值]]</f>
        <v>0.98980000000000001</v>
      </c>
      <c r="G27" s="20"/>
    </row>
    <row r="28" spans="1:9" x14ac:dyDescent="0.2">
      <c r="A28" s="15">
        <v>44181</v>
      </c>
      <c r="B28" s="112">
        <v>0.98319999999999996</v>
      </c>
      <c r="C28" s="108">
        <f t="shared" si="0"/>
        <v>-6.6000000000000503E-3</v>
      </c>
      <c r="D28" s="109">
        <f t="shared" si="1"/>
        <v>-6.6000000000000503E-3</v>
      </c>
      <c r="E28" s="109">
        <f ca="1">IF(表2_367162629303891213141523242526272831323637[[#This Row],[累计净值]]/MAX(INDIRECT("B21:B" &amp; ROW()))-1&lt;E27,表2_367162629303891213141523242526272831323637[[#This Row],[累计净值]]/MAX(INDIRECT("B21:B" &amp; ROW()))-1,E27)</f>
        <v>-1.8309154577288766E-2</v>
      </c>
      <c r="F28" s="110">
        <f>表2_367162629303891213141523242526272831323637[[#This Row],[累计净值]]</f>
        <v>0.98319999999999996</v>
      </c>
      <c r="G28" s="20"/>
    </row>
    <row r="29" spans="1:9" x14ac:dyDescent="0.2">
      <c r="A29" s="15">
        <v>44182</v>
      </c>
      <c r="B29" s="112">
        <v>0.99380000000000002</v>
      </c>
      <c r="C29" s="108">
        <f t="shared" si="0"/>
        <v>1.0600000000000054E-2</v>
      </c>
      <c r="D29" s="109" t="str">
        <f t="shared" si="1"/>
        <v>/</v>
      </c>
      <c r="E29" s="109">
        <f ca="1">IF(表2_367162629303891213141523242526272831323637[[#This Row],[累计净值]]/MAX(INDIRECT("B21:B" &amp; ROW()))-1&lt;E28,表2_367162629303891213141523242526272831323637[[#This Row],[累计净值]]/MAX(INDIRECT("B21:B" &amp; ROW()))-1,E28)</f>
        <v>-1.8309154577288766E-2</v>
      </c>
      <c r="F29" s="110">
        <f>表2_367162629303891213141523242526272831323637[[#This Row],[累计净值]]</f>
        <v>0.99380000000000002</v>
      </c>
      <c r="G29" s="20"/>
      <c r="I29" s="196" t="s">
        <v>44</v>
      </c>
    </row>
    <row r="30" spans="1:9" x14ac:dyDescent="0.2">
      <c r="A30" s="15">
        <v>44183</v>
      </c>
      <c r="B30" s="112">
        <v>0.98939999999999995</v>
      </c>
      <c r="C30" s="108">
        <f t="shared" si="0"/>
        <v>-4.4000000000000705E-3</v>
      </c>
      <c r="D30" s="109">
        <f t="shared" si="1"/>
        <v>-4.4000000000000705E-3</v>
      </c>
      <c r="E30" s="109">
        <f ca="1">IF(表2_367162629303891213141523242526272831323637[[#This Row],[累计净值]]/MAX(INDIRECT("B21:B" &amp; ROW()))-1&lt;E29,表2_367162629303891213141523242526272831323637[[#This Row],[累计净值]]/MAX(INDIRECT("B21:B" &amp; ROW()))-1,E29)</f>
        <v>-1.8309154577288766E-2</v>
      </c>
      <c r="F30" s="110">
        <f>表2_367162629303891213141523242526272831323637[[#This Row],[累计净值]]</f>
        <v>0.98939999999999995</v>
      </c>
      <c r="G30" s="20"/>
    </row>
    <row r="31" spans="1:9" x14ac:dyDescent="0.2">
      <c r="A31" s="15">
        <v>44186</v>
      </c>
      <c r="B31" s="112">
        <v>1.0077</v>
      </c>
      <c r="C31" s="108">
        <f t="shared" si="0"/>
        <v>1.8300000000000094E-2</v>
      </c>
      <c r="D31" s="109" t="str">
        <f t="shared" si="1"/>
        <v>/</v>
      </c>
      <c r="E31" s="109">
        <f ca="1">IF(表2_367162629303891213141523242526272831323637[[#This Row],[累计净值]]/MAX(INDIRECT("B21:B" &amp; ROW()))-1&lt;E30,表2_367162629303891213141523242526272831323637[[#This Row],[累计净值]]/MAX(INDIRECT("B21:B" &amp; ROW()))-1,E30)</f>
        <v>-1.8309154577288766E-2</v>
      </c>
      <c r="F31" s="110">
        <f>表2_367162629303891213141523242526272831323637[[#This Row],[累计净值]]</f>
        <v>1.0077</v>
      </c>
      <c r="G31" s="20"/>
    </row>
    <row r="32" spans="1:9" x14ac:dyDescent="0.2">
      <c r="A32" s="15">
        <v>44187</v>
      </c>
      <c r="B32" s="112">
        <v>0.98950000000000005</v>
      </c>
      <c r="C32" s="108">
        <f t="shared" si="0"/>
        <v>-1.8199999999999994E-2</v>
      </c>
      <c r="D32" s="109">
        <f t="shared" si="1"/>
        <v>-1.8199999999999994E-2</v>
      </c>
      <c r="E32" s="109">
        <f ca="1">IF(表2_367162629303891213141523242526272831323637[[#This Row],[累计净值]]/MAX(INDIRECT("B21:B" &amp; ROW()))-1&lt;E31,表2_367162629303891213141523242526272831323637[[#This Row],[累计净值]]/MAX(INDIRECT("B21:B" &amp; ROW()))-1,E31)</f>
        <v>-1.8309154577288766E-2</v>
      </c>
      <c r="F32" s="110">
        <f>表2_367162629303891213141523242526272831323637[[#This Row],[累计净值]]</f>
        <v>0.98950000000000005</v>
      </c>
      <c r="G32" s="20"/>
    </row>
    <row r="33" spans="1:7" x14ac:dyDescent="0.2">
      <c r="A33" s="15">
        <v>44188</v>
      </c>
      <c r="B33" s="112">
        <v>0.99390000000000001</v>
      </c>
      <c r="C33" s="108">
        <f t="shared" si="0"/>
        <v>4.3999999999999595E-3</v>
      </c>
      <c r="D33" s="109" t="str">
        <f t="shared" si="1"/>
        <v>/</v>
      </c>
      <c r="E33" s="109">
        <f ca="1">IF(表2_367162629303891213141523242526272831323637[[#This Row],[累计净值]]/MAX(INDIRECT("B21:B" &amp; ROW()))-1&lt;E32,表2_367162629303891213141523242526272831323637[[#This Row],[累计净值]]/MAX(INDIRECT("B21:B" &amp; ROW()))-1,E32)</f>
        <v>-1.8309154577288766E-2</v>
      </c>
      <c r="F33" s="110">
        <f>表2_367162629303891213141523242526272831323637[[#This Row],[累计净值]]</f>
        <v>0.99390000000000001</v>
      </c>
      <c r="G33" s="20"/>
    </row>
    <row r="34" spans="1:7" x14ac:dyDescent="0.2">
      <c r="A34" s="15">
        <v>44189</v>
      </c>
      <c r="B34" s="112">
        <v>0.98080000000000001</v>
      </c>
      <c r="C34" s="108">
        <f t="shared" si="0"/>
        <v>-1.3100000000000001E-2</v>
      </c>
      <c r="D34" s="109">
        <f t="shared" si="1"/>
        <v>-1.3100000000000001E-2</v>
      </c>
      <c r="E34" s="109">
        <f ca="1">IF(表2_367162629303891213141523242526272831323637[[#This Row],[累计净值]]/MAX(INDIRECT("B21:B" &amp; ROW()))-1&lt;E33,表2_367162629303891213141523242526272831323637[[#This Row],[累计净值]]/MAX(INDIRECT("B21:B" &amp; ROW()))-1,E33)</f>
        <v>-2.6694452714101424E-2</v>
      </c>
      <c r="F34" s="110">
        <f>表2_367162629303891213141523242526272831323637[[#This Row],[累计净值]]</f>
        <v>0.98080000000000001</v>
      </c>
      <c r="G34" s="20"/>
    </row>
    <row r="35" spans="1:7" x14ac:dyDescent="0.2">
      <c r="A35" s="15">
        <v>44190</v>
      </c>
      <c r="B35" s="112">
        <v>0.99180000000000001</v>
      </c>
      <c r="C35" s="108">
        <f t="shared" si="0"/>
        <v>1.100000000000001E-2</v>
      </c>
      <c r="D35" s="109" t="str">
        <f t="shared" si="1"/>
        <v>/</v>
      </c>
      <c r="E35" s="109">
        <f ca="1">IF(表2_367162629303891213141523242526272831323637[[#This Row],[累计净值]]/MAX(INDIRECT("B21:B" &amp; ROW()))-1&lt;E34,表2_367162629303891213141523242526272831323637[[#This Row],[累计净值]]/MAX(INDIRECT("B21:B" &amp; ROW()))-1,E34)</f>
        <v>-2.6694452714101424E-2</v>
      </c>
      <c r="F35" s="110">
        <f>表2_367162629303891213141523242526272831323637[[#This Row],[累计净值]]</f>
        <v>0.99180000000000001</v>
      </c>
      <c r="G35" s="20"/>
    </row>
    <row r="36" spans="1:7" x14ac:dyDescent="0.2">
      <c r="A36" s="15">
        <v>44193</v>
      </c>
      <c r="B36" s="112">
        <v>0.9849</v>
      </c>
      <c r="C36" s="108">
        <f t="shared" si="0"/>
        <v>-6.9000000000000172E-3</v>
      </c>
      <c r="D36" s="109">
        <f t="shared" si="1"/>
        <v>-6.9000000000000172E-3</v>
      </c>
      <c r="E36" s="109">
        <f ca="1">IF(表2_367162629303891213141523242526272831323637[[#This Row],[累计净值]]/MAX(INDIRECT("B21:B" &amp; ROW()))-1&lt;E35,表2_367162629303891213141523242526272831323637[[#This Row],[累计净值]]/MAX(INDIRECT("B21:B" &amp; ROW()))-1,E35)</f>
        <v>-2.6694452714101424E-2</v>
      </c>
      <c r="F36" s="110">
        <f>表2_367162629303891213141523242526272831323637[[#This Row],[累计净值]]</f>
        <v>0.9849</v>
      </c>
      <c r="G36" s="20"/>
    </row>
    <row r="37" spans="1:7" x14ac:dyDescent="0.2">
      <c r="A37" s="15">
        <v>44194</v>
      </c>
      <c r="B37" s="112">
        <v>0.98419999999999996</v>
      </c>
      <c r="C37" s="108">
        <f t="shared" si="0"/>
        <v>-7.0000000000003393E-4</v>
      </c>
      <c r="D37" s="109">
        <f t="shared" si="1"/>
        <v>-7.0000000000003393E-4</v>
      </c>
      <c r="E37" s="109">
        <f ca="1">IF(表2_367162629303891213141523242526272831323637[[#This Row],[累计净值]]/MAX(INDIRECT("B21:B" &amp; ROW()))-1&lt;E36,表2_367162629303891213141523242526272831323637[[#This Row],[累计净值]]/MAX(INDIRECT("B21:B" &amp; ROW()))-1,E36)</f>
        <v>-2.6694452714101424E-2</v>
      </c>
      <c r="F37" s="110">
        <f>表2_367162629303891213141523242526272831323637[[#This Row],[累计净值]]</f>
        <v>0.98419999999999996</v>
      </c>
      <c r="G37" s="20"/>
    </row>
    <row r="38" spans="1:7" x14ac:dyDescent="0.2">
      <c r="A38" s="15">
        <v>44195</v>
      </c>
      <c r="B38" s="112">
        <v>0.99260000000000004</v>
      </c>
      <c r="C38" s="108">
        <f t="shared" si="0"/>
        <v>8.4000000000000741E-3</v>
      </c>
      <c r="D38" s="109" t="str">
        <f t="shared" si="1"/>
        <v>/</v>
      </c>
      <c r="E38" s="109">
        <f ca="1">IF(表2_367162629303891213141523242526272831323637[[#This Row],[累计净值]]/MAX(INDIRECT("B21:B" &amp; ROW()))-1&lt;E37,表2_367162629303891213141523242526272831323637[[#This Row],[累计净值]]/MAX(INDIRECT("B21:B" &amp; ROW()))-1,E37)</f>
        <v>-2.6694452714101424E-2</v>
      </c>
      <c r="F38" s="110">
        <f>表2_367162629303891213141523242526272831323637[[#This Row],[累计净值]]</f>
        <v>0.99260000000000004</v>
      </c>
      <c r="G38" s="20"/>
    </row>
    <row r="39" spans="1:7" x14ac:dyDescent="0.2">
      <c r="A39" s="15">
        <v>44196</v>
      </c>
      <c r="B39" s="112">
        <v>1.0095000000000001</v>
      </c>
      <c r="C39" s="108">
        <f t="shared" si="0"/>
        <v>1.6900000000000026E-2</v>
      </c>
      <c r="D39" s="109" t="str">
        <f t="shared" si="1"/>
        <v>/</v>
      </c>
      <c r="E39" s="109">
        <f ca="1">IF(表2_367162629303891213141523242526272831323637[[#This Row],[累计净值]]/MAX(INDIRECT("B21:B" &amp; ROW()))-1&lt;E38,表2_367162629303891213141523242526272831323637[[#This Row],[累计净值]]/MAX(INDIRECT("B21:B" &amp; ROW()))-1,E38)</f>
        <v>-2.6694452714101424E-2</v>
      </c>
      <c r="F39" s="110">
        <f>表2_367162629303891213141523242526272831323637[[#This Row],[累计净值]]</f>
        <v>1.0095000000000001</v>
      </c>
      <c r="G39" s="20"/>
    </row>
    <row r="40" spans="1:7" x14ac:dyDescent="0.2">
      <c r="A40" s="15">
        <v>44200</v>
      </c>
      <c r="B40" s="112">
        <v>1.0290999999999999</v>
      </c>
      <c r="C40" s="108">
        <f t="shared" si="0"/>
        <v>1.959999999999984E-2</v>
      </c>
      <c r="D40" s="109" t="str">
        <f t="shared" si="1"/>
        <v>/</v>
      </c>
      <c r="E40" s="109">
        <f ca="1">IF(表2_367162629303891213141523242526272831323637[[#This Row],[累计净值]]/MAX(INDIRECT("B21:B" &amp; ROW()))-1&lt;E39,表2_367162629303891213141523242526272831323637[[#This Row],[累计净值]]/MAX(INDIRECT("B21:B" &amp; ROW()))-1,E39)</f>
        <v>-2.6694452714101424E-2</v>
      </c>
      <c r="F40" s="110">
        <f>表2_367162629303891213141523242526272831323637[[#This Row],[累计净值]]</f>
        <v>1.0290999999999999</v>
      </c>
      <c r="G40" s="20"/>
    </row>
    <row r="41" spans="1:7" x14ac:dyDescent="0.2">
      <c r="A41" s="15">
        <v>44201</v>
      </c>
      <c r="B41" s="112">
        <v>1.0341</v>
      </c>
      <c r="C41" s="108">
        <f t="shared" si="0"/>
        <v>5.0000000000001155E-3</v>
      </c>
      <c r="D41" s="109" t="str">
        <f t="shared" si="1"/>
        <v>/</v>
      </c>
      <c r="E41" s="109">
        <f ca="1">IF(表2_367162629303891213141523242526272831323637[[#This Row],[累计净值]]/MAX(INDIRECT("B21:B" &amp; ROW()))-1&lt;E40,表2_367162629303891213141523242526272831323637[[#This Row],[累计净值]]/MAX(INDIRECT("B21:B" &amp; ROW()))-1,E40)</f>
        <v>-2.6694452714101424E-2</v>
      </c>
      <c r="F41" s="110">
        <f>表2_367162629303891213141523242526272831323637[[#This Row],[累计净值]]</f>
        <v>1.0341</v>
      </c>
      <c r="G41" s="20"/>
    </row>
    <row r="42" spans="1:7" x14ac:dyDescent="0.2">
      <c r="A42" s="15">
        <v>44202</v>
      </c>
      <c r="B42" s="112">
        <v>1.0289999999999999</v>
      </c>
      <c r="C42" s="108">
        <f t="shared" si="0"/>
        <v>-5.1000000000001044E-3</v>
      </c>
      <c r="D42" s="109">
        <f t="shared" si="1"/>
        <v>-5.1000000000001044E-3</v>
      </c>
      <c r="E42" s="109">
        <f ca="1">IF(表2_367162629303891213141523242526272831323637[[#This Row],[累计净值]]/MAX(INDIRECT("B21:B" &amp; ROW()))-1&lt;E41,表2_367162629303891213141523242526272831323637[[#This Row],[累计净值]]/MAX(INDIRECT("B21:B" &amp; ROW()))-1,E41)</f>
        <v>-2.6694452714101424E-2</v>
      </c>
      <c r="F42" s="110">
        <f>表2_367162629303891213141523242526272831323637[[#This Row],[累计净值]]</f>
        <v>1.0289999999999999</v>
      </c>
      <c r="G42" s="20"/>
    </row>
    <row r="43" spans="1:7" x14ac:dyDescent="0.2">
      <c r="A43" s="15">
        <v>44203</v>
      </c>
      <c r="B43" s="112">
        <v>1.0273000000000001</v>
      </c>
      <c r="C43" s="108">
        <f t="shared" si="0"/>
        <v>-1.6999999999998128E-3</v>
      </c>
      <c r="D43" s="109">
        <f t="shared" si="1"/>
        <v>-1.6999999999998128E-3</v>
      </c>
      <c r="E43" s="109">
        <f ca="1">IF(表2_367162629303891213141523242526272831323637[[#This Row],[累计净值]]/MAX(INDIRECT("B21:B" &amp; ROW()))-1&lt;E42,表2_367162629303891213141523242526272831323637[[#This Row],[累计净值]]/MAX(INDIRECT("B21:B" &amp; ROW()))-1,E42)</f>
        <v>-2.6694452714101424E-2</v>
      </c>
      <c r="F43" s="110">
        <f>表2_367162629303891213141523242526272831323637[[#This Row],[累计净值]]</f>
        <v>1.0273000000000001</v>
      </c>
      <c r="G43" s="20"/>
    </row>
    <row r="44" spans="1:7" x14ac:dyDescent="0.2">
      <c r="A44" s="15">
        <v>44204</v>
      </c>
      <c r="B44" s="112">
        <v>1.0314000000000001</v>
      </c>
      <c r="C44" s="108">
        <f>IFERROR(B44-B43,0)</f>
        <v>4.0999999999999925E-3</v>
      </c>
      <c r="D44" s="109" t="str">
        <f>IF(C44&lt;0,C44,"/")</f>
        <v>/</v>
      </c>
      <c r="E44" s="109">
        <f ca="1">IF(表2_367162629303891213141523242526272831323637[[#This Row],[累计净值]]/MAX(INDIRECT("B21:B" &amp; ROW()))-1&lt;E43,表2_367162629303891213141523242526272831323637[[#This Row],[累计净值]]/MAX(INDIRECT("B21:B" &amp; ROW()))-1,E43)</f>
        <v>-2.6694452714101424E-2</v>
      </c>
      <c r="F44" s="110">
        <f>表2_367162629303891213141523242526272831323637[[#This Row],[累计净值]]</f>
        <v>1.0314000000000001</v>
      </c>
      <c r="G44" s="20"/>
    </row>
    <row r="45" spans="1:7" x14ac:dyDescent="0.2">
      <c r="A45" s="15">
        <v>44207</v>
      </c>
      <c r="B45" s="112">
        <v>1.0193000000000001</v>
      </c>
      <c r="C45" s="108">
        <f>IFERROR(B45-B44,0)</f>
        <v>-1.21E-2</v>
      </c>
      <c r="D45" s="109">
        <f>IF(C45&lt;0,C45,"/")</f>
        <v>-1.21E-2</v>
      </c>
      <c r="E45" s="109">
        <f ca="1">IF(表2_367162629303891213141523242526272831323637[[#This Row],[累计净值]]/MAX(INDIRECT("B21:B" &amp; ROW()))-1&lt;E44,表2_367162629303891213141523242526272831323637[[#This Row],[累计净值]]/MAX(INDIRECT("B21:B" &amp; ROW()))-1,E44)</f>
        <v>-2.6694452714101424E-2</v>
      </c>
      <c r="F45" s="110">
        <f>表2_367162629303891213141523242526272831323637[[#This Row],[累计净值]]</f>
        <v>1.0193000000000001</v>
      </c>
      <c r="G45" s="20"/>
    </row>
    <row r="46" spans="1:7" x14ac:dyDescent="0.2">
      <c r="A46" s="15">
        <v>44208</v>
      </c>
      <c r="B46" s="112">
        <v>1.0361</v>
      </c>
      <c r="C46" s="108">
        <f>IFERROR(B46-B45,0)</f>
        <v>1.6799999999999926E-2</v>
      </c>
      <c r="D46" s="109" t="str">
        <f>IF(C46&lt;0,C46,"/")</f>
        <v>/</v>
      </c>
      <c r="E46" s="109">
        <f ca="1">IF(表2_367162629303891213141523242526272831323637[[#This Row],[累计净值]]/MAX(INDIRECT("B21:B" &amp; ROW()))-1&lt;E45,表2_367162629303891213141523242526272831323637[[#This Row],[累计净值]]/MAX(INDIRECT("B21:B" &amp; ROW()))-1,E45)</f>
        <v>-2.6694452714101424E-2</v>
      </c>
      <c r="F46" s="110">
        <f>表2_367162629303891213141523242526272831323637[[#This Row],[累计净值]]</f>
        <v>1.0361</v>
      </c>
      <c r="G46" s="20"/>
    </row>
    <row r="47" spans="1:7" x14ac:dyDescent="0.2">
      <c r="A47" s="15">
        <v>44209</v>
      </c>
      <c r="B47" s="112">
        <v>1.0269999999999999</v>
      </c>
      <c r="C47" s="108">
        <f>IFERROR(B47-B46,0)</f>
        <v>-9.100000000000108E-3</v>
      </c>
      <c r="D47" s="109">
        <f>IF(C47&lt;0,C47,"/")</f>
        <v>-9.100000000000108E-3</v>
      </c>
      <c r="E47" s="109">
        <f ca="1">IF(表2_367162629303891213141523242526272831323637[[#This Row],[累计净值]]/MAX(INDIRECT("B21:B" &amp; ROW()))-1&lt;E46,表2_367162629303891213141523242526272831323637[[#This Row],[累计净值]]/MAX(INDIRECT("B21:B" &amp; ROW()))-1,E46)</f>
        <v>-2.6694452714101424E-2</v>
      </c>
      <c r="F47" s="110">
        <f>表2_367162629303891213141523242526272831323637[[#This Row],[累计净值]]</f>
        <v>1.0269999999999999</v>
      </c>
      <c r="G47" s="20"/>
    </row>
    <row r="48" spans="1:7" x14ac:dyDescent="0.2">
      <c r="A48" s="9">
        <v>44210</v>
      </c>
      <c r="B48" s="190">
        <v>1.0269999999999999</v>
      </c>
      <c r="C48" s="191">
        <f t="shared" ref="C48:C49" si="2">IFERROR(B48-B47,0)</f>
        <v>0</v>
      </c>
      <c r="D48" s="192" t="str">
        <f t="shared" ref="D48:D49" si="3">IF(C48&lt;0,C48,"/")</f>
        <v>/</v>
      </c>
      <c r="E48" s="192">
        <f ca="1">IF(表2_367162629303891213141523242526272831323637[[#This Row],[累计净值]]/MAX(INDIRECT("B21:B" &amp; ROW()))-1&lt;E47,表2_367162629303891213141523242526272831323637[[#This Row],[累计净值]]/MAX(INDIRECT("B21:B" &amp; ROW()))-1,E47)</f>
        <v>-2.6694452714101424E-2</v>
      </c>
      <c r="F48" s="193">
        <f>表2_367162629303891213141523242526272831323637[[#This Row],[累计净值]]</f>
        <v>1.0269999999999999</v>
      </c>
      <c r="G48" s="194" t="s">
        <v>30</v>
      </c>
    </row>
    <row r="49" spans="1:7" x14ac:dyDescent="0.2">
      <c r="A49" s="15">
        <v>44211</v>
      </c>
      <c r="B49" s="112">
        <v>1.0259</v>
      </c>
      <c r="C49" s="108">
        <f t="shared" si="2"/>
        <v>-1.0999999999998789E-3</v>
      </c>
      <c r="D49" s="109">
        <f t="shared" si="3"/>
        <v>-1.0999999999998789E-3</v>
      </c>
      <c r="E49" s="109">
        <f ca="1">IF(表2_367162629303891213141523242526272831323637[[#This Row],[累计净值]]/MAX(INDIRECT("B21:B" &amp; ROW()))-1&lt;E48,表2_367162629303891213141523242526272831323637[[#This Row],[累计净值]]/MAX(INDIRECT("B21:B" &amp; ROW()))-1,E48)</f>
        <v>-2.6694452714101424E-2</v>
      </c>
      <c r="F49" s="110">
        <f>表2_367162629303891213141523242526272831323637[[#This Row],[累计净值]]</f>
        <v>1.0259</v>
      </c>
      <c r="G49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-1.0710808179161813E-3</v>
      </c>
    </row>
    <row r="50" spans="1:7" x14ac:dyDescent="0.2">
      <c r="A50" s="15">
        <v>44214</v>
      </c>
      <c r="B50" s="112">
        <v>1.0434000000000001</v>
      </c>
      <c r="C50" s="108">
        <f t="shared" ref="C50:C55" si="4">IFERROR(B50-B49,0)</f>
        <v>1.7500000000000071E-2</v>
      </c>
      <c r="D50" s="109" t="str">
        <f t="shared" ref="D50:D55" si="5">IF(C50&lt;0,C50,"/")</f>
        <v>/</v>
      </c>
      <c r="E50" s="109">
        <f ca="1">IF(表2_367162629303891213141523242526272831323637[[#This Row],[累计净值]]/MAX(INDIRECT("B21:B" &amp; ROW()))-1&lt;E49,表2_367162629303891213141523242526272831323637[[#This Row],[累计净值]]/MAX(INDIRECT("B21:B" &amp; ROW()))-1,E49)</f>
        <v>-2.6694452714101424E-2</v>
      </c>
      <c r="F50" s="110">
        <f>表2_367162629303891213141523242526272831323637[[#This Row],[累计净值]]</f>
        <v>1.0434000000000001</v>
      </c>
      <c r="G50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1.277507302823775E-2</v>
      </c>
    </row>
    <row r="51" spans="1:7" x14ac:dyDescent="0.2">
      <c r="A51" s="15">
        <v>44215</v>
      </c>
      <c r="B51" s="112">
        <v>1.0318000000000001</v>
      </c>
      <c r="C51" s="108">
        <f t="shared" si="4"/>
        <v>-1.1600000000000055E-2</v>
      </c>
      <c r="D51" s="109">
        <f t="shared" si="5"/>
        <v>-1.1600000000000055E-2</v>
      </c>
      <c r="E51" s="109">
        <f ca="1">IF(表2_367162629303891213141523242526272831323637[[#This Row],[累计净值]]/MAX(INDIRECT("B21:B" &amp; ROW()))-1&lt;E50,表2_367162629303891213141523242526272831323637[[#This Row],[累计净值]]/MAX(INDIRECT("B21:B" &amp; ROW()))-1,E50)</f>
        <v>-2.6694452714101424E-2</v>
      </c>
      <c r="F51" s="110">
        <f>表2_367162629303891213141523242526272831323637[[#This Row],[累计净值]]</f>
        <v>1.0318000000000001</v>
      </c>
      <c r="G51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3.7390457643622812E-3</v>
      </c>
    </row>
    <row r="52" spans="1:7" x14ac:dyDescent="0.2">
      <c r="A52" s="15">
        <v>44216</v>
      </c>
      <c r="B52" s="112">
        <v>1.0469999999999999</v>
      </c>
      <c r="C52" s="108">
        <f t="shared" si="4"/>
        <v>1.519999999999988E-2</v>
      </c>
      <c r="D52" s="109" t="str">
        <f t="shared" si="5"/>
        <v>/</v>
      </c>
      <c r="E52" s="109">
        <f ca="1">IF(表2_367162629303891213141523242526272831323637[[#This Row],[累计净值]]/MAX(INDIRECT("B21:B" &amp; ROW()))-1&lt;E51,表2_367162629303891213141523242526272831323637[[#This Row],[累计净值]]/MAX(INDIRECT("B21:B" &amp; ROW()))-1,E51)</f>
        <v>-2.6694452714101424E-2</v>
      </c>
      <c r="F52" s="110">
        <f>表2_367162629303891213141523242526272831323637[[#This Row],[累计净值]]</f>
        <v>1.0469999999999999</v>
      </c>
      <c r="G52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1.5579357351509239E-2</v>
      </c>
    </row>
    <row r="53" spans="1:7" x14ac:dyDescent="0.2">
      <c r="A53" s="15">
        <v>44217</v>
      </c>
      <c r="B53" s="112">
        <v>1.0660000000000001</v>
      </c>
      <c r="C53" s="108">
        <f t="shared" si="4"/>
        <v>1.9000000000000128E-2</v>
      </c>
      <c r="D53" s="109" t="str">
        <f t="shared" si="5"/>
        <v>/</v>
      </c>
      <c r="E53" s="109">
        <f ca="1">IF(表2_367162629303891213141523242526272831323637[[#This Row],[累计净值]]/MAX(INDIRECT("B21:B" &amp; ROW()))-1&lt;E52,表2_367162629303891213141523242526272831323637[[#This Row],[累计净值]]/MAX(INDIRECT("B21:B" &amp; ROW()))-1,E52)</f>
        <v>-2.6694452714101424E-2</v>
      </c>
      <c r="F53" s="110">
        <f>表2_367162629303891213141523242526272831323637[[#This Row],[累计净值]]</f>
        <v>1.0660000000000001</v>
      </c>
      <c r="G53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3.03797468354432E-2</v>
      </c>
    </row>
    <row r="54" spans="1:7" x14ac:dyDescent="0.2">
      <c r="A54" s="15">
        <v>44218</v>
      </c>
      <c r="B54" s="112">
        <v>1.073</v>
      </c>
      <c r="C54" s="108">
        <f t="shared" si="4"/>
        <v>6.9999999999998952E-3</v>
      </c>
      <c r="D54" s="109" t="str">
        <f t="shared" si="5"/>
        <v>/</v>
      </c>
      <c r="E54" s="109">
        <f ca="1">IF(表2_367162629303891213141523242526272831323637[[#This Row],[累计净值]]/MAX(INDIRECT("B21:B" &amp; ROW()))-1&lt;E53,表2_367162629303891213141523242526272831323637[[#This Row],[累计净值]]/MAX(INDIRECT("B21:B" &amp; ROW()))-1,E53)</f>
        <v>-2.6694452714101424E-2</v>
      </c>
      <c r="F54" s="110">
        <f>表2_367162629303891213141523242526272831323637[[#This Row],[累计净值]]</f>
        <v>1.073</v>
      </c>
      <c r="G54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3.5832521908471374E-2</v>
      </c>
    </row>
    <row r="55" spans="1:7" x14ac:dyDescent="0.2">
      <c r="A55" s="15">
        <v>44221</v>
      </c>
      <c r="B55" s="112">
        <v>1.0744</v>
      </c>
      <c r="C55" s="108">
        <f t="shared" si="4"/>
        <v>1.4000000000000679E-3</v>
      </c>
      <c r="D55" s="109" t="str">
        <f t="shared" si="5"/>
        <v>/</v>
      </c>
      <c r="E55" s="109">
        <f ca="1">IF(表2_367162629303891213141523242526272831323637[[#This Row],[累计净值]]/MAX(INDIRECT("B21:B" &amp; ROW()))-1&lt;E54,表2_367162629303891213141523242526272831323637[[#This Row],[累计净值]]/MAX(INDIRECT("B21:B" &amp; ROW()))-1,E54)</f>
        <v>-2.6694452714101424E-2</v>
      </c>
      <c r="F55" s="110">
        <f>表2_367162629303891213141523242526272831323637[[#This Row],[累计净值]]</f>
        <v>1.0744</v>
      </c>
      <c r="G55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3.6923076923076968E-2</v>
      </c>
    </row>
    <row r="56" spans="1:7" x14ac:dyDescent="0.2">
      <c r="A56" s="15">
        <v>44222</v>
      </c>
      <c r="B56" s="112">
        <v>1.0545</v>
      </c>
      <c r="C56" s="108">
        <f t="shared" ref="C56:C61" si="6">IFERROR(B56-B55,0)</f>
        <v>-1.9900000000000029E-2</v>
      </c>
      <c r="D56" s="109">
        <f t="shared" ref="D56:D61" si="7">IF(C56&lt;0,C56,"/")</f>
        <v>-1.9900000000000029E-2</v>
      </c>
      <c r="E56" s="109">
        <f ca="1">IF(表2_367162629303891213141523242526272831323637[[#This Row],[累计净值]]/MAX(INDIRECT("B21:B" &amp; ROW()))-1&lt;E55,表2_367162629303891213141523242526272831323637[[#This Row],[累计净值]]/MAX(INDIRECT("B21:B" &amp; ROW()))-1,E55)</f>
        <v>-2.6694452714101424E-2</v>
      </c>
      <c r="F56" s="110">
        <f>表2_367162629303891213141523242526272831323637[[#This Row],[累计净值]]</f>
        <v>1.0545</v>
      </c>
      <c r="G56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2.1421616358325225E-2</v>
      </c>
    </row>
    <row r="57" spans="1:7" x14ac:dyDescent="0.2">
      <c r="A57" s="15">
        <v>44223</v>
      </c>
      <c r="B57" s="112">
        <v>1.0578000000000001</v>
      </c>
      <c r="C57" s="108">
        <f t="shared" si="6"/>
        <v>3.3000000000000806E-3</v>
      </c>
      <c r="D57" s="109" t="str">
        <f t="shared" si="7"/>
        <v>/</v>
      </c>
      <c r="E57" s="109">
        <f ca="1">IF(表2_367162629303891213141523242526272831323637[[#This Row],[累计净值]]/MAX(INDIRECT("B21:B" &amp; ROW()))-1&lt;E56,表2_367162629303891213141523242526272831323637[[#This Row],[累计净值]]/MAX(INDIRECT("B21:B" &amp; ROW()))-1,E56)</f>
        <v>-2.6694452714101424E-2</v>
      </c>
      <c r="F57" s="110">
        <f>表2_367162629303891213141523242526272831323637[[#This Row],[累计净值]]</f>
        <v>1.0578000000000001</v>
      </c>
      <c r="G57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2.3992210321324415E-2</v>
      </c>
    </row>
    <row r="58" spans="1:7" x14ac:dyDescent="0.2">
      <c r="A58" s="15">
        <v>44224</v>
      </c>
      <c r="B58" s="112">
        <v>1.0305</v>
      </c>
      <c r="C58" s="108">
        <f t="shared" si="6"/>
        <v>-2.7300000000000102E-2</v>
      </c>
      <c r="D58" s="109">
        <f t="shared" si="7"/>
        <v>-2.7300000000000102E-2</v>
      </c>
      <c r="E58" s="109">
        <f ca="1">IF(表2_367162629303891213141523242526272831323637[[#This Row],[累计净值]]/MAX(INDIRECT("B21:B" &amp; ROW()))-1&lt;E57,表2_367162629303891213141523242526272831323637[[#This Row],[累计净值]]/MAX(INDIRECT("B21:B" &amp; ROW()))-1,E57)</f>
        <v>-4.0860014892032837E-2</v>
      </c>
      <c r="F58" s="110">
        <f>表2_367162629303891213141523242526272831323637[[#This Row],[累计净值]]</f>
        <v>1.0305</v>
      </c>
      <c r="G58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2.7263875365141745E-3</v>
      </c>
    </row>
    <row r="59" spans="1:7" x14ac:dyDescent="0.2">
      <c r="A59" s="15">
        <v>44225</v>
      </c>
      <c r="B59" s="112">
        <v>1.0206999999999999</v>
      </c>
      <c r="C59" s="108">
        <f t="shared" si="6"/>
        <v>-9.8000000000000309E-3</v>
      </c>
      <c r="D59" s="109">
        <f t="shared" si="7"/>
        <v>-9.8000000000000309E-3</v>
      </c>
      <c r="E59" s="109">
        <f ca="1">IF(表2_367162629303891213141523242526272831323637[[#This Row],[累计净值]]/MAX(INDIRECT("B21:B" &amp; ROW()))-1&lt;E58,表2_367162629303891213141523242526272831323637[[#This Row],[累计净值]]/MAX(INDIRECT("B21:B" &amp; ROW()))-1,E58)</f>
        <v>-4.9981384959047026E-2</v>
      </c>
      <c r="F59" s="110">
        <f>表2_367162629303891213141523242526272831323637[[#This Row],[累计净值]]</f>
        <v>1.0206999999999999</v>
      </c>
      <c r="G59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-6.1343719571567146E-3</v>
      </c>
    </row>
    <row r="60" spans="1:7" x14ac:dyDescent="0.2">
      <c r="A60" s="15">
        <v>44228</v>
      </c>
      <c r="B60" s="112">
        <v>1.0333000000000001</v>
      </c>
      <c r="C60" s="108">
        <f t="shared" si="6"/>
        <v>1.2600000000000167E-2</v>
      </c>
      <c r="D60" s="109" t="str">
        <f t="shared" si="7"/>
        <v>/</v>
      </c>
      <c r="E60" s="109">
        <f ca="1">IF(表2_367162629303891213141523242526272831323637[[#This Row],[累计净值]]/MAX(INDIRECT("B21:B" &amp; ROW()))-1&lt;E59,表2_367162629303891213141523242526272831323637[[#This Row],[累计净值]]/MAX(INDIRECT("B21:B" &amp; ROW()))-1,E59)</f>
        <v>-4.9981384959047026E-2</v>
      </c>
      <c r="F60" s="110">
        <f>表2_367162629303891213141523242526272831323637[[#This Row],[累计净值]]</f>
        <v>1.0333000000000001</v>
      </c>
      <c r="G60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4.90749756572555E-3</v>
      </c>
    </row>
    <row r="61" spans="1:7" x14ac:dyDescent="0.2">
      <c r="A61" s="15">
        <v>44229</v>
      </c>
      <c r="B61" s="112">
        <v>1.0505</v>
      </c>
      <c r="C61" s="108">
        <f t="shared" si="6"/>
        <v>1.7199999999999882E-2</v>
      </c>
      <c r="D61" s="109" t="str">
        <f t="shared" si="7"/>
        <v>/</v>
      </c>
      <c r="E61" s="109">
        <f ca="1">IF(表2_367162629303891213141523242526272831323637[[#This Row],[累计净值]]/MAX(INDIRECT("B21:B" &amp; ROW()))-1&lt;E60,表2_367162629303891213141523242526272831323637[[#This Row],[累计净值]]/MAX(INDIRECT("B21:B" &amp; ROW()))-1,E60)</f>
        <v>-4.9981384959047026E-2</v>
      </c>
      <c r="F61" s="110">
        <f>表2_367162629303891213141523242526272831323637[[#This Row],[累计净值]]</f>
        <v>1.0505</v>
      </c>
      <c r="G61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1.8305744888023414E-2</v>
      </c>
    </row>
    <row r="62" spans="1:7" x14ac:dyDescent="0.2">
      <c r="A62" s="15">
        <v>44230</v>
      </c>
      <c r="B62" s="112">
        <v>1.0406</v>
      </c>
      <c r="C62" s="108">
        <f>IFERROR(B62-B61,0)</f>
        <v>-9.9000000000000199E-3</v>
      </c>
      <c r="D62" s="109">
        <f>IF(C62&lt;0,C62,"/")</f>
        <v>-9.9000000000000199E-3</v>
      </c>
      <c r="E62" s="109">
        <f ca="1">IF(表2_367162629303891213141523242526272831323637[[#This Row],[累计净值]]/MAX(INDIRECT("B21:B" &amp; ROW()))-1&lt;E61,表2_367162629303891213141523242526272831323637[[#This Row],[累计净值]]/MAX(INDIRECT("B21:B" &amp; ROW()))-1,E61)</f>
        <v>-4.9981384959047026E-2</v>
      </c>
      <c r="F62" s="110">
        <f>表2_367162629303891213141523242526272831323637[[#This Row],[累计净值]]</f>
        <v>1.0406</v>
      </c>
      <c r="G62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1.0593962999026374E-2</v>
      </c>
    </row>
    <row r="63" spans="1:7" x14ac:dyDescent="0.2">
      <c r="A63" s="15">
        <v>44231</v>
      </c>
      <c r="B63" s="112">
        <v>1.0266999999999999</v>
      </c>
      <c r="C63" s="108">
        <f>IFERROR(B63-B62,0)</f>
        <v>-1.3900000000000023E-2</v>
      </c>
      <c r="D63" s="109">
        <f>IF(C63&lt;0,C63,"/")</f>
        <v>-1.3900000000000023E-2</v>
      </c>
      <c r="E63" s="109">
        <f ca="1">IF(表2_367162629303891213141523242526272831323637[[#This Row],[累计净值]]/MAX(INDIRECT("B21:B" &amp; ROW()))-1&lt;E62,表2_367162629303891213141523242526272831323637[[#This Row],[累计净值]]/MAX(INDIRECT("B21:B" &amp; ROW()))-1,E62)</f>
        <v>-4.9981384959047026E-2</v>
      </c>
      <c r="F63" s="110">
        <f>表2_367162629303891213141523242526272831323637[[#This Row],[累计净值]]</f>
        <v>1.0266999999999999</v>
      </c>
      <c r="G63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-2.9211295034081708E-4</v>
      </c>
    </row>
    <row r="64" spans="1:7" x14ac:dyDescent="0.2">
      <c r="A64" s="15">
        <v>44232</v>
      </c>
      <c r="B64" s="112">
        <v>1.008</v>
      </c>
      <c r="C64" s="108">
        <f>IFERROR(B64-B63,0)</f>
        <v>-1.8699999999999939E-2</v>
      </c>
      <c r="D64" s="109">
        <f>IF(C64&lt;0,C64,"/")</f>
        <v>-1.8699999999999939E-2</v>
      </c>
      <c r="E64" s="109">
        <f ca="1">IF(表2_367162629303891213141523242526272831323637[[#This Row],[累计净值]]/MAX(INDIRECT("B21:B" &amp; ROW()))-1&lt;E63,表2_367162629303891213141523242526272831323637[[#This Row],[累计净值]]/MAX(INDIRECT("B21:B" &amp; ROW()))-1,E63)</f>
        <v>-6.1801935964259092E-2</v>
      </c>
      <c r="F64" s="110">
        <f>表2_367162629303891213141523242526272831323637[[#This Row],[累计净值]]</f>
        <v>1.008</v>
      </c>
      <c r="G64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-1.850048685491712E-2</v>
      </c>
    </row>
    <row r="65" spans="1:7" x14ac:dyDescent="0.2">
      <c r="A65" s="15">
        <v>44235</v>
      </c>
      <c r="B65" s="112">
        <v>1.0238</v>
      </c>
      <c r="C65" s="108">
        <f>IFERROR(B65-B64,0)</f>
        <v>1.5800000000000036E-2</v>
      </c>
      <c r="D65" s="109" t="str">
        <f>IF(C65&lt;0,C65,"/")</f>
        <v>/</v>
      </c>
      <c r="E65" s="109">
        <f ca="1">IF(表2_367162629303891213141523242526272831323637[[#This Row],[累计净值]]/MAX(INDIRECT("B21:B" &amp; ROW()))-1&lt;E64,表2_367162629303891213141523242526272831323637[[#This Row],[累计净值]]/MAX(INDIRECT("B21:B" &amp; ROW()))-1,E64)</f>
        <v>-6.1801935964259092E-2</v>
      </c>
      <c r="F65" s="110">
        <f>表2_367162629303891213141523242526272831323637[[#This Row],[累计净值]]</f>
        <v>1.0238</v>
      </c>
      <c r="G65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-3.1158714703016788E-3</v>
      </c>
    </row>
    <row r="66" spans="1:7" x14ac:dyDescent="0.2">
      <c r="A66" s="15">
        <v>44236</v>
      </c>
      <c r="B66" s="112">
        <v>1.0506</v>
      </c>
      <c r="C66" s="108">
        <f>IFERROR(B66-B65,0)</f>
        <v>2.6799999999999935E-2</v>
      </c>
      <c r="D66" s="109" t="str">
        <f>IF(C66&lt;0,C66,"/")</f>
        <v>/</v>
      </c>
      <c r="E66" s="109">
        <f ca="1">IF(表2_367162629303891213141523242526272831323637[[#This Row],[累计净值]]/MAX(INDIRECT("B21:B" &amp; ROW()))-1&lt;E65,表2_367162629303891213141523242526272831323637[[#This Row],[累计净值]]/MAX(INDIRECT("B21:B" &amp; ROW()))-1,E65)</f>
        <v>-6.1801935964259092E-2</v>
      </c>
      <c r="F66" s="110">
        <f>表2_367162629303891213141523242526272831323637[[#This Row],[累计净值]]</f>
        <v>1.0506</v>
      </c>
      <c r="G66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1.8383641674780904E-2</v>
      </c>
    </row>
    <row r="67" spans="1:7" x14ac:dyDescent="0.2">
      <c r="A67" s="15">
        <v>44237</v>
      </c>
      <c r="B67" s="112">
        <v>1.0589</v>
      </c>
      <c r="C67" s="108">
        <f t="shared" ref="C67:C68" si="8">IFERROR(B67-B66,0)</f>
        <v>8.2999999999999741E-3</v>
      </c>
      <c r="D67" s="109" t="str">
        <f t="shared" ref="D67:D68" si="9">IF(C67&lt;0,C67,"/")</f>
        <v>/</v>
      </c>
      <c r="E67" s="109">
        <f ca="1">IF(表2_367162629303891213141523242526272831323637[[#This Row],[累计净值]]/MAX(INDIRECT("B21:B" &amp; ROW()))-1&lt;E66,表2_367162629303891213141523242526272831323637[[#This Row],[累计净值]]/MAX(INDIRECT("B21:B" &amp; ROW()))-1,E66)</f>
        <v>-6.1801935964259092E-2</v>
      </c>
      <c r="F67" s="110">
        <f>表2_367162629303891213141523242526272831323637[[#This Row],[累计净值]]</f>
        <v>1.0589</v>
      </c>
      <c r="G67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2.4849074975657359E-2</v>
      </c>
    </row>
    <row r="68" spans="1:7" x14ac:dyDescent="0.2">
      <c r="A68" s="15">
        <v>44245</v>
      </c>
      <c r="B68" s="112">
        <v>1.0662</v>
      </c>
      <c r="C68" s="108">
        <f t="shared" si="8"/>
        <v>7.3000000000000842E-3</v>
      </c>
      <c r="D68" s="109" t="str">
        <f t="shared" si="9"/>
        <v>/</v>
      </c>
      <c r="E68" s="109">
        <f ca="1">IF(表2_367162629303891213141523242526272831323637[[#This Row],[累计净值]]/MAX(INDIRECT("B21:B" &amp; ROW()))-1&lt;E67,表2_367162629303891213141523242526272831323637[[#This Row],[累计净值]]/MAX(INDIRECT("B21:B" &amp; ROW()))-1,E67)</f>
        <v>-6.1801935964259092E-2</v>
      </c>
      <c r="F68" s="110">
        <f>表2_367162629303891213141523242526272831323637[[#This Row],[累计净值]]</f>
        <v>1.0662</v>
      </c>
      <c r="G68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3.0535540408958187E-2</v>
      </c>
    </row>
    <row r="69" spans="1:7" x14ac:dyDescent="0.2">
      <c r="A69" s="15">
        <v>44246</v>
      </c>
      <c r="B69" s="112">
        <v>1.0708</v>
      </c>
      <c r="C69" s="108">
        <f>IFERROR(B69-B68,0)</f>
        <v>4.5999999999999375E-3</v>
      </c>
      <c r="D69" s="109" t="str">
        <f>IF(C69&lt;0,C69,"/")</f>
        <v>/</v>
      </c>
      <c r="E69" s="109">
        <f ca="1">IF(表2_367162629303891213141523242526272831323637[[#This Row],[累计净值]]/MAX(INDIRECT("B21:B" &amp; ROW()))-1&lt;E68,表2_367162629303891213141523242526272831323637[[#This Row],[累计净值]]/MAX(INDIRECT("B21:B" &amp; ROW()))-1,E68)</f>
        <v>-6.1801935964259092E-2</v>
      </c>
      <c r="F69" s="110">
        <f>表2_367162629303891213141523242526272831323637[[#This Row],[累计净值]]</f>
        <v>1.0708</v>
      </c>
      <c r="G69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3.4118792599805305E-2</v>
      </c>
    </row>
    <row r="70" spans="1:7" x14ac:dyDescent="0.2">
      <c r="A70" s="15">
        <v>44249</v>
      </c>
      <c r="B70" s="112">
        <v>1.0576000000000001</v>
      </c>
      <c r="C70" s="108">
        <f>IFERROR(B70-B69,0)</f>
        <v>-1.3199999999999878E-2</v>
      </c>
      <c r="D70" s="109">
        <f>IF(C70&lt;0,C70,"/")</f>
        <v>-1.3199999999999878E-2</v>
      </c>
      <c r="E70" s="109">
        <f ca="1">IF(表2_367162629303891213141523242526272831323637[[#This Row],[累计净值]]/MAX(INDIRECT("B21:B" &amp; ROW()))-1&lt;E69,表2_367162629303891213141523242526272831323637[[#This Row],[累计净值]]/MAX(INDIRECT("B21:B" &amp; ROW()))-1,E69)</f>
        <v>-6.1801935964259092E-2</v>
      </c>
      <c r="F70" s="110">
        <f>表2_367162629303891213141523242526272831323637[[#This Row],[累计净值]]</f>
        <v>1.0576000000000001</v>
      </c>
      <c r="G70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2.3836416747809255E-2</v>
      </c>
    </row>
    <row r="71" spans="1:7" x14ac:dyDescent="0.2">
      <c r="A71" s="15">
        <v>44250</v>
      </c>
      <c r="B71" s="112">
        <v>1.0509999999999999</v>
      </c>
      <c r="C71" s="108">
        <f>IFERROR(B71-B70,0)</f>
        <v>-6.6000000000001613E-3</v>
      </c>
      <c r="D71" s="109">
        <f>IF(C71&lt;0,C71,"/")</f>
        <v>-6.6000000000001613E-3</v>
      </c>
      <c r="E71" s="109">
        <f ca="1">IF(表2_367162629303891213141523242526272831323637[[#This Row],[累计净值]]/MAX(INDIRECT("B21:B" &amp; ROW()))-1&lt;E70,表2_367162629303891213141523242526272831323637[[#This Row],[累计净值]]/MAX(INDIRECT("B21:B" &amp; ROW()))-1,E70)</f>
        <v>-6.1801935964259092E-2</v>
      </c>
      <c r="F71" s="110">
        <f>表2_367162629303891213141523242526272831323637[[#This Row],[累计净值]]</f>
        <v>1.0509999999999999</v>
      </c>
      <c r="G71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1.8695228821811051E-2</v>
      </c>
    </row>
    <row r="72" spans="1:7" x14ac:dyDescent="0.2">
      <c r="A72" s="15">
        <v>44251</v>
      </c>
      <c r="B72" s="112">
        <v>1.03</v>
      </c>
      <c r="C72" s="108">
        <f>IFERROR(B72-B71,0)</f>
        <v>-2.0999999999999908E-2</v>
      </c>
      <c r="D72" s="109">
        <f>IF(C72&lt;0,C72,"/")</f>
        <v>-2.0999999999999908E-2</v>
      </c>
      <c r="E72" s="109">
        <f ca="1">IF(表2_367162629303891213141523242526272831323637[[#This Row],[累计净值]]/MAX(INDIRECT("B21:B" &amp; ROW()))-1&lt;E71,表2_367162629303891213141523242526272831323637[[#This Row],[累计净值]]/MAX(INDIRECT("B21:B" &amp; ROW()))-1,E71)</f>
        <v>-6.1801935964259092E-2</v>
      </c>
      <c r="F72" s="110">
        <f>表2_367162629303891213141523242526272831323637[[#This Row],[累计净值]]</f>
        <v>1.03</v>
      </c>
      <c r="G72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2.3369036027265366E-3</v>
      </c>
    </row>
    <row r="73" spans="1:7" x14ac:dyDescent="0.2">
      <c r="A73" s="15">
        <v>44252</v>
      </c>
      <c r="B73" s="112">
        <v>1.0274000000000001</v>
      </c>
      <c r="C73" s="108">
        <f t="shared" ref="C73:C76" si="10">IFERROR(B73-B72,0)</f>
        <v>-2.5999999999999357E-3</v>
      </c>
      <c r="D73" s="109">
        <f t="shared" ref="D73:D76" si="11">IF(C73&lt;0,C73,"/")</f>
        <v>-2.5999999999999357E-3</v>
      </c>
      <c r="E73" s="109">
        <f ca="1">IF(表2_367162629303891213141523242526272831323637[[#This Row],[累计净值]]/MAX(INDIRECT("B21:B" &amp; ROW()))-1&lt;E72,表2_367162629303891213141523242526272831323637[[#This Row],[累计净值]]/MAX(INDIRECT("B21:B" &amp; ROW()))-1,E72)</f>
        <v>-6.1801935964259092E-2</v>
      </c>
      <c r="F73" s="110">
        <f>表2_367162629303891213141523242526272831323637[[#This Row],[累计净值]]</f>
        <v>1.0274000000000001</v>
      </c>
      <c r="G73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3.1158714703032335E-4</v>
      </c>
    </row>
    <row r="74" spans="1:7" x14ac:dyDescent="0.2">
      <c r="A74" s="15">
        <v>44253</v>
      </c>
      <c r="B74" s="112">
        <v>1.0071000000000001</v>
      </c>
      <c r="C74" s="108">
        <f t="shared" si="10"/>
        <v>-2.0299999999999985E-2</v>
      </c>
      <c r="D74" s="109">
        <f t="shared" si="11"/>
        <v>-2.0299999999999985E-2</v>
      </c>
      <c r="E74" s="109">
        <f ca="1">IF(表2_367162629303891213141523242526272831323637[[#This Row],[累计净值]]/MAX(INDIRECT("B21:B" &amp; ROW()))-1&lt;E73,表2_367162629303891213141523242526272831323637[[#This Row],[累计净值]]/MAX(INDIRECT("B21:B" &amp; ROW()))-1,E73)</f>
        <v>-6.2639612807148137E-2</v>
      </c>
      <c r="F74" s="110">
        <f>表2_367162629303891213141523242526272831323637[[#This Row],[累计净值]]</f>
        <v>1.0071000000000001</v>
      </c>
      <c r="G74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-1.937682570593946E-2</v>
      </c>
    </row>
    <row r="75" spans="1:7" x14ac:dyDescent="0.2">
      <c r="A75" s="15">
        <v>44256</v>
      </c>
      <c r="B75" s="112">
        <v>1.0316000000000001</v>
      </c>
      <c r="C75" s="108">
        <f t="shared" si="10"/>
        <v>2.4499999999999966E-2</v>
      </c>
      <c r="D75" s="109" t="str">
        <f t="shared" si="11"/>
        <v>/</v>
      </c>
      <c r="E75" s="109">
        <f ca="1">IF(表2_367162629303891213141523242526272831323637[[#This Row],[累计净值]]/MAX(INDIRECT("B21:B" &amp; ROW()))-1&lt;E74,表2_367162629303891213141523242526272831323637[[#This Row],[累计净值]]/MAX(INDIRECT("B21:B" &amp; ROW()))-1,E74)</f>
        <v>-6.2639612807148137E-2</v>
      </c>
      <c r="F75" s="110">
        <f>表2_367162629303891213141523242526272831323637[[#This Row],[累计净值]]</f>
        <v>1.0316000000000001</v>
      </c>
      <c r="G75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3.583252190847297E-3</v>
      </c>
    </row>
    <row r="76" spans="1:7" x14ac:dyDescent="0.2">
      <c r="A76" s="15">
        <v>44257</v>
      </c>
      <c r="B76" s="112">
        <v>1.0227999999999999</v>
      </c>
      <c r="C76" s="108">
        <f t="shared" si="10"/>
        <v>-8.800000000000141E-3</v>
      </c>
      <c r="D76" s="109">
        <f t="shared" si="11"/>
        <v>-8.800000000000141E-3</v>
      </c>
      <c r="E76" s="109">
        <f ca="1">IF(表2_367162629303891213141523242526272831323637[[#This Row],[累计净值]]/MAX(INDIRECT("B21:B" &amp; ROW()))-1&lt;E75,表2_367162629303891213141523242526272831323637[[#This Row],[累计净值]]/MAX(INDIRECT("B21:B" &amp; ROW()))-1,E75)</f>
        <v>-6.2639612807148137E-2</v>
      </c>
      <c r="F76" s="110">
        <f>表2_367162629303891213141523242526272831323637[[#This Row],[累计净值]]</f>
        <v>1.0227999999999999</v>
      </c>
      <c r="G76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-4.089581304771106E-3</v>
      </c>
    </row>
    <row r="77" spans="1:7" x14ac:dyDescent="0.2">
      <c r="A77" s="15">
        <v>44258</v>
      </c>
      <c r="B77" s="112">
        <v>1.0386</v>
      </c>
      <c r="C77" s="108">
        <f t="shared" ref="C77:C78" si="12">IFERROR(B77-B76,0)</f>
        <v>1.5800000000000036E-2</v>
      </c>
      <c r="D77" s="109" t="str">
        <f t="shared" ref="D77:D78" si="13">IF(C77&lt;0,C77,"/")</f>
        <v>/</v>
      </c>
      <c r="E77" s="109">
        <f ca="1">IF(表2_367162629303891213141523242526272831323637[[#This Row],[累计净值]]/MAX(INDIRECT("B21:B" &amp; ROW()))-1&lt;E76,表2_367162629303891213141523242526272831323637[[#This Row],[累计净值]]/MAX(INDIRECT("B21:B" &amp; ROW()))-1,E76)</f>
        <v>-6.2639612807148137E-2</v>
      </c>
      <c r="F77" s="110">
        <f>表2_367162629303891213141523242526272831323637[[#This Row],[累计净值]]</f>
        <v>1.0386</v>
      </c>
      <c r="G77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9.0360272638754686E-3</v>
      </c>
    </row>
    <row r="78" spans="1:7" x14ac:dyDescent="0.2">
      <c r="A78" s="15">
        <v>44259</v>
      </c>
      <c r="B78" s="112">
        <v>1.0135000000000001</v>
      </c>
      <c r="C78" s="108">
        <f t="shared" si="12"/>
        <v>-2.50999999999999E-2</v>
      </c>
      <c r="D78" s="109">
        <f t="shared" si="13"/>
        <v>-2.50999999999999E-2</v>
      </c>
      <c r="E78" s="109">
        <f ca="1">IF(表2_367162629303891213141523242526272831323637[[#This Row],[累计净值]]/MAX(INDIRECT("B21:B" &amp; ROW()))-1&lt;E77,表2_367162629303891213141523242526272831323637[[#This Row],[累计净值]]/MAX(INDIRECT("B21:B" &amp; ROW()))-1,E77)</f>
        <v>-6.2639612807148137E-2</v>
      </c>
      <c r="F78" s="110">
        <f>表2_367162629303891213141523242526272831323637[[#This Row],[累计净值]]</f>
        <v>1.0135000000000001</v>
      </c>
      <c r="G78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-1.3145082765335769E-2</v>
      </c>
    </row>
    <row r="79" spans="1:7" x14ac:dyDescent="0.2">
      <c r="A79" s="15">
        <v>44260</v>
      </c>
      <c r="B79" s="112">
        <v>1.0146999999999999</v>
      </c>
      <c r="C79" s="108">
        <f t="shared" ref="C79:C84" si="14">IFERROR(B79-B78,0)</f>
        <v>1.1999999999998678E-3</v>
      </c>
      <c r="D79" s="109" t="str">
        <f t="shared" ref="D79:D84" si="15">IF(C79&lt;0,C79,"/")</f>
        <v>/</v>
      </c>
      <c r="E79" s="109">
        <f ca="1">IF(表2_367162629303891213141523242526272831323637[[#This Row],[累计净值]]/MAX(INDIRECT("B21:B" &amp; ROW()))-1&lt;E78,表2_367162629303891213141523242526272831323637[[#This Row],[累计净值]]/MAX(INDIRECT("B21:B" &amp; ROW()))-1,E78)</f>
        <v>-6.2639612807148137E-2</v>
      </c>
      <c r="F79" s="110">
        <f>表2_367162629303891213141523242526272831323637[[#This Row],[累计净值]]</f>
        <v>1.0146999999999999</v>
      </c>
      <c r="G79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-1.1976630963972723E-2</v>
      </c>
    </row>
    <row r="80" spans="1:7" x14ac:dyDescent="0.2">
      <c r="A80" s="15">
        <v>44263</v>
      </c>
      <c r="B80" s="112">
        <v>0.99109999999999998</v>
      </c>
      <c r="C80" s="108">
        <f t="shared" si="14"/>
        <v>-2.3599999999999954E-2</v>
      </c>
      <c r="D80" s="109">
        <f t="shared" si="15"/>
        <v>-2.3599999999999954E-2</v>
      </c>
      <c r="E80" s="109">
        <f ca="1">IF(表2_367162629303891213141523242526272831323637[[#This Row],[累计净值]]/MAX(INDIRECT("B21:B" &amp; ROW()))-1&lt;E79,表2_367162629303891213141523242526272831323637[[#This Row],[累计净值]]/MAX(INDIRECT("B21:B" &amp; ROW()))-1,E79)</f>
        <v>-7.7531645569620333E-2</v>
      </c>
      <c r="F80" s="110">
        <f>表2_367162629303891213141523242526272831323637[[#This Row],[累计净值]]</f>
        <v>0.99109999999999998</v>
      </c>
      <c r="G80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-3.4956183057448853E-2</v>
      </c>
    </row>
    <row r="81" spans="1:7" x14ac:dyDescent="0.2">
      <c r="A81" s="15">
        <v>44264</v>
      </c>
      <c r="B81" s="112">
        <v>0.96599999999999997</v>
      </c>
      <c r="C81" s="108">
        <f t="shared" si="14"/>
        <v>-2.5100000000000011E-2</v>
      </c>
      <c r="D81" s="109">
        <f t="shared" si="15"/>
        <v>-2.5100000000000011E-2</v>
      </c>
      <c r="E81" s="109">
        <f ca="1">IF(表2_367162629303891213141523242526272831323637[[#This Row],[累计净值]]/MAX(INDIRECT("B21:B" &amp; ROW()))-1&lt;E80,表2_367162629303891213141523242526272831323637[[#This Row],[累计净值]]/MAX(INDIRECT("B21:B" &amp; ROW()))-1,E80)</f>
        <v>-0.10089352196574841</v>
      </c>
      <c r="F81" s="110">
        <f>表2_367162629303891213141523242526272831323637[[#This Row],[累计净值]]</f>
        <v>0.96599999999999997</v>
      </c>
      <c r="G81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-5.9396299902628957E-2</v>
      </c>
    </row>
    <row r="82" spans="1:7" x14ac:dyDescent="0.2">
      <c r="A82" s="15">
        <v>44265</v>
      </c>
      <c r="B82" s="112">
        <v>0.96120000000000005</v>
      </c>
      <c r="C82" s="108">
        <f t="shared" si="14"/>
        <v>-4.7999999999999154E-3</v>
      </c>
      <c r="D82" s="109">
        <f t="shared" si="15"/>
        <v>-4.7999999999999154E-3</v>
      </c>
      <c r="E82" s="109">
        <f ca="1">IF(表2_367162629303891213141523242526272831323637[[#This Row],[累计净值]]/MAX(INDIRECT("B21:B" &amp; ROW()))-1&lt;E81,表2_367162629303891213141523242526272831323637[[#This Row],[累计净值]]/MAX(INDIRECT("B21:B" &amp; ROW()))-1,E81)</f>
        <v>-0.10536113179448992</v>
      </c>
      <c r="F82" s="110">
        <f>表2_367162629303891213141523242526272831323637[[#This Row],[累计净值]]</f>
        <v>0.96120000000000005</v>
      </c>
      <c r="G82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-6.4070107108081698E-2</v>
      </c>
    </row>
    <row r="83" spans="1:7" x14ac:dyDescent="0.2">
      <c r="A83" s="15">
        <v>44266</v>
      </c>
      <c r="B83" s="112">
        <v>0.98380000000000001</v>
      </c>
      <c r="C83" s="108">
        <f t="shared" si="14"/>
        <v>2.2599999999999953E-2</v>
      </c>
      <c r="D83" s="109" t="str">
        <f t="shared" si="15"/>
        <v>/</v>
      </c>
      <c r="E83" s="109">
        <f ca="1">IF(表2_367162629303891213141523242526272831323637[[#This Row],[累计净值]]/MAX(INDIRECT("B21:B" &amp; ROW()))-1&lt;E82,表2_367162629303891213141523242526272831323637[[#This Row],[累计净值]]/MAX(INDIRECT("B21:B" &amp; ROW()))-1,E82)</f>
        <v>-0.10536113179448992</v>
      </c>
      <c r="F83" s="110">
        <f>表2_367162629303891213141523242526272831323637[[#This Row],[累计净值]]</f>
        <v>0.98380000000000001</v>
      </c>
      <c r="G83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-4.2064264849074884E-2</v>
      </c>
    </row>
    <row r="84" spans="1:7" x14ac:dyDescent="0.2">
      <c r="A84" s="15">
        <v>44267</v>
      </c>
      <c r="B84" s="112">
        <v>0.98640000000000005</v>
      </c>
      <c r="C84" s="108">
        <f t="shared" si="14"/>
        <v>2.6000000000000467E-3</v>
      </c>
      <c r="D84" s="109" t="str">
        <f t="shared" si="15"/>
        <v>/</v>
      </c>
      <c r="E84" s="109">
        <f ca="1">IF(表2_367162629303891213141523242526272831323637[[#This Row],[累计净值]]/MAX(INDIRECT("B21:B" &amp; ROW()))-1&lt;E83,表2_367162629303891213141523242526272831323637[[#This Row],[累计净值]]/MAX(INDIRECT("B21:B" &amp; ROW()))-1,E83)</f>
        <v>-0.10536113179448992</v>
      </c>
      <c r="F84" s="110">
        <f>表2_367162629303891213141523242526272831323637[[#This Row],[累计净值]]</f>
        <v>0.98640000000000005</v>
      </c>
      <c r="G84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-3.9532619279454617E-2</v>
      </c>
    </row>
    <row r="85" spans="1:7" x14ac:dyDescent="0.2">
      <c r="A85" s="15">
        <v>44270</v>
      </c>
      <c r="B85" s="112">
        <v>0.97629999999999995</v>
      </c>
      <c r="C85" s="108">
        <f t="shared" ref="C85:C90" si="16">IFERROR(B85-B84,0)</f>
        <v>-1.0100000000000109E-2</v>
      </c>
      <c r="D85" s="109">
        <f t="shared" ref="D85:D90" si="17">IF(C85&lt;0,C85,"/")</f>
        <v>-1.0100000000000109E-2</v>
      </c>
      <c r="E85" s="109">
        <f ca="1">IF(表2_367162629303891213141523242526272831323637[[#This Row],[累计净值]]/MAX(INDIRECT("B21:B" &amp; ROW()))-1&lt;E84,表2_367162629303891213141523242526272831323637[[#This Row],[累计净值]]/MAX(INDIRECT("B21:B" &amp; ROW()))-1,E84)</f>
        <v>-0.10536113179448992</v>
      </c>
      <c r="F85" s="110">
        <f>表2_367162629303891213141523242526272831323637[[#This Row],[累计净值]]</f>
        <v>0.97629999999999995</v>
      </c>
      <c r="G85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-4.9367088607594867E-2</v>
      </c>
    </row>
    <row r="86" spans="1:7" x14ac:dyDescent="0.2">
      <c r="A86" s="15">
        <v>44271</v>
      </c>
      <c r="B86" s="112">
        <v>0.97889999999999999</v>
      </c>
      <c r="C86" s="108">
        <f t="shared" si="16"/>
        <v>2.6000000000000467E-3</v>
      </c>
      <c r="D86" s="109" t="str">
        <f t="shared" si="17"/>
        <v>/</v>
      </c>
      <c r="E86" s="109">
        <f ca="1">IF(表2_367162629303891213141523242526272831323637[[#This Row],[累计净值]]/MAX(INDIRECT("B21:B" &amp; ROW()))-1&lt;E85,表2_367162629303891213141523242526272831323637[[#This Row],[累计净值]]/MAX(INDIRECT("B21:B" &amp; ROW()))-1,E85)</f>
        <v>-0.10536113179448992</v>
      </c>
      <c r="F86" s="110">
        <f>表2_367162629303891213141523242526272831323637[[#This Row],[累计净值]]</f>
        <v>0.97889999999999999</v>
      </c>
      <c r="G86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-4.68354430379746E-2</v>
      </c>
    </row>
    <row r="87" spans="1:7" x14ac:dyDescent="0.2">
      <c r="A87" s="15">
        <v>44272</v>
      </c>
      <c r="B87" s="112">
        <v>0.99029999999999996</v>
      </c>
      <c r="C87" s="108">
        <f t="shared" si="16"/>
        <v>1.1399999999999966E-2</v>
      </c>
      <c r="D87" s="109" t="str">
        <f t="shared" si="17"/>
        <v>/</v>
      </c>
      <c r="E87" s="109">
        <f ca="1">IF(表2_367162629303891213141523242526272831323637[[#This Row],[累计净值]]/MAX(INDIRECT("B21:B" &amp; ROW()))-1&lt;E86,表2_367162629303891213141523242526272831323637[[#This Row],[累计净值]]/MAX(INDIRECT("B21:B" &amp; ROW()))-1,E86)</f>
        <v>-0.10536113179448992</v>
      </c>
      <c r="F87" s="110">
        <f>表2_367162629303891213141523242526272831323637[[#This Row],[累计净值]]</f>
        <v>0.99029999999999996</v>
      </c>
      <c r="G87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-3.5735150925024328E-2</v>
      </c>
    </row>
    <row r="88" spans="1:7" x14ac:dyDescent="0.2">
      <c r="A88" s="15">
        <v>44273</v>
      </c>
      <c r="B88" s="112">
        <v>0.99890000000000001</v>
      </c>
      <c r="C88" s="108">
        <f t="shared" si="16"/>
        <v>8.600000000000052E-3</v>
      </c>
      <c r="D88" s="109" t="str">
        <f t="shared" si="17"/>
        <v>/</v>
      </c>
      <c r="E88" s="109">
        <f ca="1">IF(表2_367162629303891213141523242526272831323637[[#This Row],[累计净值]]/MAX(INDIRECT("B21:B" &amp; ROW()))-1&lt;E87,表2_367162629303891213141523242526272831323637[[#This Row],[累计净值]]/MAX(INDIRECT("B21:B" &amp; ROW()))-1,E87)</f>
        <v>-0.10536113179448992</v>
      </c>
      <c r="F88" s="110">
        <f>表2_367162629303891213141523242526272831323637[[#This Row],[累计净值]]</f>
        <v>0.99890000000000001</v>
      </c>
      <c r="G88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-2.7361246348588053E-2</v>
      </c>
    </row>
    <row r="89" spans="1:7" x14ac:dyDescent="0.2">
      <c r="A89" s="15">
        <v>44274</v>
      </c>
      <c r="B89" s="112">
        <v>0.9889</v>
      </c>
      <c r="C89" s="108">
        <f t="shared" si="16"/>
        <v>-1.0000000000000009E-2</v>
      </c>
      <c r="D89" s="109">
        <f t="shared" si="17"/>
        <v>-1.0000000000000009E-2</v>
      </c>
      <c r="E89" s="109">
        <f ca="1">IF(表2_367162629303891213141523242526272831323637[[#This Row],[累计净值]]/MAX(INDIRECT("B21:B" &amp; ROW()))-1&lt;E88,表2_367162629303891213141523242526272831323637[[#This Row],[累计净值]]/MAX(INDIRECT("B21:B" &amp; ROW()))-1,E88)</f>
        <v>-0.10536113179448992</v>
      </c>
      <c r="F89" s="110">
        <f>表2_367162629303891213141523242526272831323637[[#This Row],[累计净值]]</f>
        <v>0.9889</v>
      </c>
      <c r="G89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-3.7098344693281327E-2</v>
      </c>
    </row>
    <row r="90" spans="1:7" x14ac:dyDescent="0.2">
      <c r="A90" s="15">
        <v>44277</v>
      </c>
      <c r="B90" s="112">
        <v>1.0031000000000001</v>
      </c>
      <c r="C90" s="108">
        <f t="shared" si="16"/>
        <v>1.4200000000000101E-2</v>
      </c>
      <c r="D90" s="109" t="str">
        <f t="shared" si="17"/>
        <v>/</v>
      </c>
      <c r="E90" s="109">
        <f ca="1">IF(表2_367162629303891213141523242526272831323637[[#This Row],[累计净值]]/MAX(INDIRECT("B21:B" &amp; ROW()))-1&lt;E89,表2_367162629303891213141523242526272831323637[[#This Row],[累计净值]]/MAX(INDIRECT("B21:B" &amp; ROW()))-1,E89)</f>
        <v>-0.10536113179448992</v>
      </c>
      <c r="F90" s="110">
        <f>表2_367162629303891213141523242526272831323637[[#This Row],[累计净值]]</f>
        <v>1.0031000000000001</v>
      </c>
      <c r="G90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-2.3271665043816725E-2</v>
      </c>
    </row>
    <row r="91" spans="1:7" x14ac:dyDescent="0.2">
      <c r="A91" s="15">
        <v>44278</v>
      </c>
      <c r="B91" s="112">
        <v>0.98929999999999996</v>
      </c>
      <c r="C91" s="108">
        <f t="shared" ref="C91:C94" si="18">IFERROR(B91-B90,0)</f>
        <v>-1.3800000000000145E-2</v>
      </c>
      <c r="D91" s="109">
        <f t="shared" ref="D91:D94" si="19">IF(C91&lt;0,C91,"/")</f>
        <v>-1.3800000000000145E-2</v>
      </c>
      <c r="E91" s="109">
        <f ca="1">IF(表2_367162629303891213141523242526272831323637[[#This Row],[累计净值]]/MAX(INDIRECT("B21:B" &amp; ROW()))-1&lt;E90,表2_367162629303891213141523242526272831323637[[#This Row],[累计净值]]/MAX(INDIRECT("B21:B" &amp; ROW()))-1,E90)</f>
        <v>-0.10536113179448992</v>
      </c>
      <c r="F91" s="110">
        <f>表2_367162629303891213141523242526272831323637[[#This Row],[累计净值]]</f>
        <v>0.98929999999999996</v>
      </c>
      <c r="G91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-3.6708860759493644E-2</v>
      </c>
    </row>
    <row r="92" spans="1:7" x14ac:dyDescent="0.2">
      <c r="A92" s="15">
        <v>44279</v>
      </c>
      <c r="B92" s="112">
        <v>0.97160000000000002</v>
      </c>
      <c r="C92" s="108">
        <f t="shared" si="18"/>
        <v>-1.7699999999999938E-2</v>
      </c>
      <c r="D92" s="109">
        <f t="shared" si="19"/>
        <v>-1.7699999999999938E-2</v>
      </c>
      <c r="E92" s="109">
        <f ca="1">IF(表2_367162629303891213141523242526272831323637[[#This Row],[累计净值]]/MAX(INDIRECT("B21:B" &amp; ROW()))-1&lt;E91,表2_367162629303891213141523242526272831323637[[#This Row],[累计净值]]/MAX(INDIRECT("B21:B" &amp; ROW()))-1,E91)</f>
        <v>-0.10536113179448992</v>
      </c>
      <c r="F92" s="110">
        <f>表2_367162629303891213141523242526272831323637[[#This Row],[累计净值]]</f>
        <v>0.97160000000000002</v>
      </c>
      <c r="G92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-5.3943524829600631E-2</v>
      </c>
    </row>
    <row r="93" spans="1:7" x14ac:dyDescent="0.2">
      <c r="A93" s="15">
        <v>44280</v>
      </c>
      <c r="B93" s="112">
        <v>0.97330000000000005</v>
      </c>
      <c r="C93" s="108">
        <f t="shared" si="18"/>
        <v>1.7000000000000348E-3</v>
      </c>
      <c r="D93" s="109" t="str">
        <f t="shared" si="19"/>
        <v>/</v>
      </c>
      <c r="E93" s="109">
        <f ca="1">IF(表2_367162629303891213141523242526272831323637[[#This Row],[累计净值]]/MAX(INDIRECT("B21:B" &amp; ROW()))-1&lt;E92,表2_367162629303891213141523242526272831323637[[#This Row],[累计净值]]/MAX(INDIRECT("B21:B" &amp; ROW()))-1,E92)</f>
        <v>-0.10536113179448992</v>
      </c>
      <c r="F93" s="110">
        <f>表2_367162629303891213141523242526272831323637[[#This Row],[累计净值]]</f>
        <v>0.97330000000000005</v>
      </c>
      <c r="G93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-5.2288218111002815E-2</v>
      </c>
    </row>
    <row r="94" spans="1:7" x14ac:dyDescent="0.2">
      <c r="A94" s="15">
        <v>44281</v>
      </c>
      <c r="B94" s="112">
        <v>0.99339999999999995</v>
      </c>
      <c r="C94" s="108">
        <f t="shared" si="18"/>
        <v>2.0099999999999896E-2</v>
      </c>
      <c r="D94" s="109" t="str">
        <f t="shared" si="19"/>
        <v>/</v>
      </c>
      <c r="E94" s="109">
        <f ca="1">IF(表2_367162629303891213141523242526272831323637[[#This Row],[累计净值]]/MAX(INDIRECT("B21:B" &amp; ROW()))-1&lt;E93,表2_367162629303891213141523242526272831323637[[#This Row],[累计净值]]/MAX(INDIRECT("B21:B" &amp; ROW()))-1,E93)</f>
        <v>-0.10536113179448992</v>
      </c>
      <c r="F94" s="110">
        <f>表2_367162629303891213141523242526272831323637[[#This Row],[累计净值]]</f>
        <v>0.99339999999999995</v>
      </c>
      <c r="G94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-3.2716650438169403E-2</v>
      </c>
    </row>
    <row r="95" spans="1:7" x14ac:dyDescent="0.2">
      <c r="A95" s="15">
        <v>44284</v>
      </c>
      <c r="B95" s="112">
        <v>0.99639999999999995</v>
      </c>
      <c r="C95" s="108">
        <f t="shared" ref="C95:C100" si="20">IFERROR(B95-B94,0)</f>
        <v>3.0000000000000027E-3</v>
      </c>
      <c r="D95" s="109" t="str">
        <f t="shared" ref="D95:D100" si="21">IF(C95&lt;0,C95,"/")</f>
        <v>/</v>
      </c>
      <c r="E95" s="109">
        <f ca="1">IF(表2_367162629303891213141523242526272831323637[[#This Row],[累计净值]]/MAX(INDIRECT("B21:B" &amp; ROW()))-1&lt;E94,表2_367162629303891213141523242526272831323637[[#This Row],[累计净值]]/MAX(INDIRECT("B21:B" &amp; ROW()))-1,E94)</f>
        <v>-0.10536113179448992</v>
      </c>
      <c r="F95" s="110">
        <f>表2_367162629303891213141523242526272831323637[[#This Row],[累计净值]]</f>
        <v>0.99639999999999995</v>
      </c>
      <c r="G95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-2.9795520934761455E-2</v>
      </c>
    </row>
    <row r="96" spans="1:7" x14ac:dyDescent="0.2">
      <c r="A96" s="15">
        <v>44285</v>
      </c>
      <c r="B96" s="112">
        <v>0.99970000000000003</v>
      </c>
      <c r="C96" s="108">
        <f t="shared" si="20"/>
        <v>3.3000000000000806E-3</v>
      </c>
      <c r="D96" s="109" t="str">
        <f t="shared" si="21"/>
        <v>/</v>
      </c>
      <c r="E96" s="109">
        <f ca="1">IF(表2_367162629303891213141523242526272831323637[[#This Row],[累计净值]]/MAX(INDIRECT("B21:B" &amp; ROW()))-1&lt;E95,表2_367162629303891213141523242526272831323637[[#This Row],[累计净值]]/MAX(INDIRECT("B21:B" &amp; ROW()))-1,E95)</f>
        <v>-0.10536113179448992</v>
      </c>
      <c r="F96" s="110">
        <f>表2_367162629303891213141523242526272831323637[[#This Row],[累计净值]]</f>
        <v>0.99970000000000003</v>
      </c>
      <c r="G96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-2.6582278481012578E-2</v>
      </c>
    </row>
    <row r="97" spans="1:7" x14ac:dyDescent="0.2">
      <c r="A97" s="15">
        <v>44286</v>
      </c>
      <c r="B97" s="112">
        <v>0.99539999999999995</v>
      </c>
      <c r="C97" s="108">
        <f t="shared" si="20"/>
        <v>-4.3000000000000815E-3</v>
      </c>
      <c r="D97" s="109">
        <f t="shared" si="21"/>
        <v>-4.3000000000000815E-3</v>
      </c>
      <c r="E97" s="109">
        <f ca="1">IF(表2_367162629303891213141523242526272831323637[[#This Row],[累计净值]]/MAX(INDIRECT("B21:B" &amp; ROW()))-1&lt;E96,表2_367162629303891213141523242526272831323637[[#This Row],[累计净值]]/MAX(INDIRECT("B21:B" &amp; ROW()))-1,E96)</f>
        <v>-0.10536113179448992</v>
      </c>
      <c r="F97" s="110">
        <f>表2_367162629303891213141523242526272831323637[[#This Row],[累计净值]]</f>
        <v>0.99539999999999995</v>
      </c>
      <c r="G97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-3.0769230769230771E-2</v>
      </c>
    </row>
    <row r="98" spans="1:7" x14ac:dyDescent="0.2">
      <c r="A98" s="15">
        <v>44287</v>
      </c>
      <c r="B98" s="112">
        <v>1.0038</v>
      </c>
      <c r="C98" s="108">
        <f t="shared" si="20"/>
        <v>8.4000000000000741E-3</v>
      </c>
      <c r="D98" s="109" t="str">
        <f t="shared" si="21"/>
        <v>/</v>
      </c>
      <c r="E98" s="109">
        <f ca="1">IF(表2_367162629303891213141523242526272831323637[[#This Row],[累计净值]]/MAX(INDIRECT("B21:B" &amp; ROW()))-1&lt;E97,表2_367162629303891213141523242526272831323637[[#This Row],[累计净值]]/MAX(INDIRECT("B21:B" &amp; ROW()))-1,E97)</f>
        <v>-0.10536113179448992</v>
      </c>
      <c r="F98" s="110">
        <f>表2_367162629303891213141523242526272831323637[[#This Row],[累计净值]]</f>
        <v>1.0038</v>
      </c>
      <c r="G98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-2.2590068159688337E-2</v>
      </c>
    </row>
    <row r="99" spans="1:7" x14ac:dyDescent="0.2">
      <c r="A99" s="15">
        <v>44288</v>
      </c>
      <c r="B99" s="112">
        <v>1.0085</v>
      </c>
      <c r="C99" s="108">
        <f t="shared" si="20"/>
        <v>4.6999999999999265E-3</v>
      </c>
      <c r="D99" s="109" t="str">
        <f t="shared" si="21"/>
        <v>/</v>
      </c>
      <c r="E99" s="109">
        <f ca="1">IF(表2_367162629303891213141523242526272831323637[[#This Row],[累计净值]]/MAX(INDIRECT("B21:B" &amp; ROW()))-1&lt;E98,表2_367162629303891213141523242526272831323637[[#This Row],[累计净值]]/MAX(INDIRECT("B21:B" &amp; ROW()))-1,E98)</f>
        <v>-0.10536113179448992</v>
      </c>
      <c r="F99" s="110">
        <f>表2_367162629303891213141523242526272831323637[[#This Row],[累计净值]]</f>
        <v>1.0085</v>
      </c>
      <c r="G99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-1.8013631937682573E-2</v>
      </c>
    </row>
    <row r="100" spans="1:7" x14ac:dyDescent="0.2">
      <c r="A100" s="15">
        <v>44292</v>
      </c>
      <c r="B100" s="112">
        <v>1.0147999999999999</v>
      </c>
      <c r="C100" s="108">
        <f t="shared" si="20"/>
        <v>6.2999999999999723E-3</v>
      </c>
      <c r="D100" s="109" t="str">
        <f t="shared" si="21"/>
        <v>/</v>
      </c>
      <c r="E100" s="109">
        <f ca="1">IF(表2_367162629303891213141523242526272831323637[[#This Row],[累计净值]]/MAX(INDIRECT("B21:B" &amp; ROW()))-1&lt;E99,表2_367162629303891213141523242526272831323637[[#This Row],[累计净值]]/MAX(INDIRECT("B21:B" &amp; ROW()))-1,E99)</f>
        <v>-0.10536113179448992</v>
      </c>
      <c r="F100" s="110">
        <f>表2_367162629303891213141523242526272831323637[[#This Row],[累计净值]]</f>
        <v>1.0147999999999999</v>
      </c>
      <c r="G100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-1.1879259980525747E-2</v>
      </c>
    </row>
    <row r="101" spans="1:7" x14ac:dyDescent="0.2">
      <c r="A101" s="15">
        <v>44293</v>
      </c>
      <c r="B101" s="112">
        <v>1.0169999999999999</v>
      </c>
      <c r="C101" s="108">
        <f t="shared" ref="C101:C106" si="22">IFERROR(B101-B100,0)</f>
        <v>2.1999999999999797E-3</v>
      </c>
      <c r="D101" s="109" t="str">
        <f t="shared" ref="D101:D106" si="23">IF(C101&lt;0,C101,"/")</f>
        <v>/</v>
      </c>
      <c r="E101" s="109">
        <f ca="1">IF(表2_367162629303891213141523242526272831323637[[#This Row],[累计净值]]/MAX(INDIRECT("B21:B" &amp; ROW()))-1&lt;E100,表2_367162629303891213141523242526272831323637[[#This Row],[累计净值]]/MAX(INDIRECT("B21:B" &amp; ROW()))-1,E100)</f>
        <v>-0.10536113179448992</v>
      </c>
      <c r="F101" s="110">
        <f>表2_367162629303891213141523242526272831323637[[#This Row],[累计净值]]</f>
        <v>1.0169999999999999</v>
      </c>
      <c r="G101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-9.7370983446932735E-3</v>
      </c>
    </row>
    <row r="102" spans="1:7" x14ac:dyDescent="0.2">
      <c r="A102" s="15">
        <v>44294</v>
      </c>
      <c r="B102" s="112">
        <v>1.0195000000000001</v>
      </c>
      <c r="C102" s="108">
        <f t="shared" si="22"/>
        <v>2.5000000000001688E-3</v>
      </c>
      <c r="D102" s="109" t="str">
        <f t="shared" si="23"/>
        <v>/</v>
      </c>
      <c r="E102" s="109">
        <f ca="1">IF(表2_367162629303891213141523242526272831323637[[#This Row],[累计净值]]/MAX(INDIRECT("B21:B" &amp; ROW()))-1&lt;E101,表2_367162629303891213141523242526272831323637[[#This Row],[累计净值]]/MAX(INDIRECT("B21:B" &amp; ROW()))-1,E101)</f>
        <v>-0.10536113179448992</v>
      </c>
      <c r="F102" s="110">
        <f>表2_367162629303891213141523242526272831323637[[#This Row],[累计净值]]</f>
        <v>1.0195000000000001</v>
      </c>
      <c r="G102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-7.3028237585197608E-3</v>
      </c>
    </row>
    <row r="103" spans="1:7" x14ac:dyDescent="0.2">
      <c r="A103" s="15">
        <v>44295</v>
      </c>
      <c r="B103" s="112">
        <v>1.018</v>
      </c>
      <c r="C103" s="108">
        <f t="shared" si="22"/>
        <v>-1.5000000000000568E-3</v>
      </c>
      <c r="D103" s="109">
        <f t="shared" si="23"/>
        <v>-1.5000000000000568E-3</v>
      </c>
      <c r="E103" s="109">
        <f ca="1">IF(表2_367162629303891213141523242526272831323637[[#This Row],[累计净值]]/MAX(INDIRECT("B21:B" &amp; ROW()))-1&lt;E102,表2_367162629303891213141523242526272831323637[[#This Row],[累计净值]]/MAX(INDIRECT("B21:B" &amp; ROW()))-1,E102)</f>
        <v>-0.10536113179448992</v>
      </c>
      <c r="F103" s="110">
        <f>表2_367162629303891213141523242526272831323637[[#This Row],[累计净值]]</f>
        <v>1.018</v>
      </c>
      <c r="G103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-8.7633885102238462E-3</v>
      </c>
    </row>
    <row r="104" spans="1:7" x14ac:dyDescent="0.2">
      <c r="A104" s="15">
        <v>44298</v>
      </c>
      <c r="B104" s="112">
        <v>0.99509999999999998</v>
      </c>
      <c r="C104" s="108">
        <f t="shared" si="22"/>
        <v>-2.2900000000000031E-2</v>
      </c>
      <c r="D104" s="109">
        <f t="shared" si="23"/>
        <v>-2.2900000000000031E-2</v>
      </c>
      <c r="E104" s="109">
        <f ca="1">IF(表2_367162629303891213141523242526272831323637[[#This Row],[累计净值]]/MAX(INDIRECT("B21:B" &amp; ROW()))-1&lt;E103,表2_367162629303891213141523242526272831323637[[#This Row],[累计净值]]/MAX(INDIRECT("B21:B" &amp; ROW()))-1,E103)</f>
        <v>-0.10536113179448992</v>
      </c>
      <c r="F104" s="110">
        <f>表2_367162629303891213141523242526272831323637[[#This Row],[累计净值]]</f>
        <v>0.99509999999999998</v>
      </c>
      <c r="G104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-3.1061343719571477E-2</v>
      </c>
    </row>
    <row r="105" spans="1:7" x14ac:dyDescent="0.2">
      <c r="A105" s="15">
        <v>44299</v>
      </c>
      <c r="B105" s="112">
        <v>0.99250000000000005</v>
      </c>
      <c r="C105" s="108">
        <f t="shared" si="22"/>
        <v>-2.5999999999999357E-3</v>
      </c>
      <c r="D105" s="109">
        <f t="shared" si="23"/>
        <v>-2.5999999999999357E-3</v>
      </c>
      <c r="E105" s="109">
        <f ca="1">IF(表2_367162629303891213141523242526272831323637[[#This Row],[累计净值]]/MAX(INDIRECT("B21:B" &amp; ROW()))-1&lt;E104,表2_367162629303891213141523242526272831323637[[#This Row],[累计净值]]/MAX(INDIRECT("B21:B" &amp; ROW()))-1,E104)</f>
        <v>-0.10536113179448992</v>
      </c>
      <c r="F105" s="110">
        <f>表2_367162629303891213141523242526272831323637[[#This Row],[累计净值]]</f>
        <v>0.99250000000000005</v>
      </c>
      <c r="G105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-3.3592989289191744E-2</v>
      </c>
    </row>
    <row r="106" spans="1:7" x14ac:dyDescent="0.2">
      <c r="A106" s="15">
        <v>44300</v>
      </c>
      <c r="B106" s="112">
        <v>1.0079</v>
      </c>
      <c r="C106" s="108">
        <f t="shared" si="22"/>
        <v>1.5399999999999969E-2</v>
      </c>
      <c r="D106" s="109" t="str">
        <f t="shared" si="23"/>
        <v>/</v>
      </c>
      <c r="E106" s="109">
        <f ca="1">IF(表2_367162629303891213141523242526272831323637[[#This Row],[累计净值]]/MAX(INDIRECT("B21:B" &amp; ROW()))-1&lt;E105,表2_367162629303891213141523242526272831323637[[#This Row],[累计净值]]/MAX(INDIRECT("B21:B" &amp; ROW()))-1,E105)</f>
        <v>-0.10536113179448992</v>
      </c>
      <c r="F106" s="110">
        <f>表2_367162629303891213141523242526272831323637[[#This Row],[累计净值]]</f>
        <v>1.0079</v>
      </c>
      <c r="G106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-1.8597857838364096E-2</v>
      </c>
    </row>
    <row r="107" spans="1:7" x14ac:dyDescent="0.2">
      <c r="A107" s="15">
        <v>44301</v>
      </c>
      <c r="B107" s="112">
        <v>1.0064</v>
      </c>
      <c r="C107" s="108">
        <f t="shared" ref="C107:C112" si="24">IFERROR(B107-B106,0)</f>
        <v>-1.5000000000000568E-3</v>
      </c>
      <c r="D107" s="109">
        <f t="shared" ref="D107:D112" si="25">IF(C107&lt;0,C107,"/")</f>
        <v>-1.5000000000000568E-3</v>
      </c>
      <c r="E107" s="109">
        <f ca="1">IF(表2_367162629303891213141523242526272831323637[[#This Row],[累计净值]]/MAX(INDIRECT("B21:B" &amp; ROW()))-1&lt;E106,表2_367162629303891213141523242526272831323637[[#This Row],[累计净值]]/MAX(INDIRECT("B21:B" &amp; ROW()))-1,E106)</f>
        <v>-0.10536113179448992</v>
      </c>
      <c r="F107" s="110">
        <f>表2_367162629303891213141523242526272831323637[[#This Row],[累计净值]]</f>
        <v>1.0064</v>
      </c>
      <c r="G107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-2.005842259006807E-2</v>
      </c>
    </row>
    <row r="108" spans="1:7" x14ac:dyDescent="0.2">
      <c r="A108" s="15">
        <v>44302</v>
      </c>
      <c r="B108" s="112">
        <v>1.0135000000000001</v>
      </c>
      <c r="C108" s="108">
        <f t="shared" si="24"/>
        <v>7.1000000000001062E-3</v>
      </c>
      <c r="D108" s="109" t="str">
        <f t="shared" si="25"/>
        <v>/</v>
      </c>
      <c r="E108" s="109">
        <f ca="1">IF(表2_367162629303891213141523242526272831323637[[#This Row],[累计净值]]/MAX(INDIRECT("B21:B" &amp; ROW()))-1&lt;E107,表2_367162629303891213141523242526272831323637[[#This Row],[累计净值]]/MAX(INDIRECT("B21:B" &amp; ROW()))-1,E107)</f>
        <v>-0.10536113179448992</v>
      </c>
      <c r="F108" s="110">
        <f>表2_367162629303891213141523242526272831323637[[#This Row],[累计净值]]</f>
        <v>1.0135000000000001</v>
      </c>
      <c r="G108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-1.3145082765335769E-2</v>
      </c>
    </row>
    <row r="109" spans="1:7" x14ac:dyDescent="0.2">
      <c r="A109" s="15">
        <v>44305</v>
      </c>
      <c r="B109" s="112">
        <v>1.0324</v>
      </c>
      <c r="C109" s="108">
        <f t="shared" si="24"/>
        <v>1.8899999999999917E-2</v>
      </c>
      <c r="D109" s="109" t="str">
        <f t="shared" si="25"/>
        <v>/</v>
      </c>
      <c r="E109" s="109">
        <f ca="1">IF(表2_367162629303891213141523242526272831323637[[#This Row],[累计净值]]/MAX(INDIRECT("B21:B" &amp; ROW()))-1&lt;E108,表2_367162629303891213141523242526272831323637[[#This Row],[累计净值]]/MAX(INDIRECT("B21:B" &amp; ROW()))-1,E108)</f>
        <v>-0.10536113179448992</v>
      </c>
      <c r="F109" s="110">
        <f>表2_367162629303891213141523242526272831323637[[#This Row],[累计净值]]</f>
        <v>1.0324</v>
      </c>
      <c r="G109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4.2064264849075881E-3</v>
      </c>
    </row>
    <row r="110" spans="1:7" x14ac:dyDescent="0.2">
      <c r="A110" s="15">
        <v>44306</v>
      </c>
      <c r="B110" s="112">
        <v>1.032</v>
      </c>
      <c r="C110" s="108">
        <f t="shared" si="24"/>
        <v>-3.9999999999995595E-4</v>
      </c>
      <c r="D110" s="109">
        <f t="shared" si="25"/>
        <v>-3.9999999999995595E-4</v>
      </c>
      <c r="E110" s="109">
        <f ca="1">IF(表2_367162629303891213141523242526272831323637[[#This Row],[累计净值]]/MAX(INDIRECT("B21:B" &amp; ROW()))-1&lt;E109,表2_367162629303891213141523242526272831323637[[#This Row],[累计净值]]/MAX(INDIRECT("B21:B" &amp; ROW()))-1,E109)</f>
        <v>-0.10536113179448992</v>
      </c>
      <c r="F110" s="110">
        <f>表2_367162629303891213141523242526272831323637[[#This Row],[累计净值]]</f>
        <v>1.032</v>
      </c>
      <c r="G110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3.8948393378774428E-3</v>
      </c>
    </row>
    <row r="111" spans="1:7" x14ac:dyDescent="0.2">
      <c r="A111" s="15">
        <v>44307</v>
      </c>
      <c r="B111" s="112">
        <v>1.0298</v>
      </c>
      <c r="C111" s="108">
        <f t="shared" si="24"/>
        <v>-2.1999999999999797E-3</v>
      </c>
      <c r="D111" s="109">
        <f t="shared" si="25"/>
        <v>-2.1999999999999797E-3</v>
      </c>
      <c r="E111" s="109">
        <f ca="1">IF(表2_367162629303891213141523242526272831323637[[#This Row],[累计净值]]/MAX(INDIRECT("B21:B" &amp; ROW()))-1&lt;E110,表2_367162629303891213141523242526272831323637[[#This Row],[累计净值]]/MAX(INDIRECT("B21:B" &amp; ROW()))-1,E110)</f>
        <v>-0.10536113179448992</v>
      </c>
      <c r="F111" s="110">
        <f>表2_367162629303891213141523242526272831323637[[#This Row],[累计净值]]</f>
        <v>1.0298</v>
      </c>
      <c r="G111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2.1811100292113751E-3</v>
      </c>
    </row>
    <row r="112" spans="1:7" x14ac:dyDescent="0.2">
      <c r="A112" s="15">
        <v>44308</v>
      </c>
      <c r="B112" s="112">
        <v>1.0341</v>
      </c>
      <c r="C112" s="108">
        <f t="shared" si="24"/>
        <v>4.2999999999999705E-3</v>
      </c>
      <c r="D112" s="109" t="str">
        <f t="shared" si="25"/>
        <v>/</v>
      </c>
      <c r="E112" s="109">
        <f ca="1">IF(表2_367162629303891213141523242526272831323637[[#This Row],[累计净值]]/MAX(INDIRECT("B21:B" &amp; ROW()))-1&lt;E111,表2_367162629303891213141523242526272831323637[[#This Row],[累计净值]]/MAX(INDIRECT("B21:B" &amp; ROW()))-1,E111)</f>
        <v>-0.10536113179448992</v>
      </c>
      <c r="F112" s="110">
        <f>表2_367162629303891213141523242526272831323637[[#This Row],[累计净值]]</f>
        <v>1.0341</v>
      </c>
      <c r="G112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5.5306718597858406E-3</v>
      </c>
    </row>
    <row r="113" spans="1:7" x14ac:dyDescent="0.2">
      <c r="A113" s="15">
        <v>44309</v>
      </c>
      <c r="B113" s="112">
        <v>1.0349999999999999</v>
      </c>
      <c r="C113" s="108">
        <f>IFERROR(B113-B112,0)</f>
        <v>8.9999999999990088E-4</v>
      </c>
      <c r="D113" s="109" t="str">
        <f>IF(C113&lt;0,C113,"/")</f>
        <v>/</v>
      </c>
      <c r="E113" s="109">
        <f ca="1">IF(表2_367162629303891213141523242526272831323637[[#This Row],[累计净值]]/MAX(INDIRECT("B21:B" &amp; ROW()))-1&lt;E112,表2_367162629303891213141523242526272831323637[[#This Row],[累计净值]]/MAX(INDIRECT("B21:B" &amp; ROW()))-1,E112)</f>
        <v>-0.10536113179448992</v>
      </c>
      <c r="F113" s="110">
        <f>表2_367162629303891213141523242526272831323637[[#This Row],[累计净值]]</f>
        <v>1.0349999999999999</v>
      </c>
      <c r="G113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6.2317429406036247E-3</v>
      </c>
    </row>
    <row r="114" spans="1:7" x14ac:dyDescent="0.2">
      <c r="A114" s="15">
        <v>44312</v>
      </c>
      <c r="B114" s="112">
        <v>1.0309999999999999</v>
      </c>
      <c r="C114" s="108">
        <f>IFERROR(B114-B113,0)</f>
        <v>-4.0000000000000036E-3</v>
      </c>
      <c r="D114" s="109">
        <f>IF(C114&lt;0,C114,"/")</f>
        <v>-4.0000000000000036E-3</v>
      </c>
      <c r="E114" s="109">
        <f ca="1">IF(表2_367162629303891213141523242526272831323637[[#This Row],[累计净值]]/MAX(INDIRECT("B21:B" &amp; ROW()))-1&lt;E113,表2_367162629303891213141523242526272831323637[[#This Row],[累计净值]]/MAX(INDIRECT("B21:B" &amp; ROW()))-1,E113)</f>
        <v>-0.10536113179448992</v>
      </c>
      <c r="F114" s="110">
        <f>表2_367162629303891213141523242526272831323637[[#This Row],[累计净值]]</f>
        <v>1.0309999999999999</v>
      </c>
      <c r="G114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3.1158714703018123E-3</v>
      </c>
    </row>
    <row r="115" spans="1:7" x14ac:dyDescent="0.2">
      <c r="A115" s="15">
        <v>44313</v>
      </c>
      <c r="B115" s="112">
        <v>1.0289999999999999</v>
      </c>
      <c r="C115" s="108">
        <f>IFERROR(B115-B114,0)</f>
        <v>-2.0000000000000018E-3</v>
      </c>
      <c r="D115" s="109">
        <f>IF(C115&lt;0,C115,"/")</f>
        <v>-2.0000000000000018E-3</v>
      </c>
      <c r="E115" s="109">
        <f ca="1">IF(表2_367162629303891213141523242526272831323637[[#This Row],[累计净值]]/MAX(INDIRECT("B21:B" &amp; ROW()))-1&lt;E114,表2_367162629303891213141523242526272831323637[[#This Row],[累计净值]]/MAX(INDIRECT("B21:B" &amp; ROW()))-1,E114)</f>
        <v>-0.10536113179448992</v>
      </c>
      <c r="F115" s="110">
        <f>表2_367162629303891213141523242526272831323637[[#This Row],[累计净值]]</f>
        <v>1.0289999999999999</v>
      </c>
      <c r="G115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1.5579357351509062E-3</v>
      </c>
    </row>
    <row r="116" spans="1:7" x14ac:dyDescent="0.2">
      <c r="A116" s="15">
        <v>44314</v>
      </c>
      <c r="B116" s="112">
        <v>1.0358000000000001</v>
      </c>
      <c r="C116" s="108">
        <f>IFERROR(B116-B115,0)</f>
        <v>6.8000000000001393E-3</v>
      </c>
      <c r="D116" s="109" t="str">
        <f>IF(C116&lt;0,C116,"/")</f>
        <v>/</v>
      </c>
      <c r="E116" s="109">
        <f ca="1">IF(表2_367162629303891213141523242526272831323637[[#This Row],[累计净值]]/MAX(INDIRECT("B21:B" &amp; ROW()))-1&lt;E115,表2_367162629303891213141523242526272831323637[[#This Row],[累计净值]]/MAX(INDIRECT("B21:B" &amp; ROW()))-1,E115)</f>
        <v>-0.10536113179448992</v>
      </c>
      <c r="F116" s="110">
        <f>表2_367162629303891213141523242526272831323637[[#This Row],[累计净值]]</f>
        <v>1.0358000000000001</v>
      </c>
      <c r="G116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6.8549172346640931E-3</v>
      </c>
    </row>
    <row r="117" spans="1:7" x14ac:dyDescent="0.2">
      <c r="A117" s="15">
        <v>44315</v>
      </c>
      <c r="B117" s="112">
        <v>1.0362</v>
      </c>
      <c r="C117" s="108">
        <f>IFERROR(B117-B116,0)</f>
        <v>3.9999999999995595E-4</v>
      </c>
      <c r="D117" s="109" t="str">
        <f>IF(C117&lt;0,C117,"/")</f>
        <v>/</v>
      </c>
      <c r="E117" s="109">
        <f ca="1">IF(表2_367162629303891213141523242526272831323637[[#This Row],[累计净值]]/MAX(INDIRECT("B21:B" &amp; ROW()))-1&lt;E116,表2_367162629303891213141523242526272831323637[[#This Row],[累计净值]]/MAX(INDIRECT("B21:B" &amp; ROW()))-1,E116)</f>
        <v>-0.10536113179448992</v>
      </c>
      <c r="F117" s="110">
        <f>表2_367162629303891213141523242526272831323637[[#This Row],[累计净值]]</f>
        <v>1.0362</v>
      </c>
      <c r="G117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7.1665043816944163E-3</v>
      </c>
    </row>
    <row r="118" spans="1:7" x14ac:dyDescent="0.2">
      <c r="A118" s="15">
        <v>44316</v>
      </c>
      <c r="B118" s="112">
        <v>1.0309999999999999</v>
      </c>
      <c r="C118" s="108">
        <f t="shared" ref="C118:C119" si="26">IFERROR(B118-B117,0)</f>
        <v>-5.2000000000000934E-3</v>
      </c>
      <c r="D118" s="109">
        <f t="shared" ref="D118:D119" si="27">IF(C118&lt;0,C118,"/")</f>
        <v>-5.2000000000000934E-3</v>
      </c>
      <c r="E118" s="109">
        <f ca="1">IF(表2_367162629303891213141523242526272831323637[[#This Row],[累计净值]]/MAX(INDIRECT("B21:B" &amp; ROW()))-1&lt;E117,表2_367162629303891213141523242526272831323637[[#This Row],[累计净值]]/MAX(INDIRECT("B21:B" &amp; ROW()))-1,E117)</f>
        <v>-0.10536113179448992</v>
      </c>
      <c r="F118" s="110">
        <f>表2_367162629303891213141523242526272831323637[[#This Row],[累计净值]]</f>
        <v>1.0309999999999999</v>
      </c>
      <c r="G118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3.1158714703018123E-3</v>
      </c>
    </row>
    <row r="119" spans="1:7" x14ac:dyDescent="0.2">
      <c r="A119" s="15">
        <v>44322</v>
      </c>
      <c r="B119" s="112">
        <v>1.0363</v>
      </c>
      <c r="C119" s="108">
        <f t="shared" si="26"/>
        <v>5.3000000000000824E-3</v>
      </c>
      <c r="D119" s="109" t="str">
        <f t="shared" si="27"/>
        <v>/</v>
      </c>
      <c r="E119" s="109">
        <f ca="1">IF(表2_367162629303891213141523242526272831323637[[#This Row],[累计净值]]/MAX(INDIRECT("B21:B" &amp; ROW()))-1&lt;E118,表2_367162629303891213141523242526272831323637[[#This Row],[累计净值]]/MAX(INDIRECT("B21:B" &amp; ROW()))-1,E118)</f>
        <v>-0.10536113179448992</v>
      </c>
      <c r="F119" s="110">
        <f>表2_367162629303891213141523242526272831323637[[#This Row],[累计净值]]</f>
        <v>1.0363</v>
      </c>
      <c r="G119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7.2444011684519088E-3</v>
      </c>
    </row>
    <row r="120" spans="1:7" x14ac:dyDescent="0.2">
      <c r="A120" s="15">
        <v>44323</v>
      </c>
      <c r="B120" s="112">
        <v>1.0299</v>
      </c>
      <c r="C120" s="108">
        <f t="shared" ref="C120:C125" si="28">IFERROR(B120-B119,0)</f>
        <v>-6.3999999999999613E-3</v>
      </c>
      <c r="D120" s="109">
        <f t="shared" ref="D120:D125" si="29">IF(C120&lt;0,C120,"/")</f>
        <v>-6.3999999999999613E-3</v>
      </c>
      <c r="E120" s="109">
        <f ca="1">IF(表2_367162629303891213141523242526272831323637[[#This Row],[累计净值]]/MAX(INDIRECT("B21:B" &amp; ROW()))-1&lt;E119,表2_367162629303891213141523242526272831323637[[#This Row],[累计净值]]/MAX(INDIRECT("B21:B" &amp; ROW()))-1,E119)</f>
        <v>-0.10536113179448992</v>
      </c>
      <c r="F120" s="110">
        <f>表2_367162629303891213141523242526272831323637[[#This Row],[累计净值]]</f>
        <v>1.0299</v>
      </c>
      <c r="G120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2.2590068159688672E-3</v>
      </c>
    </row>
    <row r="121" spans="1:7" x14ac:dyDescent="0.2">
      <c r="A121" s="15">
        <v>44326</v>
      </c>
      <c r="B121" s="112">
        <v>1.0337000000000001</v>
      </c>
      <c r="C121" s="108">
        <f t="shared" si="28"/>
        <v>3.8000000000000256E-3</v>
      </c>
      <c r="D121" s="109" t="str">
        <f t="shared" si="29"/>
        <v>/</v>
      </c>
      <c r="E121" s="109">
        <f ca="1">IF(表2_367162629303891213141523242526272831323637[[#This Row],[累计净值]]/MAX(INDIRECT("B21:B" &amp; ROW()))-1&lt;E120,表2_367162629303891213141523242526272831323637[[#This Row],[累计净值]]/MAX(INDIRECT("B21:B" &amp; ROW()))-1,E120)</f>
        <v>-0.10536113179448992</v>
      </c>
      <c r="F121" s="110">
        <f>表2_367162629303891213141523242526272831323637[[#This Row],[累计净值]]</f>
        <v>1.0337000000000001</v>
      </c>
      <c r="G121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5.2190847127556953E-3</v>
      </c>
    </row>
    <row r="122" spans="1:7" x14ac:dyDescent="0.2">
      <c r="A122" s="15">
        <v>44327</v>
      </c>
      <c r="B122" s="112">
        <v>1.026</v>
      </c>
      <c r="C122" s="108">
        <f t="shared" si="28"/>
        <v>-7.7000000000000401E-3</v>
      </c>
      <c r="D122" s="109">
        <f t="shared" si="29"/>
        <v>-7.7000000000000401E-3</v>
      </c>
      <c r="E122" s="109">
        <f ca="1">IF(表2_367162629303891213141523242526272831323637[[#This Row],[累计净值]]/MAX(INDIRECT("B21:B" &amp; ROW()))-1&lt;E121,表2_367162629303891213141523242526272831323637[[#This Row],[累计净值]]/MAX(INDIRECT("B21:B" &amp; ROW()))-1,E121)</f>
        <v>-0.10536113179448992</v>
      </c>
      <c r="F122" s="110">
        <f>表2_367162629303891213141523242526272831323637[[#This Row],[累计净值]]</f>
        <v>1.026</v>
      </c>
      <c r="G122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-9.7370983446920523E-4</v>
      </c>
    </row>
    <row r="123" spans="1:7" x14ac:dyDescent="0.2">
      <c r="A123" s="15">
        <v>44328</v>
      </c>
      <c r="B123" s="112">
        <v>1.036</v>
      </c>
      <c r="C123" s="108">
        <f t="shared" si="28"/>
        <v>1.0000000000000009E-2</v>
      </c>
      <c r="D123" s="109" t="str">
        <f t="shared" si="29"/>
        <v>/</v>
      </c>
      <c r="E123" s="109">
        <f ca="1">IF(表2_367162629303891213141523242526272831323637[[#This Row],[累计净值]]/MAX(INDIRECT("B21:B" &amp; ROW()))-1&lt;E122,表2_367162629303891213141523242526272831323637[[#This Row],[累计净值]]/MAX(INDIRECT("B21:B" &amp; ROW()))-1,E122)</f>
        <v>-0.10536113179448992</v>
      </c>
      <c r="F123" s="110">
        <f>表2_367162629303891213141523242526272831323637[[#This Row],[累计净值]]</f>
        <v>1.036</v>
      </c>
      <c r="G123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7.0107108081792551E-3</v>
      </c>
    </row>
    <row r="124" spans="1:7" x14ac:dyDescent="0.2">
      <c r="A124" s="15">
        <v>44329</v>
      </c>
      <c r="B124" s="112">
        <v>1.0215000000000001</v>
      </c>
      <c r="C124" s="108">
        <f t="shared" si="28"/>
        <v>-1.4499999999999957E-2</v>
      </c>
      <c r="D124" s="109">
        <f t="shared" si="29"/>
        <v>-1.4499999999999957E-2</v>
      </c>
      <c r="E124" s="109">
        <f ca="1">IF(表2_367162629303891213141523242526272831323637[[#This Row],[累计净值]]/MAX(INDIRECT("B21:B" &amp; ROW()))-1&lt;E123,表2_367162629303891213141523242526272831323637[[#This Row],[累计净值]]/MAX(INDIRECT("B21:B" &amp; ROW()))-1,E123)</f>
        <v>-0.10536113179448992</v>
      </c>
      <c r="F124" s="110">
        <f>表2_367162629303891213141523242526272831323637[[#This Row],[累计净值]]</f>
        <v>1.0215000000000001</v>
      </c>
      <c r="G124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-5.3554040895811283E-3</v>
      </c>
    </row>
    <row r="125" spans="1:7" x14ac:dyDescent="0.2">
      <c r="A125" s="15">
        <v>44330</v>
      </c>
      <c r="B125" s="112">
        <v>1.0334000000000001</v>
      </c>
      <c r="C125" s="108">
        <f t="shared" si="28"/>
        <v>1.1900000000000022E-2</v>
      </c>
      <c r="D125" s="109" t="str">
        <f t="shared" si="29"/>
        <v>/</v>
      </c>
      <c r="E125" s="109">
        <f ca="1">IF(表2_367162629303891213141523242526272831323637[[#This Row],[累计净值]]/MAX(INDIRECT("B21:B" &amp; ROW()))-1&lt;E124,表2_367162629303891213141523242526272831323637[[#This Row],[累计净值]]/MAX(INDIRECT("B21:B" &amp; ROW()))-1,E124)</f>
        <v>-0.10536113179448992</v>
      </c>
      <c r="F125" s="110">
        <f>表2_367162629303891213141523242526272831323637[[#This Row],[累计净值]]</f>
        <v>1.0334000000000001</v>
      </c>
      <c r="G125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4.9853943524830416E-3</v>
      </c>
    </row>
    <row r="126" spans="1:7" x14ac:dyDescent="0.2">
      <c r="A126" s="15">
        <v>44333</v>
      </c>
      <c r="B126" s="112">
        <v>1.0435000000000001</v>
      </c>
      <c r="C126" s="108">
        <f>IFERROR(B126-B125,0)</f>
        <v>1.0099999999999998E-2</v>
      </c>
      <c r="D126" s="109" t="str">
        <f>IF(C126&lt;0,C126,"/")</f>
        <v>/</v>
      </c>
      <c r="E126" s="109">
        <f ca="1">IF(表2_367162629303891213141523242526272831323637[[#This Row],[累计净值]]/MAX(INDIRECT("B21:B" &amp; ROW()))-1&lt;E125,表2_367162629303891213141523242526272831323637[[#This Row],[累计净值]]/MAX(INDIRECT("B21:B" &amp; ROW()))-1,E125)</f>
        <v>-0.10536113179448992</v>
      </c>
      <c r="F126" s="110">
        <f>表2_367162629303891213141523242526272831323637[[#This Row],[累计净值]]</f>
        <v>1.0435000000000001</v>
      </c>
      <c r="G126" s="20">
        <f>IF(表2_367162629303891213141523242526272831323637[[#This Row],[累计净值]]&gt;1.027,0.8*(表2_367162629303891213141523242526272831323637[[#This Row],[累计净值]]/$B$48-1),表2_367162629303891213141523242526272831323637[[#This Row],[累计净值]]/$B$48-1)</f>
        <v>1.2852969814995242E-2</v>
      </c>
    </row>
  </sheetData>
  <mergeCells count="1">
    <mergeCell ref="G2:G3"/>
  </mergeCells>
  <phoneticPr fontId="24" type="noConversion"/>
  <pageMargins left="0.7" right="0.7" top="0.75" bottom="0.75" header="0.3" footer="0.3"/>
  <pageSetup paperSize="9" orientation="portrait" horizontalDpi="200" verticalDpi="200" r:id="rId1"/>
  <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G207"/>
  <sheetViews>
    <sheetView workbookViewId="0">
      <pane xSplit="1" ySplit="20" topLeftCell="B192" activePane="bottomRight" state="frozen"/>
      <selection pane="topRight" activeCell="B1" sqref="B1"/>
      <selection pane="bottomLeft" activeCell="A21" sqref="A21"/>
      <selection pane="bottomRight" activeCell="O203" sqref="O203"/>
    </sheetView>
  </sheetViews>
  <sheetFormatPr defaultColWidth="9" defaultRowHeight="14.25" x14ac:dyDescent="0.2"/>
  <cols>
    <col min="1" max="1" width="11.625" style="1" bestFit="1" customWidth="1"/>
    <col min="2" max="2" width="13" style="1" customWidth="1"/>
    <col min="3" max="4" width="13.5" style="1" bestFit="1" customWidth="1"/>
    <col min="5" max="5" width="10.75" style="1" customWidth="1"/>
    <col min="6" max="6" width="11.125" style="1" customWidth="1"/>
    <col min="7" max="7" width="18.875" style="2" customWidth="1"/>
    <col min="8" max="8" width="14.25" style="1" customWidth="1"/>
    <col min="9" max="9" width="12" style="1" bestFit="1" customWidth="1"/>
    <col min="10" max="16384" width="9" style="1"/>
  </cols>
  <sheetData>
    <row r="1" spans="1:7" ht="15" thickBot="1" x14ac:dyDescent="0.25"/>
    <row r="2" spans="1:7" ht="15" thickBot="1" x14ac:dyDescent="0.25">
      <c r="A2" s="23" t="s">
        <v>0</v>
      </c>
      <c r="B2" s="24">
        <f>COUNT(表2_36716262930389121314152324252627[每日盈亏])</f>
        <v>187</v>
      </c>
      <c r="C2" s="27"/>
      <c r="D2" s="3" t="s">
        <v>1</v>
      </c>
      <c r="E2" s="28"/>
      <c r="F2" s="1" t="s">
        <v>2</v>
      </c>
      <c r="G2" s="394" t="s">
        <v>3</v>
      </c>
    </row>
    <row r="3" spans="1:7" x14ac:dyDescent="0.2">
      <c r="A3" s="25" t="s">
        <v>4</v>
      </c>
      <c r="B3" s="26">
        <f>COUNTIF(表2_36716262930389121314152324252627[每日盈亏],"&gt;0")</f>
        <v>95</v>
      </c>
      <c r="C3" s="29"/>
      <c r="D3" s="30" t="s">
        <v>5</v>
      </c>
      <c r="E3" s="31">
        <f>245^0.5*(B10-0.025/365)/E10</f>
        <v>2.5355352963772413</v>
      </c>
      <c r="G3" s="394"/>
    </row>
    <row r="4" spans="1:7" x14ac:dyDescent="0.2">
      <c r="A4" s="25" t="s">
        <v>6</v>
      </c>
      <c r="B4" s="26">
        <f>COUNTIF(表2_36716262930389121314152324252627[每日盈亏],"&lt;0")</f>
        <v>83</v>
      </c>
      <c r="C4" s="29"/>
      <c r="D4" s="32" t="s">
        <v>7</v>
      </c>
      <c r="E4" s="31">
        <f ca="1">-B9/E8</f>
        <v>6.2434237482153661</v>
      </c>
      <c r="G4" s="2">
        <f>LOOKUP(999^10,表2_36716262930389121314152324252627[累计净值])</f>
        <v>1.8740000000000001</v>
      </c>
    </row>
    <row r="5" spans="1:7" x14ac:dyDescent="0.2">
      <c r="A5" s="25" t="s">
        <v>8</v>
      </c>
      <c r="B5" s="26">
        <f>B2-B3-B4</f>
        <v>9</v>
      </c>
      <c r="C5" s="29"/>
      <c r="D5" s="33" t="s">
        <v>9</v>
      </c>
      <c r="E5" s="4">
        <f>245^0.5*(B10-0.025/365)/E9</f>
        <v>5.4580106644626198</v>
      </c>
    </row>
    <row r="6" spans="1:7" ht="15" thickBot="1" x14ac:dyDescent="0.25">
      <c r="A6" s="34"/>
      <c r="B6" s="35"/>
      <c r="C6" s="35"/>
      <c r="D6" s="35"/>
      <c r="E6" s="36"/>
    </row>
    <row r="7" spans="1:7" ht="15" thickBot="1" x14ac:dyDescent="0.25">
      <c r="A7" s="5" t="s">
        <v>10</v>
      </c>
      <c r="B7" s="35"/>
      <c r="C7" s="35"/>
      <c r="D7" s="3" t="s">
        <v>11</v>
      </c>
      <c r="E7" s="37"/>
    </row>
    <row r="8" spans="1:7" x14ac:dyDescent="0.2">
      <c r="A8" s="38" t="s">
        <v>12</v>
      </c>
      <c r="B8" s="39">
        <f>LOOKUP(999^10,表2_36716262930389121314152324252627[累计净值])/$B$21-1</f>
        <v>0.2687880839539607</v>
      </c>
      <c r="C8" s="40"/>
      <c r="D8" s="30" t="s">
        <v>13</v>
      </c>
      <c r="E8" s="41">
        <f ca="1">MIN(表2_36716262930389121314152324252627[最大回撤])</f>
        <v>-5.6404230317273707E-2</v>
      </c>
    </row>
    <row r="9" spans="1:7" x14ac:dyDescent="0.2">
      <c r="A9" s="25" t="s">
        <v>14</v>
      </c>
      <c r="B9" s="32">
        <f>B8*245/B2</f>
        <v>0.35215551106267579</v>
      </c>
      <c r="C9" s="40"/>
      <c r="D9" s="33" t="s">
        <v>15</v>
      </c>
      <c r="E9" s="6">
        <f>STDEV(表2_36716262930389121314152324252627[下跌幅度])</f>
        <v>6.0452549374118173E-3</v>
      </c>
    </row>
    <row r="10" spans="1:7" x14ac:dyDescent="0.2">
      <c r="A10" s="42" t="s">
        <v>16</v>
      </c>
      <c r="B10" s="43">
        <f>AVERAGE(表2_36716262930389121314152324252627[每日盈亏])</f>
        <v>2.1764705882352945E-3</v>
      </c>
      <c r="C10" s="44"/>
      <c r="D10" s="33" t="s">
        <v>17</v>
      </c>
      <c r="E10" s="6">
        <f>STDEV(表2_36716262930389121314152324252627[每日盈亏])</f>
        <v>1.3013057228953656E-2</v>
      </c>
    </row>
    <row r="11" spans="1:7" x14ac:dyDescent="0.2">
      <c r="A11" s="7" t="s">
        <v>18</v>
      </c>
      <c r="B11" s="32">
        <f>B3/B2</f>
        <v>0.50802139037433158</v>
      </c>
      <c r="C11" s="40"/>
      <c r="D11" s="32" t="s">
        <v>19</v>
      </c>
      <c r="E11" s="41">
        <f>245^0.5*E10</f>
        <v>0.20368656391324794</v>
      </c>
    </row>
    <row r="12" spans="1:7" ht="15" thickBot="1" x14ac:dyDescent="0.25">
      <c r="A12" s="45" t="s">
        <v>20</v>
      </c>
      <c r="B12" s="46">
        <f>-(SUMIF(表2_36716262930389121314152324252627[每日盈亏],"&gt;=0")/B3)/(SUMIF(表2_36716262930389121314152324252627[每日盈亏],"&lt;0")/B4)</f>
        <v>1.4132737001836919</v>
      </c>
      <c r="C12" s="47"/>
      <c r="D12" s="48"/>
      <c r="E12" s="49"/>
    </row>
    <row r="14" spans="1:7" ht="28.5" x14ac:dyDescent="0.2">
      <c r="A14" s="50" t="s">
        <v>21</v>
      </c>
      <c r="B14" s="50" t="s">
        <v>14</v>
      </c>
      <c r="C14" s="51" t="s">
        <v>19</v>
      </c>
      <c r="D14" s="51" t="s">
        <v>13</v>
      </c>
      <c r="E14" s="51" t="s">
        <v>5</v>
      </c>
      <c r="F14" s="51" t="s">
        <v>7</v>
      </c>
    </row>
    <row r="15" spans="1:7" x14ac:dyDescent="0.2">
      <c r="A15" s="78">
        <f>B2</f>
        <v>187</v>
      </c>
      <c r="B15" s="53">
        <f>B9</f>
        <v>0.35215551106267579</v>
      </c>
      <c r="C15" s="53">
        <f>E11</f>
        <v>0.20368656391324794</v>
      </c>
      <c r="D15" s="53">
        <f ca="1">E8</f>
        <v>-5.6404230317273707E-2</v>
      </c>
      <c r="E15" s="54">
        <f>E3</f>
        <v>2.5355352963772413</v>
      </c>
      <c r="F15" s="54">
        <f ca="1">E4</f>
        <v>6.2434237482153661</v>
      </c>
    </row>
    <row r="19" spans="1:7" x14ac:dyDescent="0.2">
      <c r="A19" s="8"/>
      <c r="B19" s="1" t="s">
        <v>22</v>
      </c>
    </row>
    <row r="20" spans="1:7" ht="15.75" x14ac:dyDescent="0.2">
      <c r="A20" s="22" t="s">
        <v>23</v>
      </c>
      <c r="B20" s="22" t="s">
        <v>24</v>
      </c>
      <c r="C20" s="22" t="s">
        <v>25</v>
      </c>
      <c r="D20" s="22" t="s">
        <v>26</v>
      </c>
      <c r="E20" s="22" t="s">
        <v>27</v>
      </c>
      <c r="F20" s="22" t="s">
        <v>28</v>
      </c>
      <c r="G20" s="22" t="s">
        <v>29</v>
      </c>
    </row>
    <row r="21" spans="1:7" x14ac:dyDescent="0.2">
      <c r="A21" s="15">
        <v>44049</v>
      </c>
      <c r="B21" s="16">
        <v>1.4770000000000001</v>
      </c>
      <c r="C21" s="11">
        <f t="shared" ref="C21:C27" si="0">IFERROR(B21-B20,0)</f>
        <v>0</v>
      </c>
      <c r="D21" s="12" t="str">
        <f t="shared" ref="D21:D27" si="1">IF(C21&lt;0,C21,"/")</f>
        <v>/</v>
      </c>
      <c r="E21" s="12">
        <f ca="1">IF(表2_36716262930389121314152324252627[[#This Row],[累计净值]]/MAX(INDIRECT("B21:B" &amp; ROW()))-1&lt;E20,表2_36716262930389121314152324252627[[#This Row],[累计净值]]/MAX(INDIRECT("B21:B" &amp; ROW()))-1,E20)</f>
        <v>0</v>
      </c>
      <c r="F21" s="13">
        <f>表2_36716262930389121314152324252627[[#This Row],[累计净值]]</f>
        <v>1.4770000000000001</v>
      </c>
      <c r="G21" s="194" t="s">
        <v>30</v>
      </c>
    </row>
    <row r="22" spans="1:7" x14ac:dyDescent="0.2">
      <c r="A22" s="15">
        <v>44050</v>
      </c>
      <c r="B22" s="16">
        <v>1.464</v>
      </c>
      <c r="C22" s="17">
        <f t="shared" si="0"/>
        <v>-1.3000000000000123E-2</v>
      </c>
      <c r="D22" s="18">
        <f t="shared" si="1"/>
        <v>-1.3000000000000123E-2</v>
      </c>
      <c r="E22" s="18">
        <f ca="1">IF(表2_36716262930389121314152324252627[[#This Row],[累计净值]]/MAX(INDIRECT("B21:B" &amp; ROW()))-1&lt;E21,表2_36716262930389121314152324252627[[#This Row],[累计净值]]/MAX(INDIRECT("B21:B" &amp; ROW()))-1,E21)</f>
        <v>-8.8016249153690662E-3</v>
      </c>
      <c r="F22" s="19">
        <f>表2_36716262930389121314152324252627[[#This Row],[累计净值]]</f>
        <v>1.464</v>
      </c>
      <c r="G22" s="20">
        <f>表2_36716262930389121314152324252627[[#This Row],[累计净值]]/$B$21-1</f>
        <v>-8.8016249153690662E-3</v>
      </c>
    </row>
    <row r="23" spans="1:7" x14ac:dyDescent="0.2">
      <c r="A23" s="15">
        <v>44053</v>
      </c>
      <c r="B23" s="112">
        <v>1.454</v>
      </c>
      <c r="C23" s="108">
        <f>IFERROR(B23-#REF!,0)</f>
        <v>0</v>
      </c>
      <c r="D23" s="109" t="str">
        <f t="shared" si="1"/>
        <v>/</v>
      </c>
      <c r="E23" s="18">
        <f ca="1">IF(表2_36716262930389121314152324252627[[#This Row],[累计净值]]/MAX(INDIRECT("B21:B" &amp; ROW()))-1&lt;E22,表2_36716262930389121314152324252627[[#This Row],[累计净值]]/MAX(INDIRECT("B21:B" &amp; ROW()))-1,E22)</f>
        <v>-1.5572105619499066E-2</v>
      </c>
      <c r="F23" s="110">
        <f>表2_36716262930389121314152324252627[[#This Row],[累计净值]]</f>
        <v>1.454</v>
      </c>
      <c r="G23" s="20">
        <f>表2_36716262930389121314152324252627[[#This Row],[累计净值]]/$B$21-1</f>
        <v>-1.5572105619499066E-2</v>
      </c>
    </row>
    <row r="24" spans="1:7" x14ac:dyDescent="0.2">
      <c r="A24" s="15">
        <v>44054</v>
      </c>
      <c r="B24" s="112">
        <v>1.4510000000000001</v>
      </c>
      <c r="C24" s="108">
        <f t="shared" si="0"/>
        <v>-2.9999999999998916E-3</v>
      </c>
      <c r="D24" s="109">
        <f t="shared" si="1"/>
        <v>-2.9999999999998916E-3</v>
      </c>
      <c r="E24" s="18">
        <f ca="1">IF(表2_36716262930389121314152324252627[[#This Row],[累计净值]]/MAX(INDIRECT("B21:B" &amp; ROW()))-1&lt;E23,表2_36716262930389121314152324252627[[#This Row],[累计净值]]/MAX(INDIRECT("B21:B" &amp; ROW()))-1,E23)</f>
        <v>-1.7603249830738021E-2</v>
      </c>
      <c r="F24" s="110">
        <f>表2_36716262930389121314152324252627[[#This Row],[累计净值]]</f>
        <v>1.4510000000000001</v>
      </c>
      <c r="G24" s="20">
        <f>表2_36716262930389121314152324252627[[#This Row],[累计净值]]/$B$21-1</f>
        <v>-1.7603249830738021E-2</v>
      </c>
    </row>
    <row r="25" spans="1:7" x14ac:dyDescent="0.2">
      <c r="A25" s="15">
        <v>44055</v>
      </c>
      <c r="B25" s="112">
        <v>1.43</v>
      </c>
      <c r="C25" s="108">
        <f t="shared" si="0"/>
        <v>-2.100000000000013E-2</v>
      </c>
      <c r="D25" s="109">
        <f t="shared" si="1"/>
        <v>-2.100000000000013E-2</v>
      </c>
      <c r="E25" s="18">
        <f ca="1">IF(表2_36716262930389121314152324252627[[#This Row],[累计净值]]/MAX(INDIRECT("B21:B" &amp; ROW()))-1&lt;E24,表2_36716262930389121314152324252627[[#This Row],[累计净值]]/MAX(INDIRECT("B21:B" &amp; ROW()))-1,E24)</f>
        <v>-3.1821259309411043E-2</v>
      </c>
      <c r="F25" s="110">
        <f>表2_36716262930389121314152324252627[[#This Row],[累计净值]]</f>
        <v>1.43</v>
      </c>
      <c r="G25" s="20">
        <f>表2_36716262930389121314152324252627[[#This Row],[累计净值]]/$B$21-1</f>
        <v>-3.1821259309411043E-2</v>
      </c>
    </row>
    <row r="26" spans="1:7" x14ac:dyDescent="0.2">
      <c r="A26" s="15">
        <v>44056</v>
      </c>
      <c r="B26" s="112">
        <v>1.427</v>
      </c>
      <c r="C26" s="108">
        <f t="shared" si="0"/>
        <v>-2.9999999999998916E-3</v>
      </c>
      <c r="D26" s="109">
        <f t="shared" si="1"/>
        <v>-2.9999999999998916E-3</v>
      </c>
      <c r="E26" s="18">
        <f ca="1">IF(表2_36716262930389121314152324252627[[#This Row],[累计净值]]/MAX(INDIRECT("B21:B" &amp; ROW()))-1&lt;E25,表2_36716262930389121314152324252627[[#This Row],[累计净值]]/MAX(INDIRECT("B21:B" &amp; ROW()))-1,E25)</f>
        <v>-3.3852403520649998E-2</v>
      </c>
      <c r="F26" s="110">
        <f>表2_36716262930389121314152324252627[[#This Row],[累计净值]]</f>
        <v>1.427</v>
      </c>
      <c r="G26" s="20">
        <f>表2_36716262930389121314152324252627[[#This Row],[累计净值]]/$B$21-1</f>
        <v>-3.3852403520649998E-2</v>
      </c>
    </row>
    <row r="27" spans="1:7" x14ac:dyDescent="0.2">
      <c r="A27" s="15">
        <v>44057</v>
      </c>
      <c r="B27" s="112">
        <v>1.4139999999999999</v>
      </c>
      <c r="C27" s="108">
        <f t="shared" si="0"/>
        <v>-1.3000000000000123E-2</v>
      </c>
      <c r="D27" s="109">
        <f t="shared" si="1"/>
        <v>-1.3000000000000123E-2</v>
      </c>
      <c r="E27" s="18">
        <f ca="1">IF(表2_36716262930389121314152324252627[[#This Row],[累计净值]]/MAX(INDIRECT("B21:B" &amp; ROW()))-1&lt;E26,表2_36716262930389121314152324252627[[#This Row],[累计净值]]/MAX(INDIRECT("B21:B" &amp; ROW()))-1,E26)</f>
        <v>-4.2654028436019065E-2</v>
      </c>
      <c r="F27" s="110">
        <f>表2_36716262930389121314152324252627[[#This Row],[累计净值]]</f>
        <v>1.4139999999999999</v>
      </c>
      <c r="G27" s="20">
        <f>表2_36716262930389121314152324252627[[#This Row],[累计净值]]/$B$21-1</f>
        <v>-4.2654028436019065E-2</v>
      </c>
    </row>
    <row r="28" spans="1:7" x14ac:dyDescent="0.2">
      <c r="A28" s="15">
        <v>44060</v>
      </c>
      <c r="B28" s="112">
        <v>1.4179999999999999</v>
      </c>
      <c r="C28" s="108">
        <f t="shared" ref="C28:C33" si="2">IFERROR(B28-B27,0)</f>
        <v>4.0000000000000036E-3</v>
      </c>
      <c r="D28" s="109" t="str">
        <f t="shared" ref="D28:D33" si="3">IF(C28&lt;0,C28,"/")</f>
        <v>/</v>
      </c>
      <c r="E28" s="109">
        <f ca="1">IF(表2_36716262930389121314152324252627[[#This Row],[累计净值]]/MAX(INDIRECT("B21:B" &amp; ROW()))-1&lt;E27,表2_36716262930389121314152324252627[[#This Row],[累计净值]]/MAX(INDIRECT("B21:B" &amp; ROW()))-1,E27)</f>
        <v>-4.2654028436019065E-2</v>
      </c>
      <c r="F28" s="110">
        <f>表2_36716262930389121314152324252627[[#This Row],[累计净值]]</f>
        <v>1.4179999999999999</v>
      </c>
      <c r="G28" s="20">
        <f>表2_36716262930389121314152324252627[[#This Row],[累计净值]]/$B$21-1</f>
        <v>-3.9945836154367087E-2</v>
      </c>
    </row>
    <row r="29" spans="1:7" x14ac:dyDescent="0.2">
      <c r="A29" s="15">
        <v>44061</v>
      </c>
      <c r="B29" s="112">
        <v>1.4219999999999999</v>
      </c>
      <c r="C29" s="108">
        <f t="shared" si="2"/>
        <v>4.0000000000000036E-3</v>
      </c>
      <c r="D29" s="109" t="str">
        <f t="shared" si="3"/>
        <v>/</v>
      </c>
      <c r="E29" s="109">
        <f ca="1">IF(表2_36716262930389121314152324252627[[#This Row],[累计净值]]/MAX(INDIRECT("B21:B" &amp; ROW()))-1&lt;E28,表2_36716262930389121314152324252627[[#This Row],[累计净值]]/MAX(INDIRECT("B21:B" &amp; ROW()))-1,E28)</f>
        <v>-4.2654028436019065E-2</v>
      </c>
      <c r="F29" s="110">
        <f>表2_36716262930389121314152324252627[[#This Row],[累计净值]]</f>
        <v>1.4219999999999999</v>
      </c>
      <c r="G29" s="20">
        <f>表2_36716262930389121314152324252627[[#This Row],[累计净值]]/$B$21-1</f>
        <v>-3.7237643872715109E-2</v>
      </c>
    </row>
    <row r="30" spans="1:7" x14ac:dyDescent="0.2">
      <c r="A30" s="15">
        <v>44062</v>
      </c>
      <c r="B30" s="112">
        <v>1.415</v>
      </c>
      <c r="C30" s="108">
        <f t="shared" si="2"/>
        <v>-6.9999999999998952E-3</v>
      </c>
      <c r="D30" s="109">
        <f t="shared" si="3"/>
        <v>-6.9999999999998952E-3</v>
      </c>
      <c r="E30" s="109">
        <f ca="1">IF(表2_36716262930389121314152324252627[[#This Row],[累计净值]]/MAX(INDIRECT("B21:B" &amp; ROW()))-1&lt;E29,表2_36716262930389121314152324252627[[#This Row],[累计净值]]/MAX(INDIRECT("B21:B" &amp; ROW()))-1,E29)</f>
        <v>-4.2654028436019065E-2</v>
      </c>
      <c r="F30" s="110">
        <f>表2_36716262930389121314152324252627[[#This Row],[累计净值]]</f>
        <v>1.415</v>
      </c>
      <c r="G30" s="20">
        <f>表2_36716262930389121314152324252627[[#This Row],[累计净值]]/$B$21-1</f>
        <v>-4.1976980365606043E-2</v>
      </c>
    </row>
    <row r="31" spans="1:7" x14ac:dyDescent="0.2">
      <c r="A31" s="15">
        <v>44063</v>
      </c>
      <c r="B31" s="112">
        <v>1.413</v>
      </c>
      <c r="C31" s="108">
        <f t="shared" si="2"/>
        <v>-2.0000000000000018E-3</v>
      </c>
      <c r="D31" s="109">
        <f t="shared" si="3"/>
        <v>-2.0000000000000018E-3</v>
      </c>
      <c r="E31" s="109">
        <f ca="1">IF(表2_36716262930389121314152324252627[[#This Row],[累计净值]]/MAX(INDIRECT("B21:B" &amp; ROW()))-1&lt;E30,表2_36716262930389121314152324252627[[#This Row],[累计净值]]/MAX(INDIRECT("B21:B" &amp; ROW()))-1,E30)</f>
        <v>-4.3331076506431976E-2</v>
      </c>
      <c r="F31" s="110">
        <f>表2_36716262930389121314152324252627[[#This Row],[累计净值]]</f>
        <v>1.413</v>
      </c>
      <c r="G31" s="20">
        <f>表2_36716262930389121314152324252627[[#This Row],[累计净值]]/$B$21-1</f>
        <v>-4.3331076506431976E-2</v>
      </c>
    </row>
    <row r="32" spans="1:7" x14ac:dyDescent="0.2">
      <c r="A32" s="15">
        <v>44064</v>
      </c>
      <c r="B32" s="112">
        <v>1.413</v>
      </c>
      <c r="C32" s="108">
        <f t="shared" si="2"/>
        <v>0</v>
      </c>
      <c r="D32" s="109" t="str">
        <f t="shared" si="3"/>
        <v>/</v>
      </c>
      <c r="E32" s="109">
        <f ca="1">IF(表2_36716262930389121314152324252627[[#This Row],[累计净值]]/MAX(INDIRECT("B21:B" &amp; ROW()))-1&lt;E31,表2_36716262930389121314152324252627[[#This Row],[累计净值]]/MAX(INDIRECT("B21:B" &amp; ROW()))-1,E31)</f>
        <v>-4.3331076506431976E-2</v>
      </c>
      <c r="F32" s="110">
        <f>表2_36716262930389121314152324252627[[#This Row],[累计净值]]</f>
        <v>1.413</v>
      </c>
      <c r="G32" s="20">
        <f>表2_36716262930389121314152324252627[[#This Row],[累计净值]]/$B$21-1</f>
        <v>-4.3331076506431976E-2</v>
      </c>
    </row>
    <row r="33" spans="1:7" x14ac:dyDescent="0.2">
      <c r="A33" s="15">
        <v>44067</v>
      </c>
      <c r="B33" s="112">
        <v>1.4039999999999999</v>
      </c>
      <c r="C33" s="108">
        <f t="shared" si="2"/>
        <v>-9.000000000000119E-3</v>
      </c>
      <c r="D33" s="109">
        <f t="shared" si="3"/>
        <v>-9.000000000000119E-3</v>
      </c>
      <c r="E33" s="109">
        <f ca="1">IF(表2_36716262930389121314152324252627[[#This Row],[累计净值]]/MAX(INDIRECT("B21:B" &amp; ROW()))-1&lt;E32,表2_36716262930389121314152324252627[[#This Row],[累计净值]]/MAX(INDIRECT("B21:B" &amp; ROW()))-1,E32)</f>
        <v>-4.9424509140149064E-2</v>
      </c>
      <c r="F33" s="110">
        <f>表2_36716262930389121314152324252627[[#This Row],[累计净值]]</f>
        <v>1.4039999999999999</v>
      </c>
      <c r="G33" s="20">
        <f>表2_36716262930389121314152324252627[[#This Row],[累计净值]]/$B$21-1</f>
        <v>-4.9424509140149064E-2</v>
      </c>
    </row>
    <row r="34" spans="1:7" x14ac:dyDescent="0.2">
      <c r="A34" s="15">
        <v>44068</v>
      </c>
      <c r="B34" s="112">
        <v>1.4039999999999999</v>
      </c>
      <c r="C34" s="108">
        <f t="shared" ref="C34:C39" si="4">IFERROR(B34-B33,0)</f>
        <v>0</v>
      </c>
      <c r="D34" s="109" t="str">
        <f t="shared" ref="D34:D39" si="5">IF(C34&lt;0,C34,"/")</f>
        <v>/</v>
      </c>
      <c r="E34" s="109">
        <f ca="1">IF(表2_36716262930389121314152324252627[[#This Row],[累计净值]]/MAX(INDIRECT("B21:B" &amp; ROW()))-1&lt;E33,表2_36716262930389121314152324252627[[#This Row],[累计净值]]/MAX(INDIRECT("B21:B" &amp; ROW()))-1,E33)</f>
        <v>-4.9424509140149064E-2</v>
      </c>
      <c r="F34" s="110">
        <f>表2_36716262930389121314152324252627[[#This Row],[累计净值]]</f>
        <v>1.4039999999999999</v>
      </c>
      <c r="G34" s="20">
        <f>表2_36716262930389121314152324252627[[#This Row],[累计净值]]/$B$21-1</f>
        <v>-4.9424509140149064E-2</v>
      </c>
    </row>
    <row r="35" spans="1:7" x14ac:dyDescent="0.2">
      <c r="A35" s="15">
        <v>44069</v>
      </c>
      <c r="B35" s="112">
        <v>1.411</v>
      </c>
      <c r="C35" s="108">
        <f t="shared" si="4"/>
        <v>7.0000000000001172E-3</v>
      </c>
      <c r="D35" s="109" t="str">
        <f t="shared" si="5"/>
        <v>/</v>
      </c>
      <c r="E35" s="109">
        <f ca="1">IF(表2_36716262930389121314152324252627[[#This Row],[累计净值]]/MAX(INDIRECT("B21:B" &amp; ROW()))-1&lt;E34,表2_36716262930389121314152324252627[[#This Row],[累计净值]]/MAX(INDIRECT("B21:B" &amp; ROW()))-1,E34)</f>
        <v>-4.9424509140149064E-2</v>
      </c>
      <c r="F35" s="110">
        <f>表2_36716262930389121314152324252627[[#This Row],[累计净值]]</f>
        <v>1.411</v>
      </c>
      <c r="G35" s="20">
        <f>表2_36716262930389121314152324252627[[#This Row],[累计净值]]/$B$21-1</f>
        <v>-4.468517264725802E-2</v>
      </c>
    </row>
    <row r="36" spans="1:7" x14ac:dyDescent="0.2">
      <c r="A36" s="15">
        <v>44070</v>
      </c>
      <c r="B36" s="112">
        <v>1.4039999999999999</v>
      </c>
      <c r="C36" s="108">
        <f t="shared" si="4"/>
        <v>-7.0000000000001172E-3</v>
      </c>
      <c r="D36" s="109">
        <f t="shared" si="5"/>
        <v>-7.0000000000001172E-3</v>
      </c>
      <c r="E36" s="109">
        <f ca="1">IF(表2_36716262930389121314152324252627[[#This Row],[累计净值]]/MAX(INDIRECT("B21:B" &amp; ROW()))-1&lt;E35,表2_36716262930389121314152324252627[[#This Row],[累计净值]]/MAX(INDIRECT("B21:B" &amp; ROW()))-1,E35)</f>
        <v>-4.9424509140149064E-2</v>
      </c>
      <c r="F36" s="110">
        <f>表2_36716262930389121314152324252627[[#This Row],[累计净值]]</f>
        <v>1.4039999999999999</v>
      </c>
      <c r="G36" s="20">
        <f>表2_36716262930389121314152324252627[[#This Row],[累计净值]]/$B$21-1</f>
        <v>-4.9424509140149064E-2</v>
      </c>
    </row>
    <row r="37" spans="1:7" x14ac:dyDescent="0.2">
      <c r="A37" s="15">
        <v>44071</v>
      </c>
      <c r="B37" s="112">
        <v>1.399</v>
      </c>
      <c r="C37" s="108">
        <f t="shared" si="4"/>
        <v>-4.9999999999998934E-3</v>
      </c>
      <c r="D37" s="109">
        <f t="shared" si="5"/>
        <v>-4.9999999999998934E-3</v>
      </c>
      <c r="E37" s="109">
        <f ca="1">IF(表2_36716262930389121314152324252627[[#This Row],[累计净值]]/MAX(INDIRECT("B21:B" &amp; ROW()))-1&lt;E36,表2_36716262930389121314152324252627[[#This Row],[累计净值]]/MAX(INDIRECT("B21:B" &amp; ROW()))-1,E36)</f>
        <v>-5.2809749492213953E-2</v>
      </c>
      <c r="F37" s="110">
        <f>表2_36716262930389121314152324252627[[#This Row],[累计净值]]</f>
        <v>1.399</v>
      </c>
      <c r="G37" s="20">
        <f>表2_36716262930389121314152324252627[[#This Row],[累计净值]]/$B$21-1</f>
        <v>-5.2809749492213953E-2</v>
      </c>
    </row>
    <row r="38" spans="1:7" x14ac:dyDescent="0.2">
      <c r="A38" s="15">
        <v>44074</v>
      </c>
      <c r="B38" s="112">
        <v>1.411</v>
      </c>
      <c r="C38" s="108">
        <f t="shared" si="4"/>
        <v>1.2000000000000011E-2</v>
      </c>
      <c r="D38" s="109" t="str">
        <f t="shared" si="5"/>
        <v>/</v>
      </c>
      <c r="E38" s="109">
        <f ca="1">IF(表2_36716262930389121314152324252627[[#This Row],[累计净值]]/MAX(INDIRECT("B21:B" &amp; ROW()))-1&lt;E37,表2_36716262930389121314152324252627[[#This Row],[累计净值]]/MAX(INDIRECT("B21:B" &amp; ROW()))-1,E37)</f>
        <v>-5.2809749492213953E-2</v>
      </c>
      <c r="F38" s="110">
        <f>表2_36716262930389121314152324252627[[#This Row],[累计净值]]</f>
        <v>1.411</v>
      </c>
      <c r="G38" s="20">
        <f>表2_36716262930389121314152324252627[[#This Row],[累计净值]]/$B$21-1</f>
        <v>-4.468517264725802E-2</v>
      </c>
    </row>
    <row r="39" spans="1:7" x14ac:dyDescent="0.2">
      <c r="A39" s="15">
        <v>44075</v>
      </c>
      <c r="B39" s="112">
        <v>1.4139999999999999</v>
      </c>
      <c r="C39" s="108">
        <f t="shared" si="4"/>
        <v>2.9999999999998916E-3</v>
      </c>
      <c r="D39" s="109" t="str">
        <f t="shared" si="5"/>
        <v>/</v>
      </c>
      <c r="E39" s="109">
        <f ca="1">IF(表2_36716262930389121314152324252627[[#This Row],[累计净值]]/MAX(INDIRECT("B21:B" &amp; ROW()))-1&lt;E38,表2_36716262930389121314152324252627[[#This Row],[累计净值]]/MAX(INDIRECT("B21:B" &amp; ROW()))-1,E38)</f>
        <v>-5.2809749492213953E-2</v>
      </c>
      <c r="F39" s="110">
        <f>表2_36716262930389121314152324252627[[#This Row],[累计净值]]</f>
        <v>1.4139999999999999</v>
      </c>
      <c r="G39" s="20">
        <f>表2_36716262930389121314152324252627[[#This Row],[累计净值]]/$B$21-1</f>
        <v>-4.2654028436019065E-2</v>
      </c>
    </row>
    <row r="40" spans="1:7" x14ac:dyDescent="0.2">
      <c r="A40" s="15">
        <v>44076</v>
      </c>
      <c r="B40" s="112">
        <v>1.4119999999999999</v>
      </c>
      <c r="C40" s="108">
        <f t="shared" ref="C40:C45" si="6">IFERROR(B40-B39,0)</f>
        <v>-2.0000000000000018E-3</v>
      </c>
      <c r="D40" s="109">
        <f t="shared" ref="D40:D45" si="7">IF(C40&lt;0,C40,"/")</f>
        <v>-2.0000000000000018E-3</v>
      </c>
      <c r="E40" s="109">
        <f ca="1">IF(表2_36716262930389121314152324252627[[#This Row],[累计净值]]/MAX(INDIRECT("B21:B" &amp; ROW()))-1&lt;E39,表2_36716262930389121314152324252627[[#This Row],[累计净值]]/MAX(INDIRECT("B21:B" &amp; ROW()))-1,E39)</f>
        <v>-5.2809749492213953E-2</v>
      </c>
      <c r="F40" s="110">
        <f>表2_36716262930389121314152324252627[[#This Row],[累计净值]]</f>
        <v>1.4119999999999999</v>
      </c>
      <c r="G40" s="20">
        <f>表2_36716262930389121314152324252627[[#This Row],[累计净值]]/$B$21-1</f>
        <v>-4.4008124576845109E-2</v>
      </c>
    </row>
    <row r="41" spans="1:7" x14ac:dyDescent="0.2">
      <c r="A41" s="15">
        <v>44077</v>
      </c>
      <c r="B41" s="112">
        <v>1.4139999999999999</v>
      </c>
      <c r="C41" s="108">
        <f t="shared" si="6"/>
        <v>2.0000000000000018E-3</v>
      </c>
      <c r="D41" s="109" t="str">
        <f t="shared" si="7"/>
        <v>/</v>
      </c>
      <c r="E41" s="109">
        <f ca="1">IF(表2_36716262930389121314152324252627[[#This Row],[累计净值]]/MAX(INDIRECT("B21:B" &amp; ROW()))-1&lt;E40,表2_36716262930389121314152324252627[[#This Row],[累计净值]]/MAX(INDIRECT("B21:B" &amp; ROW()))-1,E40)</f>
        <v>-5.2809749492213953E-2</v>
      </c>
      <c r="F41" s="110">
        <f>表2_36716262930389121314152324252627[[#This Row],[累计净值]]</f>
        <v>1.4139999999999999</v>
      </c>
      <c r="G41" s="20">
        <f>表2_36716262930389121314152324252627[[#This Row],[累计净值]]/$B$21-1</f>
        <v>-4.2654028436019065E-2</v>
      </c>
    </row>
    <row r="42" spans="1:7" x14ac:dyDescent="0.2">
      <c r="A42" s="15">
        <v>44078</v>
      </c>
      <c r="B42" s="112">
        <v>1.407</v>
      </c>
      <c r="C42" s="108">
        <f t="shared" si="6"/>
        <v>-6.9999999999998952E-3</v>
      </c>
      <c r="D42" s="109">
        <f t="shared" si="7"/>
        <v>-6.9999999999998952E-3</v>
      </c>
      <c r="E42" s="109">
        <f ca="1">IF(表2_36716262930389121314152324252627[[#This Row],[累计净值]]/MAX(INDIRECT("B21:B" &amp; ROW()))-1&lt;E41,表2_36716262930389121314152324252627[[#This Row],[累计净值]]/MAX(INDIRECT("B21:B" &amp; ROW()))-1,E41)</f>
        <v>-5.2809749492213953E-2</v>
      </c>
      <c r="F42" s="110">
        <f>表2_36716262930389121314152324252627[[#This Row],[累计净值]]</f>
        <v>1.407</v>
      </c>
      <c r="G42" s="20">
        <f>表2_36716262930389121314152324252627[[#This Row],[累计净值]]/$B$21-1</f>
        <v>-4.7393364928909998E-2</v>
      </c>
    </row>
    <row r="43" spans="1:7" x14ac:dyDescent="0.2">
      <c r="A43" s="15">
        <v>44081</v>
      </c>
      <c r="B43" s="112">
        <v>1.4139999999999999</v>
      </c>
      <c r="C43" s="108">
        <f t="shared" si="6"/>
        <v>6.9999999999998952E-3</v>
      </c>
      <c r="D43" s="109" t="str">
        <f t="shared" si="7"/>
        <v>/</v>
      </c>
      <c r="E43" s="109">
        <f ca="1">IF(表2_36716262930389121314152324252627[[#This Row],[累计净值]]/MAX(INDIRECT("B21:B" &amp; ROW()))-1&lt;E42,表2_36716262930389121314152324252627[[#This Row],[累计净值]]/MAX(INDIRECT("B21:B" &amp; ROW()))-1,E42)</f>
        <v>-5.2809749492213953E-2</v>
      </c>
      <c r="F43" s="110">
        <f>表2_36716262930389121314152324252627[[#This Row],[累计净值]]</f>
        <v>1.4139999999999999</v>
      </c>
      <c r="G43" s="20">
        <f>表2_36716262930389121314152324252627[[#This Row],[累计净值]]/$B$21-1</f>
        <v>-4.2654028436019065E-2</v>
      </c>
    </row>
    <row r="44" spans="1:7" x14ac:dyDescent="0.2">
      <c r="A44" s="15">
        <v>44082</v>
      </c>
      <c r="B44" s="112">
        <v>1.409</v>
      </c>
      <c r="C44" s="108">
        <f t="shared" si="6"/>
        <v>-4.9999999999998934E-3</v>
      </c>
      <c r="D44" s="109">
        <f t="shared" si="7"/>
        <v>-4.9999999999998934E-3</v>
      </c>
      <c r="E44" s="109">
        <f ca="1">IF(表2_36716262930389121314152324252627[[#This Row],[累计净值]]/MAX(INDIRECT("B21:B" &amp; ROW()))-1&lt;E43,表2_36716262930389121314152324252627[[#This Row],[累计净值]]/MAX(INDIRECT("B21:B" &amp; ROW()))-1,E43)</f>
        <v>-5.2809749492213953E-2</v>
      </c>
      <c r="F44" s="110">
        <f>表2_36716262930389121314152324252627[[#This Row],[累计净值]]</f>
        <v>1.409</v>
      </c>
      <c r="G44" s="20">
        <f>表2_36716262930389121314152324252627[[#This Row],[累计净值]]/$B$21-1</f>
        <v>-4.6039268788083954E-2</v>
      </c>
    </row>
    <row r="45" spans="1:7" x14ac:dyDescent="0.2">
      <c r="A45" s="15">
        <v>44083</v>
      </c>
      <c r="B45" s="112">
        <v>1.423</v>
      </c>
      <c r="C45" s="108">
        <f t="shared" si="6"/>
        <v>1.4000000000000012E-2</v>
      </c>
      <c r="D45" s="109" t="str">
        <f t="shared" si="7"/>
        <v>/</v>
      </c>
      <c r="E45" s="109">
        <f ca="1">IF(表2_36716262930389121314152324252627[[#This Row],[累计净值]]/MAX(INDIRECT("B21:B" &amp; ROW()))-1&lt;E44,表2_36716262930389121314152324252627[[#This Row],[累计净值]]/MAX(INDIRECT("B21:B" &amp; ROW()))-1,E44)</f>
        <v>-5.2809749492213953E-2</v>
      </c>
      <c r="F45" s="110">
        <f>表2_36716262930389121314152324252627[[#This Row],[累计净值]]</f>
        <v>1.423</v>
      </c>
      <c r="G45" s="20">
        <f>表2_36716262930389121314152324252627[[#This Row],[累计净值]]/$B$21-1</f>
        <v>-3.6560595802301976E-2</v>
      </c>
    </row>
    <row r="46" spans="1:7" x14ac:dyDescent="0.2">
      <c r="A46" s="15">
        <v>44084</v>
      </c>
      <c r="B46" s="112">
        <v>1.423</v>
      </c>
      <c r="C46" s="108">
        <f t="shared" ref="C46:C51" si="8">IFERROR(B46-B45,0)</f>
        <v>0</v>
      </c>
      <c r="D46" s="109" t="str">
        <f t="shared" ref="D46:D51" si="9">IF(C46&lt;0,C46,"/")</f>
        <v>/</v>
      </c>
      <c r="E46" s="109">
        <f ca="1">IF(表2_36716262930389121314152324252627[[#This Row],[累计净值]]/MAX(INDIRECT("B21:B" &amp; ROW()))-1&lt;E45,表2_36716262930389121314152324252627[[#This Row],[累计净值]]/MAX(INDIRECT("B21:B" &amp; ROW()))-1,E45)</f>
        <v>-5.2809749492213953E-2</v>
      </c>
      <c r="F46" s="110">
        <f>表2_36716262930389121314152324252627[[#This Row],[累计净值]]</f>
        <v>1.423</v>
      </c>
      <c r="G46" s="20">
        <f>表2_36716262930389121314152324252627[[#This Row],[累计净值]]/$B$21-1</f>
        <v>-3.6560595802301976E-2</v>
      </c>
    </row>
    <row r="47" spans="1:7" x14ac:dyDescent="0.2">
      <c r="A47" s="15">
        <v>44085</v>
      </c>
      <c r="B47" s="112">
        <v>1.421</v>
      </c>
      <c r="C47" s="108">
        <f t="shared" si="8"/>
        <v>-2.0000000000000018E-3</v>
      </c>
      <c r="D47" s="109">
        <f t="shared" si="9"/>
        <v>-2.0000000000000018E-3</v>
      </c>
      <c r="E47" s="109">
        <f ca="1">IF(表2_36716262930389121314152324252627[[#This Row],[累计净值]]/MAX(INDIRECT("B21:B" &amp; ROW()))-1&lt;E46,表2_36716262930389121314152324252627[[#This Row],[累计净值]]/MAX(INDIRECT("B21:B" &amp; ROW()))-1,E46)</f>
        <v>-5.2809749492213953E-2</v>
      </c>
      <c r="F47" s="110">
        <f>表2_36716262930389121314152324252627[[#This Row],[累计净值]]</f>
        <v>1.421</v>
      </c>
      <c r="G47" s="20">
        <f>表2_36716262930389121314152324252627[[#This Row],[累计净值]]/$B$21-1</f>
        <v>-3.791469194312802E-2</v>
      </c>
    </row>
    <row r="48" spans="1:7" x14ac:dyDescent="0.2">
      <c r="A48" s="15">
        <v>44088</v>
      </c>
      <c r="B48" s="112">
        <v>1.417</v>
      </c>
      <c r="C48" s="108">
        <f t="shared" si="8"/>
        <v>-4.0000000000000036E-3</v>
      </c>
      <c r="D48" s="109">
        <f t="shared" si="9"/>
        <v>-4.0000000000000036E-3</v>
      </c>
      <c r="E48" s="109">
        <f ca="1">IF(表2_36716262930389121314152324252627[[#This Row],[累计净值]]/MAX(INDIRECT("B21:B" &amp; ROW()))-1&lt;E47,表2_36716262930389121314152324252627[[#This Row],[累计净值]]/MAX(INDIRECT("B21:B" &amp; ROW()))-1,E47)</f>
        <v>-5.2809749492213953E-2</v>
      </c>
      <c r="F48" s="110">
        <f>表2_36716262930389121314152324252627[[#This Row],[累计净值]]</f>
        <v>1.417</v>
      </c>
      <c r="G48" s="20">
        <f>表2_36716262930389121314152324252627[[#This Row],[累计净值]]/$B$21-1</f>
        <v>-4.0622884224779998E-2</v>
      </c>
    </row>
    <row r="49" spans="1:7" x14ac:dyDescent="0.2">
      <c r="A49" s="15">
        <v>44089</v>
      </c>
      <c r="B49" s="112">
        <v>1.42</v>
      </c>
      <c r="C49" s="108">
        <f t="shared" si="8"/>
        <v>2.9999999999998916E-3</v>
      </c>
      <c r="D49" s="109" t="str">
        <f t="shared" si="9"/>
        <v>/</v>
      </c>
      <c r="E49" s="109">
        <f ca="1">IF(表2_36716262930389121314152324252627[[#This Row],[累计净值]]/MAX(INDIRECT("B21:B" &amp; ROW()))-1&lt;E48,表2_36716262930389121314152324252627[[#This Row],[累计净值]]/MAX(INDIRECT("B21:B" &amp; ROW()))-1,E48)</f>
        <v>-5.2809749492213953E-2</v>
      </c>
      <c r="F49" s="110">
        <f>表2_36716262930389121314152324252627[[#This Row],[累计净值]]</f>
        <v>1.42</v>
      </c>
      <c r="G49" s="20">
        <f>表2_36716262930389121314152324252627[[#This Row],[累计净值]]/$B$21-1</f>
        <v>-3.8591740013541043E-2</v>
      </c>
    </row>
    <row r="50" spans="1:7" x14ac:dyDescent="0.2">
      <c r="A50" s="15">
        <v>44090</v>
      </c>
      <c r="B50" s="112">
        <v>1.419</v>
      </c>
      <c r="C50" s="108">
        <f t="shared" si="8"/>
        <v>-9.9999999999988987E-4</v>
      </c>
      <c r="D50" s="109">
        <f t="shared" si="9"/>
        <v>-9.9999999999988987E-4</v>
      </c>
      <c r="E50" s="109">
        <f ca="1">IF(表2_36716262930389121314152324252627[[#This Row],[累计净值]]/MAX(INDIRECT("B21:B" &amp; ROW()))-1&lt;E49,表2_36716262930389121314152324252627[[#This Row],[累计净值]]/MAX(INDIRECT("B21:B" &amp; ROW()))-1,E49)</f>
        <v>-5.2809749492213953E-2</v>
      </c>
      <c r="F50" s="110">
        <f>表2_36716262930389121314152324252627[[#This Row],[累计净值]]</f>
        <v>1.419</v>
      </c>
      <c r="G50" s="20">
        <f>表2_36716262930389121314152324252627[[#This Row],[累计净值]]/$B$21-1</f>
        <v>-3.9268788083953954E-2</v>
      </c>
    </row>
    <row r="51" spans="1:7" x14ac:dyDescent="0.2">
      <c r="A51" s="15">
        <v>44091</v>
      </c>
      <c r="B51" s="112">
        <v>1.421</v>
      </c>
      <c r="C51" s="108">
        <f t="shared" si="8"/>
        <v>2.0000000000000018E-3</v>
      </c>
      <c r="D51" s="109" t="str">
        <f t="shared" si="9"/>
        <v>/</v>
      </c>
      <c r="E51" s="109">
        <f ca="1">IF(表2_36716262930389121314152324252627[[#This Row],[累计净值]]/MAX(INDIRECT("B21:B" &amp; ROW()))-1&lt;E50,表2_36716262930389121314152324252627[[#This Row],[累计净值]]/MAX(INDIRECT("B21:B" &amp; ROW()))-1,E50)</f>
        <v>-5.2809749492213953E-2</v>
      </c>
      <c r="F51" s="110">
        <f>表2_36716262930389121314152324252627[[#This Row],[累计净值]]</f>
        <v>1.421</v>
      </c>
      <c r="G51" s="20">
        <f>表2_36716262930389121314152324252627[[#This Row],[累计净值]]/$B$21-1</f>
        <v>-3.791469194312802E-2</v>
      </c>
    </row>
    <row r="52" spans="1:7" x14ac:dyDescent="0.2">
      <c r="A52" s="15">
        <v>44092</v>
      </c>
      <c r="B52" s="112">
        <v>1.43</v>
      </c>
      <c r="C52" s="108">
        <f t="shared" ref="C52:C57" si="10">IFERROR(B52-B51,0)</f>
        <v>8.999999999999897E-3</v>
      </c>
      <c r="D52" s="109" t="str">
        <f t="shared" ref="D52:D57" si="11">IF(C52&lt;0,C52,"/")</f>
        <v>/</v>
      </c>
      <c r="E52" s="109">
        <f ca="1">IF(表2_36716262930389121314152324252627[[#This Row],[累计净值]]/MAX(INDIRECT("B21:B" &amp; ROW()))-1&lt;E51,表2_36716262930389121314152324252627[[#This Row],[累计净值]]/MAX(INDIRECT("B21:B" &amp; ROW()))-1,E51)</f>
        <v>-5.2809749492213953E-2</v>
      </c>
      <c r="F52" s="110">
        <f>表2_36716262930389121314152324252627[[#This Row],[累计净值]]</f>
        <v>1.43</v>
      </c>
      <c r="G52" s="20">
        <f>表2_36716262930389121314152324252627[[#This Row],[累计净值]]/$B$21-1</f>
        <v>-3.1821259309411043E-2</v>
      </c>
    </row>
    <row r="53" spans="1:7" x14ac:dyDescent="0.2">
      <c r="A53" s="15">
        <v>44095</v>
      </c>
      <c r="B53" s="112">
        <v>1.4319999999999999</v>
      </c>
      <c r="C53" s="108">
        <f t="shared" si="10"/>
        <v>2.0000000000000018E-3</v>
      </c>
      <c r="D53" s="109" t="str">
        <f t="shared" si="11"/>
        <v>/</v>
      </c>
      <c r="E53" s="109">
        <f ca="1">IF(表2_36716262930389121314152324252627[[#This Row],[累计净值]]/MAX(INDIRECT("B21:B" &amp; ROW()))-1&lt;E52,表2_36716262930389121314152324252627[[#This Row],[累计净值]]/MAX(INDIRECT("B21:B" &amp; ROW()))-1,E52)</f>
        <v>-5.2809749492213953E-2</v>
      </c>
      <c r="F53" s="110">
        <f>表2_36716262930389121314152324252627[[#This Row],[累计净值]]</f>
        <v>1.4319999999999999</v>
      </c>
      <c r="G53" s="20">
        <f>表2_36716262930389121314152324252627[[#This Row],[累计净值]]/$B$21-1</f>
        <v>-3.046716316858511E-2</v>
      </c>
    </row>
    <row r="54" spans="1:7" x14ac:dyDescent="0.2">
      <c r="A54" s="15">
        <v>44096</v>
      </c>
      <c r="B54" s="112">
        <v>1.4419999999999999</v>
      </c>
      <c r="C54" s="108">
        <f t="shared" si="10"/>
        <v>1.0000000000000009E-2</v>
      </c>
      <c r="D54" s="109" t="str">
        <f t="shared" si="11"/>
        <v>/</v>
      </c>
      <c r="E54" s="109">
        <f ca="1">IF(表2_36716262930389121314152324252627[[#This Row],[累计净值]]/MAX(INDIRECT("B21:B" &amp; ROW()))-1&lt;E53,表2_36716262930389121314152324252627[[#This Row],[累计净值]]/MAX(INDIRECT("B21:B" &amp; ROW()))-1,E53)</f>
        <v>-5.2809749492213953E-2</v>
      </c>
      <c r="F54" s="110">
        <f>表2_36716262930389121314152324252627[[#This Row],[累计净值]]</f>
        <v>1.4419999999999999</v>
      </c>
      <c r="G54" s="20">
        <f>表2_36716262930389121314152324252627[[#This Row],[累计净值]]/$B$21-1</f>
        <v>-2.369668246445511E-2</v>
      </c>
    </row>
    <row r="55" spans="1:7" x14ac:dyDescent="0.2">
      <c r="A55" s="15">
        <v>44097</v>
      </c>
      <c r="B55" s="112">
        <v>1.4370000000000001</v>
      </c>
      <c r="C55" s="108">
        <f t="shared" si="10"/>
        <v>-4.9999999999998934E-3</v>
      </c>
      <c r="D55" s="109">
        <f t="shared" si="11"/>
        <v>-4.9999999999998934E-3</v>
      </c>
      <c r="E55" s="109">
        <f ca="1">IF(表2_36716262930389121314152324252627[[#This Row],[累计净值]]/MAX(INDIRECT("B21:B" &amp; ROW()))-1&lt;E54,表2_36716262930389121314152324252627[[#This Row],[累计净值]]/MAX(INDIRECT("B21:B" &amp; ROW()))-1,E54)</f>
        <v>-5.2809749492213953E-2</v>
      </c>
      <c r="F55" s="110">
        <f>表2_36716262930389121314152324252627[[#This Row],[累计净值]]</f>
        <v>1.4370000000000001</v>
      </c>
      <c r="G55" s="20">
        <f>表2_36716262930389121314152324252627[[#This Row],[累计净值]]/$B$21-1</f>
        <v>-2.7081922816519999E-2</v>
      </c>
    </row>
    <row r="56" spans="1:7" x14ac:dyDescent="0.2">
      <c r="A56" s="15">
        <v>44098</v>
      </c>
      <c r="B56" s="112">
        <v>1.4430000000000001</v>
      </c>
      <c r="C56" s="108">
        <f t="shared" si="10"/>
        <v>6.0000000000000053E-3</v>
      </c>
      <c r="D56" s="109" t="str">
        <f t="shared" si="11"/>
        <v>/</v>
      </c>
      <c r="E56" s="109">
        <f ca="1">IF(表2_36716262930389121314152324252627[[#This Row],[累计净值]]/MAX(INDIRECT("B21:B" &amp; ROW()))-1&lt;E55,表2_36716262930389121314152324252627[[#This Row],[累计净值]]/MAX(INDIRECT("B21:B" &amp; ROW()))-1,E55)</f>
        <v>-5.2809749492213953E-2</v>
      </c>
      <c r="F56" s="110">
        <f>表2_36716262930389121314152324252627[[#This Row],[累计净值]]</f>
        <v>1.4430000000000001</v>
      </c>
      <c r="G56" s="20">
        <f>表2_36716262930389121314152324252627[[#This Row],[累计净值]]/$B$21-1</f>
        <v>-2.3019634394041977E-2</v>
      </c>
    </row>
    <row r="57" spans="1:7" x14ac:dyDescent="0.2">
      <c r="A57" s="15">
        <v>44099</v>
      </c>
      <c r="B57" s="112">
        <v>1.4350000000000001</v>
      </c>
      <c r="C57" s="108">
        <f t="shared" si="10"/>
        <v>-8.0000000000000071E-3</v>
      </c>
      <c r="D57" s="109">
        <f t="shared" si="11"/>
        <v>-8.0000000000000071E-3</v>
      </c>
      <c r="E57" s="109">
        <f ca="1">IF(表2_36716262930389121314152324252627[[#This Row],[累计净值]]/MAX(INDIRECT("B21:B" &amp; ROW()))-1&lt;E56,表2_36716262930389121314152324252627[[#This Row],[累计净值]]/MAX(INDIRECT("B21:B" &amp; ROW()))-1,E56)</f>
        <v>-5.2809749492213953E-2</v>
      </c>
      <c r="F57" s="110">
        <f>表2_36716262930389121314152324252627[[#This Row],[累计净值]]</f>
        <v>1.4350000000000001</v>
      </c>
      <c r="G57" s="20">
        <f>表2_36716262930389121314152324252627[[#This Row],[累计净值]]/$B$21-1</f>
        <v>-2.8436018957346043E-2</v>
      </c>
    </row>
    <row r="58" spans="1:7" x14ac:dyDescent="0.2">
      <c r="A58" s="15">
        <v>44102</v>
      </c>
      <c r="B58" s="112">
        <v>1.431</v>
      </c>
      <c r="C58" s="108">
        <f>IFERROR(B58-B57,0)</f>
        <v>-4.0000000000000036E-3</v>
      </c>
      <c r="D58" s="109">
        <f>IF(C58&lt;0,C58,"/")</f>
        <v>-4.0000000000000036E-3</v>
      </c>
      <c r="E58" s="109">
        <f ca="1">IF(表2_36716262930389121314152324252627[[#This Row],[累计净值]]/MAX(INDIRECT("B21:B" &amp; ROW()))-1&lt;E57,表2_36716262930389121314152324252627[[#This Row],[累计净值]]/MAX(INDIRECT("B21:B" &amp; ROW()))-1,E57)</f>
        <v>-5.2809749492213953E-2</v>
      </c>
      <c r="F58" s="110">
        <f>表2_36716262930389121314152324252627[[#This Row],[累计净值]]</f>
        <v>1.431</v>
      </c>
      <c r="G58" s="20">
        <f>表2_36716262930389121314152324252627[[#This Row],[累计净值]]/$B$21-1</f>
        <v>-3.1144211238998021E-2</v>
      </c>
    </row>
    <row r="59" spans="1:7" x14ac:dyDescent="0.2">
      <c r="A59" s="15">
        <v>44103</v>
      </c>
      <c r="B59" s="112">
        <v>1.42</v>
      </c>
      <c r="C59" s="108">
        <f t="shared" ref="C59:C60" si="12">IFERROR(B59-B58,0)</f>
        <v>-1.1000000000000121E-2</v>
      </c>
      <c r="D59" s="109">
        <f t="shared" ref="D59:D60" si="13">IF(C59&lt;0,C59,"/")</f>
        <v>-1.1000000000000121E-2</v>
      </c>
      <c r="E59" s="109">
        <f ca="1">IF(表2_36716262930389121314152324252627[[#This Row],[累计净值]]/MAX(INDIRECT("B21:B" &amp; ROW()))-1&lt;E58,表2_36716262930389121314152324252627[[#This Row],[累计净值]]/MAX(INDIRECT("B21:B" &amp; ROW()))-1,E58)</f>
        <v>-5.2809749492213953E-2</v>
      </c>
      <c r="F59" s="110">
        <f>表2_36716262930389121314152324252627[[#This Row],[累计净值]]</f>
        <v>1.42</v>
      </c>
      <c r="G59" s="20">
        <f>表2_36716262930389121314152324252627[[#This Row],[累计净值]]/$B$21-1</f>
        <v>-3.8591740013541043E-2</v>
      </c>
    </row>
    <row r="60" spans="1:7" x14ac:dyDescent="0.2">
      <c r="A60" s="15">
        <v>44104</v>
      </c>
      <c r="B60" s="112">
        <v>1.4259999999999999</v>
      </c>
      <c r="C60" s="108">
        <f t="shared" si="12"/>
        <v>6.0000000000000053E-3</v>
      </c>
      <c r="D60" s="109" t="str">
        <f t="shared" si="13"/>
        <v>/</v>
      </c>
      <c r="E60" s="109">
        <f ca="1">IF(表2_36716262930389121314152324252627[[#This Row],[累计净值]]/MAX(INDIRECT("B21:B" &amp; ROW()))-1&lt;E59,表2_36716262930389121314152324252627[[#This Row],[累计净值]]/MAX(INDIRECT("B21:B" &amp; ROW()))-1,E59)</f>
        <v>-5.2809749492213953E-2</v>
      </c>
      <c r="F60" s="110">
        <f>表2_36716262930389121314152324252627[[#This Row],[累计净值]]</f>
        <v>1.4259999999999999</v>
      </c>
      <c r="G60" s="20">
        <f>表2_36716262930389121314152324252627[[#This Row],[累计净值]]/$B$21-1</f>
        <v>-3.4529451591063021E-2</v>
      </c>
    </row>
    <row r="61" spans="1:7" x14ac:dyDescent="0.2">
      <c r="A61" s="15">
        <v>44113</v>
      </c>
      <c r="B61" s="112">
        <v>1.43</v>
      </c>
      <c r="C61" s="108">
        <f t="shared" ref="C61:C66" si="14">IFERROR(B61-B60,0)</f>
        <v>4.0000000000000036E-3</v>
      </c>
      <c r="D61" s="109" t="str">
        <f t="shared" ref="D61:D66" si="15">IF(C61&lt;0,C61,"/")</f>
        <v>/</v>
      </c>
      <c r="E61" s="109">
        <f ca="1">IF(表2_36716262930389121314152324252627[[#This Row],[累计净值]]/MAX(INDIRECT("B21:B" &amp; ROW()))-1&lt;E60,表2_36716262930389121314152324252627[[#This Row],[累计净值]]/MAX(INDIRECT("B21:B" &amp; ROW()))-1,E60)</f>
        <v>-5.2809749492213953E-2</v>
      </c>
      <c r="F61" s="110">
        <f>表2_36716262930389121314152324252627[[#This Row],[累计净值]]</f>
        <v>1.43</v>
      </c>
      <c r="G61" s="20">
        <f>表2_36716262930389121314152324252627[[#This Row],[累计净值]]/$B$21-1</f>
        <v>-3.1821259309411043E-2</v>
      </c>
    </row>
    <row r="62" spans="1:7" x14ac:dyDescent="0.2">
      <c r="A62" s="15">
        <v>44116</v>
      </c>
      <c r="B62" s="112">
        <v>1.4750000000000001</v>
      </c>
      <c r="C62" s="108">
        <f t="shared" si="14"/>
        <v>4.5000000000000151E-2</v>
      </c>
      <c r="D62" s="109" t="str">
        <f t="shared" si="15"/>
        <v>/</v>
      </c>
      <c r="E62" s="109">
        <f ca="1">IF(表2_36716262930389121314152324252627[[#This Row],[累计净值]]/MAX(INDIRECT("B21:B" &amp; ROW()))-1&lt;E61,表2_36716262930389121314152324252627[[#This Row],[累计净值]]/MAX(INDIRECT("B21:B" &amp; ROW()))-1,E61)</f>
        <v>-5.2809749492213953E-2</v>
      </c>
      <c r="F62" s="110">
        <f>表2_36716262930389121314152324252627[[#This Row],[累计净值]]</f>
        <v>1.4750000000000001</v>
      </c>
      <c r="G62" s="20">
        <f>表2_36716262930389121314152324252627[[#This Row],[累计净值]]/$B$21-1</f>
        <v>-1.3540961408260443E-3</v>
      </c>
    </row>
    <row r="63" spans="1:7" x14ac:dyDescent="0.2">
      <c r="A63" s="15">
        <v>44117</v>
      </c>
      <c r="B63" s="112">
        <v>1.4770000000000001</v>
      </c>
      <c r="C63" s="108">
        <f t="shared" si="14"/>
        <v>2.0000000000000018E-3</v>
      </c>
      <c r="D63" s="109" t="str">
        <f t="shared" si="15"/>
        <v>/</v>
      </c>
      <c r="E63" s="109">
        <f ca="1">IF(表2_36716262930389121314152324252627[[#This Row],[累计净值]]/MAX(INDIRECT("B21:B" &amp; ROW()))-1&lt;E62,表2_36716262930389121314152324252627[[#This Row],[累计净值]]/MAX(INDIRECT("B21:B" &amp; ROW()))-1,E62)</f>
        <v>-5.2809749492213953E-2</v>
      </c>
      <c r="F63" s="110">
        <f>表2_36716262930389121314152324252627[[#This Row],[累计净值]]</f>
        <v>1.4770000000000001</v>
      </c>
      <c r="G63" s="20">
        <f>表2_36716262930389121314152324252627[[#This Row],[累计净值]]/$B$21-1</f>
        <v>0</v>
      </c>
    </row>
    <row r="64" spans="1:7" x14ac:dyDescent="0.2">
      <c r="A64" s="15">
        <v>44118</v>
      </c>
      <c r="B64" s="112">
        <v>1.4730000000000001</v>
      </c>
      <c r="C64" s="108">
        <f t="shared" si="14"/>
        <v>-4.0000000000000036E-3</v>
      </c>
      <c r="D64" s="109">
        <f t="shared" si="15"/>
        <v>-4.0000000000000036E-3</v>
      </c>
      <c r="E64" s="109">
        <f ca="1">IF(表2_36716262930389121314152324252627[[#This Row],[累计净值]]/MAX(INDIRECT("B21:B" &amp; ROW()))-1&lt;E63,表2_36716262930389121314152324252627[[#This Row],[累计净值]]/MAX(INDIRECT("B21:B" &amp; ROW()))-1,E63)</f>
        <v>-5.2809749492213953E-2</v>
      </c>
      <c r="F64" s="110">
        <f>表2_36716262930389121314152324252627[[#This Row],[累计净值]]</f>
        <v>1.4730000000000001</v>
      </c>
      <c r="G64" s="20">
        <f>表2_36716262930389121314152324252627[[#This Row],[累计净值]]/$B$21-1</f>
        <v>-2.7081922816519777E-3</v>
      </c>
    </row>
    <row r="65" spans="1:7" x14ac:dyDescent="0.2">
      <c r="A65" s="15">
        <v>44119</v>
      </c>
      <c r="B65" s="112">
        <v>1.4690000000000001</v>
      </c>
      <c r="C65" s="108">
        <f t="shared" si="14"/>
        <v>-4.0000000000000036E-3</v>
      </c>
      <c r="D65" s="109">
        <f t="shared" si="15"/>
        <v>-4.0000000000000036E-3</v>
      </c>
      <c r="E65" s="109">
        <f ca="1">IF(表2_36716262930389121314152324252627[[#This Row],[累计净值]]/MAX(INDIRECT("B21:B" &amp; ROW()))-1&lt;E64,表2_36716262930389121314152324252627[[#This Row],[累计净值]]/MAX(INDIRECT("B21:B" &amp; ROW()))-1,E64)</f>
        <v>-5.2809749492213953E-2</v>
      </c>
      <c r="F65" s="110">
        <f>表2_36716262930389121314152324252627[[#This Row],[累计净值]]</f>
        <v>1.4690000000000001</v>
      </c>
      <c r="G65" s="20">
        <f>表2_36716262930389121314152324252627[[#This Row],[累计净值]]/$B$21-1</f>
        <v>-5.4163845633039553E-3</v>
      </c>
    </row>
    <row r="66" spans="1:7" x14ac:dyDescent="0.2">
      <c r="A66" s="15">
        <v>44120</v>
      </c>
      <c r="B66" s="112">
        <v>1.456</v>
      </c>
      <c r="C66" s="108">
        <f t="shared" si="14"/>
        <v>-1.3000000000000123E-2</v>
      </c>
      <c r="D66" s="109">
        <f t="shared" si="15"/>
        <v>-1.3000000000000123E-2</v>
      </c>
      <c r="E66" s="109">
        <f ca="1">IF(表2_36716262930389121314152324252627[[#This Row],[累计净值]]/MAX(INDIRECT("B21:B" &amp; ROW()))-1&lt;E65,表2_36716262930389121314152324252627[[#This Row],[累计净值]]/MAX(INDIRECT("B21:B" &amp; ROW()))-1,E65)</f>
        <v>-5.2809749492213953E-2</v>
      </c>
      <c r="F66" s="110">
        <f>表2_36716262930389121314152324252627[[#This Row],[累计净值]]</f>
        <v>1.456</v>
      </c>
      <c r="G66" s="20">
        <f>表2_36716262930389121314152324252627[[#This Row],[累计净值]]/$B$21-1</f>
        <v>-1.4218009478673022E-2</v>
      </c>
    </row>
    <row r="67" spans="1:7" x14ac:dyDescent="0.2">
      <c r="A67" s="15">
        <v>44123</v>
      </c>
      <c r="B67" s="112">
        <v>1.46</v>
      </c>
      <c r="C67" s="108">
        <f t="shared" ref="C67:C72" si="16">IFERROR(B67-B66,0)</f>
        <v>4.0000000000000036E-3</v>
      </c>
      <c r="D67" s="109" t="str">
        <f t="shared" ref="D67:D72" si="17">IF(C67&lt;0,C67,"/")</f>
        <v>/</v>
      </c>
      <c r="E67" s="109">
        <f ca="1">IF(表2_36716262930389121314152324252627[[#This Row],[累计净值]]/MAX(INDIRECT("B21:B" &amp; ROW()))-1&lt;E66,表2_36716262930389121314152324252627[[#This Row],[累计净值]]/MAX(INDIRECT("B21:B" &amp; ROW()))-1,E66)</f>
        <v>-5.2809749492213953E-2</v>
      </c>
      <c r="F67" s="110">
        <f>表2_36716262930389121314152324252627[[#This Row],[累计净值]]</f>
        <v>1.46</v>
      </c>
      <c r="G67" s="20">
        <f>表2_36716262930389121314152324252627[[#This Row],[累计净值]]/$B$21-1</f>
        <v>-1.1509817197021044E-2</v>
      </c>
    </row>
    <row r="68" spans="1:7" x14ac:dyDescent="0.2">
      <c r="A68" s="15">
        <v>44124</v>
      </c>
      <c r="B68" s="112">
        <v>1.456</v>
      </c>
      <c r="C68" s="108">
        <f t="shared" si="16"/>
        <v>-4.0000000000000036E-3</v>
      </c>
      <c r="D68" s="109">
        <f t="shared" si="17"/>
        <v>-4.0000000000000036E-3</v>
      </c>
      <c r="E68" s="109">
        <f ca="1">IF(表2_36716262930389121314152324252627[[#This Row],[累计净值]]/MAX(INDIRECT("B21:B" &amp; ROW()))-1&lt;E67,表2_36716262930389121314152324252627[[#This Row],[累计净值]]/MAX(INDIRECT("B21:B" &amp; ROW()))-1,E67)</f>
        <v>-5.2809749492213953E-2</v>
      </c>
      <c r="F68" s="110">
        <f>表2_36716262930389121314152324252627[[#This Row],[累计净值]]</f>
        <v>1.456</v>
      </c>
      <c r="G68" s="20">
        <f>表2_36716262930389121314152324252627[[#This Row],[累计净值]]/$B$21-1</f>
        <v>-1.4218009478673022E-2</v>
      </c>
    </row>
    <row r="69" spans="1:7" x14ac:dyDescent="0.2">
      <c r="A69" s="15">
        <v>44125</v>
      </c>
      <c r="B69" s="112">
        <v>1.454</v>
      </c>
      <c r="C69" s="108">
        <f t="shared" si="16"/>
        <v>-2.0000000000000018E-3</v>
      </c>
      <c r="D69" s="109">
        <f t="shared" si="17"/>
        <v>-2.0000000000000018E-3</v>
      </c>
      <c r="E69" s="109">
        <f ca="1">IF(表2_36716262930389121314152324252627[[#This Row],[累计净值]]/MAX(INDIRECT("B21:B" &amp; ROW()))-1&lt;E68,表2_36716262930389121314152324252627[[#This Row],[累计净值]]/MAX(INDIRECT("B21:B" &amp; ROW()))-1,E68)</f>
        <v>-5.2809749492213953E-2</v>
      </c>
      <c r="F69" s="110">
        <f>表2_36716262930389121314152324252627[[#This Row],[累计净值]]</f>
        <v>1.454</v>
      </c>
      <c r="G69" s="20">
        <f>表2_36716262930389121314152324252627[[#This Row],[累计净值]]/$B$21-1</f>
        <v>-1.5572105619499066E-2</v>
      </c>
    </row>
    <row r="70" spans="1:7" x14ac:dyDescent="0.2">
      <c r="A70" s="15">
        <v>44126</v>
      </c>
      <c r="B70" s="112">
        <v>1.45</v>
      </c>
      <c r="C70" s="108">
        <f t="shared" si="16"/>
        <v>-4.0000000000000036E-3</v>
      </c>
      <c r="D70" s="109">
        <f t="shared" si="17"/>
        <v>-4.0000000000000036E-3</v>
      </c>
      <c r="E70" s="109">
        <f ca="1">IF(表2_36716262930389121314152324252627[[#This Row],[累计净值]]/MAX(INDIRECT("B21:B" &amp; ROW()))-1&lt;E69,表2_36716262930389121314152324252627[[#This Row],[累计净值]]/MAX(INDIRECT("B21:B" &amp; ROW()))-1,E69)</f>
        <v>-5.2809749492213953E-2</v>
      </c>
      <c r="F70" s="110">
        <f>表2_36716262930389121314152324252627[[#This Row],[累计净值]]</f>
        <v>1.45</v>
      </c>
      <c r="G70" s="20">
        <f>表2_36716262930389121314152324252627[[#This Row],[累计净值]]/$B$21-1</f>
        <v>-1.8280297901151044E-2</v>
      </c>
    </row>
    <row r="71" spans="1:7" x14ac:dyDescent="0.2">
      <c r="A71" s="15">
        <v>44127</v>
      </c>
      <c r="B71" s="112">
        <v>1.4470000000000001</v>
      </c>
      <c r="C71" s="108">
        <f t="shared" si="16"/>
        <v>-2.9999999999998916E-3</v>
      </c>
      <c r="D71" s="109">
        <f t="shared" si="17"/>
        <v>-2.9999999999998916E-3</v>
      </c>
      <c r="E71" s="109">
        <f ca="1">IF(表2_36716262930389121314152324252627[[#This Row],[累计净值]]/MAX(INDIRECT("B21:B" &amp; ROW()))-1&lt;E70,表2_36716262930389121314152324252627[[#This Row],[累计净值]]/MAX(INDIRECT("B21:B" &amp; ROW()))-1,E70)</f>
        <v>-5.2809749492213953E-2</v>
      </c>
      <c r="F71" s="110">
        <f>表2_36716262930389121314152324252627[[#This Row],[累计净值]]</f>
        <v>1.4470000000000001</v>
      </c>
      <c r="G71" s="20">
        <f>表2_36716262930389121314152324252627[[#This Row],[累计净值]]/$B$21-1</f>
        <v>-2.0311442112389999E-2</v>
      </c>
    </row>
    <row r="72" spans="1:7" x14ac:dyDescent="0.2">
      <c r="A72" s="15">
        <v>44130</v>
      </c>
      <c r="B72" s="112">
        <v>1.448</v>
      </c>
      <c r="C72" s="108">
        <f t="shared" si="16"/>
        <v>9.9999999999988987E-4</v>
      </c>
      <c r="D72" s="109" t="str">
        <f t="shared" si="17"/>
        <v>/</v>
      </c>
      <c r="E72" s="109">
        <f ca="1">IF(表2_36716262930389121314152324252627[[#This Row],[累计净值]]/MAX(INDIRECT("B21:B" &amp; ROW()))-1&lt;E71,表2_36716262930389121314152324252627[[#This Row],[累计净值]]/MAX(INDIRECT("B21:B" &amp; ROW()))-1,E71)</f>
        <v>-5.2809749492213953E-2</v>
      </c>
      <c r="F72" s="110">
        <f>表2_36716262930389121314152324252627[[#This Row],[累计净值]]</f>
        <v>1.448</v>
      </c>
      <c r="G72" s="20">
        <f>表2_36716262930389121314152324252627[[#This Row],[累计净值]]/$B$21-1</f>
        <v>-1.9634394041977088E-2</v>
      </c>
    </row>
    <row r="73" spans="1:7" x14ac:dyDescent="0.2">
      <c r="A73" s="15">
        <v>44131</v>
      </c>
      <c r="B73" s="112">
        <v>1.4550000000000001</v>
      </c>
      <c r="C73" s="108">
        <f>IFERROR(B73-B72,0)</f>
        <v>7.0000000000001172E-3</v>
      </c>
      <c r="D73" s="109" t="str">
        <f>IF(C73&lt;0,C73,"/")</f>
        <v>/</v>
      </c>
      <c r="E73" s="109">
        <f ca="1">IF(表2_36716262930389121314152324252627[[#This Row],[累计净值]]/MAX(INDIRECT("B21:B" &amp; ROW()))-1&lt;E72,表2_36716262930389121314152324252627[[#This Row],[累计净值]]/MAX(INDIRECT("B21:B" &amp; ROW()))-1,E72)</f>
        <v>-5.2809749492213953E-2</v>
      </c>
      <c r="F73" s="110">
        <f>表2_36716262930389121314152324252627[[#This Row],[累计净值]]</f>
        <v>1.4550000000000001</v>
      </c>
      <c r="G73" s="20">
        <f>表2_36716262930389121314152324252627[[#This Row],[累计净值]]/$B$21-1</f>
        <v>-1.4895057549086044E-2</v>
      </c>
    </row>
    <row r="74" spans="1:7" x14ac:dyDescent="0.2">
      <c r="A74" s="15">
        <v>44132</v>
      </c>
      <c r="B74" s="112">
        <v>1.446</v>
      </c>
      <c r="C74" s="108">
        <f>IFERROR(B74-B73,0)</f>
        <v>-9.000000000000119E-3</v>
      </c>
      <c r="D74" s="109">
        <f>IF(C74&lt;0,C74,"/")</f>
        <v>-9.000000000000119E-3</v>
      </c>
      <c r="E74" s="109">
        <f ca="1">IF(表2_36716262930389121314152324252627[[#This Row],[累计净值]]/MAX(INDIRECT("B21:B" &amp; ROW()))-1&lt;E73,表2_36716262930389121314152324252627[[#This Row],[累计净值]]/MAX(INDIRECT("B21:B" &amp; ROW()))-1,E73)</f>
        <v>-5.2809749492213953E-2</v>
      </c>
      <c r="F74" s="110">
        <f>表2_36716262930389121314152324252627[[#This Row],[累计净值]]</f>
        <v>1.446</v>
      </c>
      <c r="G74" s="20">
        <f>表2_36716262930389121314152324252627[[#This Row],[累计净值]]/$B$21-1</f>
        <v>-2.0988490182803021E-2</v>
      </c>
    </row>
    <row r="75" spans="1:7" x14ac:dyDescent="0.2">
      <c r="A75" s="15">
        <v>44133</v>
      </c>
      <c r="B75" s="112">
        <v>1.4590000000000001</v>
      </c>
      <c r="C75" s="108">
        <f t="shared" ref="C75:C78" si="18">IFERROR(B75-B74,0)</f>
        <v>1.3000000000000123E-2</v>
      </c>
      <c r="D75" s="109" t="str">
        <f t="shared" ref="D75:D78" si="19">IF(C75&lt;0,C75,"/")</f>
        <v>/</v>
      </c>
      <c r="E75" s="109">
        <f ca="1">IF(表2_36716262930389121314152324252627[[#This Row],[累计净值]]/MAX(INDIRECT("B21:B" &amp; ROW()))-1&lt;E74,表2_36716262930389121314152324252627[[#This Row],[累计净值]]/MAX(INDIRECT("B21:B" &amp; ROW()))-1,E74)</f>
        <v>-5.2809749492213953E-2</v>
      </c>
      <c r="F75" s="110">
        <f>表2_36716262930389121314152324252627[[#This Row],[累计净值]]</f>
        <v>1.4590000000000001</v>
      </c>
      <c r="G75" s="20">
        <f>表2_36716262930389121314152324252627[[#This Row],[累计净值]]/$B$21-1</f>
        <v>-1.2186865267433955E-2</v>
      </c>
    </row>
    <row r="76" spans="1:7" x14ac:dyDescent="0.2">
      <c r="A76" s="15">
        <v>44134</v>
      </c>
      <c r="B76" s="112">
        <v>1.4710000000000001</v>
      </c>
      <c r="C76" s="108">
        <f t="shared" si="18"/>
        <v>1.2000000000000011E-2</v>
      </c>
      <c r="D76" s="109" t="str">
        <f t="shared" si="19"/>
        <v>/</v>
      </c>
      <c r="E76" s="109">
        <f ca="1">IF(表2_36716262930389121314152324252627[[#This Row],[累计净值]]/MAX(INDIRECT("B21:B" &amp; ROW()))-1&lt;E75,表2_36716262930389121314152324252627[[#This Row],[累计净值]]/MAX(INDIRECT("B21:B" &amp; ROW()))-1,E75)</f>
        <v>-5.2809749492213953E-2</v>
      </c>
      <c r="F76" s="110">
        <f>表2_36716262930389121314152324252627[[#This Row],[累计净值]]</f>
        <v>1.4710000000000001</v>
      </c>
      <c r="G76" s="20">
        <f>表2_36716262930389121314152324252627[[#This Row],[累计净值]]/$B$21-1</f>
        <v>-4.062288422478022E-3</v>
      </c>
    </row>
    <row r="77" spans="1:7" x14ac:dyDescent="0.2">
      <c r="A77" s="15">
        <v>44137</v>
      </c>
      <c r="B77" s="112">
        <v>1.486</v>
      </c>
      <c r="C77" s="108">
        <f t="shared" si="18"/>
        <v>1.4999999999999902E-2</v>
      </c>
      <c r="D77" s="109" t="str">
        <f t="shared" si="19"/>
        <v>/</v>
      </c>
      <c r="E77" s="109">
        <f ca="1">IF(表2_36716262930389121314152324252627[[#This Row],[累计净值]]/MAX(INDIRECT("B21:B" &amp; ROW()))-1&lt;E76,表2_36716262930389121314152324252627[[#This Row],[累计净值]]/MAX(INDIRECT("B21:B" &amp; ROW()))-1,E76)</f>
        <v>-5.2809749492213953E-2</v>
      </c>
      <c r="F77" s="110">
        <f>表2_36716262930389121314152324252627[[#This Row],[累计净值]]</f>
        <v>1.486</v>
      </c>
      <c r="G77" s="20">
        <f>表2_36716262930389121314152324252627[[#This Row],[累计净值]]/$B$21-1</f>
        <v>6.0934326337169775E-3</v>
      </c>
    </row>
    <row r="78" spans="1:7" x14ac:dyDescent="0.2">
      <c r="A78" s="15">
        <v>44138</v>
      </c>
      <c r="B78" s="112">
        <v>1.4850000000000001</v>
      </c>
      <c r="C78" s="108">
        <f t="shared" si="18"/>
        <v>-9.9999999999988987E-4</v>
      </c>
      <c r="D78" s="109">
        <f t="shared" si="19"/>
        <v>-9.9999999999988987E-4</v>
      </c>
      <c r="E78" s="109">
        <f ca="1">IF(表2_36716262930389121314152324252627[[#This Row],[累计净值]]/MAX(INDIRECT("B21:B" &amp; ROW()))-1&lt;E77,表2_36716262930389121314152324252627[[#This Row],[累计净值]]/MAX(INDIRECT("B21:B" &amp; ROW()))-1,E77)</f>
        <v>-5.2809749492213953E-2</v>
      </c>
      <c r="F78" s="110">
        <f>表2_36716262930389121314152324252627[[#This Row],[累计净值]]</f>
        <v>1.4850000000000001</v>
      </c>
      <c r="G78" s="20">
        <f>表2_36716262930389121314152324252627[[#This Row],[累计净值]]/$B$21-1</f>
        <v>5.4163845633039553E-3</v>
      </c>
    </row>
    <row r="79" spans="1:7" x14ac:dyDescent="0.2">
      <c r="A79" s="15">
        <v>44139</v>
      </c>
      <c r="B79" s="112">
        <v>1.4870000000000001</v>
      </c>
      <c r="C79" s="108">
        <f t="shared" ref="C79:C84" si="20">IFERROR(B79-B78,0)</f>
        <v>2.0000000000000018E-3</v>
      </c>
      <c r="D79" s="109" t="str">
        <f t="shared" ref="D79:D84" si="21">IF(C79&lt;0,C79,"/")</f>
        <v>/</v>
      </c>
      <c r="E79" s="109">
        <f ca="1">IF(表2_36716262930389121314152324252627[[#This Row],[累计净值]]/MAX(INDIRECT("B21:B" &amp; ROW()))-1&lt;E78,表2_36716262930389121314152324252627[[#This Row],[累计净值]]/MAX(INDIRECT("B21:B" &amp; ROW()))-1,E78)</f>
        <v>-5.2809749492213953E-2</v>
      </c>
      <c r="F79" s="110">
        <f>表2_36716262930389121314152324252627[[#This Row],[累计净值]]</f>
        <v>1.4870000000000001</v>
      </c>
      <c r="G79" s="20">
        <f>表2_36716262930389121314152324252627[[#This Row],[累计净值]]/$B$21-1</f>
        <v>6.7704807041299997E-3</v>
      </c>
    </row>
    <row r="80" spans="1:7" x14ac:dyDescent="0.2">
      <c r="A80" s="15">
        <v>44140</v>
      </c>
      <c r="B80" s="112">
        <v>1.4870000000000001</v>
      </c>
      <c r="C80" s="108">
        <f t="shared" si="20"/>
        <v>0</v>
      </c>
      <c r="D80" s="109" t="str">
        <f t="shared" si="21"/>
        <v>/</v>
      </c>
      <c r="E80" s="109">
        <f ca="1">IF(表2_36716262930389121314152324252627[[#This Row],[累计净值]]/MAX(INDIRECT("B21:B" &amp; ROW()))-1&lt;E79,表2_36716262930389121314152324252627[[#This Row],[累计净值]]/MAX(INDIRECT("B21:B" &amp; ROW()))-1,E79)</f>
        <v>-5.2809749492213953E-2</v>
      </c>
      <c r="F80" s="110">
        <f>表2_36716262930389121314152324252627[[#This Row],[累计净值]]</f>
        <v>1.4870000000000001</v>
      </c>
      <c r="G80" s="20">
        <f>表2_36716262930389121314152324252627[[#This Row],[累计净值]]/$B$21-1</f>
        <v>6.7704807041299997E-3</v>
      </c>
    </row>
    <row r="81" spans="1:7" x14ac:dyDescent="0.2">
      <c r="A81" s="15">
        <v>44141</v>
      </c>
      <c r="B81" s="112">
        <v>1.4970000000000001</v>
      </c>
      <c r="C81" s="108">
        <f t="shared" si="20"/>
        <v>1.0000000000000009E-2</v>
      </c>
      <c r="D81" s="109" t="str">
        <f t="shared" si="21"/>
        <v>/</v>
      </c>
      <c r="E81" s="109">
        <f ca="1">IF(表2_36716262930389121314152324252627[[#This Row],[累计净值]]/MAX(INDIRECT("B21:B" &amp; ROW()))-1&lt;E80,表2_36716262930389121314152324252627[[#This Row],[累计净值]]/MAX(INDIRECT("B21:B" &amp; ROW()))-1,E80)</f>
        <v>-5.2809749492213953E-2</v>
      </c>
      <c r="F81" s="110">
        <f>表2_36716262930389121314152324252627[[#This Row],[累计净值]]</f>
        <v>1.4970000000000001</v>
      </c>
      <c r="G81" s="20">
        <f>表2_36716262930389121314152324252627[[#This Row],[累计净值]]/$B$21-1</f>
        <v>1.3540961408259999E-2</v>
      </c>
    </row>
    <row r="82" spans="1:7" x14ac:dyDescent="0.2">
      <c r="A82" s="15">
        <v>44144</v>
      </c>
      <c r="B82" s="112">
        <v>1.5209999999999999</v>
      </c>
      <c r="C82" s="108">
        <f t="shared" si="20"/>
        <v>2.3999999999999799E-2</v>
      </c>
      <c r="D82" s="109" t="str">
        <f t="shared" si="21"/>
        <v>/</v>
      </c>
      <c r="E82" s="109">
        <f ca="1">IF(表2_36716262930389121314152324252627[[#This Row],[累计净值]]/MAX(INDIRECT("B21:B" &amp; ROW()))-1&lt;E81,表2_36716262930389121314152324252627[[#This Row],[累计净值]]/MAX(INDIRECT("B21:B" &amp; ROW()))-1,E81)</f>
        <v>-5.2809749492213953E-2</v>
      </c>
      <c r="F82" s="110">
        <f>表2_36716262930389121314152324252627[[#This Row],[累计净值]]</f>
        <v>1.5209999999999999</v>
      </c>
      <c r="G82" s="20">
        <f>表2_36716262930389121314152324252627[[#This Row],[累计净值]]/$B$21-1</f>
        <v>2.9790115098171865E-2</v>
      </c>
    </row>
    <row r="83" spans="1:7" x14ac:dyDescent="0.2">
      <c r="A83" s="15">
        <v>44145</v>
      </c>
      <c r="B83" s="112">
        <v>1.5069999999999999</v>
      </c>
      <c r="C83" s="108">
        <f t="shared" si="20"/>
        <v>-1.4000000000000012E-2</v>
      </c>
      <c r="D83" s="109">
        <f t="shared" si="21"/>
        <v>-1.4000000000000012E-2</v>
      </c>
      <c r="E83" s="109">
        <f ca="1">IF(表2_36716262930389121314152324252627[[#This Row],[累计净值]]/MAX(INDIRECT("B21:B" &amp; ROW()))-1&lt;E82,表2_36716262930389121314152324252627[[#This Row],[累计净值]]/MAX(INDIRECT("B21:B" &amp; ROW()))-1,E82)</f>
        <v>-5.2809749492213953E-2</v>
      </c>
      <c r="F83" s="110">
        <f>表2_36716262930389121314152324252627[[#This Row],[累计净值]]</f>
        <v>1.5069999999999999</v>
      </c>
      <c r="G83" s="20">
        <f>表2_36716262930389121314152324252627[[#This Row],[累计净值]]/$B$21-1</f>
        <v>2.0311442112389777E-2</v>
      </c>
    </row>
    <row r="84" spans="1:7" x14ac:dyDescent="0.2">
      <c r="A84" s="15">
        <v>44146</v>
      </c>
      <c r="B84" s="112">
        <v>1.4990000000000001</v>
      </c>
      <c r="C84" s="108">
        <f t="shared" si="20"/>
        <v>-7.9999999999997851E-3</v>
      </c>
      <c r="D84" s="109">
        <f t="shared" si="21"/>
        <v>-7.9999999999997851E-3</v>
      </c>
      <c r="E84" s="109">
        <f ca="1">IF(表2_36716262930389121314152324252627[[#This Row],[累计净值]]/MAX(INDIRECT("B21:B" &amp; ROW()))-1&lt;E83,表2_36716262930389121314152324252627[[#This Row],[累计净值]]/MAX(INDIRECT("B21:B" &amp; ROW()))-1,E83)</f>
        <v>-5.2809749492213953E-2</v>
      </c>
      <c r="F84" s="110">
        <f>表2_36716262930389121314152324252627[[#This Row],[累计净值]]</f>
        <v>1.4990000000000001</v>
      </c>
      <c r="G84" s="20">
        <f>表2_36716262930389121314152324252627[[#This Row],[累计净值]]/$B$21-1</f>
        <v>1.4895057549086044E-2</v>
      </c>
    </row>
    <row r="85" spans="1:7" x14ac:dyDescent="0.2">
      <c r="A85" s="15">
        <v>44147</v>
      </c>
      <c r="B85" s="112">
        <v>1.5</v>
      </c>
      <c r="C85" s="108">
        <f t="shared" ref="C85:C90" si="22">IFERROR(B85-B84,0)</f>
        <v>9.9999999999988987E-4</v>
      </c>
      <c r="D85" s="109" t="str">
        <f t="shared" ref="D85:D90" si="23">IF(C85&lt;0,C85,"/")</f>
        <v>/</v>
      </c>
      <c r="E85" s="109">
        <f ca="1">IF(表2_36716262930389121314152324252627[[#This Row],[累计净值]]/MAX(INDIRECT("B21:B" &amp; ROW()))-1&lt;E84,表2_36716262930389121314152324252627[[#This Row],[累计净值]]/MAX(INDIRECT("B21:B" &amp; ROW()))-1,E84)</f>
        <v>-5.2809749492213953E-2</v>
      </c>
      <c r="F85" s="110">
        <f>表2_36716262930389121314152324252627[[#This Row],[累计净值]]</f>
        <v>1.5</v>
      </c>
      <c r="G85" s="20">
        <f>表2_36716262930389121314152324252627[[#This Row],[累计净值]]/$B$21-1</f>
        <v>1.5572105619498844E-2</v>
      </c>
    </row>
    <row r="86" spans="1:7" x14ac:dyDescent="0.2">
      <c r="A86" s="15">
        <v>44148</v>
      </c>
      <c r="B86" s="112">
        <v>1.504</v>
      </c>
      <c r="C86" s="108">
        <f t="shared" si="22"/>
        <v>4.0000000000000036E-3</v>
      </c>
      <c r="D86" s="109" t="str">
        <f t="shared" si="23"/>
        <v>/</v>
      </c>
      <c r="E86" s="109">
        <f ca="1">IF(表2_36716262930389121314152324252627[[#This Row],[累计净值]]/MAX(INDIRECT("B21:B" &amp; ROW()))-1&lt;E85,表2_36716262930389121314152324252627[[#This Row],[累计净值]]/MAX(INDIRECT("B21:B" &amp; ROW()))-1,E85)</f>
        <v>-5.2809749492213953E-2</v>
      </c>
      <c r="F86" s="110">
        <f>表2_36716262930389121314152324252627[[#This Row],[累计净值]]</f>
        <v>1.504</v>
      </c>
      <c r="G86" s="20">
        <f>表2_36716262930389121314152324252627[[#This Row],[累计净值]]/$B$21-1</f>
        <v>1.8280297901150933E-2</v>
      </c>
    </row>
    <row r="87" spans="1:7" x14ac:dyDescent="0.2">
      <c r="A87" s="15">
        <v>44151</v>
      </c>
      <c r="B87" s="112">
        <v>1.516</v>
      </c>
      <c r="C87" s="108">
        <f t="shared" si="22"/>
        <v>1.2000000000000011E-2</v>
      </c>
      <c r="D87" s="109" t="str">
        <f t="shared" si="23"/>
        <v>/</v>
      </c>
      <c r="E87" s="109">
        <f ca="1">IF(表2_36716262930389121314152324252627[[#This Row],[累计净值]]/MAX(INDIRECT("B21:B" &amp; ROW()))-1&lt;E86,表2_36716262930389121314152324252627[[#This Row],[累计净值]]/MAX(INDIRECT("B21:B" &amp; ROW()))-1,E86)</f>
        <v>-5.2809749492213953E-2</v>
      </c>
      <c r="F87" s="110">
        <f>表2_36716262930389121314152324252627[[#This Row],[累计净值]]</f>
        <v>1.516</v>
      </c>
      <c r="G87" s="20">
        <f>表2_36716262930389121314152324252627[[#This Row],[累计净值]]/$B$21-1</f>
        <v>2.6404874746106977E-2</v>
      </c>
    </row>
    <row r="88" spans="1:7" x14ac:dyDescent="0.2">
      <c r="A88" s="15">
        <v>44152</v>
      </c>
      <c r="B88" s="112">
        <v>1.5249999999999999</v>
      </c>
      <c r="C88" s="108">
        <f t="shared" si="22"/>
        <v>8.999999999999897E-3</v>
      </c>
      <c r="D88" s="109" t="str">
        <f t="shared" si="23"/>
        <v>/</v>
      </c>
      <c r="E88" s="109">
        <f ca="1">IF(表2_36716262930389121314152324252627[[#This Row],[累计净值]]/MAX(INDIRECT("B21:B" &amp; ROW()))-1&lt;E87,表2_36716262930389121314152324252627[[#This Row],[累计净值]]/MAX(INDIRECT("B21:B" &amp; ROW()))-1,E87)</f>
        <v>-5.2809749492213953E-2</v>
      </c>
      <c r="F88" s="110">
        <f>表2_36716262930389121314152324252627[[#This Row],[累计净值]]</f>
        <v>1.5249999999999999</v>
      </c>
      <c r="G88" s="20">
        <f>表2_36716262930389121314152324252627[[#This Row],[累计净值]]/$B$21-1</f>
        <v>3.2498307379823954E-2</v>
      </c>
    </row>
    <row r="89" spans="1:7" x14ac:dyDescent="0.2">
      <c r="A89" s="15">
        <v>44153</v>
      </c>
      <c r="B89" s="112">
        <v>1.54</v>
      </c>
      <c r="C89" s="108">
        <f t="shared" si="22"/>
        <v>1.5000000000000124E-2</v>
      </c>
      <c r="D89" s="109" t="str">
        <f t="shared" si="23"/>
        <v>/</v>
      </c>
      <c r="E89" s="109">
        <f ca="1">IF(表2_36716262930389121314152324252627[[#This Row],[累计净值]]/MAX(INDIRECT("B21:B" &amp; ROW()))-1&lt;E88,表2_36716262930389121314152324252627[[#This Row],[累计净值]]/MAX(INDIRECT("B21:B" &amp; ROW()))-1,E88)</f>
        <v>-5.2809749492213953E-2</v>
      </c>
      <c r="F89" s="110">
        <f>表2_36716262930389121314152324252627[[#This Row],[累计净值]]</f>
        <v>1.54</v>
      </c>
      <c r="G89" s="20">
        <f>表2_36716262930389121314152324252627[[#This Row],[累计净值]]/$B$21-1</f>
        <v>4.2654028436018843E-2</v>
      </c>
    </row>
    <row r="90" spans="1:7" x14ac:dyDescent="0.2">
      <c r="A90" s="15">
        <v>44154</v>
      </c>
      <c r="B90" s="112">
        <v>1.55</v>
      </c>
      <c r="C90" s="108">
        <f t="shared" si="22"/>
        <v>1.0000000000000009E-2</v>
      </c>
      <c r="D90" s="109" t="str">
        <f t="shared" si="23"/>
        <v>/</v>
      </c>
      <c r="E90" s="109">
        <f ca="1">IF(表2_36716262930389121314152324252627[[#This Row],[累计净值]]/MAX(INDIRECT("B21:B" &amp; ROW()))-1&lt;E89,表2_36716262930389121314152324252627[[#This Row],[累计净值]]/MAX(INDIRECT("B21:B" &amp; ROW()))-1,E89)</f>
        <v>-5.2809749492213953E-2</v>
      </c>
      <c r="F90" s="110">
        <f>表2_36716262930389121314152324252627[[#This Row],[累计净值]]</f>
        <v>1.55</v>
      </c>
      <c r="G90" s="20">
        <f>表2_36716262930389121314152324252627[[#This Row],[累计净值]]/$B$21-1</f>
        <v>4.9424509140148842E-2</v>
      </c>
    </row>
    <row r="91" spans="1:7" x14ac:dyDescent="0.2">
      <c r="A91" s="15">
        <v>44155</v>
      </c>
      <c r="B91" s="112">
        <v>1.5529999999999999</v>
      </c>
      <c r="C91" s="108">
        <f t="shared" ref="C91:C96" si="24">IFERROR(B91-B90,0)</f>
        <v>2.9999999999998916E-3</v>
      </c>
      <c r="D91" s="109" t="str">
        <f t="shared" ref="D91:D96" si="25">IF(C91&lt;0,C91,"/")</f>
        <v>/</v>
      </c>
      <c r="E91" s="109">
        <f ca="1">IF(表2_36716262930389121314152324252627[[#This Row],[累计净值]]/MAX(INDIRECT("B21:B" &amp; ROW()))-1&lt;E90,表2_36716262930389121314152324252627[[#This Row],[累计净值]]/MAX(INDIRECT("B21:B" &amp; ROW()))-1,E90)</f>
        <v>-5.2809749492213953E-2</v>
      </c>
      <c r="F91" s="110">
        <f>表2_36716262930389121314152324252627[[#This Row],[累计净值]]</f>
        <v>1.5529999999999999</v>
      </c>
      <c r="G91" s="20">
        <f>表2_36716262930389121314152324252627[[#This Row],[累计净值]]/$B$21-1</f>
        <v>5.1455653351387909E-2</v>
      </c>
    </row>
    <row r="92" spans="1:7" x14ac:dyDescent="0.2">
      <c r="A92" s="15">
        <v>44158</v>
      </c>
      <c r="B92" s="112">
        <v>1.5509999999999999</v>
      </c>
      <c r="C92" s="108">
        <f t="shared" si="24"/>
        <v>-2.0000000000000018E-3</v>
      </c>
      <c r="D92" s="109">
        <f t="shared" si="25"/>
        <v>-2.0000000000000018E-3</v>
      </c>
      <c r="E92" s="109">
        <f ca="1">IF(表2_36716262930389121314152324252627[[#This Row],[累计净值]]/MAX(INDIRECT("B21:B" &amp; ROW()))-1&lt;E91,表2_36716262930389121314152324252627[[#This Row],[累计净值]]/MAX(INDIRECT("B21:B" &amp; ROW()))-1,E91)</f>
        <v>-5.2809749492213953E-2</v>
      </c>
      <c r="F92" s="110">
        <f>表2_36716262930389121314152324252627[[#This Row],[累计净值]]</f>
        <v>1.5509999999999999</v>
      </c>
      <c r="G92" s="20">
        <f>表2_36716262930389121314152324252627[[#This Row],[累计净值]]/$B$21-1</f>
        <v>5.0101557210561865E-2</v>
      </c>
    </row>
    <row r="93" spans="1:7" x14ac:dyDescent="0.2">
      <c r="A93" s="15">
        <v>44159</v>
      </c>
      <c r="B93" s="112">
        <v>1.55</v>
      </c>
      <c r="C93" s="108">
        <f t="shared" si="24"/>
        <v>-9.9999999999988987E-4</v>
      </c>
      <c r="D93" s="109">
        <f t="shared" si="25"/>
        <v>-9.9999999999988987E-4</v>
      </c>
      <c r="E93" s="109">
        <f ca="1">IF(表2_36716262930389121314152324252627[[#This Row],[累计净值]]/MAX(INDIRECT("B21:B" &amp; ROW()))-1&lt;E92,表2_36716262930389121314152324252627[[#This Row],[累计净值]]/MAX(INDIRECT("B21:B" &amp; ROW()))-1,E92)</f>
        <v>-5.2809749492213953E-2</v>
      </c>
      <c r="F93" s="110">
        <f>表2_36716262930389121314152324252627[[#This Row],[累计净值]]</f>
        <v>1.55</v>
      </c>
      <c r="G93" s="20">
        <f>表2_36716262930389121314152324252627[[#This Row],[累计净值]]/$B$21-1</f>
        <v>4.9424509140148842E-2</v>
      </c>
    </row>
    <row r="94" spans="1:7" x14ac:dyDescent="0.2">
      <c r="A94" s="15">
        <v>44160</v>
      </c>
      <c r="B94" s="112">
        <v>1.56</v>
      </c>
      <c r="C94" s="108">
        <f t="shared" si="24"/>
        <v>1.0000000000000009E-2</v>
      </c>
      <c r="D94" s="109" t="str">
        <f t="shared" si="25"/>
        <v>/</v>
      </c>
      <c r="E94" s="109">
        <f ca="1">IF(表2_36716262930389121314152324252627[[#This Row],[累计净值]]/MAX(INDIRECT("B21:B" &amp; ROW()))-1&lt;E93,表2_36716262930389121314152324252627[[#This Row],[累计净值]]/MAX(INDIRECT("B21:B" &amp; ROW()))-1,E93)</f>
        <v>-5.2809749492213953E-2</v>
      </c>
      <c r="F94" s="110">
        <f>表2_36716262930389121314152324252627[[#This Row],[累计净值]]</f>
        <v>1.56</v>
      </c>
      <c r="G94" s="20">
        <f>表2_36716262930389121314152324252627[[#This Row],[累计净值]]/$B$21-1</f>
        <v>5.6194989844278842E-2</v>
      </c>
    </row>
    <row r="95" spans="1:7" x14ac:dyDescent="0.2">
      <c r="A95" s="15">
        <v>44161</v>
      </c>
      <c r="B95" s="112">
        <v>1.5589999999999999</v>
      </c>
      <c r="C95" s="108">
        <f t="shared" si="24"/>
        <v>-1.0000000000001119E-3</v>
      </c>
      <c r="D95" s="109">
        <f t="shared" si="25"/>
        <v>-1.0000000000001119E-3</v>
      </c>
      <c r="E95" s="109">
        <f ca="1">IF(表2_36716262930389121314152324252627[[#This Row],[累计净值]]/MAX(INDIRECT("B21:B" &amp; ROW()))-1&lt;E94,表2_36716262930389121314152324252627[[#This Row],[累计净值]]/MAX(INDIRECT("B21:B" &amp; ROW()))-1,E94)</f>
        <v>-5.2809749492213953E-2</v>
      </c>
      <c r="F95" s="110">
        <f>表2_36716262930389121314152324252627[[#This Row],[累计净值]]</f>
        <v>1.5589999999999999</v>
      </c>
      <c r="G95" s="20">
        <f>表2_36716262930389121314152324252627[[#This Row],[累计净值]]/$B$21-1</f>
        <v>5.551794177386582E-2</v>
      </c>
    </row>
    <row r="96" spans="1:7" x14ac:dyDescent="0.2">
      <c r="A96" s="15">
        <v>44162</v>
      </c>
      <c r="B96" s="112">
        <v>1.57</v>
      </c>
      <c r="C96" s="108">
        <f t="shared" si="24"/>
        <v>1.1000000000000121E-2</v>
      </c>
      <c r="D96" s="109" t="str">
        <f t="shared" si="25"/>
        <v>/</v>
      </c>
      <c r="E96" s="109">
        <f ca="1">IF(表2_36716262930389121314152324252627[[#This Row],[累计净值]]/MAX(INDIRECT("B21:B" &amp; ROW()))-1&lt;E95,表2_36716262930389121314152324252627[[#This Row],[累计净值]]/MAX(INDIRECT("B21:B" &amp; ROW()))-1,E95)</f>
        <v>-5.2809749492213953E-2</v>
      </c>
      <c r="F96" s="110">
        <f>表2_36716262930389121314152324252627[[#This Row],[累计净值]]</f>
        <v>1.57</v>
      </c>
      <c r="G96" s="20">
        <f>表2_36716262930389121314152324252627[[#This Row],[累计净值]]/$B$21-1</f>
        <v>6.2965470548408842E-2</v>
      </c>
    </row>
    <row r="97" spans="1:7" x14ac:dyDescent="0.2">
      <c r="A97" s="15">
        <v>44165</v>
      </c>
      <c r="B97" s="112">
        <v>1.5760000000000001</v>
      </c>
      <c r="C97" s="108">
        <f t="shared" ref="C97:C102" si="26">IFERROR(B97-B96,0)</f>
        <v>6.0000000000000053E-3</v>
      </c>
      <c r="D97" s="109" t="str">
        <f t="shared" ref="D97:D102" si="27">IF(C97&lt;0,C97,"/")</f>
        <v>/</v>
      </c>
      <c r="E97" s="109">
        <f ca="1">IF(表2_36716262930389121314152324252627[[#This Row],[累计净值]]/MAX(INDIRECT("B21:B" &amp; ROW()))-1&lt;E96,表2_36716262930389121314152324252627[[#This Row],[累计净值]]/MAX(INDIRECT("B21:B" &amp; ROW()))-1,E96)</f>
        <v>-5.2809749492213953E-2</v>
      </c>
      <c r="F97" s="110">
        <f>表2_36716262930389121314152324252627[[#This Row],[累计净值]]</f>
        <v>1.5760000000000001</v>
      </c>
      <c r="G97" s="20">
        <f>表2_36716262930389121314152324252627[[#This Row],[累计净值]]/$B$21-1</f>
        <v>6.7027758970886975E-2</v>
      </c>
    </row>
    <row r="98" spans="1:7" x14ac:dyDescent="0.2">
      <c r="A98" s="15">
        <v>44166</v>
      </c>
      <c r="B98" s="112">
        <v>1.5820000000000001</v>
      </c>
      <c r="C98" s="108">
        <f t="shared" si="26"/>
        <v>6.0000000000000053E-3</v>
      </c>
      <c r="D98" s="109" t="str">
        <f t="shared" si="27"/>
        <v>/</v>
      </c>
      <c r="E98" s="109">
        <f ca="1">IF(表2_36716262930389121314152324252627[[#This Row],[累计净值]]/MAX(INDIRECT("B21:B" &amp; ROW()))-1&lt;E97,表2_36716262930389121314152324252627[[#This Row],[累计净值]]/MAX(INDIRECT("B21:B" &amp; ROW()))-1,E97)</f>
        <v>-5.2809749492213953E-2</v>
      </c>
      <c r="F98" s="110">
        <f>表2_36716262930389121314152324252627[[#This Row],[累计净值]]</f>
        <v>1.5820000000000001</v>
      </c>
      <c r="G98" s="20">
        <f>表2_36716262930389121314152324252627[[#This Row],[累计净值]]/$B$21-1</f>
        <v>7.1090047393364886E-2</v>
      </c>
    </row>
    <row r="99" spans="1:7" x14ac:dyDescent="0.2">
      <c r="A99" s="15">
        <v>44167</v>
      </c>
      <c r="B99" s="112">
        <v>1.5960000000000001</v>
      </c>
      <c r="C99" s="108">
        <f t="shared" si="26"/>
        <v>1.4000000000000012E-2</v>
      </c>
      <c r="D99" s="109" t="str">
        <f t="shared" si="27"/>
        <v>/</v>
      </c>
      <c r="E99" s="109">
        <f ca="1">IF(表2_36716262930389121314152324252627[[#This Row],[累计净值]]/MAX(INDIRECT("B21:B" &amp; ROW()))-1&lt;E98,表2_36716262930389121314152324252627[[#This Row],[累计净值]]/MAX(INDIRECT("B21:B" &amp; ROW()))-1,E98)</f>
        <v>-5.2809749492213953E-2</v>
      </c>
      <c r="F99" s="110">
        <f>表2_36716262930389121314152324252627[[#This Row],[累计净值]]</f>
        <v>1.5960000000000001</v>
      </c>
      <c r="G99" s="20">
        <f>表2_36716262930389121314152324252627[[#This Row],[累计净值]]/$B$21-1</f>
        <v>8.0568720379146974E-2</v>
      </c>
    </row>
    <row r="100" spans="1:7" x14ac:dyDescent="0.2">
      <c r="A100" s="15">
        <v>44168</v>
      </c>
      <c r="B100" s="112">
        <v>1.5860000000000001</v>
      </c>
      <c r="C100" s="108">
        <f t="shared" si="26"/>
        <v>-1.0000000000000009E-2</v>
      </c>
      <c r="D100" s="109">
        <f t="shared" si="27"/>
        <v>-1.0000000000000009E-2</v>
      </c>
      <c r="E100" s="109">
        <f ca="1">IF(表2_36716262930389121314152324252627[[#This Row],[累计净值]]/MAX(INDIRECT("B21:B" &amp; ROW()))-1&lt;E99,表2_36716262930389121314152324252627[[#This Row],[累计净值]]/MAX(INDIRECT("B21:B" &amp; ROW()))-1,E99)</f>
        <v>-5.2809749492213953E-2</v>
      </c>
      <c r="F100" s="110">
        <f>表2_36716262930389121314152324252627[[#This Row],[累计净值]]</f>
        <v>1.5860000000000001</v>
      </c>
      <c r="G100" s="20">
        <f>表2_36716262930389121314152324252627[[#This Row],[累计净值]]/$B$21-1</f>
        <v>7.3798239675016974E-2</v>
      </c>
    </row>
    <row r="101" spans="1:7" x14ac:dyDescent="0.2">
      <c r="A101" s="15">
        <v>44169</v>
      </c>
      <c r="B101" s="112">
        <v>1.57</v>
      </c>
      <c r="C101" s="108">
        <f t="shared" si="26"/>
        <v>-1.6000000000000014E-2</v>
      </c>
      <c r="D101" s="109">
        <f t="shared" si="27"/>
        <v>-1.6000000000000014E-2</v>
      </c>
      <c r="E101" s="109">
        <f ca="1">IF(表2_36716262930389121314152324252627[[#This Row],[累计净值]]/MAX(INDIRECT("B21:B" &amp; ROW()))-1&lt;E100,表2_36716262930389121314152324252627[[#This Row],[累计净值]]/MAX(INDIRECT("B21:B" &amp; ROW()))-1,E100)</f>
        <v>-5.2809749492213953E-2</v>
      </c>
      <c r="F101" s="110">
        <f>表2_36716262930389121314152324252627[[#This Row],[累计净值]]</f>
        <v>1.57</v>
      </c>
      <c r="G101" s="20">
        <f>表2_36716262930389121314152324252627[[#This Row],[累计净值]]/$B$21-1</f>
        <v>6.2965470548408842E-2</v>
      </c>
    </row>
    <row r="102" spans="1:7" x14ac:dyDescent="0.2">
      <c r="A102" s="15">
        <v>44172</v>
      </c>
      <c r="B102" s="112">
        <v>1.5940000000000001</v>
      </c>
      <c r="C102" s="108">
        <f t="shared" si="26"/>
        <v>2.4000000000000021E-2</v>
      </c>
      <c r="D102" s="109" t="str">
        <f t="shared" si="27"/>
        <v>/</v>
      </c>
      <c r="E102" s="109">
        <f ca="1">IF(表2_36716262930389121314152324252627[[#This Row],[累计净值]]/MAX(INDIRECT("B21:B" &amp; ROW()))-1&lt;E101,表2_36716262930389121314152324252627[[#This Row],[累计净值]]/MAX(INDIRECT("B21:B" &amp; ROW()))-1,E101)</f>
        <v>-5.2809749492213953E-2</v>
      </c>
      <c r="F102" s="110">
        <f>表2_36716262930389121314152324252627[[#This Row],[累计净值]]</f>
        <v>1.5940000000000001</v>
      </c>
      <c r="G102" s="20">
        <f>表2_36716262930389121314152324252627[[#This Row],[累计净值]]/$B$21-1</f>
        <v>7.921462423832093E-2</v>
      </c>
    </row>
    <row r="103" spans="1:7" x14ac:dyDescent="0.2">
      <c r="A103" s="15">
        <v>44173</v>
      </c>
      <c r="B103" s="112">
        <v>1.6</v>
      </c>
      <c r="C103" s="108">
        <f t="shared" ref="C103:C109" si="28">IFERROR(B103-B102,0)</f>
        <v>6.0000000000000053E-3</v>
      </c>
      <c r="D103" s="109" t="str">
        <f t="shared" ref="D103:D109" si="29">IF(C103&lt;0,C103,"/")</f>
        <v>/</v>
      </c>
      <c r="E103" s="109">
        <f ca="1">IF(表2_36716262930389121314152324252627[[#This Row],[累计净值]]/MAX(INDIRECT("B21:B" &amp; ROW()))-1&lt;E102,表2_36716262930389121314152324252627[[#This Row],[累计净值]]/MAX(INDIRECT("B21:B" &amp; ROW()))-1,E102)</f>
        <v>-5.2809749492213953E-2</v>
      </c>
      <c r="F103" s="110">
        <f>表2_36716262930389121314152324252627[[#This Row],[累计净值]]</f>
        <v>1.6</v>
      </c>
      <c r="G103" s="20">
        <f>表2_36716262930389121314152324252627[[#This Row],[累计净值]]/$B$21-1</f>
        <v>8.3276912660798841E-2</v>
      </c>
    </row>
    <row r="104" spans="1:7" x14ac:dyDescent="0.2">
      <c r="A104" s="15">
        <v>44174</v>
      </c>
      <c r="B104" s="112">
        <v>1.6160000000000001</v>
      </c>
      <c r="C104" s="108">
        <f t="shared" si="28"/>
        <v>1.6000000000000014E-2</v>
      </c>
      <c r="D104" s="109" t="str">
        <f t="shared" si="29"/>
        <v>/</v>
      </c>
      <c r="E104" s="109">
        <f ca="1">IF(表2_36716262930389121314152324252627[[#This Row],[累计净值]]/MAX(INDIRECT("B21:B" &amp; ROW()))-1&lt;E103,表2_36716262930389121314152324252627[[#This Row],[累计净值]]/MAX(INDIRECT("B21:B" &amp; ROW()))-1,E103)</f>
        <v>-5.2809749492213953E-2</v>
      </c>
      <c r="F104" s="110">
        <f>表2_36716262930389121314152324252627[[#This Row],[累计净值]]</f>
        <v>1.6160000000000001</v>
      </c>
      <c r="G104" s="20">
        <f>表2_36716262930389121314152324252627[[#This Row],[累计净值]]/$B$21-1</f>
        <v>9.4109681787406974E-2</v>
      </c>
    </row>
    <row r="105" spans="1:7" x14ac:dyDescent="0.2">
      <c r="A105" s="15">
        <v>44175</v>
      </c>
      <c r="B105" s="112">
        <v>1.6479999999999999</v>
      </c>
      <c r="C105" s="108">
        <f t="shared" si="28"/>
        <v>3.1999999999999806E-2</v>
      </c>
      <c r="D105" s="109" t="str">
        <f t="shared" si="29"/>
        <v>/</v>
      </c>
      <c r="E105" s="109">
        <f ca="1">IF(表2_36716262930389121314152324252627[[#This Row],[累计净值]]/MAX(INDIRECT("B21:B" &amp; ROW()))-1&lt;E104,表2_36716262930389121314152324252627[[#This Row],[累计净值]]/MAX(INDIRECT("B21:B" &amp; ROW()))-1,E104)</f>
        <v>-5.2809749492213953E-2</v>
      </c>
      <c r="F105" s="110">
        <f>表2_36716262930389121314152324252627[[#This Row],[累计净值]]</f>
        <v>1.6479999999999999</v>
      </c>
      <c r="G105" s="20">
        <f>表2_36716262930389121314152324252627[[#This Row],[累计净值]]/$B$21-1</f>
        <v>0.11577522004062279</v>
      </c>
    </row>
    <row r="106" spans="1:7" x14ac:dyDescent="0.2">
      <c r="A106" s="15">
        <v>44176</v>
      </c>
      <c r="B106" s="112">
        <v>1.671</v>
      </c>
      <c r="C106" s="108">
        <f t="shared" si="28"/>
        <v>2.3000000000000131E-2</v>
      </c>
      <c r="D106" s="109" t="str">
        <f t="shared" si="29"/>
        <v>/</v>
      </c>
      <c r="E106" s="109">
        <f ca="1">IF(表2_36716262930389121314152324252627[[#This Row],[累计净值]]/MAX(INDIRECT("B21:B" &amp; ROW()))-1&lt;E105,表2_36716262930389121314152324252627[[#This Row],[累计净值]]/MAX(INDIRECT("B21:B" &amp; ROW()))-1,E105)</f>
        <v>-5.2809749492213953E-2</v>
      </c>
      <c r="F106" s="110">
        <f>表2_36716262930389121314152324252627[[#This Row],[累计净值]]</f>
        <v>1.671</v>
      </c>
      <c r="G106" s="20">
        <f>表2_36716262930389121314152324252627[[#This Row],[累计净值]]/$B$21-1</f>
        <v>0.13134732566012186</v>
      </c>
    </row>
    <row r="107" spans="1:7" x14ac:dyDescent="0.2">
      <c r="A107" s="15">
        <v>44179</v>
      </c>
      <c r="B107" s="112">
        <v>1.6579999999999999</v>
      </c>
      <c r="C107" s="108">
        <f t="shared" si="28"/>
        <v>-1.3000000000000123E-2</v>
      </c>
      <c r="D107" s="109">
        <f t="shared" si="29"/>
        <v>-1.3000000000000123E-2</v>
      </c>
      <c r="E107" s="109">
        <f ca="1">IF(表2_36716262930389121314152324252627[[#This Row],[累计净值]]/MAX(INDIRECT("B21:B" &amp; ROW()))-1&lt;E106,表2_36716262930389121314152324252627[[#This Row],[累计净值]]/MAX(INDIRECT("B21:B" &amp; ROW()))-1,E106)</f>
        <v>-5.2809749492213953E-2</v>
      </c>
      <c r="F107" s="110">
        <f>表2_36716262930389121314152324252627[[#This Row],[累计净值]]</f>
        <v>1.6579999999999999</v>
      </c>
      <c r="G107" s="20">
        <f>表2_36716262930389121314152324252627[[#This Row],[累计净值]]/$B$21-1</f>
        <v>0.12254570074475279</v>
      </c>
    </row>
    <row r="108" spans="1:7" x14ac:dyDescent="0.2">
      <c r="A108" s="15">
        <v>44180</v>
      </c>
      <c r="B108" s="112">
        <v>1.655</v>
      </c>
      <c r="C108" s="108">
        <f t="shared" si="28"/>
        <v>-2.9999999999998916E-3</v>
      </c>
      <c r="D108" s="109">
        <f t="shared" si="29"/>
        <v>-2.9999999999998916E-3</v>
      </c>
      <c r="E108" s="109">
        <f ca="1">IF(表2_36716262930389121314152324252627[[#This Row],[累计净值]]/MAX(INDIRECT("B21:B" &amp; ROW()))-1&lt;E107,表2_36716262930389121314152324252627[[#This Row],[累计净值]]/MAX(INDIRECT("B21:B" &amp; ROW()))-1,E107)</f>
        <v>-5.2809749492213953E-2</v>
      </c>
      <c r="F108" s="110">
        <f>表2_36716262930389121314152324252627[[#This Row],[累计净值]]</f>
        <v>1.655</v>
      </c>
      <c r="G108" s="20">
        <f>表2_36716262930389121314152324252627[[#This Row],[累计净值]]/$B$21-1</f>
        <v>0.12051455653351373</v>
      </c>
    </row>
    <row r="109" spans="1:7" x14ac:dyDescent="0.2">
      <c r="A109" s="15">
        <v>44181</v>
      </c>
      <c r="B109" s="112">
        <v>1.659</v>
      </c>
      <c r="C109" s="108">
        <f t="shared" si="28"/>
        <v>4.0000000000000036E-3</v>
      </c>
      <c r="D109" s="109" t="str">
        <f t="shared" si="29"/>
        <v>/</v>
      </c>
      <c r="E109" s="109">
        <f ca="1">IF(表2_36716262930389121314152324252627[[#This Row],[累计净值]]/MAX(INDIRECT("B21:B" &amp; ROW()))-1&lt;E108,表2_36716262930389121314152324252627[[#This Row],[累计净值]]/MAX(INDIRECT("B21:B" &amp; ROW()))-1,E108)</f>
        <v>-5.2809749492213953E-2</v>
      </c>
      <c r="F109" s="110">
        <f>表2_36716262930389121314152324252627[[#This Row],[累计净值]]</f>
        <v>1.659</v>
      </c>
      <c r="G109" s="20">
        <f>表2_36716262930389121314152324252627[[#This Row],[累计净值]]/$B$21-1</f>
        <v>0.12322274881516582</v>
      </c>
    </row>
    <row r="110" spans="1:7" x14ac:dyDescent="0.2">
      <c r="A110" s="15">
        <v>44182</v>
      </c>
      <c r="B110" s="112">
        <v>1.6639999999999999</v>
      </c>
      <c r="C110" s="108">
        <f>IFERROR(B110-B109,0)</f>
        <v>4.9999999999998934E-3</v>
      </c>
      <c r="D110" s="109" t="str">
        <f>IF(C110&lt;0,C110,"/")</f>
        <v>/</v>
      </c>
      <c r="E110" s="109">
        <f ca="1">IF(表2_36716262930389121314152324252627[[#This Row],[累计净值]]/MAX(INDIRECT("B21:B" &amp; ROW()))-1&lt;E109,表2_36716262930389121314152324252627[[#This Row],[累计净值]]/MAX(INDIRECT("B21:B" &amp; ROW()))-1,E109)</f>
        <v>-5.2809749492213953E-2</v>
      </c>
      <c r="F110" s="110">
        <f>表2_36716262930389121314152324252627[[#This Row],[累计净值]]</f>
        <v>1.6639999999999999</v>
      </c>
      <c r="G110" s="20">
        <f>表2_36716262930389121314152324252627[[#This Row],[累计净值]]/$B$21-1</f>
        <v>0.12660798916723071</v>
      </c>
    </row>
    <row r="111" spans="1:7" x14ac:dyDescent="0.2">
      <c r="A111" s="15">
        <v>44183</v>
      </c>
      <c r="B111" s="112">
        <v>1.681</v>
      </c>
      <c r="C111" s="108">
        <f>IFERROR(B111-B110,0)</f>
        <v>1.7000000000000126E-2</v>
      </c>
      <c r="D111" s="109" t="str">
        <f>IF(C111&lt;0,C111,"/")</f>
        <v>/</v>
      </c>
      <c r="E111" s="109">
        <f ca="1">IF(表2_36716262930389121314152324252627[[#This Row],[累计净值]]/MAX(INDIRECT("B21:B" &amp; ROW()))-1&lt;E110,表2_36716262930389121314152324252627[[#This Row],[累计净值]]/MAX(INDIRECT("B21:B" &amp; ROW()))-1,E110)</f>
        <v>-5.2809749492213953E-2</v>
      </c>
      <c r="F111" s="110">
        <f>表2_36716262930389121314152324252627[[#This Row],[累计净值]]</f>
        <v>1.681</v>
      </c>
      <c r="G111" s="20">
        <f>表2_36716262930389121314152324252627[[#This Row],[累计净值]]/$B$21-1</f>
        <v>0.13811780636425186</v>
      </c>
    </row>
    <row r="112" spans="1:7" x14ac:dyDescent="0.2">
      <c r="A112" s="15">
        <v>44186</v>
      </c>
      <c r="B112" s="117">
        <v>1.6970000000000001</v>
      </c>
      <c r="C112" s="108">
        <f>IFERROR(B112-B111,0)</f>
        <v>1.6000000000000014E-2</v>
      </c>
      <c r="D112" s="109" t="str">
        <f>IF(C112&lt;0,C112,"/")</f>
        <v>/</v>
      </c>
      <c r="E112" s="109">
        <f ca="1">IF(表2_36716262930389121314152324252627[[#This Row],[累计净值]]/MAX(INDIRECT("B21:B" &amp; ROW()))-1&lt;E111,表2_36716262930389121314152324252627[[#This Row],[累计净值]]/MAX(INDIRECT("B21:B" &amp; ROW()))-1,E111)</f>
        <v>-5.2809749492213953E-2</v>
      </c>
      <c r="F112" s="110">
        <f>表2_36716262930389121314152324252627[[#This Row],[累计净值]]</f>
        <v>1.6970000000000001</v>
      </c>
      <c r="G112" s="20">
        <f>表2_36716262930389121314152324252627[[#This Row],[累计净值]]/$B$21-1</f>
        <v>0.14895057549085977</v>
      </c>
    </row>
    <row r="113" spans="1:7" x14ac:dyDescent="0.2">
      <c r="A113" s="15">
        <v>44187</v>
      </c>
      <c r="B113" s="112">
        <v>1.6879999999999999</v>
      </c>
      <c r="C113" s="108">
        <f>IFERROR(B113-B112,0)</f>
        <v>-9.000000000000119E-3</v>
      </c>
      <c r="D113" s="109">
        <f>IF(C113&lt;0,C113,"/")</f>
        <v>-9.000000000000119E-3</v>
      </c>
      <c r="E113" s="109">
        <f ca="1">IF(表2_36716262930389121314152324252627[[#This Row],[累计净值]]/MAX(INDIRECT("B21:B" &amp; ROW()))-1&lt;E112,表2_36716262930389121314152324252627[[#This Row],[累计净值]]/MAX(INDIRECT("B21:B" &amp; ROW()))-1,E112)</f>
        <v>-5.2809749492213953E-2</v>
      </c>
      <c r="F113" s="110">
        <f>表2_36716262930389121314152324252627[[#This Row],[累计净值]]</f>
        <v>1.6879999999999999</v>
      </c>
      <c r="G113" s="20">
        <f>表2_36716262930389121314152324252627[[#This Row],[累计净值]]/$B$21-1</f>
        <v>0.14285714285714279</v>
      </c>
    </row>
    <row r="114" spans="1:7" x14ac:dyDescent="0.2">
      <c r="A114" s="15">
        <v>44188</v>
      </c>
      <c r="B114" s="112">
        <v>1.6859999999999999</v>
      </c>
      <c r="C114" s="108">
        <f>IFERROR(B114-B113,0)</f>
        <v>-2.0000000000000018E-3</v>
      </c>
      <c r="D114" s="109">
        <f>IF(C114&lt;0,C114,"/")</f>
        <v>-2.0000000000000018E-3</v>
      </c>
      <c r="E114" s="109">
        <f ca="1">IF(表2_36716262930389121314152324252627[[#This Row],[累计净值]]/MAX(INDIRECT("B21:B" &amp; ROW()))-1&lt;E113,表2_36716262930389121314152324252627[[#This Row],[累计净值]]/MAX(INDIRECT("B21:B" &amp; ROW()))-1,E113)</f>
        <v>-5.2809749492213953E-2</v>
      </c>
      <c r="F114" s="110">
        <f>表2_36716262930389121314152324252627[[#This Row],[累计净值]]</f>
        <v>1.6859999999999999</v>
      </c>
      <c r="G114" s="20">
        <f>表2_36716262930389121314152324252627[[#This Row],[累计净值]]/$B$21-1</f>
        <v>0.14150304671631675</v>
      </c>
    </row>
    <row r="115" spans="1:7" x14ac:dyDescent="0.2">
      <c r="A115" s="15">
        <v>44189</v>
      </c>
      <c r="B115" s="112">
        <v>1.6839999999999999</v>
      </c>
      <c r="C115" s="108">
        <f t="shared" ref="C115:C116" si="30">IFERROR(B115-B114,0)</f>
        <v>-2.0000000000000018E-3</v>
      </c>
      <c r="D115" s="109">
        <f t="shared" ref="D115:D116" si="31">IF(C115&lt;0,C115,"/")</f>
        <v>-2.0000000000000018E-3</v>
      </c>
      <c r="E115" s="109">
        <f ca="1">IF(表2_36716262930389121314152324252627[[#This Row],[累计净值]]/MAX(INDIRECT("B21:B" &amp; ROW()))-1&lt;E114,表2_36716262930389121314152324252627[[#This Row],[累计净值]]/MAX(INDIRECT("B21:B" &amp; ROW()))-1,E114)</f>
        <v>-5.2809749492213953E-2</v>
      </c>
      <c r="F115" s="110">
        <f>表2_36716262930389121314152324252627[[#This Row],[累计净值]]</f>
        <v>1.6839999999999999</v>
      </c>
      <c r="G115" s="20">
        <f>表2_36716262930389121314152324252627[[#This Row],[累计净值]]/$B$21-1</f>
        <v>0.14014895057549071</v>
      </c>
    </row>
    <row r="116" spans="1:7" x14ac:dyDescent="0.2">
      <c r="A116" s="15">
        <v>44190</v>
      </c>
      <c r="B116" s="112">
        <v>1.68</v>
      </c>
      <c r="C116" s="108">
        <f t="shared" si="30"/>
        <v>-4.0000000000000036E-3</v>
      </c>
      <c r="D116" s="109">
        <f t="shared" si="31"/>
        <v>-4.0000000000000036E-3</v>
      </c>
      <c r="E116" s="109">
        <f ca="1">IF(表2_36716262930389121314152324252627[[#This Row],[累计净值]]/MAX(INDIRECT("B21:B" &amp; ROW()))-1&lt;E115,表2_36716262930389121314152324252627[[#This Row],[累计净值]]/MAX(INDIRECT("B21:B" &amp; ROW()))-1,E115)</f>
        <v>-5.2809749492213953E-2</v>
      </c>
      <c r="F116" s="110">
        <f>表2_36716262930389121314152324252627[[#This Row],[累计净值]]</f>
        <v>1.68</v>
      </c>
      <c r="G116" s="20">
        <f>表2_36716262930389121314152324252627[[#This Row],[累计净值]]/$B$21-1</f>
        <v>0.13744075829383884</v>
      </c>
    </row>
    <row r="117" spans="1:7" x14ac:dyDescent="0.2">
      <c r="A117" s="15">
        <v>44193</v>
      </c>
      <c r="B117" s="112">
        <v>1.667</v>
      </c>
      <c r="C117" s="108">
        <f t="shared" ref="C117:C122" si="32">IFERROR(B117-B116,0)</f>
        <v>-1.2999999999999901E-2</v>
      </c>
      <c r="D117" s="109">
        <f t="shared" ref="D117:D122" si="33">IF(C117&lt;0,C117,"/")</f>
        <v>-1.2999999999999901E-2</v>
      </c>
      <c r="E117" s="109">
        <f ca="1">IF(表2_36716262930389121314152324252627[[#This Row],[累计净值]]/MAX(INDIRECT("B21:B" &amp; ROW()))-1&lt;E116,表2_36716262930389121314152324252627[[#This Row],[累计净值]]/MAX(INDIRECT("B21:B" &amp; ROW()))-1,E116)</f>
        <v>-5.2809749492213953E-2</v>
      </c>
      <c r="F117" s="110">
        <f>表2_36716262930389121314152324252627[[#This Row],[累计净值]]</f>
        <v>1.667</v>
      </c>
      <c r="G117" s="20">
        <f>表2_36716262930389121314152324252627[[#This Row],[累计净值]]/$B$21-1</f>
        <v>0.12863913337846977</v>
      </c>
    </row>
    <row r="118" spans="1:7" x14ac:dyDescent="0.2">
      <c r="A118" s="15">
        <v>44194</v>
      </c>
      <c r="B118" s="112">
        <v>1.6519999999999999</v>
      </c>
      <c r="C118" s="108">
        <f t="shared" si="32"/>
        <v>-1.5000000000000124E-2</v>
      </c>
      <c r="D118" s="109">
        <f t="shared" si="33"/>
        <v>-1.5000000000000124E-2</v>
      </c>
      <c r="E118" s="109">
        <f ca="1">IF(表2_36716262930389121314152324252627[[#This Row],[累计净值]]/MAX(INDIRECT("B21:B" &amp; ROW()))-1&lt;E117,表2_36716262930389121314152324252627[[#This Row],[累计净值]]/MAX(INDIRECT("B21:B" &amp; ROW()))-1,E117)</f>
        <v>-5.2809749492213953E-2</v>
      </c>
      <c r="F118" s="110">
        <f>表2_36716262930389121314152324252627[[#This Row],[累计净值]]</f>
        <v>1.6519999999999999</v>
      </c>
      <c r="G118" s="20">
        <f>表2_36716262930389121314152324252627[[#This Row],[累计净值]]/$B$21-1</f>
        <v>0.11848341232227466</v>
      </c>
    </row>
    <row r="119" spans="1:7" x14ac:dyDescent="0.2">
      <c r="A119" s="15">
        <v>44195</v>
      </c>
      <c r="B119" s="112">
        <v>1.655</v>
      </c>
      <c r="C119" s="108">
        <f t="shared" si="32"/>
        <v>3.0000000000001137E-3</v>
      </c>
      <c r="D119" s="109" t="str">
        <f t="shared" si="33"/>
        <v>/</v>
      </c>
      <c r="E119" s="109">
        <f ca="1">IF(表2_36716262930389121314152324252627[[#This Row],[累计净值]]/MAX(INDIRECT("B21:B" &amp; ROW()))-1&lt;E118,表2_36716262930389121314152324252627[[#This Row],[累计净值]]/MAX(INDIRECT("B21:B" &amp; ROW()))-1,E118)</f>
        <v>-5.2809749492213953E-2</v>
      </c>
      <c r="F119" s="110">
        <f>表2_36716262930389121314152324252627[[#This Row],[累计净值]]</f>
        <v>1.655</v>
      </c>
      <c r="G119" s="20">
        <f>表2_36716262930389121314152324252627[[#This Row],[累计净值]]/$B$21-1</f>
        <v>0.12051455653351373</v>
      </c>
    </row>
    <row r="120" spans="1:7" x14ac:dyDescent="0.2">
      <c r="A120" s="15">
        <v>44196</v>
      </c>
      <c r="B120" s="112">
        <v>1.6619999999999999</v>
      </c>
      <c r="C120" s="108">
        <f t="shared" si="32"/>
        <v>6.9999999999998952E-3</v>
      </c>
      <c r="D120" s="109" t="str">
        <f t="shared" si="33"/>
        <v>/</v>
      </c>
      <c r="E120" s="109">
        <f ca="1">IF(表2_36716262930389121314152324252627[[#This Row],[累计净值]]/MAX(INDIRECT("B21:B" &amp; ROW()))-1&lt;E119,表2_36716262930389121314152324252627[[#This Row],[累计净值]]/MAX(INDIRECT("B21:B" &amp; ROW()))-1,E119)</f>
        <v>-5.2809749492213953E-2</v>
      </c>
      <c r="F120" s="110">
        <f>表2_36716262930389121314152324252627[[#This Row],[累计净值]]</f>
        <v>1.6619999999999999</v>
      </c>
      <c r="G120" s="20">
        <f>表2_36716262930389121314152324252627[[#This Row],[累计净值]]/$B$21-1</f>
        <v>0.12525389302640466</v>
      </c>
    </row>
    <row r="121" spans="1:7" x14ac:dyDescent="0.2">
      <c r="A121" s="15">
        <v>44200</v>
      </c>
      <c r="B121" s="112">
        <v>1.669</v>
      </c>
      <c r="C121" s="108">
        <f t="shared" si="32"/>
        <v>7.0000000000001172E-3</v>
      </c>
      <c r="D121" s="109" t="str">
        <f t="shared" si="33"/>
        <v>/</v>
      </c>
      <c r="E121" s="109">
        <f ca="1">IF(表2_36716262930389121314152324252627[[#This Row],[累计净值]]/MAX(INDIRECT("B21:B" &amp; ROW()))-1&lt;E120,表2_36716262930389121314152324252627[[#This Row],[累计净值]]/MAX(INDIRECT("B21:B" &amp; ROW()))-1,E120)</f>
        <v>-5.2809749492213953E-2</v>
      </c>
      <c r="F121" s="110">
        <f>表2_36716262930389121314152324252627[[#This Row],[累计净值]]</f>
        <v>1.669</v>
      </c>
      <c r="G121" s="20">
        <f>表2_36716262930389121314152324252627[[#This Row],[累计净值]]/$B$21-1</f>
        <v>0.12999322951929582</v>
      </c>
    </row>
    <row r="122" spans="1:7" x14ac:dyDescent="0.2">
      <c r="A122" s="15">
        <v>44201</v>
      </c>
      <c r="B122" s="112">
        <v>1.69</v>
      </c>
      <c r="C122" s="108">
        <f t="shared" si="32"/>
        <v>2.0999999999999908E-2</v>
      </c>
      <c r="D122" s="109" t="str">
        <f t="shared" si="33"/>
        <v>/</v>
      </c>
      <c r="E122" s="109">
        <f ca="1">IF(表2_36716262930389121314152324252627[[#This Row],[累计净值]]/MAX(INDIRECT("B21:B" &amp; ROW()))-1&lt;E121,表2_36716262930389121314152324252627[[#This Row],[累计净值]]/MAX(INDIRECT("B21:B" &amp; ROW()))-1,E121)</f>
        <v>-5.2809749492213953E-2</v>
      </c>
      <c r="F122" s="110">
        <f>表2_36716262930389121314152324252627[[#This Row],[累计净值]]</f>
        <v>1.69</v>
      </c>
      <c r="G122" s="20">
        <f>表2_36716262930389121314152324252627[[#This Row],[累计净值]]/$B$21-1</f>
        <v>0.14421123899796884</v>
      </c>
    </row>
    <row r="123" spans="1:7" x14ac:dyDescent="0.2">
      <c r="A123" s="15">
        <v>44202</v>
      </c>
      <c r="B123" s="112">
        <v>1.6879999999999999</v>
      </c>
      <c r="C123" s="108">
        <f t="shared" ref="C123:C128" si="34">IFERROR(B123-B122,0)</f>
        <v>-2.0000000000000018E-3</v>
      </c>
      <c r="D123" s="109">
        <f t="shared" ref="D123:D128" si="35">IF(C123&lt;0,C123,"/")</f>
        <v>-2.0000000000000018E-3</v>
      </c>
      <c r="E123" s="109">
        <f ca="1">IF(表2_36716262930389121314152324252627[[#This Row],[累计净值]]/MAX(INDIRECT("B21:B" &amp; ROW()))-1&lt;E122,表2_36716262930389121314152324252627[[#This Row],[累计净值]]/MAX(INDIRECT("B21:B" &amp; ROW()))-1,E122)</f>
        <v>-5.2809749492213953E-2</v>
      </c>
      <c r="F123" s="110">
        <f>表2_36716262930389121314152324252627[[#This Row],[累计净值]]</f>
        <v>1.6879999999999999</v>
      </c>
      <c r="G123" s="20">
        <f>表2_36716262930389121314152324252627[[#This Row],[累计净值]]/$B$21-1</f>
        <v>0.14285714285714279</v>
      </c>
    </row>
    <row r="124" spans="1:7" x14ac:dyDescent="0.2">
      <c r="A124" s="15">
        <v>44203</v>
      </c>
      <c r="B124" s="112">
        <v>1.696</v>
      </c>
      <c r="C124" s="108">
        <f t="shared" si="34"/>
        <v>8.0000000000000071E-3</v>
      </c>
      <c r="D124" s="109" t="str">
        <f t="shared" si="35"/>
        <v>/</v>
      </c>
      <c r="E124" s="109">
        <f ca="1">IF(表2_36716262930389121314152324252627[[#This Row],[累计净值]]/MAX(INDIRECT("B21:B" &amp; ROW()))-1&lt;E123,表2_36716262930389121314152324252627[[#This Row],[累计净值]]/MAX(INDIRECT("B21:B" &amp; ROW()))-1,E123)</f>
        <v>-5.2809749492213953E-2</v>
      </c>
      <c r="F124" s="110">
        <f>表2_36716262930389121314152324252627[[#This Row],[累计净值]]</f>
        <v>1.696</v>
      </c>
      <c r="G124" s="20">
        <f>表2_36716262930389121314152324252627[[#This Row],[累计净值]]/$B$21-1</f>
        <v>0.14827352742044675</v>
      </c>
    </row>
    <row r="125" spans="1:7" x14ac:dyDescent="0.2">
      <c r="A125" s="15">
        <v>44204</v>
      </c>
      <c r="B125" s="117">
        <v>1.702</v>
      </c>
      <c r="C125" s="108">
        <f t="shared" si="34"/>
        <v>6.0000000000000053E-3</v>
      </c>
      <c r="D125" s="109" t="str">
        <f t="shared" si="35"/>
        <v>/</v>
      </c>
      <c r="E125" s="109">
        <f ca="1">IF(表2_36716262930389121314152324252627[[#This Row],[累计净值]]/MAX(INDIRECT("B21:B" &amp; ROW()))-1&lt;E124,表2_36716262930389121314152324252627[[#This Row],[累计净值]]/MAX(INDIRECT("B21:B" &amp; ROW()))-1,E124)</f>
        <v>-5.2809749492213953E-2</v>
      </c>
      <c r="F125" s="110">
        <f>表2_36716262930389121314152324252627[[#This Row],[累计净值]]</f>
        <v>1.702</v>
      </c>
      <c r="G125" s="20">
        <f>表2_36716262930389121314152324252627[[#This Row],[累计净值]]/$B$21-1</f>
        <v>0.15233581584292466</v>
      </c>
    </row>
    <row r="126" spans="1:7" x14ac:dyDescent="0.2">
      <c r="A126" s="15">
        <v>44207</v>
      </c>
      <c r="B126" s="112">
        <v>1.7</v>
      </c>
      <c r="C126" s="108">
        <f t="shared" si="34"/>
        <v>-2.0000000000000018E-3</v>
      </c>
      <c r="D126" s="109">
        <f t="shared" si="35"/>
        <v>-2.0000000000000018E-3</v>
      </c>
      <c r="E126" s="109">
        <f ca="1">IF(表2_36716262930389121314152324252627[[#This Row],[累计净值]]/MAX(INDIRECT("B21:B" &amp; ROW()))-1&lt;E125,表2_36716262930389121314152324252627[[#This Row],[累计净值]]/MAX(INDIRECT("B21:B" &amp; ROW()))-1,E125)</f>
        <v>-5.2809749492213953E-2</v>
      </c>
      <c r="F126" s="110">
        <f>表2_36716262930389121314152324252627[[#This Row],[累计净值]]</f>
        <v>1.7</v>
      </c>
      <c r="G126" s="20">
        <f>表2_36716262930389121314152324252627[[#This Row],[累计净值]]/$B$21-1</f>
        <v>0.15098171970209884</v>
      </c>
    </row>
    <row r="127" spans="1:7" x14ac:dyDescent="0.2">
      <c r="A127" s="15">
        <v>44208</v>
      </c>
      <c r="B127" s="112">
        <v>1.6990000000000001</v>
      </c>
      <c r="C127" s="108">
        <f t="shared" si="34"/>
        <v>-9.9999999999988987E-4</v>
      </c>
      <c r="D127" s="109">
        <f t="shared" si="35"/>
        <v>-9.9999999999988987E-4</v>
      </c>
      <c r="E127" s="109">
        <f ca="1">IF(表2_36716262930389121314152324252627[[#This Row],[累计净值]]/MAX(INDIRECT("B21:B" &amp; ROW()))-1&lt;E126,表2_36716262930389121314152324252627[[#This Row],[累计净值]]/MAX(INDIRECT("B21:B" &amp; ROW()))-1,E126)</f>
        <v>-5.2809749492213953E-2</v>
      </c>
      <c r="F127" s="110">
        <f>表2_36716262930389121314152324252627[[#This Row],[累计净值]]</f>
        <v>1.6990000000000001</v>
      </c>
      <c r="G127" s="20">
        <f>表2_36716262930389121314152324252627[[#This Row],[累计净值]]/$B$21-1</f>
        <v>0.15030467163168582</v>
      </c>
    </row>
    <row r="128" spans="1:7" x14ac:dyDescent="0.2">
      <c r="A128" s="15">
        <v>44209</v>
      </c>
      <c r="B128" s="112">
        <v>1.6850000000000001</v>
      </c>
      <c r="C128" s="108">
        <f t="shared" si="34"/>
        <v>-1.4000000000000012E-2</v>
      </c>
      <c r="D128" s="109">
        <f t="shared" si="35"/>
        <v>-1.4000000000000012E-2</v>
      </c>
      <c r="E128" s="109">
        <f ca="1">IF(表2_36716262930389121314152324252627[[#This Row],[累计净值]]/MAX(INDIRECT("B21:B" &amp; ROW()))-1&lt;E127,表2_36716262930389121314152324252627[[#This Row],[累计净值]]/MAX(INDIRECT("B21:B" &amp; ROW()))-1,E127)</f>
        <v>-5.2809749492213953E-2</v>
      </c>
      <c r="F128" s="110">
        <f>表2_36716262930389121314152324252627[[#This Row],[累计净值]]</f>
        <v>1.6850000000000001</v>
      </c>
      <c r="G128" s="20">
        <f>表2_36716262930389121314152324252627[[#This Row],[累计净值]]/$B$21-1</f>
        <v>0.14082599864590373</v>
      </c>
    </row>
    <row r="129" spans="1:7" x14ac:dyDescent="0.2">
      <c r="A129" s="15">
        <v>44210</v>
      </c>
      <c r="B129" s="112">
        <v>1.677</v>
      </c>
      <c r="C129" s="108">
        <f t="shared" ref="C129:C134" si="36">IFERROR(B129-B128,0)</f>
        <v>-8.0000000000000071E-3</v>
      </c>
      <c r="D129" s="109">
        <f t="shared" ref="D129:D134" si="37">IF(C129&lt;0,C129,"/")</f>
        <v>-8.0000000000000071E-3</v>
      </c>
      <c r="E129" s="109">
        <f ca="1">IF(表2_36716262930389121314152324252627[[#This Row],[累计净值]]/MAX(INDIRECT("B21:B" &amp; ROW()))-1&lt;E128,表2_36716262930389121314152324252627[[#This Row],[累计净值]]/MAX(INDIRECT("B21:B" &amp; ROW()))-1,E128)</f>
        <v>-5.2809749492213953E-2</v>
      </c>
      <c r="F129" s="110">
        <f>表2_36716262930389121314152324252627[[#This Row],[累计净值]]</f>
        <v>1.677</v>
      </c>
      <c r="G129" s="20">
        <f>表2_36716262930389121314152324252627[[#This Row],[累计净值]]/$B$21-1</f>
        <v>0.13540961408259977</v>
      </c>
    </row>
    <row r="130" spans="1:7" x14ac:dyDescent="0.2">
      <c r="A130" s="15">
        <v>44211</v>
      </c>
      <c r="B130" s="112">
        <v>1.67</v>
      </c>
      <c r="C130" s="108">
        <f t="shared" si="36"/>
        <v>-7.0000000000001172E-3</v>
      </c>
      <c r="D130" s="109">
        <f t="shared" si="37"/>
        <v>-7.0000000000001172E-3</v>
      </c>
      <c r="E130" s="109">
        <f ca="1">IF(表2_36716262930389121314152324252627[[#This Row],[累计净值]]/MAX(INDIRECT("B21:B" &amp; ROW()))-1&lt;E129,表2_36716262930389121314152324252627[[#This Row],[累计净值]]/MAX(INDIRECT("B21:B" &amp; ROW()))-1,E129)</f>
        <v>-5.2809749492213953E-2</v>
      </c>
      <c r="F130" s="110">
        <f>表2_36716262930389121314152324252627[[#This Row],[累计净值]]</f>
        <v>1.67</v>
      </c>
      <c r="G130" s="20">
        <f>表2_36716262930389121314152324252627[[#This Row],[累计净值]]/$B$21-1</f>
        <v>0.13067027758970884</v>
      </c>
    </row>
    <row r="131" spans="1:7" x14ac:dyDescent="0.2">
      <c r="A131" s="15">
        <v>44214</v>
      </c>
      <c r="B131" s="112">
        <v>1.657</v>
      </c>
      <c r="C131" s="108">
        <f t="shared" si="36"/>
        <v>-1.2999999999999901E-2</v>
      </c>
      <c r="D131" s="109">
        <f t="shared" si="37"/>
        <v>-1.2999999999999901E-2</v>
      </c>
      <c r="E131" s="109">
        <f ca="1">IF(表2_36716262930389121314152324252627[[#This Row],[累计净值]]/MAX(INDIRECT("B21:B" &amp; ROW()))-1&lt;E130,表2_36716262930389121314152324252627[[#This Row],[累计净值]]/MAX(INDIRECT("B21:B" &amp; ROW()))-1,E130)</f>
        <v>-5.2809749492213953E-2</v>
      </c>
      <c r="F131" s="110">
        <f>表2_36716262930389121314152324252627[[#This Row],[累计净值]]</f>
        <v>1.657</v>
      </c>
      <c r="G131" s="20">
        <f>表2_36716262930389121314152324252627[[#This Row],[累计净值]]/$B$21-1</f>
        <v>0.12186865267433977</v>
      </c>
    </row>
    <row r="132" spans="1:7" x14ac:dyDescent="0.2">
      <c r="A132" s="15">
        <v>44215</v>
      </c>
      <c r="B132" s="112">
        <v>1.655</v>
      </c>
      <c r="C132" s="108">
        <f t="shared" si="36"/>
        <v>-2.0000000000000018E-3</v>
      </c>
      <c r="D132" s="109">
        <f t="shared" si="37"/>
        <v>-2.0000000000000018E-3</v>
      </c>
      <c r="E132" s="109">
        <f ca="1">IF(表2_36716262930389121314152324252627[[#This Row],[累计净值]]/MAX(INDIRECT("B21:B" &amp; ROW()))-1&lt;E131,表2_36716262930389121314152324252627[[#This Row],[累计净值]]/MAX(INDIRECT("B21:B" &amp; ROW()))-1,E131)</f>
        <v>-5.2809749492213953E-2</v>
      </c>
      <c r="F132" s="110">
        <f>表2_36716262930389121314152324252627[[#This Row],[累计净值]]</f>
        <v>1.655</v>
      </c>
      <c r="G132" s="20">
        <f>表2_36716262930389121314152324252627[[#This Row],[累计净值]]/$B$21-1</f>
        <v>0.12051455653351373</v>
      </c>
    </row>
    <row r="133" spans="1:7" x14ac:dyDescent="0.2">
      <c r="A133" s="15">
        <v>44216</v>
      </c>
      <c r="B133" s="112">
        <v>1.645</v>
      </c>
      <c r="C133" s="108">
        <f t="shared" si="36"/>
        <v>-1.0000000000000009E-2</v>
      </c>
      <c r="D133" s="109">
        <f t="shared" si="37"/>
        <v>-1.0000000000000009E-2</v>
      </c>
      <c r="E133" s="109">
        <f ca="1">IF(表2_36716262930389121314152324252627[[#This Row],[累计净值]]/MAX(INDIRECT("B21:B" &amp; ROW()))-1&lt;E132,表2_36716262930389121314152324252627[[#This Row],[累计净值]]/MAX(INDIRECT("B21:B" &amp; ROW()))-1,E132)</f>
        <v>-5.2809749492213953E-2</v>
      </c>
      <c r="F133" s="110">
        <f>表2_36716262930389121314152324252627[[#This Row],[累计净值]]</f>
        <v>1.645</v>
      </c>
      <c r="G133" s="20">
        <f>表2_36716262930389121314152324252627[[#This Row],[累计净值]]/$B$21-1</f>
        <v>0.11374407582938373</v>
      </c>
    </row>
    <row r="134" spans="1:7" x14ac:dyDescent="0.2">
      <c r="A134" s="15">
        <v>44217</v>
      </c>
      <c r="B134" s="112">
        <v>1.6319999999999999</v>
      </c>
      <c r="C134" s="108">
        <f t="shared" si="36"/>
        <v>-1.3000000000000123E-2</v>
      </c>
      <c r="D134" s="109">
        <f t="shared" si="37"/>
        <v>-1.3000000000000123E-2</v>
      </c>
      <c r="E134" s="109">
        <f ca="1">IF(表2_36716262930389121314152324252627[[#This Row],[累计净值]]/MAX(INDIRECT("B21:B" &amp; ROW()))-1&lt;E133,表2_36716262930389121314152324252627[[#This Row],[累计净值]]/MAX(INDIRECT("B21:B" &amp; ROW()))-1,E133)</f>
        <v>-5.2809749492213953E-2</v>
      </c>
      <c r="F134" s="110">
        <f>表2_36716262930389121314152324252627[[#This Row],[累计净值]]</f>
        <v>1.6319999999999999</v>
      </c>
      <c r="G134" s="20">
        <f>表2_36716262930389121314152324252627[[#This Row],[累计净值]]/$B$21-1</f>
        <v>0.10494245091401466</v>
      </c>
    </row>
    <row r="135" spans="1:7" x14ac:dyDescent="0.2">
      <c r="A135" s="15">
        <v>44218</v>
      </c>
      <c r="B135" s="112">
        <v>1.639</v>
      </c>
      <c r="C135" s="108">
        <f t="shared" ref="C135:C140" si="38">IFERROR(B135-B134,0)</f>
        <v>7.0000000000001172E-3</v>
      </c>
      <c r="D135" s="109" t="str">
        <f t="shared" ref="D135:D140" si="39">IF(C135&lt;0,C135,"/")</f>
        <v>/</v>
      </c>
      <c r="E135" s="109">
        <f ca="1">IF(表2_36716262930389121314152324252627[[#This Row],[累计净值]]/MAX(INDIRECT("B21:B" &amp; ROW()))-1&lt;E134,表2_36716262930389121314152324252627[[#This Row],[累计净值]]/MAX(INDIRECT("B21:B" &amp; ROW()))-1,E134)</f>
        <v>-5.2809749492213953E-2</v>
      </c>
      <c r="F135" s="110">
        <f>表2_36716262930389121314152324252627[[#This Row],[累计净值]]</f>
        <v>1.639</v>
      </c>
      <c r="G135" s="20">
        <f>表2_36716262930389121314152324252627[[#This Row],[累计净值]]/$B$21-1</f>
        <v>0.10968178740690582</v>
      </c>
    </row>
    <row r="136" spans="1:7" x14ac:dyDescent="0.2">
      <c r="A136" s="15">
        <v>44221</v>
      </c>
      <c r="B136" s="112">
        <v>1.635</v>
      </c>
      <c r="C136" s="108">
        <f t="shared" si="38"/>
        <v>-4.0000000000000036E-3</v>
      </c>
      <c r="D136" s="109">
        <f t="shared" si="39"/>
        <v>-4.0000000000000036E-3</v>
      </c>
      <c r="E136" s="109">
        <f ca="1">IF(表2_36716262930389121314152324252627[[#This Row],[累计净值]]/MAX(INDIRECT("B21:B" &amp; ROW()))-1&lt;E135,表2_36716262930389121314152324252627[[#This Row],[累计净值]]/MAX(INDIRECT("B21:B" &amp; ROW()))-1,E135)</f>
        <v>-5.2809749492213953E-2</v>
      </c>
      <c r="F136" s="110">
        <f>表2_36716262930389121314152324252627[[#This Row],[累计净值]]</f>
        <v>1.635</v>
      </c>
      <c r="G136" s="20">
        <f>表2_36716262930389121314152324252627[[#This Row],[累计净值]]/$B$21-1</f>
        <v>0.10697359512525373</v>
      </c>
    </row>
    <row r="137" spans="1:7" x14ac:dyDescent="0.2">
      <c r="A137" s="15">
        <v>44222</v>
      </c>
      <c r="B137" s="112">
        <v>1.6359999999999999</v>
      </c>
      <c r="C137" s="108">
        <f t="shared" si="38"/>
        <v>9.9999999999988987E-4</v>
      </c>
      <c r="D137" s="109" t="str">
        <f t="shared" si="39"/>
        <v>/</v>
      </c>
      <c r="E137" s="109">
        <f ca="1">IF(表2_36716262930389121314152324252627[[#This Row],[累计净值]]/MAX(INDIRECT("B21:B" &amp; ROW()))-1&lt;E136,表2_36716262930389121314152324252627[[#This Row],[累计净值]]/MAX(INDIRECT("B21:B" &amp; ROW()))-1,E136)</f>
        <v>-5.2809749492213953E-2</v>
      </c>
      <c r="F137" s="110">
        <f>表2_36716262930389121314152324252627[[#This Row],[累计净值]]</f>
        <v>1.6359999999999999</v>
      </c>
      <c r="G137" s="20">
        <f>表2_36716262930389121314152324252627[[#This Row],[累计净值]]/$B$21-1</f>
        <v>0.10765064319566675</v>
      </c>
    </row>
    <row r="138" spans="1:7" x14ac:dyDescent="0.2">
      <c r="A138" s="15">
        <v>44223</v>
      </c>
      <c r="B138" s="112">
        <v>1.6279999999999999</v>
      </c>
      <c r="C138" s="108">
        <f t="shared" si="38"/>
        <v>-8.0000000000000071E-3</v>
      </c>
      <c r="D138" s="109">
        <f t="shared" si="39"/>
        <v>-8.0000000000000071E-3</v>
      </c>
      <c r="E138" s="109">
        <f ca="1">IF(表2_36716262930389121314152324252627[[#This Row],[累计净值]]/MAX(INDIRECT("B21:B" &amp; ROW()))-1&lt;E137,表2_36716262930389121314152324252627[[#This Row],[累计净值]]/MAX(INDIRECT("B21:B" &amp; ROW()))-1,E137)</f>
        <v>-5.2809749492213953E-2</v>
      </c>
      <c r="F138" s="110">
        <f>表2_36716262930389121314152324252627[[#This Row],[累计净值]]</f>
        <v>1.6279999999999999</v>
      </c>
      <c r="G138" s="20">
        <f>表2_36716262930389121314152324252627[[#This Row],[累计净值]]/$B$21-1</f>
        <v>0.1022342586323628</v>
      </c>
    </row>
    <row r="139" spans="1:7" x14ac:dyDescent="0.2">
      <c r="A139" s="15">
        <v>44224</v>
      </c>
      <c r="B139" s="112">
        <v>1.6359999999999999</v>
      </c>
      <c r="C139" s="108">
        <f t="shared" si="38"/>
        <v>8.0000000000000071E-3</v>
      </c>
      <c r="D139" s="109" t="str">
        <f t="shared" si="39"/>
        <v>/</v>
      </c>
      <c r="E139" s="109">
        <f ca="1">IF(表2_36716262930389121314152324252627[[#This Row],[累计净值]]/MAX(INDIRECT("B21:B" &amp; ROW()))-1&lt;E138,表2_36716262930389121314152324252627[[#This Row],[累计净值]]/MAX(INDIRECT("B21:B" &amp; ROW()))-1,E138)</f>
        <v>-5.2809749492213953E-2</v>
      </c>
      <c r="F139" s="110">
        <f>表2_36716262930389121314152324252627[[#This Row],[累计净值]]</f>
        <v>1.6359999999999999</v>
      </c>
      <c r="G139" s="20">
        <f>表2_36716262930389121314152324252627[[#This Row],[累计净值]]/$B$21-1</f>
        <v>0.10765064319566675</v>
      </c>
    </row>
    <row r="140" spans="1:7" x14ac:dyDescent="0.2">
      <c r="A140" s="15">
        <v>44225</v>
      </c>
      <c r="B140" s="112">
        <v>1.635</v>
      </c>
      <c r="C140" s="108">
        <f t="shared" si="38"/>
        <v>-9.9999999999988987E-4</v>
      </c>
      <c r="D140" s="109">
        <f t="shared" si="39"/>
        <v>-9.9999999999988987E-4</v>
      </c>
      <c r="E140" s="109">
        <f ca="1">IF(表2_36716262930389121314152324252627[[#This Row],[累计净值]]/MAX(INDIRECT("B21:B" &amp; ROW()))-1&lt;E139,表2_36716262930389121314152324252627[[#This Row],[累计净值]]/MAX(INDIRECT("B21:B" &amp; ROW()))-1,E139)</f>
        <v>-5.2809749492213953E-2</v>
      </c>
      <c r="F140" s="110">
        <f>表2_36716262930389121314152324252627[[#This Row],[累计净值]]</f>
        <v>1.635</v>
      </c>
      <c r="G140" s="20">
        <f>表2_36716262930389121314152324252627[[#This Row],[累计净值]]/$B$21-1</f>
        <v>0.10697359512525373</v>
      </c>
    </row>
    <row r="141" spans="1:7" x14ac:dyDescent="0.2">
      <c r="A141" s="15">
        <v>44228</v>
      </c>
      <c r="B141" s="112">
        <v>1.609</v>
      </c>
      <c r="C141" s="108">
        <f t="shared" ref="C141:C146" si="40">IFERROR(B141-B140,0)</f>
        <v>-2.6000000000000023E-2</v>
      </c>
      <c r="D141" s="109">
        <f t="shared" ref="D141:D146" si="41">IF(C141&lt;0,C141,"/")</f>
        <v>-2.6000000000000023E-2</v>
      </c>
      <c r="E141" s="109">
        <f ca="1">IF(表2_36716262930389121314152324252627[[#This Row],[累计净值]]/MAX(INDIRECT("B21:B" &amp; ROW()))-1&lt;E140,表2_36716262930389121314152324252627[[#This Row],[累计净值]]/MAX(INDIRECT("B21:B" &amp; ROW()))-1,E140)</f>
        <v>-5.4641598119859025E-2</v>
      </c>
      <c r="F141" s="110">
        <f>表2_36716262930389121314152324252627[[#This Row],[累计净值]]</f>
        <v>1.609</v>
      </c>
      <c r="G141" s="20">
        <f>表2_36716262930389121314152324252627[[#This Row],[累计净值]]/$B$21-1</f>
        <v>8.9370345294515818E-2</v>
      </c>
    </row>
    <row r="142" spans="1:7" x14ac:dyDescent="0.2">
      <c r="A142" s="15">
        <v>44229</v>
      </c>
      <c r="B142" s="112">
        <v>1.615</v>
      </c>
      <c r="C142" s="108">
        <f t="shared" si="40"/>
        <v>6.0000000000000053E-3</v>
      </c>
      <c r="D142" s="109" t="str">
        <f t="shared" si="41"/>
        <v>/</v>
      </c>
      <c r="E142" s="109">
        <f ca="1">IF(表2_36716262930389121314152324252627[[#This Row],[累计净值]]/MAX(INDIRECT("B21:B" &amp; ROW()))-1&lt;E141,表2_36716262930389121314152324252627[[#This Row],[累计净值]]/MAX(INDIRECT("B21:B" &amp; ROW()))-1,E141)</f>
        <v>-5.4641598119859025E-2</v>
      </c>
      <c r="F142" s="110">
        <f>表2_36716262930389121314152324252627[[#This Row],[累计净值]]</f>
        <v>1.615</v>
      </c>
      <c r="G142" s="20">
        <f>表2_36716262930389121314152324252627[[#This Row],[累计净值]]/$B$21-1</f>
        <v>9.3432633716993729E-2</v>
      </c>
    </row>
    <row r="143" spans="1:7" x14ac:dyDescent="0.2">
      <c r="A143" s="15">
        <v>44230</v>
      </c>
      <c r="B143" s="112">
        <v>1.6160000000000001</v>
      </c>
      <c r="C143" s="108">
        <f t="shared" si="40"/>
        <v>1.0000000000001119E-3</v>
      </c>
      <c r="D143" s="109" t="str">
        <f t="shared" si="41"/>
        <v>/</v>
      </c>
      <c r="E143" s="109">
        <f ca="1">IF(表2_36716262930389121314152324252627[[#This Row],[累计净值]]/MAX(INDIRECT("B21:B" &amp; ROW()))-1&lt;E142,表2_36716262930389121314152324252627[[#This Row],[累计净值]]/MAX(INDIRECT("B21:B" &amp; ROW()))-1,E142)</f>
        <v>-5.4641598119859025E-2</v>
      </c>
      <c r="F143" s="110">
        <f>表2_36716262930389121314152324252627[[#This Row],[累计净值]]</f>
        <v>1.6160000000000001</v>
      </c>
      <c r="G143" s="20">
        <f>表2_36716262930389121314152324252627[[#This Row],[累计净值]]/$B$21-1</f>
        <v>9.4109681787406974E-2</v>
      </c>
    </row>
    <row r="144" spans="1:7" x14ac:dyDescent="0.2">
      <c r="A144" s="15">
        <v>44231</v>
      </c>
      <c r="B144" s="112">
        <v>1.6060000000000001</v>
      </c>
      <c r="C144" s="108">
        <f t="shared" si="40"/>
        <v>-1.0000000000000009E-2</v>
      </c>
      <c r="D144" s="109">
        <f t="shared" si="41"/>
        <v>-1.0000000000000009E-2</v>
      </c>
      <c r="E144" s="109">
        <f ca="1">IF(表2_36716262930389121314152324252627[[#This Row],[累计净值]]/MAX(INDIRECT("B21:B" &amp; ROW()))-1&lt;E143,表2_36716262930389121314152324252627[[#This Row],[累计净值]]/MAX(INDIRECT("B21:B" &amp; ROW()))-1,E143)</f>
        <v>-5.6404230317273707E-2</v>
      </c>
      <c r="F144" s="110">
        <f>表2_36716262930389121314152324252627[[#This Row],[累计净值]]</f>
        <v>1.6060000000000001</v>
      </c>
      <c r="G144" s="20">
        <f>表2_36716262930389121314152324252627[[#This Row],[累计净值]]/$B$21-1</f>
        <v>8.7339201083276974E-2</v>
      </c>
    </row>
    <row r="145" spans="1:7" x14ac:dyDescent="0.2">
      <c r="A145" s="15">
        <v>44232</v>
      </c>
      <c r="B145" s="112">
        <v>1.617</v>
      </c>
      <c r="C145" s="108">
        <f t="shared" si="40"/>
        <v>1.0999999999999899E-2</v>
      </c>
      <c r="D145" s="109" t="str">
        <f t="shared" si="41"/>
        <v>/</v>
      </c>
      <c r="E145" s="109">
        <f ca="1">IF(表2_36716262930389121314152324252627[[#This Row],[累计净值]]/MAX(INDIRECT("B21:B" &amp; ROW()))-1&lt;E144,表2_36716262930389121314152324252627[[#This Row],[累计净值]]/MAX(INDIRECT("B21:B" &amp; ROW()))-1,E144)</f>
        <v>-5.6404230317273707E-2</v>
      </c>
      <c r="F145" s="110">
        <f>表2_36716262930389121314152324252627[[#This Row],[累计净值]]</f>
        <v>1.617</v>
      </c>
      <c r="G145" s="20">
        <f>表2_36716262930389121314152324252627[[#This Row],[累计净值]]/$B$21-1</f>
        <v>9.4786729857819774E-2</v>
      </c>
    </row>
    <row r="146" spans="1:7" x14ac:dyDescent="0.2">
      <c r="A146" s="15">
        <v>44235</v>
      </c>
      <c r="B146" s="112">
        <v>1.6220000000000001</v>
      </c>
      <c r="C146" s="108">
        <f t="shared" si="40"/>
        <v>5.0000000000001155E-3</v>
      </c>
      <c r="D146" s="109" t="str">
        <f t="shared" si="41"/>
        <v>/</v>
      </c>
      <c r="E146" s="109">
        <f ca="1">IF(表2_36716262930389121314152324252627[[#This Row],[累计净值]]/MAX(INDIRECT("B21:B" &amp; ROW()))-1&lt;E145,表2_36716262930389121314152324252627[[#This Row],[累计净值]]/MAX(INDIRECT("B21:B" &amp; ROW()))-1,E145)</f>
        <v>-5.6404230317273707E-2</v>
      </c>
      <c r="F146" s="110">
        <f>表2_36716262930389121314152324252627[[#This Row],[累计净值]]</f>
        <v>1.6220000000000001</v>
      </c>
      <c r="G146" s="20">
        <f>表2_36716262930389121314152324252627[[#This Row],[累计净值]]/$B$21-1</f>
        <v>9.8171970209884885E-2</v>
      </c>
    </row>
    <row r="147" spans="1:7" x14ac:dyDescent="0.2">
      <c r="A147" s="15">
        <v>44236</v>
      </c>
      <c r="B147" s="112">
        <v>1.63</v>
      </c>
      <c r="C147" s="108">
        <f>IFERROR(B147-B146,0)</f>
        <v>7.9999999999997851E-3</v>
      </c>
      <c r="D147" s="109" t="str">
        <f>IF(C147&lt;0,C147,"/")</f>
        <v>/</v>
      </c>
      <c r="E147" s="109">
        <f ca="1">IF(表2_36716262930389121314152324252627[[#This Row],[累计净值]]/MAX(INDIRECT("B21:B" &amp; ROW()))-1&lt;E146,表2_36716262930389121314152324252627[[#This Row],[累计净值]]/MAX(INDIRECT("B21:B" &amp; ROW()))-1,E146)</f>
        <v>-5.6404230317273707E-2</v>
      </c>
      <c r="F147" s="110">
        <f>表2_36716262930389121314152324252627[[#This Row],[累计净值]]</f>
        <v>1.63</v>
      </c>
      <c r="G147" s="20">
        <f>表2_36716262930389121314152324252627[[#This Row],[累计净值]]/$B$21-1</f>
        <v>0.10358835477318884</v>
      </c>
    </row>
    <row r="148" spans="1:7" x14ac:dyDescent="0.2">
      <c r="A148" s="15">
        <v>44237</v>
      </c>
      <c r="B148" s="112">
        <v>1.635</v>
      </c>
      <c r="C148" s="108">
        <f t="shared" ref="C148:C149" si="42">IFERROR(B148-B147,0)</f>
        <v>5.0000000000001155E-3</v>
      </c>
      <c r="D148" s="109" t="str">
        <f t="shared" ref="D148:D149" si="43">IF(C148&lt;0,C148,"/")</f>
        <v>/</v>
      </c>
      <c r="E148" s="109">
        <f ca="1">IF(表2_36716262930389121314152324252627[[#This Row],[累计净值]]/MAX(INDIRECT("B21:B" &amp; ROW()))-1&lt;E147,表2_36716262930389121314152324252627[[#This Row],[累计净值]]/MAX(INDIRECT("B21:B" &amp; ROW()))-1,E147)</f>
        <v>-5.6404230317273707E-2</v>
      </c>
      <c r="F148" s="110">
        <f>表2_36716262930389121314152324252627[[#This Row],[累计净值]]</f>
        <v>1.635</v>
      </c>
      <c r="G148" s="20">
        <f>表2_36716262930389121314152324252627[[#This Row],[累计净值]]/$B$21-1</f>
        <v>0.10697359512525373</v>
      </c>
    </row>
    <row r="149" spans="1:7" x14ac:dyDescent="0.2">
      <c r="A149" s="15">
        <v>44245</v>
      </c>
      <c r="B149" s="112">
        <v>1.6779999999999999</v>
      </c>
      <c r="C149" s="108">
        <f t="shared" si="42"/>
        <v>4.2999999999999927E-2</v>
      </c>
      <c r="D149" s="109" t="str">
        <f t="shared" si="43"/>
        <v>/</v>
      </c>
      <c r="E149" s="109">
        <f ca="1">IF(表2_36716262930389121314152324252627[[#This Row],[累计净值]]/MAX(INDIRECT("B21:B" &amp; ROW()))-1&lt;E148,表2_36716262930389121314152324252627[[#This Row],[累计净值]]/MAX(INDIRECT("B21:B" &amp; ROW()))-1,E148)</f>
        <v>-5.6404230317273707E-2</v>
      </c>
      <c r="F149" s="110">
        <f>表2_36716262930389121314152324252627[[#This Row],[累计净值]]</f>
        <v>1.6779999999999999</v>
      </c>
      <c r="G149" s="20">
        <f>表2_36716262930389121314152324252627[[#This Row],[累计净值]]/$B$21-1</f>
        <v>0.13608666215301279</v>
      </c>
    </row>
    <row r="150" spans="1:7" x14ac:dyDescent="0.2">
      <c r="A150" s="15">
        <v>44246</v>
      </c>
      <c r="B150" s="112">
        <v>1.69</v>
      </c>
      <c r="C150" s="108">
        <f>IFERROR(B150-B149,0)</f>
        <v>1.2000000000000011E-2</v>
      </c>
      <c r="D150" s="109" t="str">
        <f>IF(C150&lt;0,C150,"/")</f>
        <v>/</v>
      </c>
      <c r="E150" s="109">
        <f ca="1">IF(表2_36716262930389121314152324252627[[#This Row],[累计净值]]/MAX(INDIRECT("B21:B" &amp; ROW()))-1&lt;E149,表2_36716262930389121314152324252627[[#This Row],[累计净值]]/MAX(INDIRECT("B21:B" &amp; ROW()))-1,E149)</f>
        <v>-5.6404230317273707E-2</v>
      </c>
      <c r="F150" s="110">
        <f>表2_36716262930389121314152324252627[[#This Row],[累计净值]]</f>
        <v>1.69</v>
      </c>
      <c r="G150" s="20">
        <f>表2_36716262930389121314152324252627[[#This Row],[累计净值]]/$B$21-1</f>
        <v>0.14421123899796884</v>
      </c>
    </row>
    <row r="151" spans="1:7" x14ac:dyDescent="0.2">
      <c r="A151" s="15">
        <v>44249</v>
      </c>
      <c r="B151" s="112">
        <v>1.7370000000000001</v>
      </c>
      <c r="C151" s="108">
        <f>IFERROR(B151-B150,0)</f>
        <v>4.7000000000000153E-2</v>
      </c>
      <c r="D151" s="109" t="str">
        <f>IF(C151&lt;0,C151,"/")</f>
        <v>/</v>
      </c>
      <c r="E151" s="109">
        <f ca="1">IF(表2_36716262930389121314152324252627[[#This Row],[累计净值]]/MAX(INDIRECT("B21:B" &amp; ROW()))-1&lt;E150,表2_36716262930389121314152324252627[[#This Row],[累计净值]]/MAX(INDIRECT("B21:B" &amp; ROW()))-1,E150)</f>
        <v>-5.6404230317273707E-2</v>
      </c>
      <c r="F151" s="110">
        <f>表2_36716262930389121314152324252627[[#This Row],[累计净值]]</f>
        <v>1.7370000000000001</v>
      </c>
      <c r="G151" s="20">
        <f>表2_36716262930389121314152324252627[[#This Row],[累计净值]]/$B$21-1</f>
        <v>0.17603249830737977</v>
      </c>
    </row>
    <row r="152" spans="1:7" x14ac:dyDescent="0.2">
      <c r="A152" s="15">
        <v>44250</v>
      </c>
      <c r="B152" s="112">
        <v>1.7509999999999999</v>
      </c>
      <c r="C152" s="108">
        <f>IFERROR(B152-B151,0)</f>
        <v>1.399999999999979E-2</v>
      </c>
      <c r="D152" s="109" t="str">
        <f>IF(C152&lt;0,C152,"/")</f>
        <v>/</v>
      </c>
      <c r="E152" s="109">
        <f ca="1">IF(表2_36716262930389121314152324252627[[#This Row],[累计净值]]/MAX(INDIRECT("B21:B" &amp; ROW()))-1&lt;E151,表2_36716262930389121314152324252627[[#This Row],[累计净值]]/MAX(INDIRECT("B21:B" &amp; ROW()))-1,E151)</f>
        <v>-5.6404230317273707E-2</v>
      </c>
      <c r="F152" s="110">
        <f>表2_36716262930389121314152324252627[[#This Row],[累计净值]]</f>
        <v>1.7509999999999999</v>
      </c>
      <c r="G152" s="20">
        <f>表2_36716262930389121314152324252627[[#This Row],[累计净值]]/$B$21-1</f>
        <v>0.18551117129316164</v>
      </c>
    </row>
    <row r="153" spans="1:7" x14ac:dyDescent="0.2">
      <c r="A153" s="15">
        <v>44251</v>
      </c>
      <c r="B153" s="112">
        <v>1.752</v>
      </c>
      <c r="C153" s="108">
        <f t="shared" ref="C153:C154" si="44">IFERROR(B153-B152,0)</f>
        <v>1.0000000000001119E-3</v>
      </c>
      <c r="D153" s="109" t="str">
        <f t="shared" ref="D153:D154" si="45">IF(C153&lt;0,C153,"/")</f>
        <v>/</v>
      </c>
      <c r="E153" s="109">
        <f ca="1">IF(表2_36716262930389121314152324252627[[#This Row],[累计净值]]/MAX(INDIRECT("B21:B" &amp; ROW()))-1&lt;E152,表2_36716262930389121314152324252627[[#This Row],[累计净值]]/MAX(INDIRECT("B21:B" &amp; ROW()))-1,E152)</f>
        <v>-5.6404230317273707E-2</v>
      </c>
      <c r="F153" s="110">
        <f>表2_36716262930389121314152324252627[[#This Row],[累计净值]]</f>
        <v>1.752</v>
      </c>
      <c r="G153" s="20">
        <f>表2_36716262930389121314152324252627[[#This Row],[累计净值]]/$B$21-1</f>
        <v>0.18618821936357466</v>
      </c>
    </row>
    <row r="154" spans="1:7" x14ac:dyDescent="0.2">
      <c r="A154" s="15">
        <v>44252</v>
      </c>
      <c r="B154" s="117">
        <v>1.774</v>
      </c>
      <c r="C154" s="108">
        <f t="shared" si="44"/>
        <v>2.200000000000002E-2</v>
      </c>
      <c r="D154" s="109" t="str">
        <f t="shared" si="45"/>
        <v>/</v>
      </c>
      <c r="E154" s="109">
        <f ca="1">IF(表2_36716262930389121314152324252627[[#This Row],[累计净值]]/MAX(INDIRECT("B21:B" &amp; ROW()))-1&lt;E153,表2_36716262930389121314152324252627[[#This Row],[累计净值]]/MAX(INDIRECT("B21:B" &amp; ROW()))-1,E153)</f>
        <v>-5.6404230317273707E-2</v>
      </c>
      <c r="F154" s="110">
        <f>表2_36716262930389121314152324252627[[#This Row],[累计净值]]</f>
        <v>1.774</v>
      </c>
      <c r="G154" s="20">
        <f>表2_36716262930389121314152324252627[[#This Row],[累计净值]]/$B$21-1</f>
        <v>0.2010832769126607</v>
      </c>
    </row>
    <row r="155" spans="1:7" x14ac:dyDescent="0.2">
      <c r="A155" s="15">
        <v>44253</v>
      </c>
      <c r="B155" s="112">
        <v>1.7529999999999999</v>
      </c>
      <c r="C155" s="108">
        <f>IFERROR(B155-B154,0)</f>
        <v>-2.100000000000013E-2</v>
      </c>
      <c r="D155" s="109">
        <f>IF(C155&lt;0,C155,"/")</f>
        <v>-2.100000000000013E-2</v>
      </c>
      <c r="E155" s="109">
        <f ca="1">IF(表2_36716262930389121314152324252627[[#This Row],[累计净值]]/MAX(INDIRECT("B21:B" &amp; ROW()))-1&lt;E154,表2_36716262930389121314152324252627[[#This Row],[累计净值]]/MAX(INDIRECT("B21:B" &amp; ROW()))-1,E154)</f>
        <v>-5.6404230317273707E-2</v>
      </c>
      <c r="F155" s="110">
        <f>表2_36716262930389121314152324252627[[#This Row],[累计净值]]</f>
        <v>1.7529999999999999</v>
      </c>
      <c r="G155" s="20">
        <f>表2_36716262930389121314152324252627[[#This Row],[累计净值]]/$B$21-1</f>
        <v>0.18686526743398768</v>
      </c>
    </row>
    <row r="156" spans="1:7" x14ac:dyDescent="0.2">
      <c r="A156" s="15">
        <v>44256</v>
      </c>
      <c r="B156" s="112">
        <v>1.7589999999999999</v>
      </c>
      <c r="C156" s="108">
        <f t="shared" ref="C156" si="46">IFERROR(B156-B155,0)</f>
        <v>6.0000000000000053E-3</v>
      </c>
      <c r="D156" s="109" t="str">
        <f t="shared" ref="D156" si="47">IF(C156&lt;0,C156,"/")</f>
        <v>/</v>
      </c>
      <c r="E156" s="109">
        <f ca="1">IF(表2_36716262930389121314152324252627[[#This Row],[累计净值]]/MAX(INDIRECT("B21:B" &amp; ROW()))-1&lt;E155,表2_36716262930389121314152324252627[[#This Row],[累计净值]]/MAX(INDIRECT("B21:B" &amp; ROW()))-1,E155)</f>
        <v>-5.6404230317273707E-2</v>
      </c>
      <c r="F156" s="110">
        <f>表2_36716262930389121314152324252627[[#This Row],[累计净值]]</f>
        <v>1.7589999999999999</v>
      </c>
      <c r="G156" s="20">
        <f>表2_36716262930389121314152324252627[[#This Row],[累计净值]]/$B$21-1</f>
        <v>0.19092755585646559</v>
      </c>
    </row>
    <row r="157" spans="1:7" x14ac:dyDescent="0.2">
      <c r="A157" s="15">
        <v>44257</v>
      </c>
      <c r="B157" s="112">
        <v>1.7549999999999999</v>
      </c>
      <c r="C157" s="108">
        <f>IFERROR(B157-B156,0)</f>
        <v>-4.0000000000000036E-3</v>
      </c>
      <c r="D157" s="109">
        <f>IF(C157&lt;0,C157,"/")</f>
        <v>-4.0000000000000036E-3</v>
      </c>
      <c r="E157" s="109">
        <f ca="1">IF(表2_36716262930389121314152324252627[[#This Row],[累计净值]]/MAX(INDIRECT("B21:B" &amp; ROW()))-1&lt;E156,表2_36716262930389121314152324252627[[#This Row],[累计净值]]/MAX(INDIRECT("B21:B" &amp; ROW()))-1,E156)</f>
        <v>-5.6404230317273707E-2</v>
      </c>
      <c r="F157" s="110">
        <f>表2_36716262930389121314152324252627[[#This Row],[累计净值]]</f>
        <v>1.7549999999999999</v>
      </c>
      <c r="G157" s="20">
        <f>表2_36716262930389121314152324252627[[#This Row],[累计净值]]/$B$21-1</f>
        <v>0.18821936357481373</v>
      </c>
    </row>
    <row r="158" spans="1:7" x14ac:dyDescent="0.2">
      <c r="A158" s="15">
        <v>44258</v>
      </c>
      <c r="B158" s="112">
        <v>1.7629999999999999</v>
      </c>
      <c r="C158" s="108">
        <f t="shared" ref="C158" si="48">IFERROR(B158-B157,0)</f>
        <v>8.0000000000000071E-3</v>
      </c>
      <c r="D158" s="109" t="str">
        <f t="shared" ref="D158" si="49">IF(C158&lt;0,C158,"/")</f>
        <v>/</v>
      </c>
      <c r="E158" s="109">
        <f ca="1">IF(表2_36716262930389121314152324252627[[#This Row],[累计净值]]/MAX(INDIRECT("B21:B" &amp; ROW()))-1&lt;E157,表2_36716262930389121314152324252627[[#This Row],[累计净值]]/MAX(INDIRECT("B21:B" &amp; ROW()))-1,E157)</f>
        <v>-5.6404230317273707E-2</v>
      </c>
      <c r="F158" s="110">
        <f>表2_36716262930389121314152324252627[[#This Row],[累计净值]]</f>
        <v>1.7629999999999999</v>
      </c>
      <c r="G158" s="20">
        <f>表2_36716262930389121314152324252627[[#This Row],[累计净值]]/$B$21-1</f>
        <v>0.19363574813811768</v>
      </c>
    </row>
    <row r="159" spans="1:7" x14ac:dyDescent="0.2">
      <c r="A159" s="15">
        <v>44259</v>
      </c>
      <c r="B159" s="112">
        <v>1.764</v>
      </c>
      <c r="C159" s="108">
        <f t="shared" ref="C159:C165" si="50">IFERROR(B159-B158,0)</f>
        <v>1.0000000000001119E-3</v>
      </c>
      <c r="D159" s="109" t="str">
        <f t="shared" ref="D159:D165" si="51">IF(C159&lt;0,C159,"/")</f>
        <v>/</v>
      </c>
      <c r="E159" s="109">
        <f ca="1">IF(表2_36716262930389121314152324252627[[#This Row],[累计净值]]/MAX(INDIRECT("B21:B" &amp; ROW()))-1&lt;E158,表2_36716262930389121314152324252627[[#This Row],[累计净值]]/MAX(INDIRECT("B21:B" &amp; ROW()))-1,E158)</f>
        <v>-5.6404230317273707E-2</v>
      </c>
      <c r="F159" s="110">
        <f>表2_36716262930389121314152324252627[[#This Row],[累计净值]]</f>
        <v>1.764</v>
      </c>
      <c r="G159" s="20">
        <f>表2_36716262930389121314152324252627[[#This Row],[累计净值]]/$B$21-1</f>
        <v>0.1943127962085307</v>
      </c>
    </row>
    <row r="160" spans="1:7" x14ac:dyDescent="0.2">
      <c r="A160" s="15">
        <v>44260</v>
      </c>
      <c r="B160" s="112">
        <v>1.746</v>
      </c>
      <c r="C160" s="108">
        <f t="shared" si="50"/>
        <v>-1.8000000000000016E-2</v>
      </c>
      <c r="D160" s="109">
        <f t="shared" si="51"/>
        <v>-1.8000000000000016E-2</v>
      </c>
      <c r="E160" s="109">
        <f ca="1">IF(表2_36716262930389121314152324252627[[#This Row],[累计净值]]/MAX(INDIRECT("B21:B" &amp; ROW()))-1&lt;E159,表2_36716262930389121314152324252627[[#This Row],[累计净值]]/MAX(INDIRECT("B21:B" &amp; ROW()))-1,E159)</f>
        <v>-5.6404230317273707E-2</v>
      </c>
      <c r="F160" s="110">
        <f>表2_36716262930389121314152324252627[[#This Row],[累计净值]]</f>
        <v>1.746</v>
      </c>
      <c r="G160" s="20">
        <f>表2_36716262930389121314152324252627[[#This Row],[累计净值]]/$B$21-1</f>
        <v>0.18212593094109675</v>
      </c>
    </row>
    <row r="161" spans="1:7" x14ac:dyDescent="0.2">
      <c r="A161" s="15">
        <v>44263</v>
      </c>
      <c r="B161" s="112">
        <v>1.7669999999999999</v>
      </c>
      <c r="C161" s="108">
        <f t="shared" si="50"/>
        <v>2.0999999999999908E-2</v>
      </c>
      <c r="D161" s="109" t="str">
        <f t="shared" si="51"/>
        <v>/</v>
      </c>
      <c r="E161" s="109">
        <f ca="1">IF(表2_36716262930389121314152324252627[[#This Row],[累计净值]]/MAX(INDIRECT("B21:B" &amp; ROW()))-1&lt;E160,表2_36716262930389121314152324252627[[#This Row],[累计净值]]/MAX(INDIRECT("B21:B" &amp; ROW()))-1,E160)</f>
        <v>-5.6404230317273707E-2</v>
      </c>
      <c r="F161" s="110">
        <f>表2_36716262930389121314152324252627[[#This Row],[累计净值]]</f>
        <v>1.7669999999999999</v>
      </c>
      <c r="G161" s="20">
        <f>表2_36716262930389121314152324252627[[#This Row],[累计净值]]/$B$21-1</f>
        <v>0.19634394041976977</v>
      </c>
    </row>
    <row r="162" spans="1:7" x14ac:dyDescent="0.2">
      <c r="A162" s="15">
        <v>44264</v>
      </c>
      <c r="B162" s="112">
        <v>1.7649999999999999</v>
      </c>
      <c r="C162" s="108">
        <f t="shared" si="50"/>
        <v>-2.0000000000000018E-3</v>
      </c>
      <c r="D162" s="109">
        <f t="shared" si="51"/>
        <v>-2.0000000000000018E-3</v>
      </c>
      <c r="E162" s="109">
        <f ca="1">IF(表2_36716262930389121314152324252627[[#This Row],[累计净值]]/MAX(INDIRECT("B21:B" &amp; ROW()))-1&lt;E161,表2_36716262930389121314152324252627[[#This Row],[累计净值]]/MAX(INDIRECT("B21:B" &amp; ROW()))-1,E161)</f>
        <v>-5.6404230317273707E-2</v>
      </c>
      <c r="F162" s="110">
        <f>表2_36716262930389121314152324252627[[#This Row],[累计净值]]</f>
        <v>1.7649999999999999</v>
      </c>
      <c r="G162" s="20">
        <f>表2_36716262930389121314152324252627[[#This Row],[累计净值]]/$B$21-1</f>
        <v>0.19498984427894372</v>
      </c>
    </row>
    <row r="163" spans="1:7" x14ac:dyDescent="0.2">
      <c r="A163" s="15">
        <v>44265</v>
      </c>
      <c r="B163" s="112">
        <v>1.7589999999999999</v>
      </c>
      <c r="C163" s="108">
        <f t="shared" si="50"/>
        <v>-6.0000000000000053E-3</v>
      </c>
      <c r="D163" s="109">
        <f t="shared" si="51"/>
        <v>-6.0000000000000053E-3</v>
      </c>
      <c r="E163" s="109">
        <f ca="1">IF(表2_36716262930389121314152324252627[[#This Row],[累计净值]]/MAX(INDIRECT("B21:B" &amp; ROW()))-1&lt;E162,表2_36716262930389121314152324252627[[#This Row],[累计净值]]/MAX(INDIRECT("B21:B" &amp; ROW()))-1,E162)</f>
        <v>-5.6404230317273707E-2</v>
      </c>
      <c r="F163" s="110">
        <f>表2_36716262930389121314152324252627[[#This Row],[累计净值]]</f>
        <v>1.7589999999999999</v>
      </c>
      <c r="G163" s="20">
        <f>表2_36716262930389121314152324252627[[#This Row],[累计净值]]/$B$21-1</f>
        <v>0.19092755585646559</v>
      </c>
    </row>
    <row r="164" spans="1:7" x14ac:dyDescent="0.2">
      <c r="A164" s="15">
        <v>44266</v>
      </c>
      <c r="B164" s="112">
        <v>1.7529999999999999</v>
      </c>
      <c r="C164" s="108">
        <f t="shared" si="50"/>
        <v>-6.0000000000000053E-3</v>
      </c>
      <c r="D164" s="109">
        <f t="shared" si="51"/>
        <v>-6.0000000000000053E-3</v>
      </c>
      <c r="E164" s="109">
        <f ca="1">IF(表2_36716262930389121314152324252627[[#This Row],[累计净值]]/MAX(INDIRECT("B21:B" &amp; ROW()))-1&lt;E163,表2_36716262930389121314152324252627[[#This Row],[累计净值]]/MAX(INDIRECT("B21:B" &amp; ROW()))-1,E163)</f>
        <v>-5.6404230317273707E-2</v>
      </c>
      <c r="F164" s="110">
        <f>表2_36716262930389121314152324252627[[#This Row],[累计净值]]</f>
        <v>1.7529999999999999</v>
      </c>
      <c r="G164" s="20">
        <f>表2_36716262930389121314152324252627[[#This Row],[累计净值]]/$B$21-1</f>
        <v>0.18686526743398768</v>
      </c>
    </row>
    <row r="165" spans="1:7" x14ac:dyDescent="0.2">
      <c r="A165" s="15">
        <v>44267</v>
      </c>
      <c r="B165" s="112">
        <v>1.7450000000000001</v>
      </c>
      <c r="C165" s="108">
        <f t="shared" si="50"/>
        <v>-7.9999999999997851E-3</v>
      </c>
      <c r="D165" s="109">
        <f t="shared" si="51"/>
        <v>-7.9999999999997851E-3</v>
      </c>
      <c r="E165" s="109">
        <f ca="1">IF(表2_36716262930389121314152324252627[[#This Row],[累计净值]]/MAX(INDIRECT("B21:B" &amp; ROW()))-1&lt;E164,表2_36716262930389121314152324252627[[#This Row],[累计净值]]/MAX(INDIRECT("B21:B" &amp; ROW()))-1,E164)</f>
        <v>-5.6404230317273707E-2</v>
      </c>
      <c r="F165" s="110">
        <f>表2_36716262930389121314152324252627[[#This Row],[累计净值]]</f>
        <v>1.7450000000000001</v>
      </c>
      <c r="G165" s="20">
        <f>表2_36716262930389121314152324252627[[#This Row],[累计净值]]/$B$21-1</f>
        <v>0.18144888287068373</v>
      </c>
    </row>
    <row r="166" spans="1:7" x14ac:dyDescent="0.2">
      <c r="A166" s="15">
        <v>44270</v>
      </c>
      <c r="B166" s="112">
        <v>1.728</v>
      </c>
      <c r="C166" s="108">
        <f t="shared" ref="C166:C171" si="52">IFERROR(B166-B165,0)</f>
        <v>-1.7000000000000126E-2</v>
      </c>
      <c r="D166" s="109">
        <f t="shared" ref="D166:D171" si="53">IF(C166&lt;0,C166,"/")</f>
        <v>-1.7000000000000126E-2</v>
      </c>
      <c r="E166" s="109">
        <f ca="1">IF(表2_36716262930389121314152324252627[[#This Row],[累计净值]]/MAX(INDIRECT("B21:B" &amp; ROW()))-1&lt;E165,表2_36716262930389121314152324252627[[#This Row],[累计净值]]/MAX(INDIRECT("B21:B" &amp; ROW()))-1,E165)</f>
        <v>-5.6404230317273707E-2</v>
      </c>
      <c r="F166" s="110">
        <f>表2_36716262930389121314152324252627[[#This Row],[累计净值]]</f>
        <v>1.728</v>
      </c>
      <c r="G166" s="20">
        <f>表2_36716262930389121314152324252627[[#This Row],[累计净值]]/$B$21-1</f>
        <v>0.16993906567366279</v>
      </c>
    </row>
    <row r="167" spans="1:7" x14ac:dyDescent="0.2">
      <c r="A167" s="15">
        <v>44271</v>
      </c>
      <c r="B167" s="112">
        <v>1.7310000000000001</v>
      </c>
      <c r="C167" s="108">
        <f t="shared" si="52"/>
        <v>3.0000000000001137E-3</v>
      </c>
      <c r="D167" s="109" t="str">
        <f t="shared" si="53"/>
        <v>/</v>
      </c>
      <c r="E167" s="109">
        <f ca="1">IF(表2_36716262930389121314152324252627[[#This Row],[累计净值]]/MAX(INDIRECT("B21:B" &amp; ROW()))-1&lt;E166,表2_36716262930389121314152324252627[[#This Row],[累计净值]]/MAX(INDIRECT("B21:B" &amp; ROW()))-1,E166)</f>
        <v>-5.6404230317273707E-2</v>
      </c>
      <c r="F167" s="110">
        <f>表2_36716262930389121314152324252627[[#This Row],[累计净值]]</f>
        <v>1.7310000000000001</v>
      </c>
      <c r="G167" s="20">
        <f>表2_36716262930389121314152324252627[[#This Row],[累计净值]]/$B$21-1</f>
        <v>0.17197020988490186</v>
      </c>
    </row>
    <row r="168" spans="1:7" x14ac:dyDescent="0.2">
      <c r="A168" s="15">
        <v>44272</v>
      </c>
      <c r="B168" s="112">
        <v>1.712</v>
      </c>
      <c r="C168" s="108">
        <f t="shared" si="52"/>
        <v>-1.9000000000000128E-2</v>
      </c>
      <c r="D168" s="109">
        <f t="shared" si="53"/>
        <v>-1.9000000000000128E-2</v>
      </c>
      <c r="E168" s="109">
        <f ca="1">IF(表2_36716262930389121314152324252627[[#This Row],[累计净值]]/MAX(INDIRECT("B21:B" &amp; ROW()))-1&lt;E167,表2_36716262930389121314152324252627[[#This Row],[累计净值]]/MAX(INDIRECT("B21:B" &amp; ROW()))-1,E167)</f>
        <v>-5.6404230317273707E-2</v>
      </c>
      <c r="F168" s="110">
        <f>表2_36716262930389121314152324252627[[#This Row],[累计净值]]</f>
        <v>1.712</v>
      </c>
      <c r="G168" s="20">
        <f>表2_36716262930389121314152324252627[[#This Row],[累计净值]]/$B$21-1</f>
        <v>0.15910629654705466</v>
      </c>
    </row>
    <row r="169" spans="1:7" x14ac:dyDescent="0.2">
      <c r="A169" s="15">
        <v>44273</v>
      </c>
      <c r="B169" s="112">
        <v>1.7090000000000001</v>
      </c>
      <c r="C169" s="108">
        <f t="shared" si="52"/>
        <v>-2.9999999999998916E-3</v>
      </c>
      <c r="D169" s="109">
        <f t="shared" si="53"/>
        <v>-2.9999999999998916E-3</v>
      </c>
      <c r="E169" s="109">
        <f ca="1">IF(表2_36716262930389121314152324252627[[#This Row],[累计净值]]/MAX(INDIRECT("B21:B" &amp; ROW()))-1&lt;E168,表2_36716262930389121314152324252627[[#This Row],[累计净值]]/MAX(INDIRECT("B21:B" &amp; ROW()))-1,E168)</f>
        <v>-5.6404230317273707E-2</v>
      </c>
      <c r="F169" s="110">
        <f>表2_36716262930389121314152324252627[[#This Row],[累计净值]]</f>
        <v>1.7090000000000001</v>
      </c>
      <c r="G169" s="20">
        <f>表2_36716262930389121314152324252627[[#This Row],[累计净值]]/$B$21-1</f>
        <v>0.15707515233581582</v>
      </c>
    </row>
    <row r="170" spans="1:7" x14ac:dyDescent="0.2">
      <c r="A170" s="15">
        <v>44274</v>
      </c>
      <c r="B170" s="112">
        <v>1.7130000000000001</v>
      </c>
      <c r="C170" s="108">
        <f t="shared" si="52"/>
        <v>4.0000000000000036E-3</v>
      </c>
      <c r="D170" s="109" t="str">
        <f t="shared" si="53"/>
        <v>/</v>
      </c>
      <c r="E170" s="109">
        <f ca="1">IF(表2_36716262930389121314152324252627[[#This Row],[累计净值]]/MAX(INDIRECT("B21:B" &amp; ROW()))-1&lt;E169,表2_36716262930389121314152324252627[[#This Row],[累计净值]]/MAX(INDIRECT("B21:B" &amp; ROW()))-1,E169)</f>
        <v>-5.6404230317273707E-2</v>
      </c>
      <c r="F170" s="110">
        <f>表2_36716262930389121314152324252627[[#This Row],[累计净值]]</f>
        <v>1.7130000000000001</v>
      </c>
      <c r="G170" s="20">
        <f>表2_36716262930389121314152324252627[[#This Row],[累计净值]]/$B$21-1</f>
        <v>0.1597833446174679</v>
      </c>
    </row>
    <row r="171" spans="1:7" x14ac:dyDescent="0.2">
      <c r="A171" s="15">
        <v>44277</v>
      </c>
      <c r="B171" s="112">
        <v>1.7170000000000001</v>
      </c>
      <c r="C171" s="108">
        <f t="shared" si="52"/>
        <v>4.0000000000000036E-3</v>
      </c>
      <c r="D171" s="109" t="str">
        <f t="shared" si="53"/>
        <v>/</v>
      </c>
      <c r="E171" s="109">
        <f ca="1">IF(表2_36716262930389121314152324252627[[#This Row],[累计净值]]/MAX(INDIRECT("B21:B" &amp; ROW()))-1&lt;E170,表2_36716262930389121314152324252627[[#This Row],[累计净值]]/MAX(INDIRECT("B21:B" &amp; ROW()))-1,E170)</f>
        <v>-5.6404230317273707E-2</v>
      </c>
      <c r="F171" s="110">
        <f>表2_36716262930389121314152324252627[[#This Row],[累计净值]]</f>
        <v>1.7170000000000001</v>
      </c>
      <c r="G171" s="20">
        <f>表2_36716262930389121314152324252627[[#This Row],[累计净值]]/$B$21-1</f>
        <v>0.16249153689911977</v>
      </c>
    </row>
    <row r="172" spans="1:7" x14ac:dyDescent="0.2">
      <c r="A172" s="15">
        <v>44278</v>
      </c>
      <c r="B172" s="112">
        <v>1.734</v>
      </c>
      <c r="C172" s="108">
        <f t="shared" ref="C172:C175" si="54">IFERROR(B172-B171,0)</f>
        <v>1.6999999999999904E-2</v>
      </c>
      <c r="D172" s="109" t="str">
        <f t="shared" ref="D172:D175" si="55">IF(C172&lt;0,C172,"/")</f>
        <v>/</v>
      </c>
      <c r="E172" s="109">
        <f ca="1">IF(表2_36716262930389121314152324252627[[#This Row],[累计净值]]/MAX(INDIRECT("B21:B" &amp; ROW()))-1&lt;E171,表2_36716262930389121314152324252627[[#This Row],[累计净值]]/MAX(INDIRECT("B21:B" &amp; ROW()))-1,E171)</f>
        <v>-5.6404230317273707E-2</v>
      </c>
      <c r="F172" s="110">
        <f>表2_36716262930389121314152324252627[[#This Row],[累计净值]]</f>
        <v>1.734</v>
      </c>
      <c r="G172" s="20">
        <f>表2_36716262930389121314152324252627[[#This Row],[累计净值]]/$B$21-1</f>
        <v>0.1740013540961407</v>
      </c>
    </row>
    <row r="173" spans="1:7" x14ac:dyDescent="0.2">
      <c r="A173" s="15">
        <v>44279</v>
      </c>
      <c r="B173" s="112">
        <v>1.742</v>
      </c>
      <c r="C173" s="108">
        <f t="shared" si="54"/>
        <v>8.0000000000000071E-3</v>
      </c>
      <c r="D173" s="109" t="str">
        <f t="shared" si="55"/>
        <v>/</v>
      </c>
      <c r="E173" s="109">
        <f ca="1">IF(表2_36716262930389121314152324252627[[#This Row],[累计净值]]/MAX(INDIRECT("B21:B" &amp; ROW()))-1&lt;E172,表2_36716262930389121314152324252627[[#This Row],[累计净值]]/MAX(INDIRECT("B21:B" &amp; ROW()))-1,E172)</f>
        <v>-5.6404230317273707E-2</v>
      </c>
      <c r="F173" s="110">
        <f>表2_36716262930389121314152324252627[[#This Row],[累计净值]]</f>
        <v>1.742</v>
      </c>
      <c r="G173" s="20">
        <f>表2_36716262930389121314152324252627[[#This Row],[累计净值]]/$B$21-1</f>
        <v>0.17941773865944466</v>
      </c>
    </row>
    <row r="174" spans="1:7" x14ac:dyDescent="0.2">
      <c r="A174" s="15">
        <v>44280</v>
      </c>
      <c r="B174" s="112">
        <v>1.742</v>
      </c>
      <c r="C174" s="108">
        <f t="shared" si="54"/>
        <v>0</v>
      </c>
      <c r="D174" s="109" t="str">
        <f t="shared" si="55"/>
        <v>/</v>
      </c>
      <c r="E174" s="109">
        <f ca="1">IF(表2_36716262930389121314152324252627[[#This Row],[累计净值]]/MAX(INDIRECT("B21:B" &amp; ROW()))-1&lt;E173,表2_36716262930389121314152324252627[[#This Row],[累计净值]]/MAX(INDIRECT("B21:B" &amp; ROW()))-1,E173)</f>
        <v>-5.6404230317273707E-2</v>
      </c>
      <c r="F174" s="110">
        <f>表2_36716262930389121314152324252627[[#This Row],[累计净值]]</f>
        <v>1.742</v>
      </c>
      <c r="G174" s="20">
        <f>表2_36716262930389121314152324252627[[#This Row],[累计净值]]/$B$21-1</f>
        <v>0.17941773865944466</v>
      </c>
    </row>
    <row r="175" spans="1:7" x14ac:dyDescent="0.2">
      <c r="A175" s="15">
        <v>44281</v>
      </c>
      <c r="B175" s="112">
        <v>1.7370000000000001</v>
      </c>
      <c r="C175" s="108">
        <f t="shared" si="54"/>
        <v>-4.9999999999998934E-3</v>
      </c>
      <c r="D175" s="109">
        <f t="shared" si="55"/>
        <v>-4.9999999999998934E-3</v>
      </c>
      <c r="E175" s="109">
        <f ca="1">IF(表2_36716262930389121314152324252627[[#This Row],[累计净值]]/MAX(INDIRECT("B21:B" &amp; ROW()))-1&lt;E174,表2_36716262930389121314152324252627[[#This Row],[累计净值]]/MAX(INDIRECT("B21:B" &amp; ROW()))-1,E174)</f>
        <v>-5.6404230317273707E-2</v>
      </c>
      <c r="F175" s="110">
        <f>表2_36716262930389121314152324252627[[#This Row],[累计净值]]</f>
        <v>1.7370000000000001</v>
      </c>
      <c r="G175" s="20">
        <f>表2_36716262930389121314152324252627[[#This Row],[累计净值]]/$B$21-1</f>
        <v>0.17603249830737977</v>
      </c>
    </row>
    <row r="176" spans="1:7" x14ac:dyDescent="0.2">
      <c r="A176" s="15">
        <v>44284</v>
      </c>
      <c r="B176" s="112">
        <v>1.7410000000000001</v>
      </c>
      <c r="C176" s="108">
        <f t="shared" ref="C176:C182" si="56">IFERROR(B176-B175,0)</f>
        <v>4.0000000000000036E-3</v>
      </c>
      <c r="D176" s="109" t="str">
        <f t="shared" ref="D176:D182" si="57">IF(C176&lt;0,C176,"/")</f>
        <v>/</v>
      </c>
      <c r="E176" s="109">
        <f ca="1">IF(表2_36716262930389121314152324252627[[#This Row],[累计净值]]/MAX(INDIRECT("B21:B" &amp; ROW()))-1&lt;E175,表2_36716262930389121314152324252627[[#This Row],[累计净值]]/MAX(INDIRECT("B21:B" &amp; ROW()))-1,E175)</f>
        <v>-5.6404230317273707E-2</v>
      </c>
      <c r="F176" s="110">
        <f>表2_36716262930389121314152324252627[[#This Row],[累计净值]]</f>
        <v>1.7410000000000001</v>
      </c>
      <c r="G176" s="20">
        <f>表2_36716262930389121314152324252627[[#This Row],[累计净值]]/$B$21-1</f>
        <v>0.17874069058903186</v>
      </c>
    </row>
    <row r="177" spans="1:7" x14ac:dyDescent="0.2">
      <c r="A177" s="15">
        <v>44285</v>
      </c>
      <c r="B177" s="112">
        <v>1.748</v>
      </c>
      <c r="C177" s="108">
        <f t="shared" si="56"/>
        <v>6.9999999999998952E-3</v>
      </c>
      <c r="D177" s="109" t="str">
        <f t="shared" si="57"/>
        <v>/</v>
      </c>
      <c r="E177" s="109">
        <f ca="1">IF(表2_36716262930389121314152324252627[[#This Row],[累计净值]]/MAX(INDIRECT("B21:B" &amp; ROW()))-1&lt;E176,表2_36716262930389121314152324252627[[#This Row],[累计净值]]/MAX(INDIRECT("B21:B" &amp; ROW()))-1,E176)</f>
        <v>-5.6404230317273707E-2</v>
      </c>
      <c r="F177" s="110">
        <f>表2_36716262930389121314152324252627[[#This Row],[累计净值]]</f>
        <v>1.748</v>
      </c>
      <c r="G177" s="20">
        <f>表2_36716262930389121314152324252627[[#This Row],[累计净值]]/$B$21-1</f>
        <v>0.18348002708192279</v>
      </c>
    </row>
    <row r="178" spans="1:7" x14ac:dyDescent="0.2">
      <c r="A178" s="15">
        <v>44286</v>
      </c>
      <c r="B178" s="112">
        <v>1.748</v>
      </c>
      <c r="C178" s="108">
        <f t="shared" si="56"/>
        <v>0</v>
      </c>
      <c r="D178" s="109" t="str">
        <f t="shared" si="57"/>
        <v>/</v>
      </c>
      <c r="E178" s="109">
        <f ca="1">IF(表2_36716262930389121314152324252627[[#This Row],[累计净值]]/MAX(INDIRECT("B21:B" &amp; ROW()))-1&lt;E177,表2_36716262930389121314152324252627[[#This Row],[累计净值]]/MAX(INDIRECT("B21:B" &amp; ROW()))-1,E177)</f>
        <v>-5.6404230317273707E-2</v>
      </c>
      <c r="F178" s="110">
        <f>表2_36716262930389121314152324252627[[#This Row],[累计净值]]</f>
        <v>1.748</v>
      </c>
      <c r="G178" s="20">
        <f>表2_36716262930389121314152324252627[[#This Row],[累计净值]]/$B$21-1</f>
        <v>0.18348002708192279</v>
      </c>
    </row>
    <row r="179" spans="1:7" x14ac:dyDescent="0.2">
      <c r="A179" s="15">
        <v>44287</v>
      </c>
      <c r="B179" s="112">
        <v>1.736</v>
      </c>
      <c r="C179" s="108">
        <f t="shared" si="56"/>
        <v>-1.2000000000000011E-2</v>
      </c>
      <c r="D179" s="109">
        <f t="shared" si="57"/>
        <v>-1.2000000000000011E-2</v>
      </c>
      <c r="E179" s="109">
        <f ca="1">IF(表2_36716262930389121314152324252627[[#This Row],[累计净值]]/MAX(INDIRECT("B21:B" &amp; ROW()))-1&lt;E178,表2_36716262930389121314152324252627[[#This Row],[累计净值]]/MAX(INDIRECT("B21:B" &amp; ROW()))-1,E178)</f>
        <v>-5.6404230317273707E-2</v>
      </c>
      <c r="F179" s="110">
        <f>表2_36716262930389121314152324252627[[#This Row],[累计净值]]</f>
        <v>1.736</v>
      </c>
      <c r="G179" s="20">
        <f>表2_36716262930389121314152324252627[[#This Row],[累计净值]]/$B$21-1</f>
        <v>0.17535545023696675</v>
      </c>
    </row>
    <row r="180" spans="1:7" x14ac:dyDescent="0.2">
      <c r="A180" s="15">
        <v>44288</v>
      </c>
      <c r="B180" s="112">
        <v>1.7330000000000001</v>
      </c>
      <c r="C180" s="108">
        <f t="shared" si="56"/>
        <v>-2.9999999999998916E-3</v>
      </c>
      <c r="D180" s="109">
        <f t="shared" si="57"/>
        <v>-2.9999999999998916E-3</v>
      </c>
      <c r="E180" s="109">
        <f ca="1">IF(表2_36716262930389121314152324252627[[#This Row],[累计净值]]/MAX(INDIRECT("B21:B" &amp; ROW()))-1&lt;E179,表2_36716262930389121314152324252627[[#This Row],[累计净值]]/MAX(INDIRECT("B21:B" &amp; ROW()))-1,E179)</f>
        <v>-5.6404230317273707E-2</v>
      </c>
      <c r="F180" s="110">
        <f>表2_36716262930389121314152324252627[[#This Row],[累计净值]]</f>
        <v>1.7330000000000001</v>
      </c>
      <c r="G180" s="20">
        <f>表2_36716262930389121314152324252627[[#This Row],[累计净值]]/$B$21-1</f>
        <v>0.1733243060257279</v>
      </c>
    </row>
    <row r="181" spans="1:7" x14ac:dyDescent="0.2">
      <c r="A181" s="15">
        <v>44292</v>
      </c>
      <c r="B181" s="112">
        <v>1.7430000000000001</v>
      </c>
      <c r="C181" s="108">
        <f t="shared" si="56"/>
        <v>1.0000000000000009E-2</v>
      </c>
      <c r="D181" s="109" t="str">
        <f t="shared" si="57"/>
        <v>/</v>
      </c>
      <c r="E181" s="109">
        <f ca="1">IF(表2_36716262930389121314152324252627[[#This Row],[累计净值]]/MAX(INDIRECT("B21:B" &amp; ROW()))-1&lt;E180,表2_36716262930389121314152324252627[[#This Row],[累计净值]]/MAX(INDIRECT("B21:B" &amp; ROW()))-1,E180)</f>
        <v>-5.6404230317273707E-2</v>
      </c>
      <c r="F181" s="110">
        <f>表2_36716262930389121314152324252627[[#This Row],[累计净值]]</f>
        <v>1.7430000000000001</v>
      </c>
      <c r="G181" s="20">
        <f>表2_36716262930389121314152324252627[[#This Row],[累计净值]]/$B$21-1</f>
        <v>0.1800947867298579</v>
      </c>
    </row>
    <row r="182" spans="1:7" x14ac:dyDescent="0.2">
      <c r="A182" s="15">
        <v>44293</v>
      </c>
      <c r="B182" s="112">
        <v>1.732</v>
      </c>
      <c r="C182" s="108">
        <f t="shared" si="56"/>
        <v>-1.1000000000000121E-2</v>
      </c>
      <c r="D182" s="109">
        <f t="shared" si="57"/>
        <v>-1.1000000000000121E-2</v>
      </c>
      <c r="E182" s="109">
        <f ca="1">IF(表2_36716262930389121314152324252627[[#This Row],[累计净值]]/MAX(INDIRECT("B21:B" &amp; ROW()))-1&lt;E181,表2_36716262930389121314152324252627[[#This Row],[累计净值]]/MAX(INDIRECT("B21:B" &amp; ROW()))-1,E181)</f>
        <v>-5.6404230317273707E-2</v>
      </c>
      <c r="F182" s="110">
        <f>表2_36716262930389121314152324252627[[#This Row],[累计净值]]</f>
        <v>1.732</v>
      </c>
      <c r="G182" s="20">
        <f>表2_36716262930389121314152324252627[[#This Row],[累计净值]]/$B$21-1</f>
        <v>0.17264725795531466</v>
      </c>
    </row>
    <row r="183" spans="1:7" x14ac:dyDescent="0.2">
      <c r="A183" s="15">
        <v>44294</v>
      </c>
      <c r="B183" s="112">
        <v>1.7130000000000001</v>
      </c>
      <c r="C183" s="108">
        <f t="shared" ref="C183:C189" si="58">IFERROR(B183-B182,0)</f>
        <v>-1.8999999999999906E-2</v>
      </c>
      <c r="D183" s="109">
        <f t="shared" ref="D183:D189" si="59">IF(C183&lt;0,C183,"/")</f>
        <v>-1.8999999999999906E-2</v>
      </c>
      <c r="E183" s="109">
        <f ca="1">IF(表2_36716262930389121314152324252627[[#This Row],[累计净值]]/MAX(INDIRECT("B21:B" &amp; ROW()))-1&lt;E182,表2_36716262930389121314152324252627[[#This Row],[累计净值]]/MAX(INDIRECT("B21:B" &amp; ROW()))-1,E182)</f>
        <v>-5.6404230317273707E-2</v>
      </c>
      <c r="F183" s="110">
        <f>表2_36716262930389121314152324252627[[#This Row],[累计净值]]</f>
        <v>1.7130000000000001</v>
      </c>
      <c r="G183" s="20">
        <f>表2_36716262930389121314152324252627[[#This Row],[累计净值]]/$B$21-1</f>
        <v>0.1597833446174679</v>
      </c>
    </row>
    <row r="184" spans="1:7" x14ac:dyDescent="0.2">
      <c r="A184" s="15">
        <v>44295</v>
      </c>
      <c r="B184" s="112">
        <v>1.7110000000000001</v>
      </c>
      <c r="C184" s="108">
        <f t="shared" si="58"/>
        <v>-2.0000000000000018E-3</v>
      </c>
      <c r="D184" s="109">
        <f t="shared" si="59"/>
        <v>-2.0000000000000018E-3</v>
      </c>
      <c r="E184" s="109">
        <f ca="1">IF(表2_36716262930389121314152324252627[[#This Row],[累计净值]]/MAX(INDIRECT("B21:B" &amp; ROW()))-1&lt;E183,表2_36716262930389121314152324252627[[#This Row],[累计净值]]/MAX(INDIRECT("B21:B" &amp; ROW()))-1,E183)</f>
        <v>-5.6404230317273707E-2</v>
      </c>
      <c r="F184" s="110">
        <f>表2_36716262930389121314152324252627[[#This Row],[累计净值]]</f>
        <v>1.7110000000000001</v>
      </c>
      <c r="G184" s="20">
        <f>表2_36716262930389121314152324252627[[#This Row],[累计净值]]/$B$21-1</f>
        <v>0.15842924847664186</v>
      </c>
    </row>
    <row r="185" spans="1:7" x14ac:dyDescent="0.2">
      <c r="A185" s="15">
        <v>44298</v>
      </c>
      <c r="B185" s="112">
        <v>1.6919999999999999</v>
      </c>
      <c r="C185" s="108">
        <f t="shared" si="58"/>
        <v>-1.9000000000000128E-2</v>
      </c>
      <c r="D185" s="109">
        <f t="shared" si="59"/>
        <v>-1.9000000000000128E-2</v>
      </c>
      <c r="E185" s="109">
        <f ca="1">IF(表2_36716262930389121314152324252627[[#This Row],[累计净值]]/MAX(INDIRECT("B21:B" &amp; ROW()))-1&lt;E184,表2_36716262930389121314152324252627[[#This Row],[累计净值]]/MAX(INDIRECT("B21:B" &amp; ROW()))-1,E184)</f>
        <v>-5.6404230317273707E-2</v>
      </c>
      <c r="F185" s="110">
        <f>表2_36716262930389121314152324252627[[#This Row],[累计净值]]</f>
        <v>1.6919999999999999</v>
      </c>
      <c r="G185" s="20">
        <f>表2_36716262930389121314152324252627[[#This Row],[累计净值]]/$B$21-1</f>
        <v>0.14556533513879466</v>
      </c>
    </row>
    <row r="186" spans="1:7" x14ac:dyDescent="0.2">
      <c r="A186" s="15">
        <v>44299</v>
      </c>
      <c r="B186" s="112">
        <v>1.7</v>
      </c>
      <c r="C186" s="108">
        <f t="shared" si="58"/>
        <v>8.0000000000000071E-3</v>
      </c>
      <c r="D186" s="109" t="str">
        <f t="shared" si="59"/>
        <v>/</v>
      </c>
      <c r="E186" s="109">
        <f ca="1">IF(表2_36716262930389121314152324252627[[#This Row],[累计净值]]/MAX(INDIRECT("B21:B" &amp; ROW()))-1&lt;E185,表2_36716262930389121314152324252627[[#This Row],[累计净值]]/MAX(INDIRECT("B21:B" &amp; ROW()))-1,E185)</f>
        <v>-5.6404230317273707E-2</v>
      </c>
      <c r="F186" s="110">
        <f>表2_36716262930389121314152324252627[[#This Row],[累计净值]]</f>
        <v>1.7</v>
      </c>
      <c r="G186" s="20">
        <f>表2_36716262930389121314152324252627[[#This Row],[累计净值]]/$B$21-1</f>
        <v>0.15098171970209884</v>
      </c>
    </row>
    <row r="187" spans="1:7" x14ac:dyDescent="0.2">
      <c r="A187" s="15">
        <v>44300</v>
      </c>
      <c r="B187" s="112">
        <v>1.704</v>
      </c>
      <c r="C187" s="108">
        <f t="shared" si="58"/>
        <v>4.0000000000000036E-3</v>
      </c>
      <c r="D187" s="109" t="str">
        <f t="shared" si="59"/>
        <v>/</v>
      </c>
      <c r="E187" s="109">
        <f ca="1">IF(表2_36716262930389121314152324252627[[#This Row],[累计净值]]/MAX(INDIRECT("B21:B" &amp; ROW()))-1&lt;E186,表2_36716262930389121314152324252627[[#This Row],[累计净值]]/MAX(INDIRECT("B21:B" &amp; ROW()))-1,E186)</f>
        <v>-5.6404230317273707E-2</v>
      </c>
      <c r="F187" s="110">
        <f>表2_36716262930389121314152324252627[[#This Row],[累计净值]]</f>
        <v>1.704</v>
      </c>
      <c r="G187" s="20">
        <f>表2_36716262930389121314152324252627[[#This Row],[累计净值]]/$B$21-1</f>
        <v>0.1536899119837507</v>
      </c>
    </row>
    <row r="188" spans="1:7" x14ac:dyDescent="0.2">
      <c r="A188" s="15">
        <v>44301</v>
      </c>
      <c r="B188" s="112">
        <v>1.7030000000000001</v>
      </c>
      <c r="C188" s="108">
        <f t="shared" si="58"/>
        <v>-9.9999999999988987E-4</v>
      </c>
      <c r="D188" s="109">
        <f t="shared" si="59"/>
        <v>-9.9999999999988987E-4</v>
      </c>
      <c r="E188" s="109">
        <f ca="1">IF(表2_36716262930389121314152324252627[[#This Row],[累计净值]]/MAX(INDIRECT("B21:B" &amp; ROW()))-1&lt;E187,表2_36716262930389121314152324252627[[#This Row],[累计净值]]/MAX(INDIRECT("B21:B" &amp; ROW()))-1,E187)</f>
        <v>-5.6404230317273707E-2</v>
      </c>
      <c r="F188" s="110">
        <f>表2_36716262930389121314152324252627[[#This Row],[累计净值]]</f>
        <v>1.7030000000000001</v>
      </c>
      <c r="G188" s="20">
        <f>表2_36716262930389121314152324252627[[#This Row],[累计净值]]/$B$21-1</f>
        <v>0.1530128639133379</v>
      </c>
    </row>
    <row r="189" spans="1:7" x14ac:dyDescent="0.2">
      <c r="A189" s="15">
        <v>44302</v>
      </c>
      <c r="B189" s="112">
        <v>1.7170000000000001</v>
      </c>
      <c r="C189" s="108">
        <f t="shared" si="58"/>
        <v>1.4000000000000012E-2</v>
      </c>
      <c r="D189" s="109" t="str">
        <f t="shared" si="59"/>
        <v>/</v>
      </c>
      <c r="E189" s="109">
        <f ca="1">IF(表2_36716262930389121314152324252627[[#This Row],[累计净值]]/MAX(INDIRECT("B21:B" &amp; ROW()))-1&lt;E188,表2_36716262930389121314152324252627[[#This Row],[累计净值]]/MAX(INDIRECT("B21:B" &amp; ROW()))-1,E188)</f>
        <v>-5.6404230317273707E-2</v>
      </c>
      <c r="F189" s="110">
        <f>表2_36716262930389121314152324252627[[#This Row],[累计净值]]</f>
        <v>1.7170000000000001</v>
      </c>
      <c r="G189" s="20">
        <f>表2_36716262930389121314152324252627[[#This Row],[累计净值]]/$B$21-1</f>
        <v>0.16249153689911977</v>
      </c>
    </row>
    <row r="190" spans="1:7" x14ac:dyDescent="0.2">
      <c r="A190" s="15">
        <v>44305</v>
      </c>
      <c r="B190" s="112">
        <v>1.7210000000000001</v>
      </c>
      <c r="C190" s="108">
        <f t="shared" ref="C190:C195" si="60">IFERROR(B190-B189,0)</f>
        <v>4.0000000000000036E-3</v>
      </c>
      <c r="D190" s="109" t="str">
        <f t="shared" ref="D190:D195" si="61">IF(C190&lt;0,C190,"/")</f>
        <v>/</v>
      </c>
      <c r="E190" s="109">
        <f ca="1">IF(表2_36716262930389121314152324252627[[#This Row],[累计净值]]/MAX(INDIRECT("B21:B" &amp; ROW()))-1&lt;E189,表2_36716262930389121314152324252627[[#This Row],[累计净值]]/MAX(INDIRECT("B21:B" &amp; ROW()))-1,E189)</f>
        <v>-5.6404230317273707E-2</v>
      </c>
      <c r="F190" s="110">
        <f>表2_36716262930389121314152324252627[[#This Row],[累计净值]]</f>
        <v>1.7210000000000001</v>
      </c>
      <c r="G190" s="20">
        <f>表2_36716262930389121314152324252627[[#This Row],[累计净值]]/$B$21-1</f>
        <v>0.16519972918077186</v>
      </c>
    </row>
    <row r="191" spans="1:7" x14ac:dyDescent="0.2">
      <c r="A191" s="15">
        <v>44306</v>
      </c>
      <c r="B191" s="112">
        <v>1.718</v>
      </c>
      <c r="C191" s="108">
        <f t="shared" si="60"/>
        <v>-3.0000000000001137E-3</v>
      </c>
      <c r="D191" s="109">
        <f t="shared" si="61"/>
        <v>-3.0000000000001137E-3</v>
      </c>
      <c r="E191" s="109">
        <f ca="1">IF(表2_36716262930389121314152324252627[[#This Row],[累计净值]]/MAX(INDIRECT("B21:B" &amp; ROW()))-1&lt;E190,表2_36716262930389121314152324252627[[#This Row],[累计净值]]/MAX(INDIRECT("B21:B" &amp; ROW()))-1,E190)</f>
        <v>-5.6404230317273707E-2</v>
      </c>
      <c r="F191" s="110">
        <f>表2_36716262930389121314152324252627[[#This Row],[累计净值]]</f>
        <v>1.718</v>
      </c>
      <c r="G191" s="20">
        <f>表2_36716262930389121314152324252627[[#This Row],[累计净值]]/$B$21-1</f>
        <v>0.16316858496953279</v>
      </c>
    </row>
    <row r="192" spans="1:7" x14ac:dyDescent="0.2">
      <c r="A192" s="15">
        <v>44307</v>
      </c>
      <c r="B192" s="112">
        <v>1.724</v>
      </c>
      <c r="C192" s="108">
        <f t="shared" si="60"/>
        <v>6.0000000000000053E-3</v>
      </c>
      <c r="D192" s="109" t="str">
        <f t="shared" si="61"/>
        <v>/</v>
      </c>
      <c r="E192" s="109">
        <f ca="1">IF(表2_36716262930389121314152324252627[[#This Row],[累计净值]]/MAX(INDIRECT("B21:B" &amp; ROW()))-1&lt;E191,表2_36716262930389121314152324252627[[#This Row],[累计净值]]/MAX(INDIRECT("B21:B" &amp; ROW()))-1,E191)</f>
        <v>-5.6404230317273707E-2</v>
      </c>
      <c r="F192" s="110">
        <f>表2_36716262930389121314152324252627[[#This Row],[累计净值]]</f>
        <v>1.724</v>
      </c>
      <c r="G192" s="20">
        <f>表2_36716262930389121314152324252627[[#This Row],[累计净值]]/$B$21-1</f>
        <v>0.1672308733920107</v>
      </c>
    </row>
    <row r="193" spans="1:7" x14ac:dyDescent="0.2">
      <c r="A193" s="15">
        <v>44308</v>
      </c>
      <c r="B193" s="112">
        <v>1.7410000000000001</v>
      </c>
      <c r="C193" s="108">
        <f t="shared" si="60"/>
        <v>1.7000000000000126E-2</v>
      </c>
      <c r="D193" s="109" t="str">
        <f t="shared" si="61"/>
        <v>/</v>
      </c>
      <c r="E193" s="109">
        <f ca="1">IF(表2_36716262930389121314152324252627[[#This Row],[累计净值]]/MAX(INDIRECT("B21:B" &amp; ROW()))-1&lt;E192,表2_36716262930389121314152324252627[[#This Row],[累计净值]]/MAX(INDIRECT("B21:B" &amp; ROW()))-1,E192)</f>
        <v>-5.6404230317273707E-2</v>
      </c>
      <c r="F193" s="110">
        <f>表2_36716262930389121314152324252627[[#This Row],[累计净值]]</f>
        <v>1.7410000000000001</v>
      </c>
      <c r="G193" s="20">
        <f>表2_36716262930389121314152324252627[[#This Row],[累计净值]]/$B$21-1</f>
        <v>0.17874069058903186</v>
      </c>
    </row>
    <row r="194" spans="1:7" x14ac:dyDescent="0.2">
      <c r="A194" s="15">
        <v>44309</v>
      </c>
      <c r="B194" s="112">
        <v>1.7410000000000001</v>
      </c>
      <c r="C194" s="108">
        <f t="shared" si="60"/>
        <v>0</v>
      </c>
      <c r="D194" s="109" t="str">
        <f t="shared" si="61"/>
        <v>/</v>
      </c>
      <c r="E194" s="109">
        <f ca="1">IF(表2_36716262930389121314152324252627[[#This Row],[累计净值]]/MAX(INDIRECT("B21:B" &amp; ROW()))-1&lt;E193,表2_36716262930389121314152324252627[[#This Row],[累计净值]]/MAX(INDIRECT("B21:B" &amp; ROW()))-1,E193)</f>
        <v>-5.6404230317273707E-2</v>
      </c>
      <c r="F194" s="110">
        <f>表2_36716262930389121314152324252627[[#This Row],[累计净值]]</f>
        <v>1.7410000000000001</v>
      </c>
      <c r="G194" s="20">
        <f>表2_36716262930389121314152324252627[[#This Row],[累计净值]]/$B$21-1</f>
        <v>0.17874069058903186</v>
      </c>
    </row>
    <row r="195" spans="1:7" x14ac:dyDescent="0.2">
      <c r="A195" s="15">
        <v>44312</v>
      </c>
      <c r="B195" s="112">
        <v>1.748</v>
      </c>
      <c r="C195" s="108">
        <f t="shared" si="60"/>
        <v>6.9999999999998952E-3</v>
      </c>
      <c r="D195" s="109" t="str">
        <f t="shared" si="61"/>
        <v>/</v>
      </c>
      <c r="E195" s="109">
        <f ca="1">IF(表2_36716262930389121314152324252627[[#This Row],[累计净值]]/MAX(INDIRECT("B21:B" &amp; ROW()))-1&lt;E194,表2_36716262930389121314152324252627[[#This Row],[累计净值]]/MAX(INDIRECT("B21:B" &amp; ROW()))-1,E194)</f>
        <v>-5.6404230317273707E-2</v>
      </c>
      <c r="F195" s="110">
        <f>表2_36716262930389121314152324252627[[#This Row],[累计净值]]</f>
        <v>1.748</v>
      </c>
      <c r="G195" s="20">
        <f>表2_36716262930389121314152324252627[[#This Row],[累计净值]]/$B$21-1</f>
        <v>0.18348002708192279</v>
      </c>
    </row>
    <row r="196" spans="1:7" x14ac:dyDescent="0.2">
      <c r="A196" s="15">
        <v>44313</v>
      </c>
      <c r="B196" s="112">
        <v>1.7609999999999999</v>
      </c>
      <c r="C196" s="108">
        <f>IFERROR(B196-B195,0)</f>
        <v>1.2999999999999901E-2</v>
      </c>
      <c r="D196" s="109" t="str">
        <f>IF(C196&lt;0,C196,"/")</f>
        <v>/</v>
      </c>
      <c r="E196" s="109">
        <f ca="1">IF(表2_36716262930389121314152324252627[[#This Row],[累计净值]]/MAX(INDIRECT("B21:B" &amp; ROW()))-1&lt;E195,表2_36716262930389121314152324252627[[#This Row],[累计净值]]/MAX(INDIRECT("B21:B" &amp; ROW()))-1,E195)</f>
        <v>-5.6404230317273707E-2</v>
      </c>
      <c r="F196" s="110">
        <f>表2_36716262930389121314152324252627[[#This Row],[累计净值]]</f>
        <v>1.7609999999999999</v>
      </c>
      <c r="G196" s="20">
        <f>表2_36716262930389121314152324252627[[#This Row],[累计净值]]/$B$21-1</f>
        <v>0.19228165199729164</v>
      </c>
    </row>
    <row r="197" spans="1:7" x14ac:dyDescent="0.2">
      <c r="A197" s="15">
        <v>44314</v>
      </c>
      <c r="B197" s="112">
        <v>1.744</v>
      </c>
      <c r="C197" s="108">
        <f>IFERROR(B197-B196,0)</f>
        <v>-1.6999999999999904E-2</v>
      </c>
      <c r="D197" s="109">
        <f>IF(C197&lt;0,C197,"/")</f>
        <v>-1.6999999999999904E-2</v>
      </c>
      <c r="E197" s="109">
        <f ca="1">IF(表2_36716262930389121314152324252627[[#This Row],[累计净值]]/MAX(INDIRECT("B21:B" &amp; ROW()))-1&lt;E196,表2_36716262930389121314152324252627[[#This Row],[累计净值]]/MAX(INDIRECT("B21:B" &amp; ROW()))-1,E196)</f>
        <v>-5.6404230317273707E-2</v>
      </c>
      <c r="F197" s="110">
        <f>表2_36716262930389121314152324252627[[#This Row],[累计净值]]</f>
        <v>1.744</v>
      </c>
      <c r="G197" s="20">
        <f>表2_36716262930389121314152324252627[[#This Row],[累计净值]]/$B$21-1</f>
        <v>0.1807718348002707</v>
      </c>
    </row>
    <row r="198" spans="1:7" x14ac:dyDescent="0.2">
      <c r="A198" s="15">
        <v>44315</v>
      </c>
      <c r="B198" s="112">
        <v>1.7509999999999999</v>
      </c>
      <c r="C198" s="108">
        <f t="shared" ref="C198:C200" si="62">IFERROR(B198-B197,0)</f>
        <v>6.9999999999998952E-3</v>
      </c>
      <c r="D198" s="109" t="str">
        <f t="shared" ref="D198:D200" si="63">IF(C198&lt;0,C198,"/")</f>
        <v>/</v>
      </c>
      <c r="E198" s="109">
        <f ca="1">IF(表2_36716262930389121314152324252627[[#This Row],[累计净值]]/MAX(INDIRECT("B21:B" &amp; ROW()))-1&lt;E197,表2_36716262930389121314152324252627[[#This Row],[累计净值]]/MAX(INDIRECT("B21:B" &amp; ROW()))-1,E197)</f>
        <v>-5.6404230317273707E-2</v>
      </c>
      <c r="F198" s="110">
        <f>表2_36716262930389121314152324252627[[#This Row],[累计净值]]</f>
        <v>1.7509999999999999</v>
      </c>
      <c r="G198" s="20">
        <f>表2_36716262930389121314152324252627[[#This Row],[累计净值]]/$B$21-1</f>
        <v>0.18551117129316164</v>
      </c>
    </row>
    <row r="199" spans="1:7" x14ac:dyDescent="0.2">
      <c r="A199" s="15">
        <v>44316</v>
      </c>
      <c r="B199" s="112">
        <v>1.738</v>
      </c>
      <c r="C199" s="108">
        <f t="shared" si="62"/>
        <v>-1.2999999999999901E-2</v>
      </c>
      <c r="D199" s="109">
        <f t="shared" si="63"/>
        <v>-1.2999999999999901E-2</v>
      </c>
      <c r="E199" s="109">
        <f ca="1">IF(表2_36716262930389121314152324252627[[#This Row],[累计净值]]/MAX(INDIRECT("B21:B" &amp; ROW()))-1&lt;E198,表2_36716262930389121314152324252627[[#This Row],[累计净值]]/MAX(INDIRECT("B21:B" &amp; ROW()))-1,E198)</f>
        <v>-5.6404230317273707E-2</v>
      </c>
      <c r="F199" s="110">
        <f>表2_36716262930389121314152324252627[[#This Row],[累计净值]]</f>
        <v>1.738</v>
      </c>
      <c r="G199" s="20">
        <f>表2_36716262930389121314152324252627[[#This Row],[累计净值]]/$B$21-1</f>
        <v>0.17670954637779279</v>
      </c>
    </row>
    <row r="200" spans="1:7" x14ac:dyDescent="0.2">
      <c r="A200" s="15">
        <v>44322</v>
      </c>
      <c r="B200" s="112">
        <v>1.7629999999999999</v>
      </c>
      <c r="C200" s="108">
        <f t="shared" si="62"/>
        <v>2.4999999999999911E-2</v>
      </c>
      <c r="D200" s="109" t="str">
        <f t="shared" si="63"/>
        <v>/</v>
      </c>
      <c r="E200" s="109">
        <f ca="1">IF(表2_36716262930389121314152324252627[[#This Row],[累计净值]]/MAX(INDIRECT("B21:B" &amp; ROW()))-1&lt;E199,表2_36716262930389121314152324252627[[#This Row],[累计净值]]/MAX(INDIRECT("B21:B" &amp; ROW()))-1,E199)</f>
        <v>-5.6404230317273707E-2</v>
      </c>
      <c r="F200" s="110">
        <f>表2_36716262930389121314152324252627[[#This Row],[累计净值]]</f>
        <v>1.7629999999999999</v>
      </c>
      <c r="G200" s="20">
        <f>表2_36716262930389121314152324252627[[#This Row],[累计净值]]/$B$21-1</f>
        <v>0.19363574813811768</v>
      </c>
    </row>
    <row r="201" spans="1:7" x14ac:dyDescent="0.2">
      <c r="A201" s="15">
        <v>44323</v>
      </c>
      <c r="B201" s="112">
        <v>1.827</v>
      </c>
      <c r="C201" s="108">
        <f t="shared" ref="C201:C206" si="64">IFERROR(B201-B200,0)</f>
        <v>6.4000000000000057E-2</v>
      </c>
      <c r="D201" s="109" t="str">
        <f t="shared" ref="D201:D206" si="65">IF(C201&lt;0,C201,"/")</f>
        <v>/</v>
      </c>
      <c r="E201" s="109">
        <f ca="1">IF(表2_36716262930389121314152324252627[[#This Row],[累计净值]]/MAX(INDIRECT("B21:B" &amp; ROW()))-1&lt;E200,表2_36716262930389121314152324252627[[#This Row],[累计净值]]/MAX(INDIRECT("B21:B" &amp; ROW()))-1,E200)</f>
        <v>-5.6404230317273707E-2</v>
      </c>
      <c r="F201" s="110">
        <f>表2_36716262930389121314152324252627[[#This Row],[累计净值]]</f>
        <v>1.827</v>
      </c>
      <c r="G201" s="20">
        <f>表2_36716262930389121314152324252627[[#This Row],[累计净值]]/$B$21-1</f>
        <v>0.23696682464454977</v>
      </c>
    </row>
    <row r="202" spans="1:7" x14ac:dyDescent="0.2">
      <c r="A202" s="15">
        <v>44326</v>
      </c>
      <c r="B202" s="112">
        <v>1.879</v>
      </c>
      <c r="C202" s="108">
        <f t="shared" si="64"/>
        <v>5.2000000000000046E-2</v>
      </c>
      <c r="D202" s="109" t="str">
        <f t="shared" si="65"/>
        <v>/</v>
      </c>
      <c r="E202" s="109">
        <f ca="1">IF(表2_36716262930389121314152324252627[[#This Row],[累计净值]]/MAX(INDIRECT("B21:B" &amp; ROW()))-1&lt;E201,表2_36716262930389121314152324252627[[#This Row],[累计净值]]/MAX(INDIRECT("B21:B" &amp; ROW()))-1,E201)</f>
        <v>-5.6404230317273707E-2</v>
      </c>
      <c r="F202" s="110">
        <f>表2_36716262930389121314152324252627[[#This Row],[累计净值]]</f>
        <v>1.879</v>
      </c>
      <c r="G202" s="20">
        <f>表2_36716262930389121314152324252627[[#This Row],[累计净值]]/$B$21-1</f>
        <v>0.27217332430602559</v>
      </c>
    </row>
    <row r="203" spans="1:7" x14ac:dyDescent="0.2">
      <c r="A203" s="15">
        <v>44327</v>
      </c>
      <c r="B203" s="112">
        <v>1.891</v>
      </c>
      <c r="C203" s="108">
        <f t="shared" si="64"/>
        <v>1.2000000000000011E-2</v>
      </c>
      <c r="D203" s="109" t="str">
        <f t="shared" si="65"/>
        <v>/</v>
      </c>
      <c r="E203" s="109">
        <f ca="1">IF(表2_36716262930389121314152324252627[[#This Row],[累计净值]]/MAX(INDIRECT("B21:B" &amp; ROW()))-1&lt;E202,表2_36716262930389121314152324252627[[#This Row],[累计净值]]/MAX(INDIRECT("B21:B" &amp; ROW()))-1,E202)</f>
        <v>-5.6404230317273707E-2</v>
      </c>
      <c r="F203" s="110">
        <f>表2_36716262930389121314152324252627[[#This Row],[累计净值]]</f>
        <v>1.891</v>
      </c>
      <c r="G203" s="20">
        <f>表2_36716262930389121314152324252627[[#This Row],[累计净值]]/$B$21-1</f>
        <v>0.28029790115098163</v>
      </c>
    </row>
    <row r="204" spans="1:7" x14ac:dyDescent="0.2">
      <c r="A204" s="15">
        <v>44328</v>
      </c>
      <c r="B204" s="117">
        <v>1.9139999999999999</v>
      </c>
      <c r="C204" s="108">
        <f t="shared" si="64"/>
        <v>2.2999999999999909E-2</v>
      </c>
      <c r="D204" s="109" t="str">
        <f t="shared" si="65"/>
        <v>/</v>
      </c>
      <c r="E204" s="109">
        <f ca="1">IF(表2_36716262930389121314152324252627[[#This Row],[累计净值]]/MAX(INDIRECT("B21:B" &amp; ROW()))-1&lt;E203,表2_36716262930389121314152324252627[[#This Row],[累计净值]]/MAX(INDIRECT("B21:B" &amp; ROW()))-1,E203)</f>
        <v>-5.6404230317273707E-2</v>
      </c>
      <c r="F204" s="110">
        <f>表2_36716262930389121314152324252627[[#This Row],[累计净值]]</f>
        <v>1.9139999999999999</v>
      </c>
      <c r="G204" s="20">
        <f>表2_36716262930389121314152324252627[[#This Row],[累计净值]]/$B$21-1</f>
        <v>0.29587000677048048</v>
      </c>
    </row>
    <row r="205" spans="1:7" x14ac:dyDescent="0.2">
      <c r="A205" s="15">
        <v>44329</v>
      </c>
      <c r="B205" s="112">
        <v>1.903</v>
      </c>
      <c r="C205" s="108">
        <f t="shared" si="64"/>
        <v>-1.0999999999999899E-2</v>
      </c>
      <c r="D205" s="109">
        <f t="shared" si="65"/>
        <v>-1.0999999999999899E-2</v>
      </c>
      <c r="E205" s="109">
        <f ca="1">IF(表2_36716262930389121314152324252627[[#This Row],[累计净值]]/MAX(INDIRECT("B21:B" &amp; ROW()))-1&lt;E204,表2_36716262930389121314152324252627[[#This Row],[累计净值]]/MAX(INDIRECT("B21:B" &amp; ROW()))-1,E204)</f>
        <v>-5.6404230317273707E-2</v>
      </c>
      <c r="F205" s="110">
        <f>表2_36716262930389121314152324252627[[#This Row],[累计净值]]</f>
        <v>1.903</v>
      </c>
      <c r="G205" s="20">
        <f>表2_36716262930389121314152324252627[[#This Row],[累计净值]]/$B$21-1</f>
        <v>0.28842247799593768</v>
      </c>
    </row>
    <row r="206" spans="1:7" x14ac:dyDescent="0.2">
      <c r="A206" s="15">
        <v>44330</v>
      </c>
      <c r="B206" s="112">
        <v>1.8839999999999999</v>
      </c>
      <c r="C206" s="108">
        <f t="shared" si="64"/>
        <v>-1.9000000000000128E-2</v>
      </c>
      <c r="D206" s="109">
        <f t="shared" si="65"/>
        <v>-1.9000000000000128E-2</v>
      </c>
      <c r="E206" s="109">
        <f ca="1">IF(表2_36716262930389121314152324252627[[#This Row],[累计净值]]/MAX(INDIRECT("B21:B" &amp; ROW()))-1&lt;E205,表2_36716262930389121314152324252627[[#This Row],[累计净值]]/MAX(INDIRECT("B21:B" &amp; ROW()))-1,E205)</f>
        <v>-5.6404230317273707E-2</v>
      </c>
      <c r="F206" s="110">
        <f>表2_36716262930389121314152324252627[[#This Row],[累计净值]]</f>
        <v>1.8839999999999999</v>
      </c>
      <c r="G206" s="20">
        <f>表2_36716262930389121314152324252627[[#This Row],[累计净值]]/$B$21-1</f>
        <v>0.27555856465809048</v>
      </c>
    </row>
    <row r="207" spans="1:7" x14ac:dyDescent="0.2">
      <c r="A207" s="15">
        <v>44333</v>
      </c>
      <c r="B207" s="112">
        <v>1.8740000000000001</v>
      </c>
      <c r="C207" s="108">
        <f>IFERROR(B207-B206,0)</f>
        <v>-9.9999999999997868E-3</v>
      </c>
      <c r="D207" s="109">
        <f>IF(C207&lt;0,C207,"/")</f>
        <v>-9.9999999999997868E-3</v>
      </c>
      <c r="E207" s="109">
        <f ca="1">IF(表2_36716262930389121314152324252627[[#This Row],[累计净值]]/MAX(INDIRECT("B21:B" &amp; ROW()))-1&lt;E206,表2_36716262930389121314152324252627[[#This Row],[累计净值]]/MAX(INDIRECT("B21:B" &amp; ROW()))-1,E206)</f>
        <v>-5.6404230317273707E-2</v>
      </c>
      <c r="F207" s="110">
        <f>表2_36716262930389121314152324252627[[#This Row],[累计净值]]</f>
        <v>1.8740000000000001</v>
      </c>
      <c r="G207" s="20">
        <f>表2_36716262930389121314152324252627[[#This Row],[累计净值]]/$B$21-1</f>
        <v>0.2687880839539607</v>
      </c>
    </row>
  </sheetData>
  <mergeCells count="1">
    <mergeCell ref="G2:G3"/>
  </mergeCells>
  <phoneticPr fontId="24" type="noConversion"/>
  <pageMargins left="0.7" right="0.7" top="0.75" bottom="0.75" header="0.3" footer="0.3"/>
  <pageSetup paperSize="9" orientation="portrait" horizontalDpi="200" verticalDpi="200" r:id="rId1"/>
  <drawing r:id="rId2"/>
  <tableParts count="1"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G189"/>
  <sheetViews>
    <sheetView workbookViewId="0">
      <pane xSplit="1" ySplit="20" topLeftCell="B172" activePane="bottomRight" state="frozen"/>
      <selection pane="topRight" activeCell="B1" sqref="B1"/>
      <selection pane="bottomLeft" activeCell="A21" sqref="A21"/>
      <selection pane="bottomRight" activeCell="G188" sqref="G188:G189"/>
    </sheetView>
  </sheetViews>
  <sheetFormatPr defaultColWidth="9" defaultRowHeight="14.25" x14ac:dyDescent="0.2"/>
  <cols>
    <col min="1" max="1" width="11.625" style="1" bestFit="1" customWidth="1"/>
    <col min="2" max="2" width="13" style="1" customWidth="1"/>
    <col min="3" max="4" width="13.5" style="1" bestFit="1" customWidth="1"/>
    <col min="5" max="5" width="10.75" style="1" customWidth="1"/>
    <col min="6" max="6" width="11.125" style="1" customWidth="1"/>
    <col min="7" max="7" width="18.875" style="2" customWidth="1"/>
    <col min="8" max="8" width="14.25" style="1" customWidth="1"/>
    <col min="9" max="9" width="12" style="1" bestFit="1" customWidth="1"/>
    <col min="10" max="16384" width="9" style="1"/>
  </cols>
  <sheetData>
    <row r="1" spans="1:7" ht="15" thickBot="1" x14ac:dyDescent="0.25"/>
    <row r="2" spans="1:7" ht="15" thickBot="1" x14ac:dyDescent="0.25">
      <c r="A2" s="23" t="s">
        <v>0</v>
      </c>
      <c r="B2" s="24">
        <f>COUNT(表2_36716262930389121314152324252627282930[每日盈亏])</f>
        <v>169</v>
      </c>
      <c r="C2" s="27"/>
      <c r="D2" s="3" t="s">
        <v>1</v>
      </c>
      <c r="E2" s="28"/>
      <c r="F2" s="1" t="s">
        <v>2</v>
      </c>
      <c r="G2" s="394" t="s">
        <v>3</v>
      </c>
    </row>
    <row r="3" spans="1:7" x14ac:dyDescent="0.2">
      <c r="A3" s="25" t="s">
        <v>4</v>
      </c>
      <c r="B3" s="26">
        <f>COUNTIF(表2_36716262930389121314152324252627282930[每日盈亏],"&gt;0")</f>
        <v>69</v>
      </c>
      <c r="C3" s="29"/>
      <c r="D3" s="30" t="s">
        <v>5</v>
      </c>
      <c r="E3" s="31">
        <f>245^0.5*(B10-0.025/365)/E10</f>
        <v>0.15154842205641506</v>
      </c>
      <c r="G3" s="394"/>
    </row>
    <row r="4" spans="1:7" x14ac:dyDescent="0.2">
      <c r="A4" s="25" t="s">
        <v>6</v>
      </c>
      <c r="B4" s="26">
        <f>COUNTIF(表2_36716262930389121314152324252627282930[每日盈亏],"&lt;0")</f>
        <v>88</v>
      </c>
      <c r="C4" s="29"/>
      <c r="D4" s="32" t="s">
        <v>7</v>
      </c>
      <c r="E4" s="31">
        <f ca="1">-B9/E8</f>
        <v>0.4156195783719745</v>
      </c>
      <c r="G4" s="2">
        <f>LOOKUP(999^10,表2_36716262930389121314152324252627282930[累计净值])</f>
        <v>1.028</v>
      </c>
    </row>
    <row r="5" spans="1:7" x14ac:dyDescent="0.2">
      <c r="A5" s="25" t="s">
        <v>8</v>
      </c>
      <c r="B5" s="26">
        <f>B2-B3-B4</f>
        <v>12</v>
      </c>
      <c r="C5" s="29"/>
      <c r="D5" s="33" t="s">
        <v>9</v>
      </c>
      <c r="E5" s="4">
        <f>245^0.5*(B10-0.025/365)/E9</f>
        <v>0.2631984313795947</v>
      </c>
    </row>
    <row r="6" spans="1:7" ht="15" thickBot="1" x14ac:dyDescent="0.25">
      <c r="A6" s="34"/>
      <c r="B6" s="35"/>
      <c r="C6" s="35"/>
      <c r="D6" s="35"/>
      <c r="E6" s="36"/>
    </row>
    <row r="7" spans="1:7" ht="15" thickBot="1" x14ac:dyDescent="0.25">
      <c r="A7" s="5" t="s">
        <v>10</v>
      </c>
      <c r="B7" s="35"/>
      <c r="C7" s="35"/>
      <c r="D7" s="3" t="s">
        <v>11</v>
      </c>
      <c r="E7" s="37"/>
    </row>
    <row r="8" spans="1:7" x14ac:dyDescent="0.2">
      <c r="A8" s="38" t="s">
        <v>12</v>
      </c>
      <c r="B8" s="39">
        <f>LOOKUP(999^10,表2_36716262930389121314152324252627282930[累计净值])/$B$21-1</f>
        <v>2.6973026973027059E-2</v>
      </c>
      <c r="C8" s="40"/>
      <c r="D8" s="30" t="s">
        <v>13</v>
      </c>
      <c r="E8" s="41">
        <f ca="1">MIN(表2_36716262930389121314152324252627282930[最大回撤])</f>
        <v>-9.4083414161008627E-2</v>
      </c>
    </row>
    <row r="9" spans="1:7" x14ac:dyDescent="0.2">
      <c r="A9" s="25" t="s">
        <v>14</v>
      </c>
      <c r="B9" s="32">
        <f>B8*245/B2</f>
        <v>3.910290892539426E-2</v>
      </c>
      <c r="C9" s="40"/>
      <c r="D9" s="33" t="s">
        <v>15</v>
      </c>
      <c r="E9" s="6">
        <f>STDEV(表2_36716262930389121314152324252627282930[下跌幅度])</f>
        <v>5.0759642185668899E-3</v>
      </c>
    </row>
    <row r="10" spans="1:7" x14ac:dyDescent="0.2">
      <c r="A10" s="42" t="s">
        <v>16</v>
      </c>
      <c r="B10" s="43">
        <f>AVERAGE(表2_36716262930389121314152324252627282930[每日盈亏])</f>
        <v>1.5384615384615529E-4</v>
      </c>
      <c r="C10" s="44"/>
      <c r="D10" s="33" t="s">
        <v>17</v>
      </c>
      <c r="E10" s="6">
        <f>STDEV(表2_36716262930389121314152324252627282930[每日盈亏])</f>
        <v>8.8155706403094357E-3</v>
      </c>
    </row>
    <row r="11" spans="1:7" x14ac:dyDescent="0.2">
      <c r="A11" s="7" t="s">
        <v>18</v>
      </c>
      <c r="B11" s="32">
        <f>B3/B2</f>
        <v>0.40828402366863903</v>
      </c>
      <c r="C11" s="40"/>
      <c r="D11" s="32" t="s">
        <v>19</v>
      </c>
      <c r="E11" s="41">
        <f>245^0.5*E10</f>
        <v>0.13798550648528274</v>
      </c>
    </row>
    <row r="12" spans="1:7" ht="15" thickBot="1" x14ac:dyDescent="0.25">
      <c r="A12" s="45" t="s">
        <v>20</v>
      </c>
      <c r="B12" s="46">
        <f>-(SUMIF(表2_36716262930389121314152324252627282930[每日盈亏],"&gt;=0")/B3)/(SUMIF(表2_36716262930389121314152324252627282930[每日盈亏],"&lt;0")/B4)</f>
        <v>1.3388861124993063</v>
      </c>
      <c r="C12" s="47"/>
      <c r="D12" s="48"/>
      <c r="E12" s="49"/>
    </row>
    <row r="14" spans="1:7" ht="28.5" x14ac:dyDescent="0.2">
      <c r="A14" s="50" t="s">
        <v>21</v>
      </c>
      <c r="B14" s="50" t="s">
        <v>14</v>
      </c>
      <c r="C14" s="51" t="s">
        <v>19</v>
      </c>
      <c r="D14" s="51" t="s">
        <v>13</v>
      </c>
      <c r="E14" s="51" t="s">
        <v>5</v>
      </c>
      <c r="F14" s="51" t="s">
        <v>7</v>
      </c>
    </row>
    <row r="15" spans="1:7" x14ac:dyDescent="0.2">
      <c r="A15" s="78">
        <f>B2</f>
        <v>169</v>
      </c>
      <c r="B15" s="53">
        <f>B9</f>
        <v>3.910290892539426E-2</v>
      </c>
      <c r="C15" s="53">
        <f>E11</f>
        <v>0.13798550648528274</v>
      </c>
      <c r="D15" s="53">
        <f ca="1">E8</f>
        <v>-9.4083414161008627E-2</v>
      </c>
      <c r="E15" s="54">
        <f>E3</f>
        <v>0.15154842205641506</v>
      </c>
      <c r="F15" s="54">
        <f ca="1">E4</f>
        <v>0.4156195783719745</v>
      </c>
    </row>
    <row r="19" spans="1:7" x14ac:dyDescent="0.2">
      <c r="A19" s="8"/>
      <c r="B19" s="1" t="s">
        <v>22</v>
      </c>
    </row>
    <row r="20" spans="1:7" ht="15.75" x14ac:dyDescent="0.2">
      <c r="A20" s="22" t="s">
        <v>23</v>
      </c>
      <c r="B20" s="22" t="s">
        <v>24</v>
      </c>
      <c r="C20" s="22" t="s">
        <v>25</v>
      </c>
      <c r="D20" s="22" t="s">
        <v>26</v>
      </c>
      <c r="E20" s="22" t="s">
        <v>27</v>
      </c>
      <c r="F20" s="22" t="s">
        <v>28</v>
      </c>
      <c r="G20" s="22" t="s">
        <v>29</v>
      </c>
    </row>
    <row r="21" spans="1:7" x14ac:dyDescent="0.2">
      <c r="A21" s="15">
        <v>44074</v>
      </c>
      <c r="B21" s="112">
        <v>1.0009999999999999</v>
      </c>
      <c r="C21" s="11">
        <f>IFERROR(B21-B20,0)</f>
        <v>0</v>
      </c>
      <c r="D21" s="12" t="str">
        <f t="shared" ref="D21:D27" si="0">IF(C21&lt;0,C21,"/")</f>
        <v>/</v>
      </c>
      <c r="E21" s="12">
        <f ca="1">IF(表2_36716262930389121314152324252627282930[[#This Row],[累计净值]]/MAX(INDIRECT("B21:B" &amp; ROW()))-1&lt;E20,表2_36716262930389121314152324252627282930[[#This Row],[累计净值]]/MAX(INDIRECT("B21:B" &amp; ROW()))-1,E20)</f>
        <v>0</v>
      </c>
      <c r="F21" s="13">
        <f>表2_36716262930389121314152324252627282930[[#This Row],[累计净值]]</f>
        <v>1.0009999999999999</v>
      </c>
      <c r="G21" s="194" t="s">
        <v>30</v>
      </c>
    </row>
    <row r="22" spans="1:7" x14ac:dyDescent="0.2">
      <c r="A22" s="15">
        <v>44075</v>
      </c>
      <c r="B22" s="112">
        <v>1.0069999999999999</v>
      </c>
      <c r="C22" s="17">
        <f>IFERROR(B22-B21,0)</f>
        <v>6.0000000000000053E-3</v>
      </c>
      <c r="D22" s="18" t="str">
        <f t="shared" si="0"/>
        <v>/</v>
      </c>
      <c r="E22" s="18">
        <f ca="1">IF(表2_36716262930389121314152324252627282930[[#This Row],[累计净值]]/MAX(INDIRECT("B21:B" &amp; ROW()))-1&lt;E21,表2_36716262930389121314152324252627282930[[#This Row],[累计净值]]/MAX(INDIRECT("B21:B" &amp; ROW()))-1,E21)</f>
        <v>0</v>
      </c>
      <c r="F22" s="19">
        <f>表2_36716262930389121314152324252627282930[[#This Row],[累计净值]]</f>
        <v>1.0069999999999999</v>
      </c>
      <c r="G22" s="20">
        <f>表2_36716262930389121314152324252627282930[[#This Row],[累计净值]]/$B$21-1</f>
        <v>5.9940059940060131E-3</v>
      </c>
    </row>
    <row r="23" spans="1:7" x14ac:dyDescent="0.2">
      <c r="A23" s="15">
        <v>44076</v>
      </c>
      <c r="B23" s="112">
        <v>1.0109999999999999</v>
      </c>
      <c r="C23" s="17">
        <f>IFERROR(B23-B22,0)</f>
        <v>4.0000000000000036E-3</v>
      </c>
      <c r="D23" s="109" t="str">
        <f t="shared" si="0"/>
        <v>/</v>
      </c>
      <c r="E23" s="18">
        <f ca="1">IF(表2_36716262930389121314152324252627282930[[#This Row],[累计净值]]/MAX(INDIRECT("B21:B" &amp; ROW()))-1&lt;E22,表2_36716262930389121314152324252627282930[[#This Row],[累计净值]]/MAX(INDIRECT("B21:B" &amp; ROW()))-1,E22)</f>
        <v>0</v>
      </c>
      <c r="F23" s="110">
        <f>表2_36716262930389121314152324252627282930[[#This Row],[累计净值]]</f>
        <v>1.0109999999999999</v>
      </c>
      <c r="G23" s="20">
        <f>表2_36716262930389121314152324252627282930[[#This Row],[累计净值]]/$B$21-1</f>
        <v>9.9900099900100958E-3</v>
      </c>
    </row>
    <row r="24" spans="1:7" x14ac:dyDescent="0.2">
      <c r="A24" s="15">
        <v>44077</v>
      </c>
      <c r="B24" s="112">
        <v>1.016</v>
      </c>
      <c r="C24" s="17">
        <f>IFERROR(B24-B23,0)</f>
        <v>5.0000000000001155E-3</v>
      </c>
      <c r="D24" s="109" t="str">
        <f t="shared" si="0"/>
        <v>/</v>
      </c>
      <c r="E24" s="18">
        <f ca="1">IF(表2_36716262930389121314152324252627282930[[#This Row],[累计净值]]/MAX(INDIRECT("B21:B" &amp; ROW()))-1&lt;E23,表2_36716262930389121314152324252627282930[[#This Row],[累计净值]]/MAX(INDIRECT("B21:B" &amp; ROW()))-1,E23)</f>
        <v>0</v>
      </c>
      <c r="F24" s="110">
        <f>表2_36716262930389121314152324252627282930[[#This Row],[累计净值]]</f>
        <v>1.016</v>
      </c>
      <c r="G24" s="20">
        <f>表2_36716262930389121314152324252627282930[[#This Row],[累计净值]]/$B$21-1</f>
        <v>1.4985014985015033E-2</v>
      </c>
    </row>
    <row r="25" spans="1:7" x14ac:dyDescent="0.2">
      <c r="A25" s="15">
        <v>44078</v>
      </c>
      <c r="B25" s="112">
        <v>1.022</v>
      </c>
      <c r="C25" s="17">
        <f>IFERROR(B25-B24,0)</f>
        <v>6.0000000000000053E-3</v>
      </c>
      <c r="D25" s="109" t="str">
        <f t="shared" si="0"/>
        <v>/</v>
      </c>
      <c r="E25" s="18">
        <f ca="1">IF(表2_36716262930389121314152324252627282930[[#This Row],[累计净值]]/MAX(INDIRECT("B21:B" &amp; ROW()))-1&lt;E24,表2_36716262930389121314152324252627282930[[#This Row],[累计净值]]/MAX(INDIRECT("B21:B" &amp; ROW()))-1,E24)</f>
        <v>0</v>
      </c>
      <c r="F25" s="110">
        <f>表2_36716262930389121314152324252627282930[[#This Row],[累计净值]]</f>
        <v>1.022</v>
      </c>
      <c r="G25" s="20">
        <f>表2_36716262930389121314152324252627282930[[#This Row],[累计净值]]/$B$21-1</f>
        <v>2.0979020979021046E-2</v>
      </c>
    </row>
    <row r="26" spans="1:7" x14ac:dyDescent="0.2">
      <c r="A26" s="15">
        <v>44081</v>
      </c>
      <c r="B26" s="112">
        <v>1.0229999999999999</v>
      </c>
      <c r="C26" s="108">
        <f>IFERROR(B26-#REF!,0)</f>
        <v>0</v>
      </c>
      <c r="D26" s="109" t="str">
        <f t="shared" si="0"/>
        <v>/</v>
      </c>
      <c r="E26" s="18">
        <f ca="1">IF(表2_36716262930389121314152324252627282930[[#This Row],[累计净值]]/MAX(INDIRECT("B21:B" &amp; ROW()))-1&lt;E25,表2_36716262930389121314152324252627282930[[#This Row],[累计净值]]/MAX(INDIRECT("B21:B" &amp; ROW()))-1,E25)</f>
        <v>0</v>
      </c>
      <c r="F26" s="110">
        <f>表2_36716262930389121314152324252627282930[[#This Row],[累计净值]]</f>
        <v>1.0229999999999999</v>
      </c>
      <c r="G26" s="20">
        <f>表2_36716262930389121314152324252627282930[[#This Row],[累计净值]]/$B$21-1</f>
        <v>2.19780219780219E-2</v>
      </c>
    </row>
    <row r="27" spans="1:7" x14ac:dyDescent="0.2">
      <c r="A27" s="15">
        <v>44082</v>
      </c>
      <c r="B27" s="112">
        <v>1.0229999999999999</v>
      </c>
      <c r="C27" s="108">
        <f t="shared" ref="C27:C32" si="1">IFERROR(B27-B26,0)</f>
        <v>0</v>
      </c>
      <c r="D27" s="109" t="str">
        <f t="shared" si="0"/>
        <v>/</v>
      </c>
      <c r="E27" s="18">
        <f ca="1">IF(表2_36716262930389121314152324252627282930[[#This Row],[累计净值]]/MAX(INDIRECT("B21:B" &amp; ROW()))-1&lt;E26,表2_36716262930389121314152324252627282930[[#This Row],[累计净值]]/MAX(INDIRECT("B21:B" &amp; ROW()))-1,E26)</f>
        <v>0</v>
      </c>
      <c r="F27" s="110">
        <f>表2_36716262930389121314152324252627282930[[#This Row],[累计净值]]</f>
        <v>1.0229999999999999</v>
      </c>
      <c r="G27" s="20">
        <f>表2_36716262930389121314152324252627282930[[#This Row],[累计净值]]/$B$21-1</f>
        <v>2.19780219780219E-2</v>
      </c>
    </row>
    <row r="28" spans="1:7" x14ac:dyDescent="0.2">
      <c r="A28" s="15">
        <v>44083</v>
      </c>
      <c r="B28" s="112">
        <v>1.0229999999999999</v>
      </c>
      <c r="C28" s="108">
        <f t="shared" si="1"/>
        <v>0</v>
      </c>
      <c r="D28" s="109" t="str">
        <f t="shared" ref="D28:D33" si="2">IF(C28&lt;0,C28,"/")</f>
        <v>/</v>
      </c>
      <c r="E28" s="109">
        <f ca="1">IF(表2_36716262930389121314152324252627282930[[#This Row],[累计净值]]/MAX(INDIRECT("B21:B" &amp; ROW()))-1&lt;E27,表2_36716262930389121314152324252627282930[[#This Row],[累计净值]]/MAX(INDIRECT("B21:B" &amp; ROW()))-1,E27)</f>
        <v>0</v>
      </c>
      <c r="F28" s="110">
        <f>表2_36716262930389121314152324252627282930[[#This Row],[累计净值]]</f>
        <v>1.0229999999999999</v>
      </c>
      <c r="G28" s="20">
        <f>表2_36716262930389121314152324252627282930[[#This Row],[累计净值]]/$B$21-1</f>
        <v>2.19780219780219E-2</v>
      </c>
    </row>
    <row r="29" spans="1:7" x14ac:dyDescent="0.2">
      <c r="A29" s="15">
        <v>44084</v>
      </c>
      <c r="B29" s="112">
        <v>1.024</v>
      </c>
      <c r="C29" s="108">
        <f t="shared" si="1"/>
        <v>1.0000000000001119E-3</v>
      </c>
      <c r="D29" s="109" t="str">
        <f t="shared" si="2"/>
        <v>/</v>
      </c>
      <c r="E29" s="109">
        <f ca="1">IF(表2_36716262930389121314152324252627282930[[#This Row],[累计净值]]/MAX(INDIRECT("B21:B" &amp; ROW()))-1&lt;E28,表2_36716262930389121314152324252627282930[[#This Row],[累计净值]]/MAX(INDIRECT("B21:B" &amp; ROW()))-1,E28)</f>
        <v>0</v>
      </c>
      <c r="F29" s="110">
        <f>表2_36716262930389121314152324252627282930[[#This Row],[累计净值]]</f>
        <v>1.024</v>
      </c>
      <c r="G29" s="20">
        <f>表2_36716262930389121314152324252627282930[[#This Row],[累计净值]]/$B$21-1</f>
        <v>2.2977022977023198E-2</v>
      </c>
    </row>
    <row r="30" spans="1:7" x14ac:dyDescent="0.2">
      <c r="A30" s="15">
        <v>44085</v>
      </c>
      <c r="B30" s="112">
        <v>1.0249999999999999</v>
      </c>
      <c r="C30" s="108">
        <f t="shared" si="1"/>
        <v>9.9999999999988987E-4</v>
      </c>
      <c r="D30" s="109" t="str">
        <f t="shared" si="2"/>
        <v>/</v>
      </c>
      <c r="E30" s="109">
        <f ca="1">IF(表2_36716262930389121314152324252627282930[[#This Row],[累计净值]]/MAX(INDIRECT("B21:B" &amp; ROW()))-1&lt;E29,表2_36716262930389121314152324252627282930[[#This Row],[累计净值]]/MAX(INDIRECT("B21:B" &amp; ROW()))-1,E29)</f>
        <v>0</v>
      </c>
      <c r="F30" s="110">
        <f>表2_36716262930389121314152324252627282930[[#This Row],[累计净值]]</f>
        <v>1.0249999999999999</v>
      </c>
      <c r="G30" s="20">
        <f>表2_36716262930389121314152324252627282930[[#This Row],[累计净值]]/$B$21-1</f>
        <v>2.3976023976024052E-2</v>
      </c>
    </row>
    <row r="31" spans="1:7" x14ac:dyDescent="0.2">
      <c r="A31" s="15">
        <v>44088</v>
      </c>
      <c r="B31" s="112">
        <v>1.0309999999999999</v>
      </c>
      <c r="C31" s="108">
        <f t="shared" si="1"/>
        <v>6.0000000000000053E-3</v>
      </c>
      <c r="D31" s="109" t="str">
        <f t="shared" si="2"/>
        <v>/</v>
      </c>
      <c r="E31" s="109">
        <f ca="1">IF(表2_36716262930389121314152324252627282930[[#This Row],[累计净值]]/MAX(INDIRECT("B21:B" &amp; ROW()))-1&lt;E30,表2_36716262930389121314152324252627282930[[#This Row],[累计净值]]/MAX(INDIRECT("B21:B" &amp; ROW()))-1,E30)</f>
        <v>0</v>
      </c>
      <c r="F31" s="110">
        <f>表2_36716262930389121314152324252627282930[[#This Row],[累计净值]]</f>
        <v>1.0309999999999999</v>
      </c>
      <c r="G31" s="20">
        <f>表2_36716262930389121314152324252627282930[[#This Row],[累计净值]]/$B$21-1</f>
        <v>2.9970029970030065E-2</v>
      </c>
    </row>
    <row r="32" spans="1:7" x14ac:dyDescent="0.2">
      <c r="A32" s="15">
        <v>44089</v>
      </c>
      <c r="B32" s="112">
        <v>1.028</v>
      </c>
      <c r="C32" s="108">
        <f t="shared" si="1"/>
        <v>-2.9999999999998916E-3</v>
      </c>
      <c r="D32" s="109">
        <f t="shared" si="2"/>
        <v>-2.9999999999998916E-3</v>
      </c>
      <c r="E32" s="109">
        <f ca="1">IF(表2_36716262930389121314152324252627282930[[#This Row],[累计净值]]/MAX(INDIRECT("B21:B" &amp; ROW()))-1&lt;E31,表2_36716262930389121314152324252627282930[[#This Row],[累计净值]]/MAX(INDIRECT("B21:B" &amp; ROW()))-1,E31)</f>
        <v>-2.9097963142579175E-3</v>
      </c>
      <c r="F32" s="110">
        <f>表2_36716262930389121314152324252627282930[[#This Row],[累计净值]]</f>
        <v>1.028</v>
      </c>
      <c r="G32" s="20">
        <f>表2_36716262930389121314152324252627282930[[#This Row],[累计净值]]/$B$21-1</f>
        <v>2.6973026973027059E-2</v>
      </c>
    </row>
    <row r="33" spans="1:7" x14ac:dyDescent="0.2">
      <c r="A33" s="15">
        <v>44090</v>
      </c>
      <c r="B33" s="112">
        <v>1.0189999999999999</v>
      </c>
      <c r="C33" s="108">
        <f t="shared" ref="C33:C38" si="3">IFERROR(B33-B32,0)</f>
        <v>-9.000000000000119E-3</v>
      </c>
      <c r="D33" s="109">
        <f t="shared" si="2"/>
        <v>-9.000000000000119E-3</v>
      </c>
      <c r="E33" s="109">
        <f ca="1">IF(表2_36716262930389121314152324252627282930[[#This Row],[累计净值]]/MAX(INDIRECT("B21:B" &amp; ROW()))-1&lt;E32,表2_36716262930389121314152324252627282930[[#This Row],[累计净值]]/MAX(INDIRECT("B21:B" &amp; ROW()))-1,E32)</f>
        <v>-1.1639185257032003E-2</v>
      </c>
      <c r="F33" s="110">
        <f>表2_36716262930389121314152324252627282930[[#This Row],[累计净值]]</f>
        <v>1.0189999999999999</v>
      </c>
      <c r="G33" s="20">
        <f>表2_36716262930389121314152324252627282930[[#This Row],[累计净值]]/$B$21-1</f>
        <v>1.7982017982018039E-2</v>
      </c>
    </row>
    <row r="34" spans="1:7" x14ac:dyDescent="0.2">
      <c r="A34" s="15">
        <v>44091</v>
      </c>
      <c r="B34" s="112">
        <v>1.026</v>
      </c>
      <c r="C34" s="108">
        <f t="shared" si="3"/>
        <v>7.0000000000001172E-3</v>
      </c>
      <c r="D34" s="109" t="str">
        <f t="shared" ref="D34:D39" si="4">IF(C34&lt;0,C34,"/")</f>
        <v>/</v>
      </c>
      <c r="E34" s="109">
        <f ca="1">IF(表2_36716262930389121314152324252627282930[[#This Row],[累计净值]]/MAX(INDIRECT("B21:B" &amp; ROW()))-1&lt;E33,表2_36716262930389121314152324252627282930[[#This Row],[累计净值]]/MAX(INDIRECT("B21:B" &amp; ROW()))-1,E33)</f>
        <v>-1.1639185257032003E-2</v>
      </c>
      <c r="F34" s="110">
        <f>表2_36716262930389121314152324252627282930[[#This Row],[累计净值]]</f>
        <v>1.026</v>
      </c>
      <c r="G34" s="20">
        <f>表2_36716262930389121314152324252627282930[[#This Row],[累计净值]]/$B$21-1</f>
        <v>2.4975024975025129E-2</v>
      </c>
    </row>
    <row r="35" spans="1:7" x14ac:dyDescent="0.2">
      <c r="A35" s="15">
        <v>44092</v>
      </c>
      <c r="B35" s="112">
        <v>1.0169999999999999</v>
      </c>
      <c r="C35" s="108">
        <f t="shared" si="3"/>
        <v>-9.000000000000119E-3</v>
      </c>
      <c r="D35" s="109">
        <f t="shared" si="4"/>
        <v>-9.000000000000119E-3</v>
      </c>
      <c r="E35" s="109">
        <f ca="1">IF(表2_36716262930389121314152324252627282930[[#This Row],[累计净值]]/MAX(INDIRECT("B21:B" &amp; ROW()))-1&lt;E34,表2_36716262930389121314152324252627282930[[#This Row],[累计净值]]/MAX(INDIRECT("B21:B" &amp; ROW()))-1,E34)</f>
        <v>-1.3579049466537318E-2</v>
      </c>
      <c r="F35" s="110">
        <f>表2_36716262930389121314152324252627282930[[#This Row],[累计净值]]</f>
        <v>1.0169999999999999</v>
      </c>
      <c r="G35" s="20">
        <f>表2_36716262930389121314152324252627282930[[#This Row],[累计净值]]/$B$21-1</f>
        <v>1.5984015984016109E-2</v>
      </c>
    </row>
    <row r="36" spans="1:7" x14ac:dyDescent="0.2">
      <c r="A36" s="15">
        <v>44095</v>
      </c>
      <c r="B36" s="112">
        <v>1</v>
      </c>
      <c r="C36" s="108">
        <f t="shared" si="3"/>
        <v>-1.6999999999999904E-2</v>
      </c>
      <c r="D36" s="109">
        <f t="shared" si="4"/>
        <v>-1.6999999999999904E-2</v>
      </c>
      <c r="E36" s="109">
        <f ca="1">IF(表2_36716262930389121314152324252627282930[[#This Row],[累计净值]]/MAX(INDIRECT("B21:B" &amp; ROW()))-1&lt;E35,表2_36716262930389121314152324252627282930[[#This Row],[累计净值]]/MAX(INDIRECT("B21:B" &amp; ROW()))-1,E35)</f>
        <v>-3.0067895247332554E-2</v>
      </c>
      <c r="F36" s="110">
        <f>表2_36716262930389121314152324252627282930[[#This Row],[累计净值]]</f>
        <v>1</v>
      </c>
      <c r="G36" s="20">
        <f>表2_36716262930389121314152324252627282930[[#This Row],[累计净值]]/$B$21-1</f>
        <v>-9.9900099900085415E-4</v>
      </c>
    </row>
    <row r="37" spans="1:7" x14ac:dyDescent="0.2">
      <c r="A37" s="15">
        <v>44096</v>
      </c>
      <c r="B37" s="112">
        <v>1</v>
      </c>
      <c r="C37" s="108">
        <f t="shared" si="3"/>
        <v>0</v>
      </c>
      <c r="D37" s="109" t="str">
        <f t="shared" si="4"/>
        <v>/</v>
      </c>
      <c r="E37" s="109">
        <f ca="1">IF(表2_36716262930389121314152324252627282930[[#This Row],[累计净值]]/MAX(INDIRECT("B21:B" &amp; ROW()))-1&lt;E36,表2_36716262930389121314152324252627282930[[#This Row],[累计净值]]/MAX(INDIRECT("B21:B" &amp; ROW()))-1,E36)</f>
        <v>-3.0067895247332554E-2</v>
      </c>
      <c r="F37" s="110">
        <f>表2_36716262930389121314152324252627282930[[#This Row],[累计净值]]</f>
        <v>1</v>
      </c>
      <c r="G37" s="20">
        <f>表2_36716262930389121314152324252627282930[[#This Row],[累计净值]]/$B$21-1</f>
        <v>-9.9900099900085415E-4</v>
      </c>
    </row>
    <row r="38" spans="1:7" x14ac:dyDescent="0.2">
      <c r="A38" s="15">
        <v>44097</v>
      </c>
      <c r="B38" s="112">
        <v>0.996</v>
      </c>
      <c r="C38" s="108">
        <f t="shared" si="3"/>
        <v>-4.0000000000000036E-3</v>
      </c>
      <c r="D38" s="109">
        <f t="shared" si="4"/>
        <v>-4.0000000000000036E-3</v>
      </c>
      <c r="E38" s="109">
        <f ca="1">IF(表2_36716262930389121314152324252627282930[[#This Row],[累计净值]]/MAX(INDIRECT("B21:B" &amp; ROW()))-1&lt;E37,表2_36716262930389121314152324252627282930[[#This Row],[累计净值]]/MAX(INDIRECT("B21:B" &amp; ROW()))-1,E37)</f>
        <v>-3.3947623666343296E-2</v>
      </c>
      <c r="F38" s="110">
        <f>表2_36716262930389121314152324252627282930[[#This Row],[累计净值]]</f>
        <v>0.996</v>
      </c>
      <c r="G38" s="20">
        <f>表2_36716262930389121314152324252627282930[[#This Row],[累计净值]]/$B$21-1</f>
        <v>-4.9950049950049369E-3</v>
      </c>
    </row>
    <row r="39" spans="1:7" x14ac:dyDescent="0.2">
      <c r="A39" s="15">
        <v>44098</v>
      </c>
      <c r="B39" s="112">
        <v>0.98899999999999999</v>
      </c>
      <c r="C39" s="108">
        <f t="shared" ref="C39:C44" si="5">IFERROR(B39-B38,0)</f>
        <v>-7.0000000000000062E-3</v>
      </c>
      <c r="D39" s="109">
        <f t="shared" si="4"/>
        <v>-7.0000000000000062E-3</v>
      </c>
      <c r="E39" s="109">
        <f ca="1">IF(表2_36716262930389121314152324252627282930[[#This Row],[累计净值]]/MAX(INDIRECT("B21:B" &amp; ROW()))-1&lt;E38,表2_36716262930389121314152324252627282930[[#This Row],[累计净值]]/MAX(INDIRECT("B21:B" &amp; ROW()))-1,E38)</f>
        <v>-4.0737148399611955E-2</v>
      </c>
      <c r="F39" s="110">
        <f>表2_36716262930389121314152324252627282930[[#This Row],[累计净值]]</f>
        <v>0.98899999999999999</v>
      </c>
      <c r="G39" s="20">
        <f>表2_36716262930389121314152324252627282930[[#This Row],[累计净值]]/$B$21-1</f>
        <v>-1.1988011988011915E-2</v>
      </c>
    </row>
    <row r="40" spans="1:7" x14ac:dyDescent="0.2">
      <c r="A40" s="15">
        <v>44099</v>
      </c>
      <c r="B40" s="112">
        <v>0.98499999999999999</v>
      </c>
      <c r="C40" s="108">
        <f t="shared" si="5"/>
        <v>-4.0000000000000036E-3</v>
      </c>
      <c r="D40" s="109">
        <f t="shared" ref="D40:D45" si="6">IF(C40&lt;0,C40,"/")</f>
        <v>-4.0000000000000036E-3</v>
      </c>
      <c r="E40" s="109">
        <f ca="1">IF(表2_36716262930389121314152324252627282930[[#This Row],[累计净值]]/MAX(INDIRECT("B21:B" &amp; ROW()))-1&lt;E39,表2_36716262930389121314152324252627282930[[#This Row],[累计净值]]/MAX(INDIRECT("B21:B" &amp; ROW()))-1,E39)</f>
        <v>-4.4616876818622586E-2</v>
      </c>
      <c r="F40" s="110">
        <f>表2_36716262930389121314152324252627282930[[#This Row],[累计净值]]</f>
        <v>0.98499999999999999</v>
      </c>
      <c r="G40" s="20">
        <f>表2_36716262930389121314152324252627282930[[#This Row],[累计净值]]/$B$21-1</f>
        <v>-1.5984015984015887E-2</v>
      </c>
    </row>
    <row r="41" spans="1:7" x14ac:dyDescent="0.2">
      <c r="A41" s="15">
        <v>44102</v>
      </c>
      <c r="B41" s="112">
        <v>0.98399999999999999</v>
      </c>
      <c r="C41" s="108">
        <f t="shared" si="5"/>
        <v>-1.0000000000000009E-3</v>
      </c>
      <c r="D41" s="109">
        <f t="shared" si="6"/>
        <v>-1.0000000000000009E-3</v>
      </c>
      <c r="E41" s="109">
        <f ca="1">IF(表2_36716262930389121314152324252627282930[[#This Row],[累计净值]]/MAX(INDIRECT("B21:B" &amp; ROW()))-1&lt;E40,表2_36716262930389121314152324252627282930[[#This Row],[累计净值]]/MAX(INDIRECT("B21:B" &amp; ROW()))-1,E40)</f>
        <v>-4.5586808923375299E-2</v>
      </c>
      <c r="F41" s="110">
        <f>表2_36716262930389121314152324252627282930[[#This Row],[累计净值]]</f>
        <v>0.98399999999999999</v>
      </c>
      <c r="G41" s="20">
        <f>表2_36716262930389121314152324252627282930[[#This Row],[累计净值]]/$B$21-1</f>
        <v>-1.6983016983016852E-2</v>
      </c>
    </row>
    <row r="42" spans="1:7" x14ac:dyDescent="0.2">
      <c r="A42" s="15">
        <v>44103</v>
      </c>
      <c r="B42" s="112">
        <v>0.99299999999999999</v>
      </c>
      <c r="C42" s="108">
        <f t="shared" si="5"/>
        <v>9.000000000000008E-3</v>
      </c>
      <c r="D42" s="109" t="str">
        <f t="shared" si="6"/>
        <v>/</v>
      </c>
      <c r="E42" s="109">
        <f ca="1">IF(表2_36716262930389121314152324252627282930[[#This Row],[累计净值]]/MAX(INDIRECT("B21:B" &amp; ROW()))-1&lt;E41,表2_36716262930389121314152324252627282930[[#This Row],[累计净值]]/MAX(INDIRECT("B21:B" &amp; ROW()))-1,E41)</f>
        <v>-4.5586808923375299E-2</v>
      </c>
      <c r="F42" s="110">
        <f>表2_36716262930389121314152324252627282930[[#This Row],[累计净值]]</f>
        <v>0.99299999999999999</v>
      </c>
      <c r="G42" s="20">
        <f>表2_36716262930389121314152324252627282930[[#This Row],[累计净值]]/$B$21-1</f>
        <v>-7.9920079920079434E-3</v>
      </c>
    </row>
    <row r="43" spans="1:7" x14ac:dyDescent="0.2">
      <c r="A43" s="15">
        <v>44104</v>
      </c>
      <c r="B43" s="112">
        <v>0.98599999999999999</v>
      </c>
      <c r="C43" s="108">
        <f t="shared" si="5"/>
        <v>-7.0000000000000062E-3</v>
      </c>
      <c r="D43" s="109">
        <f t="shared" si="6"/>
        <v>-7.0000000000000062E-3</v>
      </c>
      <c r="E43" s="109">
        <f ca="1">IF(表2_36716262930389121314152324252627282930[[#This Row],[累计净值]]/MAX(INDIRECT("B21:B" &amp; ROW()))-1&lt;E42,表2_36716262930389121314152324252627282930[[#This Row],[累计净值]]/MAX(INDIRECT("B21:B" &amp; ROW()))-1,E42)</f>
        <v>-4.5586808923375299E-2</v>
      </c>
      <c r="F43" s="110">
        <f>表2_36716262930389121314152324252627282930[[#This Row],[累计净值]]</f>
        <v>0.98599999999999999</v>
      </c>
      <c r="G43" s="20">
        <f>表2_36716262930389121314152324252627282930[[#This Row],[累计净值]]/$B$21-1</f>
        <v>-1.4985014985014922E-2</v>
      </c>
    </row>
    <row r="44" spans="1:7" x14ac:dyDescent="0.2">
      <c r="A44" s="15">
        <v>44113</v>
      </c>
      <c r="B44" s="112">
        <v>0.98199999999999998</v>
      </c>
      <c r="C44" s="108">
        <f t="shared" si="5"/>
        <v>-4.0000000000000036E-3</v>
      </c>
      <c r="D44" s="109">
        <f t="shared" si="6"/>
        <v>-4.0000000000000036E-3</v>
      </c>
      <c r="E44" s="109">
        <f ca="1">IF(表2_36716262930389121314152324252627282930[[#This Row],[累计净值]]/MAX(INDIRECT("B21:B" &amp; ROW()))-1&lt;E43,表2_36716262930389121314152324252627282930[[#This Row],[累计净值]]/MAX(INDIRECT("B21:B" &amp; ROW()))-1,E43)</f>
        <v>-4.7526673132880615E-2</v>
      </c>
      <c r="F44" s="110">
        <f>表2_36716262930389121314152324252627282930[[#This Row],[累计净值]]</f>
        <v>0.98199999999999998</v>
      </c>
      <c r="G44" s="20">
        <f>表2_36716262930389121314152324252627282930[[#This Row],[累计净值]]/$B$21-1</f>
        <v>-1.8981018981018893E-2</v>
      </c>
    </row>
    <row r="45" spans="1:7" x14ac:dyDescent="0.2">
      <c r="A45" s="15">
        <v>44116</v>
      </c>
      <c r="B45" s="112">
        <v>0.96099999999999997</v>
      </c>
      <c r="C45" s="108">
        <f t="shared" ref="C45:C50" si="7">IFERROR(B45-B44,0)</f>
        <v>-2.1000000000000019E-2</v>
      </c>
      <c r="D45" s="109">
        <f t="shared" si="6"/>
        <v>-2.1000000000000019E-2</v>
      </c>
      <c r="E45" s="109">
        <f ca="1">IF(表2_36716262930389121314152324252627282930[[#This Row],[累计净值]]/MAX(INDIRECT("B21:B" &amp; ROW()))-1&lt;E44,表2_36716262930389121314152324252627282930[[#This Row],[累计净值]]/MAX(INDIRECT("B21:B" &amp; ROW()))-1,E44)</f>
        <v>-6.7895247332686703E-2</v>
      </c>
      <c r="F45" s="110">
        <f>表2_36716262930389121314152324252627282930[[#This Row],[累计净值]]</f>
        <v>0.96099999999999997</v>
      </c>
      <c r="G45" s="20">
        <f>表2_36716262930389121314152324252627282930[[#This Row],[累计净值]]/$B$21-1</f>
        <v>-3.9960039960039939E-2</v>
      </c>
    </row>
    <row r="46" spans="1:7" x14ac:dyDescent="0.2">
      <c r="A46" s="15">
        <v>44117</v>
      </c>
      <c r="B46" s="112">
        <v>0.96899999999999997</v>
      </c>
      <c r="C46" s="108">
        <f t="shared" si="7"/>
        <v>8.0000000000000071E-3</v>
      </c>
      <c r="D46" s="109" t="str">
        <f t="shared" ref="D46:D51" si="8">IF(C46&lt;0,C46,"/")</f>
        <v>/</v>
      </c>
      <c r="E46" s="109">
        <f ca="1">IF(表2_36716262930389121314152324252627282930[[#This Row],[累计净值]]/MAX(INDIRECT("B21:B" &amp; ROW()))-1&lt;E45,表2_36716262930389121314152324252627282930[[#This Row],[累计净值]]/MAX(INDIRECT("B21:B" &amp; ROW()))-1,E45)</f>
        <v>-6.7895247332686703E-2</v>
      </c>
      <c r="F46" s="110">
        <f>表2_36716262930389121314152324252627282930[[#This Row],[累计净值]]</f>
        <v>0.96899999999999997</v>
      </c>
      <c r="G46" s="20">
        <f>表2_36716262930389121314152324252627282930[[#This Row],[累计净值]]/$B$21-1</f>
        <v>-3.1968031968031885E-2</v>
      </c>
    </row>
    <row r="47" spans="1:7" x14ac:dyDescent="0.2">
      <c r="A47" s="15">
        <v>44118</v>
      </c>
      <c r="B47" s="112">
        <v>0.96799999999999997</v>
      </c>
      <c r="C47" s="108">
        <f t="shared" si="7"/>
        <v>-1.0000000000000009E-3</v>
      </c>
      <c r="D47" s="109">
        <f t="shared" si="8"/>
        <v>-1.0000000000000009E-3</v>
      </c>
      <c r="E47" s="109">
        <f ca="1">IF(表2_36716262930389121314152324252627282930[[#This Row],[累计净值]]/MAX(INDIRECT("B21:B" &amp; ROW()))-1&lt;E46,表2_36716262930389121314152324252627282930[[#This Row],[累计净值]]/MAX(INDIRECT("B21:B" &amp; ROW()))-1,E46)</f>
        <v>-6.7895247332686703E-2</v>
      </c>
      <c r="F47" s="110">
        <f>表2_36716262930389121314152324252627282930[[#This Row],[累计净值]]</f>
        <v>0.96799999999999997</v>
      </c>
      <c r="G47" s="20">
        <f>表2_36716262930389121314152324252627282930[[#This Row],[累计净值]]/$B$21-1</f>
        <v>-3.296703296703285E-2</v>
      </c>
    </row>
    <row r="48" spans="1:7" x14ac:dyDescent="0.2">
      <c r="A48" s="15">
        <v>44119</v>
      </c>
      <c r="B48" s="112">
        <v>0.97199999999999998</v>
      </c>
      <c r="C48" s="108">
        <f t="shared" si="7"/>
        <v>4.0000000000000036E-3</v>
      </c>
      <c r="D48" s="109" t="str">
        <f t="shared" si="8"/>
        <v>/</v>
      </c>
      <c r="E48" s="109">
        <f ca="1">IF(表2_36716262930389121314152324252627282930[[#This Row],[累计净值]]/MAX(INDIRECT("B21:B" &amp; ROW()))-1&lt;E47,表2_36716262930389121314152324252627282930[[#This Row],[累计净值]]/MAX(INDIRECT("B21:B" &amp; ROW()))-1,E47)</f>
        <v>-6.7895247332686703E-2</v>
      </c>
      <c r="F48" s="110">
        <f>表2_36716262930389121314152324252627282930[[#This Row],[累计净值]]</f>
        <v>0.97199999999999998</v>
      </c>
      <c r="G48" s="20">
        <f>表2_36716262930389121314152324252627282930[[#This Row],[累计净值]]/$B$21-1</f>
        <v>-2.8971028971028878E-2</v>
      </c>
    </row>
    <row r="49" spans="1:7" x14ac:dyDescent="0.2">
      <c r="A49" s="15">
        <v>44120</v>
      </c>
      <c r="B49" s="112">
        <v>0.97</v>
      </c>
      <c r="C49" s="108">
        <f t="shared" si="7"/>
        <v>-2.0000000000000018E-3</v>
      </c>
      <c r="D49" s="109">
        <f t="shared" si="8"/>
        <v>-2.0000000000000018E-3</v>
      </c>
      <c r="E49" s="109">
        <f ca="1">IF(表2_36716262930389121314152324252627282930[[#This Row],[累计净值]]/MAX(INDIRECT("B21:B" &amp; ROW()))-1&lt;E48,表2_36716262930389121314152324252627282930[[#This Row],[累计净值]]/MAX(INDIRECT("B21:B" &amp; ROW()))-1,E48)</f>
        <v>-6.7895247332686703E-2</v>
      </c>
      <c r="F49" s="110">
        <f>表2_36716262930389121314152324252627282930[[#This Row],[累计净值]]</f>
        <v>0.97</v>
      </c>
      <c r="G49" s="20">
        <f>表2_36716262930389121314152324252627282930[[#This Row],[累计净值]]/$B$21-1</f>
        <v>-3.096903096903092E-2</v>
      </c>
    </row>
    <row r="50" spans="1:7" x14ac:dyDescent="0.2">
      <c r="A50" s="15">
        <v>44123</v>
      </c>
      <c r="B50" s="112">
        <v>0.96699999999999997</v>
      </c>
      <c r="C50" s="108">
        <f t="shared" si="7"/>
        <v>-3.0000000000000027E-3</v>
      </c>
      <c r="D50" s="109">
        <f t="shared" si="8"/>
        <v>-3.0000000000000027E-3</v>
      </c>
      <c r="E50" s="109">
        <f ca="1">IF(表2_36716262930389121314152324252627282930[[#This Row],[累计净值]]/MAX(INDIRECT("B21:B" &amp; ROW()))-1&lt;E49,表2_36716262930389121314152324252627282930[[#This Row],[累计净值]]/MAX(INDIRECT("B21:B" &amp; ROW()))-1,E49)</f>
        <v>-6.7895247332686703E-2</v>
      </c>
      <c r="F50" s="110">
        <f>表2_36716262930389121314152324252627282930[[#This Row],[累计净值]]</f>
        <v>0.96699999999999997</v>
      </c>
      <c r="G50" s="20">
        <f>表2_36716262930389121314152324252627282930[[#This Row],[累计净值]]/$B$21-1</f>
        <v>-3.3966033966033926E-2</v>
      </c>
    </row>
    <row r="51" spans="1:7" x14ac:dyDescent="0.2">
      <c r="A51" s="15">
        <v>44124</v>
      </c>
      <c r="B51" s="112">
        <v>0.97699999999999998</v>
      </c>
      <c r="C51" s="108">
        <f t="shared" ref="C51:C56" si="9">IFERROR(B51-B50,0)</f>
        <v>1.0000000000000009E-2</v>
      </c>
      <c r="D51" s="109" t="str">
        <f t="shared" si="8"/>
        <v>/</v>
      </c>
      <c r="E51" s="109">
        <f ca="1">IF(表2_36716262930389121314152324252627282930[[#This Row],[累计净值]]/MAX(INDIRECT("B21:B" &amp; ROW()))-1&lt;E50,表2_36716262930389121314152324252627282930[[#This Row],[累计净值]]/MAX(INDIRECT("B21:B" &amp; ROW()))-1,E50)</f>
        <v>-6.7895247332686703E-2</v>
      </c>
      <c r="F51" s="110">
        <f>表2_36716262930389121314152324252627282930[[#This Row],[累计净值]]</f>
        <v>0.97699999999999998</v>
      </c>
      <c r="G51" s="20">
        <f>表2_36716262930389121314152324252627282930[[#This Row],[累计净值]]/$B$21-1</f>
        <v>-2.3976023976023941E-2</v>
      </c>
    </row>
    <row r="52" spans="1:7" x14ac:dyDescent="0.2">
      <c r="A52" s="15">
        <v>44125</v>
      </c>
      <c r="B52" s="112">
        <v>0.97199999999999998</v>
      </c>
      <c r="C52" s="108">
        <f t="shared" si="9"/>
        <v>-5.0000000000000044E-3</v>
      </c>
      <c r="D52" s="109">
        <f t="shared" ref="D52:D57" si="10">IF(C52&lt;0,C52,"/")</f>
        <v>-5.0000000000000044E-3</v>
      </c>
      <c r="E52" s="109">
        <f ca="1">IF(表2_36716262930389121314152324252627282930[[#This Row],[累计净值]]/MAX(INDIRECT("B21:B" &amp; ROW()))-1&lt;E51,表2_36716262930389121314152324252627282930[[#This Row],[累计净值]]/MAX(INDIRECT("B21:B" &amp; ROW()))-1,E51)</f>
        <v>-6.7895247332686703E-2</v>
      </c>
      <c r="F52" s="110">
        <f>表2_36716262930389121314152324252627282930[[#This Row],[累计净值]]</f>
        <v>0.97199999999999998</v>
      </c>
      <c r="G52" s="20">
        <f>表2_36716262930389121314152324252627282930[[#This Row],[累计净值]]/$B$21-1</f>
        <v>-2.8971028971028878E-2</v>
      </c>
    </row>
    <row r="53" spans="1:7" x14ac:dyDescent="0.2">
      <c r="A53" s="15">
        <v>44126</v>
      </c>
      <c r="B53" s="112">
        <v>0.96799999999999997</v>
      </c>
      <c r="C53" s="108">
        <f t="shared" si="9"/>
        <v>-4.0000000000000036E-3</v>
      </c>
      <c r="D53" s="109">
        <f t="shared" si="10"/>
        <v>-4.0000000000000036E-3</v>
      </c>
      <c r="E53" s="109">
        <f ca="1">IF(表2_36716262930389121314152324252627282930[[#This Row],[累计净值]]/MAX(INDIRECT("B21:B" &amp; ROW()))-1&lt;E52,表2_36716262930389121314152324252627282930[[#This Row],[累计净值]]/MAX(INDIRECT("B21:B" &amp; ROW()))-1,E52)</f>
        <v>-6.7895247332686703E-2</v>
      </c>
      <c r="F53" s="110">
        <f>表2_36716262930389121314152324252627282930[[#This Row],[累计净值]]</f>
        <v>0.96799999999999997</v>
      </c>
      <c r="G53" s="20">
        <f>表2_36716262930389121314152324252627282930[[#This Row],[累计净值]]/$B$21-1</f>
        <v>-3.296703296703285E-2</v>
      </c>
    </row>
    <row r="54" spans="1:7" x14ac:dyDescent="0.2">
      <c r="A54" s="15">
        <v>44127</v>
      </c>
      <c r="B54" s="112">
        <v>0.95699999999999996</v>
      </c>
      <c r="C54" s="108">
        <f t="shared" si="9"/>
        <v>-1.100000000000001E-2</v>
      </c>
      <c r="D54" s="109">
        <f t="shared" si="10"/>
        <v>-1.100000000000001E-2</v>
      </c>
      <c r="E54" s="109">
        <f ca="1">IF(表2_36716262930389121314152324252627282930[[#This Row],[累计净值]]/MAX(INDIRECT("B21:B" &amp; ROW()))-1&lt;E53,表2_36716262930389121314152324252627282930[[#This Row],[累计净值]]/MAX(INDIRECT("B21:B" &amp; ROW()))-1,E53)</f>
        <v>-7.1774975751697334E-2</v>
      </c>
      <c r="F54" s="110">
        <f>表2_36716262930389121314152324252627282930[[#This Row],[累计净值]]</f>
        <v>0.95699999999999996</v>
      </c>
      <c r="G54" s="20">
        <f>表2_36716262930389121314152324252627282930[[#This Row],[累计净值]]/$B$21-1</f>
        <v>-4.3956043956043911E-2</v>
      </c>
    </row>
    <row r="55" spans="1:7" x14ac:dyDescent="0.2">
      <c r="A55" s="15">
        <v>44130</v>
      </c>
      <c r="B55" s="112">
        <v>0.94099999999999995</v>
      </c>
      <c r="C55" s="108">
        <f t="shared" si="9"/>
        <v>-1.6000000000000014E-2</v>
      </c>
      <c r="D55" s="109">
        <f t="shared" si="10"/>
        <v>-1.6000000000000014E-2</v>
      </c>
      <c r="E55" s="109">
        <f ca="1">IF(表2_36716262930389121314152324252627282930[[#This Row],[累计净值]]/MAX(INDIRECT("B21:B" &amp; ROW()))-1&lt;E54,表2_36716262930389121314152324252627282930[[#This Row],[累计净值]]/MAX(INDIRECT("B21:B" &amp; ROW()))-1,E54)</f>
        <v>-8.7293889427740079E-2</v>
      </c>
      <c r="F55" s="110">
        <f>表2_36716262930389121314152324252627282930[[#This Row],[累计净值]]</f>
        <v>0.94099999999999995</v>
      </c>
      <c r="G55" s="20">
        <f>表2_36716262930389121314152324252627282930[[#This Row],[累计净值]]/$B$21-1</f>
        <v>-5.9940059940059909E-2</v>
      </c>
    </row>
    <row r="56" spans="1:7" x14ac:dyDescent="0.2">
      <c r="A56" s="15">
        <v>44131</v>
      </c>
      <c r="B56" s="112">
        <v>0.94599999999999995</v>
      </c>
      <c r="C56" s="108">
        <f t="shared" si="9"/>
        <v>5.0000000000000044E-3</v>
      </c>
      <c r="D56" s="109" t="str">
        <f t="shared" si="10"/>
        <v>/</v>
      </c>
      <c r="E56" s="109">
        <f ca="1">IF(表2_36716262930389121314152324252627282930[[#This Row],[累计净值]]/MAX(INDIRECT("B21:B" &amp; ROW()))-1&lt;E55,表2_36716262930389121314152324252627282930[[#This Row],[累计净值]]/MAX(INDIRECT("B21:B" &amp; ROW()))-1,E55)</f>
        <v>-8.7293889427740079E-2</v>
      </c>
      <c r="F56" s="110">
        <f>表2_36716262930389121314152324252627282930[[#This Row],[累计净值]]</f>
        <v>0.94599999999999995</v>
      </c>
      <c r="G56" s="20">
        <f>表2_36716262930389121314152324252627282930[[#This Row],[累计净值]]/$B$21-1</f>
        <v>-5.4945054945054861E-2</v>
      </c>
    </row>
    <row r="57" spans="1:7" x14ac:dyDescent="0.2">
      <c r="A57" s="15">
        <v>44132</v>
      </c>
      <c r="B57" s="112">
        <v>0.94899999999999995</v>
      </c>
      <c r="C57" s="108">
        <f t="shared" ref="C57:C62" si="11">IFERROR(B57-B56,0)</f>
        <v>3.0000000000000027E-3</v>
      </c>
      <c r="D57" s="109" t="str">
        <f t="shared" si="10"/>
        <v>/</v>
      </c>
      <c r="E57" s="109">
        <f ca="1">IF(表2_36716262930389121314152324252627282930[[#This Row],[累计净值]]/MAX(INDIRECT("B21:B" &amp; ROW()))-1&lt;E56,表2_36716262930389121314152324252627282930[[#This Row],[累计净值]]/MAX(INDIRECT("B21:B" &amp; ROW()))-1,E56)</f>
        <v>-8.7293889427740079E-2</v>
      </c>
      <c r="F57" s="110">
        <f>表2_36716262930389121314152324252627282930[[#This Row],[累计净值]]</f>
        <v>0.94899999999999995</v>
      </c>
      <c r="G57" s="20">
        <f>表2_36716262930389121314152324252627282930[[#This Row],[累计净值]]/$B$21-1</f>
        <v>-5.1948051948051854E-2</v>
      </c>
    </row>
    <row r="58" spans="1:7" x14ac:dyDescent="0.2">
      <c r="A58" s="15">
        <v>44133</v>
      </c>
      <c r="B58" s="112">
        <v>0.96</v>
      </c>
      <c r="C58" s="108">
        <f t="shared" si="11"/>
        <v>1.100000000000001E-2</v>
      </c>
      <c r="D58" s="109" t="str">
        <f t="shared" ref="D58:D63" si="12">IF(C58&lt;0,C58,"/")</f>
        <v>/</v>
      </c>
      <c r="E58" s="109">
        <f ca="1">IF(表2_36716262930389121314152324252627282930[[#This Row],[累计净值]]/MAX(INDIRECT("B21:B" &amp; ROW()))-1&lt;E57,表2_36716262930389121314152324252627282930[[#This Row],[累计净值]]/MAX(INDIRECT("B21:B" &amp; ROW()))-1,E57)</f>
        <v>-8.7293889427740079E-2</v>
      </c>
      <c r="F58" s="110">
        <f>表2_36716262930389121314152324252627282930[[#This Row],[累计净值]]</f>
        <v>0.96</v>
      </c>
      <c r="G58" s="20">
        <f>表2_36716262930389121314152324252627282930[[#This Row],[累计净值]]/$B$21-1</f>
        <v>-4.0959040959040904E-2</v>
      </c>
    </row>
    <row r="59" spans="1:7" x14ac:dyDescent="0.2">
      <c r="A59" s="15">
        <v>44134</v>
      </c>
      <c r="B59" s="112">
        <v>0.95199999999999996</v>
      </c>
      <c r="C59" s="108">
        <f t="shared" si="11"/>
        <v>-8.0000000000000071E-3</v>
      </c>
      <c r="D59" s="109">
        <f t="shared" si="12"/>
        <v>-8.0000000000000071E-3</v>
      </c>
      <c r="E59" s="109">
        <f ca="1">IF(表2_36716262930389121314152324252627282930[[#This Row],[累计净值]]/MAX(INDIRECT("B21:B" &amp; ROW()))-1&lt;E58,表2_36716262930389121314152324252627282930[[#This Row],[累计净值]]/MAX(INDIRECT("B21:B" &amp; ROW()))-1,E58)</f>
        <v>-8.7293889427740079E-2</v>
      </c>
      <c r="F59" s="110">
        <f>表2_36716262930389121314152324252627282930[[#This Row],[累计净值]]</f>
        <v>0.95199999999999996</v>
      </c>
      <c r="G59" s="20">
        <f>表2_36716262930389121314152324252627282930[[#This Row],[累计净值]]/$B$21-1</f>
        <v>-4.8951048951048848E-2</v>
      </c>
    </row>
    <row r="60" spans="1:7" x14ac:dyDescent="0.2">
      <c r="A60" s="15">
        <v>44137</v>
      </c>
      <c r="B60" s="112">
        <v>0.96099999999999997</v>
      </c>
      <c r="C60" s="108">
        <f t="shared" si="11"/>
        <v>9.000000000000008E-3</v>
      </c>
      <c r="D60" s="109" t="str">
        <f t="shared" si="12"/>
        <v>/</v>
      </c>
      <c r="E60" s="109">
        <f ca="1">IF(表2_36716262930389121314152324252627282930[[#This Row],[累计净值]]/MAX(INDIRECT("B21:B" &amp; ROW()))-1&lt;E59,表2_36716262930389121314152324252627282930[[#This Row],[累计净值]]/MAX(INDIRECT("B21:B" &amp; ROW()))-1,E59)</f>
        <v>-8.7293889427740079E-2</v>
      </c>
      <c r="F60" s="110">
        <f>表2_36716262930389121314152324252627282930[[#This Row],[累计净值]]</f>
        <v>0.96099999999999997</v>
      </c>
      <c r="G60" s="20">
        <f>表2_36716262930389121314152324252627282930[[#This Row],[累计净值]]/$B$21-1</f>
        <v>-3.9960039960039939E-2</v>
      </c>
    </row>
    <row r="61" spans="1:7" x14ac:dyDescent="0.2">
      <c r="A61" s="15">
        <v>44138</v>
      </c>
      <c r="B61" s="112">
        <v>0.96499999999999997</v>
      </c>
      <c r="C61" s="108">
        <f t="shared" si="11"/>
        <v>4.0000000000000036E-3</v>
      </c>
      <c r="D61" s="109" t="str">
        <f t="shared" si="12"/>
        <v>/</v>
      </c>
      <c r="E61" s="109">
        <f ca="1">IF(表2_36716262930389121314152324252627282930[[#This Row],[累计净值]]/MAX(INDIRECT("B21:B" &amp; ROW()))-1&lt;E60,表2_36716262930389121314152324252627282930[[#This Row],[累计净值]]/MAX(INDIRECT("B21:B" &amp; ROW()))-1,E60)</f>
        <v>-8.7293889427740079E-2</v>
      </c>
      <c r="F61" s="110">
        <f>表2_36716262930389121314152324252627282930[[#This Row],[累计净值]]</f>
        <v>0.96499999999999997</v>
      </c>
      <c r="G61" s="20">
        <f>表2_36716262930389121314152324252627282930[[#This Row],[累计净值]]/$B$21-1</f>
        <v>-3.5964035964035856E-2</v>
      </c>
    </row>
    <row r="62" spans="1:7" x14ac:dyDescent="0.2">
      <c r="A62" s="15">
        <v>44139</v>
      </c>
      <c r="B62" s="112">
        <v>0.96899999999999997</v>
      </c>
      <c r="C62" s="108">
        <f t="shared" si="11"/>
        <v>4.0000000000000036E-3</v>
      </c>
      <c r="D62" s="109" t="str">
        <f t="shared" si="12"/>
        <v>/</v>
      </c>
      <c r="E62" s="109">
        <f ca="1">IF(表2_36716262930389121314152324252627282930[[#This Row],[累计净值]]/MAX(INDIRECT("B21:B" &amp; ROW()))-1&lt;E61,表2_36716262930389121314152324252627282930[[#This Row],[累计净值]]/MAX(INDIRECT("B21:B" &amp; ROW()))-1,E61)</f>
        <v>-8.7293889427740079E-2</v>
      </c>
      <c r="F62" s="110">
        <f>表2_36716262930389121314152324252627282930[[#This Row],[累计净值]]</f>
        <v>0.96899999999999997</v>
      </c>
      <c r="G62" s="20">
        <f>表2_36716262930389121314152324252627282930[[#This Row],[累计净值]]/$B$21-1</f>
        <v>-3.1968031968031885E-2</v>
      </c>
    </row>
    <row r="63" spans="1:7" x14ac:dyDescent="0.2">
      <c r="A63" s="15">
        <v>44140</v>
      </c>
      <c r="B63" s="112">
        <v>0.96299999999999997</v>
      </c>
      <c r="C63" s="108">
        <f t="shared" ref="C63:C68" si="13">IFERROR(B63-B62,0)</f>
        <v>-6.0000000000000053E-3</v>
      </c>
      <c r="D63" s="109">
        <f t="shared" si="12"/>
        <v>-6.0000000000000053E-3</v>
      </c>
      <c r="E63" s="109">
        <f ca="1">IF(表2_36716262930389121314152324252627282930[[#This Row],[累计净值]]/MAX(INDIRECT("B21:B" &amp; ROW()))-1&lt;E62,表2_36716262930389121314152324252627282930[[#This Row],[累计净值]]/MAX(INDIRECT("B21:B" &amp; ROW()))-1,E62)</f>
        <v>-8.7293889427740079E-2</v>
      </c>
      <c r="F63" s="110">
        <f>表2_36716262930389121314152324252627282930[[#This Row],[累计净值]]</f>
        <v>0.96299999999999997</v>
      </c>
      <c r="G63" s="20">
        <f>表2_36716262930389121314152324252627282930[[#This Row],[累计净值]]/$B$21-1</f>
        <v>-3.7962037962037898E-2</v>
      </c>
    </row>
    <row r="64" spans="1:7" x14ac:dyDescent="0.2">
      <c r="A64" s="15">
        <v>44141</v>
      </c>
      <c r="B64" s="112">
        <v>0.97</v>
      </c>
      <c r="C64" s="108">
        <f t="shared" si="13"/>
        <v>7.0000000000000062E-3</v>
      </c>
      <c r="D64" s="109" t="str">
        <f t="shared" ref="D64:D70" si="14">IF(C64&lt;0,C64,"/")</f>
        <v>/</v>
      </c>
      <c r="E64" s="109">
        <f ca="1">IF(表2_36716262930389121314152324252627282930[[#This Row],[累计净值]]/MAX(INDIRECT("B21:B" &amp; ROW()))-1&lt;E63,表2_36716262930389121314152324252627282930[[#This Row],[累计净值]]/MAX(INDIRECT("B21:B" &amp; ROW()))-1,E63)</f>
        <v>-8.7293889427740079E-2</v>
      </c>
      <c r="F64" s="110">
        <f>表2_36716262930389121314152324252627282930[[#This Row],[累计净值]]</f>
        <v>0.97</v>
      </c>
      <c r="G64" s="20">
        <f>表2_36716262930389121314152324252627282930[[#This Row],[累计净值]]/$B$21-1</f>
        <v>-3.096903096903092E-2</v>
      </c>
    </row>
    <row r="65" spans="1:7" x14ac:dyDescent="0.2">
      <c r="A65" s="15">
        <v>44144</v>
      </c>
      <c r="B65" s="112">
        <v>0.97199999999999998</v>
      </c>
      <c r="C65" s="108">
        <f t="shared" si="13"/>
        <v>2.0000000000000018E-3</v>
      </c>
      <c r="D65" s="109" t="str">
        <f t="shared" si="14"/>
        <v>/</v>
      </c>
      <c r="E65" s="109">
        <f ca="1">IF(表2_36716262930389121314152324252627282930[[#This Row],[累计净值]]/MAX(INDIRECT("B21:B" &amp; ROW()))-1&lt;E64,表2_36716262930389121314152324252627282930[[#This Row],[累计净值]]/MAX(INDIRECT("B21:B" &amp; ROW()))-1,E64)</f>
        <v>-8.7293889427740079E-2</v>
      </c>
      <c r="F65" s="110">
        <f>表2_36716262930389121314152324252627282930[[#This Row],[累计净值]]</f>
        <v>0.97199999999999998</v>
      </c>
      <c r="G65" s="20">
        <f>表2_36716262930389121314152324252627282930[[#This Row],[累计净值]]/$B$21-1</f>
        <v>-2.8971028971028878E-2</v>
      </c>
    </row>
    <row r="66" spans="1:7" x14ac:dyDescent="0.2">
      <c r="A66" s="15">
        <v>44145</v>
      </c>
      <c r="B66" s="112">
        <v>0.95899999999999996</v>
      </c>
      <c r="C66" s="108">
        <f t="shared" si="13"/>
        <v>-1.3000000000000012E-2</v>
      </c>
      <c r="D66" s="109">
        <f t="shared" si="14"/>
        <v>-1.3000000000000012E-2</v>
      </c>
      <c r="E66" s="109">
        <f ca="1">IF(表2_36716262930389121314152324252627282930[[#This Row],[累计净值]]/MAX(INDIRECT("B21:B" &amp; ROW()))-1&lt;E65,表2_36716262930389121314152324252627282930[[#This Row],[累计净值]]/MAX(INDIRECT("B21:B" &amp; ROW()))-1,E65)</f>
        <v>-8.7293889427740079E-2</v>
      </c>
      <c r="F66" s="110">
        <f>表2_36716262930389121314152324252627282930[[#This Row],[累计净值]]</f>
        <v>0.95899999999999996</v>
      </c>
      <c r="G66" s="20">
        <f>表2_36716262930389121314152324252627282930[[#This Row],[累计净值]]/$B$21-1</f>
        <v>-4.195804195804187E-2</v>
      </c>
    </row>
    <row r="67" spans="1:7" x14ac:dyDescent="0.2">
      <c r="A67" s="15">
        <v>44146</v>
      </c>
      <c r="B67" s="112">
        <v>0.95799999999999996</v>
      </c>
      <c r="C67" s="108">
        <f t="shared" si="13"/>
        <v>-1.0000000000000009E-3</v>
      </c>
      <c r="D67" s="109">
        <f t="shared" si="14"/>
        <v>-1.0000000000000009E-3</v>
      </c>
      <c r="E67" s="109">
        <f ca="1">IF(表2_36716262930389121314152324252627282930[[#This Row],[累计净值]]/MAX(INDIRECT("B21:B" &amp; ROW()))-1&lt;E66,表2_36716262930389121314152324252627282930[[#This Row],[累计净值]]/MAX(INDIRECT("B21:B" &amp; ROW()))-1,E66)</f>
        <v>-8.7293889427740079E-2</v>
      </c>
      <c r="F67" s="110">
        <f>表2_36716262930389121314152324252627282930[[#This Row],[累计净值]]</f>
        <v>0.95799999999999996</v>
      </c>
      <c r="G67" s="20">
        <f>表2_36716262930389121314152324252627282930[[#This Row],[累计净值]]/$B$21-1</f>
        <v>-4.2957042957042835E-2</v>
      </c>
    </row>
    <row r="68" spans="1:7" x14ac:dyDescent="0.2">
      <c r="A68" s="15">
        <v>44147</v>
      </c>
      <c r="B68" s="112">
        <v>0.95499999999999996</v>
      </c>
      <c r="C68" s="108">
        <f t="shared" si="13"/>
        <v>-3.0000000000000027E-3</v>
      </c>
      <c r="D68" s="109">
        <f t="shared" si="14"/>
        <v>-3.0000000000000027E-3</v>
      </c>
      <c r="E68" s="109">
        <f ca="1">IF(表2_36716262930389121314152324252627282930[[#This Row],[累计净值]]/MAX(INDIRECT("B21:B" &amp; ROW()))-1&lt;E67,表2_36716262930389121314152324252627282930[[#This Row],[累计净值]]/MAX(INDIRECT("B21:B" &amp; ROW()))-1,E67)</f>
        <v>-8.7293889427740079E-2</v>
      </c>
      <c r="F68" s="110">
        <f>表2_36716262930389121314152324252627282930[[#This Row],[累计净值]]</f>
        <v>0.95499999999999996</v>
      </c>
      <c r="G68" s="20">
        <f>表2_36716262930389121314152324252627282930[[#This Row],[累计净值]]/$B$21-1</f>
        <v>-4.5954045954045841E-2</v>
      </c>
    </row>
    <row r="69" spans="1:7" x14ac:dyDescent="0.2">
      <c r="A69" s="15">
        <v>44148</v>
      </c>
      <c r="B69" s="112">
        <v>0.96599999999999997</v>
      </c>
      <c r="C69" s="108">
        <f t="shared" ref="C69:C74" si="15">IFERROR(B69-B68,0)</f>
        <v>1.100000000000001E-2</v>
      </c>
      <c r="D69" s="109" t="str">
        <f t="shared" si="14"/>
        <v>/</v>
      </c>
      <c r="E69" s="109">
        <f ca="1">IF(表2_36716262930389121314152324252627282930[[#This Row],[累计净值]]/MAX(INDIRECT("B21:B" &amp; ROW()))-1&lt;E68,表2_36716262930389121314152324252627282930[[#This Row],[累计净值]]/MAX(INDIRECT("B21:B" &amp; ROW()))-1,E68)</f>
        <v>-8.7293889427740079E-2</v>
      </c>
      <c r="F69" s="110">
        <f>表2_36716262930389121314152324252627282930[[#This Row],[累计净值]]</f>
        <v>0.96599999999999997</v>
      </c>
      <c r="G69" s="20">
        <f>表2_36716262930389121314152324252627282930[[#This Row],[累计净值]]/$B$21-1</f>
        <v>-3.4965034965034891E-2</v>
      </c>
    </row>
    <row r="70" spans="1:7" x14ac:dyDescent="0.2">
      <c r="A70" s="15">
        <v>44151</v>
      </c>
      <c r="B70" s="112">
        <v>0.96499999999999997</v>
      </c>
      <c r="C70" s="108">
        <f t="shared" si="15"/>
        <v>-1.0000000000000009E-3</v>
      </c>
      <c r="D70" s="109">
        <f t="shared" si="14"/>
        <v>-1.0000000000000009E-3</v>
      </c>
      <c r="E70" s="109">
        <f ca="1">IF(表2_36716262930389121314152324252627282930[[#This Row],[累计净值]]/MAX(INDIRECT("B21:B" &amp; ROW()))-1&lt;E69,表2_36716262930389121314152324252627282930[[#This Row],[累计净值]]/MAX(INDIRECT("B21:B" &amp; ROW()))-1,E69)</f>
        <v>-8.7293889427740079E-2</v>
      </c>
      <c r="F70" s="110">
        <f>表2_36716262930389121314152324252627282930[[#This Row],[累计净值]]</f>
        <v>0.96499999999999997</v>
      </c>
      <c r="G70" s="20">
        <f>表2_36716262930389121314152324252627282930[[#This Row],[累计净值]]/$B$21-1</f>
        <v>-3.5964035964035856E-2</v>
      </c>
    </row>
    <row r="71" spans="1:7" x14ac:dyDescent="0.2">
      <c r="A71" s="15">
        <v>44152</v>
      </c>
      <c r="B71" s="112">
        <v>0.96499999999999997</v>
      </c>
      <c r="C71" s="108">
        <f t="shared" si="15"/>
        <v>0</v>
      </c>
      <c r="D71" s="109" t="str">
        <f t="shared" ref="D71:D76" si="16">IF(C71&lt;0,C71,"/")</f>
        <v>/</v>
      </c>
      <c r="E71" s="109">
        <f ca="1">IF(表2_36716262930389121314152324252627282930[[#This Row],[累计净值]]/MAX(INDIRECT("B21:B" &amp; ROW()))-1&lt;E70,表2_36716262930389121314152324252627282930[[#This Row],[累计净值]]/MAX(INDIRECT("B21:B" &amp; ROW()))-1,E70)</f>
        <v>-8.7293889427740079E-2</v>
      </c>
      <c r="F71" s="110">
        <f>表2_36716262930389121314152324252627282930[[#This Row],[累计净值]]</f>
        <v>0.96499999999999997</v>
      </c>
      <c r="G71" s="20">
        <f>表2_36716262930389121314152324252627282930[[#This Row],[累计净值]]/$B$21-1</f>
        <v>-3.5964035964035856E-2</v>
      </c>
    </row>
    <row r="72" spans="1:7" x14ac:dyDescent="0.2">
      <c r="A72" s="15">
        <v>44153</v>
      </c>
      <c r="B72" s="112">
        <v>0.96799999999999997</v>
      </c>
      <c r="C72" s="108">
        <f t="shared" si="15"/>
        <v>3.0000000000000027E-3</v>
      </c>
      <c r="D72" s="109" t="str">
        <f t="shared" si="16"/>
        <v>/</v>
      </c>
      <c r="E72" s="109">
        <f ca="1">IF(表2_36716262930389121314152324252627282930[[#This Row],[累计净值]]/MAX(INDIRECT("B21:B" &amp; ROW()))-1&lt;E71,表2_36716262930389121314152324252627282930[[#This Row],[累计净值]]/MAX(INDIRECT("B21:B" &amp; ROW()))-1,E71)</f>
        <v>-8.7293889427740079E-2</v>
      </c>
      <c r="F72" s="110">
        <f>表2_36716262930389121314152324252627282930[[#This Row],[累计净值]]</f>
        <v>0.96799999999999997</v>
      </c>
      <c r="G72" s="20">
        <f>表2_36716262930389121314152324252627282930[[#This Row],[累计净值]]/$B$21-1</f>
        <v>-3.296703296703285E-2</v>
      </c>
    </row>
    <row r="73" spans="1:7" x14ac:dyDescent="0.2">
      <c r="A73" s="15">
        <v>44154</v>
      </c>
      <c r="B73" s="112">
        <v>0.98199999999999998</v>
      </c>
      <c r="C73" s="108">
        <f t="shared" si="15"/>
        <v>1.4000000000000012E-2</v>
      </c>
      <c r="D73" s="109" t="str">
        <f t="shared" si="16"/>
        <v>/</v>
      </c>
      <c r="E73" s="109">
        <f ca="1">IF(表2_36716262930389121314152324252627282930[[#This Row],[累计净值]]/MAX(INDIRECT("B21:B" &amp; ROW()))-1&lt;E72,表2_36716262930389121314152324252627282930[[#This Row],[累计净值]]/MAX(INDIRECT("B21:B" &amp; ROW()))-1,E72)</f>
        <v>-8.7293889427740079E-2</v>
      </c>
      <c r="F73" s="110">
        <f>表2_36716262930389121314152324252627282930[[#This Row],[累计净值]]</f>
        <v>0.98199999999999998</v>
      </c>
      <c r="G73" s="20">
        <f>表2_36716262930389121314152324252627282930[[#This Row],[累计净值]]/$B$21-1</f>
        <v>-1.8981018981018893E-2</v>
      </c>
    </row>
    <row r="74" spans="1:7" x14ac:dyDescent="0.2">
      <c r="A74" s="15">
        <v>44155</v>
      </c>
      <c r="B74" s="112">
        <v>0.97499999999999998</v>
      </c>
      <c r="C74" s="108">
        <f t="shared" si="15"/>
        <v>-7.0000000000000062E-3</v>
      </c>
      <c r="D74" s="109">
        <f t="shared" si="16"/>
        <v>-7.0000000000000062E-3</v>
      </c>
      <c r="E74" s="109">
        <f ca="1">IF(表2_36716262930389121314152324252627282930[[#This Row],[累计净值]]/MAX(INDIRECT("B21:B" &amp; ROW()))-1&lt;E73,表2_36716262930389121314152324252627282930[[#This Row],[累计净值]]/MAX(INDIRECT("B21:B" &amp; ROW()))-1,E73)</f>
        <v>-8.7293889427740079E-2</v>
      </c>
      <c r="F74" s="110">
        <f>表2_36716262930389121314152324252627282930[[#This Row],[累计净值]]</f>
        <v>0.97499999999999998</v>
      </c>
      <c r="G74" s="20">
        <f>表2_36716262930389121314152324252627282930[[#This Row],[累计净值]]/$B$21-1</f>
        <v>-2.5974025974025872E-2</v>
      </c>
    </row>
    <row r="75" spans="1:7" x14ac:dyDescent="0.2">
      <c r="A75" s="15">
        <v>44158</v>
      </c>
      <c r="B75" s="112">
        <v>0.95099999999999996</v>
      </c>
      <c r="C75" s="108">
        <f t="shared" ref="C75:C80" si="17">IFERROR(B75-B74,0)</f>
        <v>-2.4000000000000021E-2</v>
      </c>
      <c r="D75" s="109">
        <f t="shared" si="16"/>
        <v>-2.4000000000000021E-2</v>
      </c>
      <c r="E75" s="109">
        <f ca="1">IF(表2_36716262930389121314152324252627282930[[#This Row],[累计净值]]/MAX(INDIRECT("B21:B" &amp; ROW()))-1&lt;E74,表2_36716262930389121314152324252627282930[[#This Row],[累计净值]]/MAX(INDIRECT("B21:B" &amp; ROW()))-1,E74)</f>
        <v>-8.7293889427740079E-2</v>
      </c>
      <c r="F75" s="110">
        <f>表2_36716262930389121314152324252627282930[[#This Row],[累计净值]]</f>
        <v>0.95099999999999996</v>
      </c>
      <c r="G75" s="20">
        <f>表2_36716262930389121314152324252627282930[[#This Row],[累计净值]]/$B$21-1</f>
        <v>-4.9950049950049924E-2</v>
      </c>
    </row>
    <row r="76" spans="1:7" x14ac:dyDescent="0.2">
      <c r="A76" s="15">
        <v>44159</v>
      </c>
      <c r="B76" s="112">
        <v>0.94499999999999995</v>
      </c>
      <c r="C76" s="108">
        <f t="shared" si="17"/>
        <v>-6.0000000000000053E-3</v>
      </c>
      <c r="D76" s="109">
        <f t="shared" si="16"/>
        <v>-6.0000000000000053E-3</v>
      </c>
      <c r="E76" s="109">
        <f ca="1">IF(表2_36716262930389121314152324252627282930[[#This Row],[累计净值]]/MAX(INDIRECT("B21:B" &amp; ROW()))-1&lt;E75,表2_36716262930389121314152324252627282930[[#This Row],[累计净值]]/MAX(INDIRECT("B21:B" &amp; ROW()))-1,E75)</f>
        <v>-8.7293889427740079E-2</v>
      </c>
      <c r="F76" s="110">
        <f>表2_36716262930389121314152324252627282930[[#This Row],[累计净值]]</f>
        <v>0.94499999999999995</v>
      </c>
      <c r="G76" s="20">
        <f>表2_36716262930389121314152324252627282930[[#This Row],[累计净值]]/$B$21-1</f>
        <v>-5.5944055944055937E-2</v>
      </c>
    </row>
    <row r="77" spans="1:7" x14ac:dyDescent="0.2">
      <c r="A77" s="15">
        <v>44160</v>
      </c>
      <c r="B77" s="112">
        <v>0.95599999999999996</v>
      </c>
      <c r="C77" s="108">
        <f t="shared" si="17"/>
        <v>1.100000000000001E-2</v>
      </c>
      <c r="D77" s="109" t="str">
        <f t="shared" ref="D77:D82" si="18">IF(C77&lt;0,C77,"/")</f>
        <v>/</v>
      </c>
      <c r="E77" s="109">
        <f ca="1">IF(表2_36716262930389121314152324252627282930[[#This Row],[累计净值]]/MAX(INDIRECT("B21:B" &amp; ROW()))-1&lt;E76,表2_36716262930389121314152324252627282930[[#This Row],[累计净值]]/MAX(INDIRECT("B21:B" &amp; ROW()))-1,E76)</f>
        <v>-8.7293889427740079E-2</v>
      </c>
      <c r="F77" s="110">
        <f>表2_36716262930389121314152324252627282930[[#This Row],[累计净值]]</f>
        <v>0.95599999999999996</v>
      </c>
      <c r="G77" s="20">
        <f>表2_36716262930389121314152324252627282930[[#This Row],[累计净值]]/$B$21-1</f>
        <v>-4.4955044955044876E-2</v>
      </c>
    </row>
    <row r="78" spans="1:7" x14ac:dyDescent="0.2">
      <c r="A78" s="15">
        <v>44161</v>
      </c>
      <c r="B78" s="112">
        <v>0.95599999999999996</v>
      </c>
      <c r="C78" s="108">
        <f t="shared" si="17"/>
        <v>0</v>
      </c>
      <c r="D78" s="109" t="str">
        <f t="shared" si="18"/>
        <v>/</v>
      </c>
      <c r="E78" s="109">
        <f ca="1">IF(表2_36716262930389121314152324252627282930[[#This Row],[累计净值]]/MAX(INDIRECT("B21:B" &amp; ROW()))-1&lt;E77,表2_36716262930389121314152324252627282930[[#This Row],[累计净值]]/MAX(INDIRECT("B21:B" &amp; ROW()))-1,E77)</f>
        <v>-8.7293889427740079E-2</v>
      </c>
      <c r="F78" s="110">
        <f>表2_36716262930389121314152324252627282930[[#This Row],[累计净值]]</f>
        <v>0.95599999999999996</v>
      </c>
      <c r="G78" s="20">
        <f>表2_36716262930389121314152324252627282930[[#This Row],[累计净值]]/$B$21-1</f>
        <v>-4.4955044955044876E-2</v>
      </c>
    </row>
    <row r="79" spans="1:7" x14ac:dyDescent="0.2">
      <c r="A79" s="15">
        <v>44162</v>
      </c>
      <c r="B79" s="112">
        <v>0.94899999999999995</v>
      </c>
      <c r="C79" s="108">
        <f t="shared" si="17"/>
        <v>-7.0000000000000062E-3</v>
      </c>
      <c r="D79" s="109">
        <f t="shared" si="18"/>
        <v>-7.0000000000000062E-3</v>
      </c>
      <c r="E79" s="109">
        <f ca="1">IF(表2_36716262930389121314152324252627282930[[#This Row],[累计净值]]/MAX(INDIRECT("B21:B" &amp; ROW()))-1&lt;E78,表2_36716262930389121314152324252627282930[[#This Row],[累计净值]]/MAX(INDIRECT("B21:B" &amp; ROW()))-1,E78)</f>
        <v>-8.7293889427740079E-2</v>
      </c>
      <c r="F79" s="110">
        <f>表2_36716262930389121314152324252627282930[[#This Row],[累计净值]]</f>
        <v>0.94899999999999995</v>
      </c>
      <c r="G79" s="20">
        <f>表2_36716262930389121314152324252627282930[[#This Row],[累计净值]]/$B$21-1</f>
        <v>-5.1948051948051854E-2</v>
      </c>
    </row>
    <row r="80" spans="1:7" x14ac:dyDescent="0.2">
      <c r="A80" s="15">
        <v>44165</v>
      </c>
      <c r="B80" s="112">
        <v>0.93700000000000006</v>
      </c>
      <c r="C80" s="108">
        <f t="shared" si="17"/>
        <v>-1.19999999999999E-2</v>
      </c>
      <c r="D80" s="109">
        <f t="shared" si="18"/>
        <v>-1.19999999999999E-2</v>
      </c>
      <c r="E80" s="109">
        <f ca="1">IF(表2_36716262930389121314152324252627282930[[#This Row],[累计净值]]/MAX(INDIRECT("B21:B" &amp; ROW()))-1&lt;E79,表2_36716262930389121314152324252627282930[[#This Row],[累计净值]]/MAX(INDIRECT("B21:B" &amp; ROW()))-1,E79)</f>
        <v>-9.1173617846750599E-2</v>
      </c>
      <c r="F80" s="110">
        <f>表2_36716262930389121314152324252627282930[[#This Row],[累计净值]]</f>
        <v>0.93700000000000006</v>
      </c>
      <c r="G80" s="20">
        <f>表2_36716262930389121314152324252627282930[[#This Row],[累计净值]]/$B$21-1</f>
        <v>-6.3936063936063769E-2</v>
      </c>
    </row>
    <row r="81" spans="1:7" x14ac:dyDescent="0.2">
      <c r="A81" s="15">
        <v>44166</v>
      </c>
      <c r="B81" s="112">
        <v>0.96199999999999997</v>
      </c>
      <c r="C81" s="108">
        <f t="shared" ref="C81:C86" si="19">IFERROR(B81-B80,0)</f>
        <v>2.4999999999999911E-2</v>
      </c>
      <c r="D81" s="109" t="str">
        <f t="shared" si="18"/>
        <v>/</v>
      </c>
      <c r="E81" s="109">
        <f ca="1">IF(表2_36716262930389121314152324252627282930[[#This Row],[累计净值]]/MAX(INDIRECT("B21:B" &amp; ROW()))-1&lt;E80,表2_36716262930389121314152324252627282930[[#This Row],[累计净值]]/MAX(INDIRECT("B21:B" &amp; ROW()))-1,E80)</f>
        <v>-9.1173617846750599E-2</v>
      </c>
      <c r="F81" s="110">
        <f>表2_36716262930389121314152324252627282930[[#This Row],[累计净值]]</f>
        <v>0.96199999999999997</v>
      </c>
      <c r="G81" s="20">
        <f>表2_36716262930389121314152324252627282930[[#This Row],[累计净值]]/$B$21-1</f>
        <v>-3.8961038961038863E-2</v>
      </c>
    </row>
    <row r="82" spans="1:7" x14ac:dyDescent="0.2">
      <c r="A82" s="15">
        <v>44167</v>
      </c>
      <c r="B82" s="112">
        <v>0.96099999999999997</v>
      </c>
      <c r="C82" s="108">
        <f t="shared" si="19"/>
        <v>-1.0000000000000009E-3</v>
      </c>
      <c r="D82" s="109">
        <f t="shared" si="18"/>
        <v>-1.0000000000000009E-3</v>
      </c>
      <c r="E82" s="109">
        <f ca="1">IF(表2_36716262930389121314152324252627282930[[#This Row],[累计净值]]/MAX(INDIRECT("B21:B" &amp; ROW()))-1&lt;E81,表2_36716262930389121314152324252627282930[[#This Row],[累计净值]]/MAX(INDIRECT("B21:B" &amp; ROW()))-1,E81)</f>
        <v>-9.1173617846750599E-2</v>
      </c>
      <c r="F82" s="110">
        <f>表2_36716262930389121314152324252627282930[[#This Row],[累计净值]]</f>
        <v>0.96099999999999997</v>
      </c>
      <c r="G82" s="20">
        <f>表2_36716262930389121314152324252627282930[[#This Row],[累计净值]]/$B$21-1</f>
        <v>-3.9960039960039939E-2</v>
      </c>
    </row>
    <row r="83" spans="1:7" x14ac:dyDescent="0.2">
      <c r="A83" s="15">
        <v>44168</v>
      </c>
      <c r="B83" s="112">
        <v>0.95299999999999996</v>
      </c>
      <c r="C83" s="108">
        <f t="shared" si="19"/>
        <v>-8.0000000000000071E-3</v>
      </c>
      <c r="D83" s="109">
        <f t="shared" ref="D83:D88" si="20">IF(C83&lt;0,C83,"/")</f>
        <v>-8.0000000000000071E-3</v>
      </c>
      <c r="E83" s="109">
        <f ca="1">IF(表2_36716262930389121314152324252627282930[[#This Row],[累计净值]]/MAX(INDIRECT("B21:B" &amp; ROW()))-1&lt;E82,表2_36716262930389121314152324252627282930[[#This Row],[累计净值]]/MAX(INDIRECT("B21:B" &amp; ROW()))-1,E82)</f>
        <v>-9.1173617846750599E-2</v>
      </c>
      <c r="F83" s="110">
        <f>表2_36716262930389121314152324252627282930[[#This Row],[累计净值]]</f>
        <v>0.95299999999999996</v>
      </c>
      <c r="G83" s="20">
        <f>表2_36716262930389121314152324252627282930[[#This Row],[累计净值]]/$B$21-1</f>
        <v>-4.7952047952047883E-2</v>
      </c>
    </row>
    <row r="84" spans="1:7" x14ac:dyDescent="0.2">
      <c r="A84" s="15">
        <v>44169</v>
      </c>
      <c r="B84" s="112">
        <v>0.95199999999999996</v>
      </c>
      <c r="C84" s="108">
        <f t="shared" si="19"/>
        <v>-1.0000000000000009E-3</v>
      </c>
      <c r="D84" s="109">
        <f t="shared" si="20"/>
        <v>-1.0000000000000009E-3</v>
      </c>
      <c r="E84" s="109">
        <f ca="1">IF(表2_36716262930389121314152324252627282930[[#This Row],[累计净值]]/MAX(INDIRECT("B21:B" &amp; ROW()))-1&lt;E83,表2_36716262930389121314152324252627282930[[#This Row],[累计净值]]/MAX(INDIRECT("B21:B" &amp; ROW()))-1,E83)</f>
        <v>-9.1173617846750599E-2</v>
      </c>
      <c r="F84" s="110">
        <f>表2_36716262930389121314152324252627282930[[#This Row],[累计净值]]</f>
        <v>0.95199999999999996</v>
      </c>
      <c r="G84" s="20">
        <f>表2_36716262930389121314152324252627282930[[#This Row],[累计净值]]/$B$21-1</f>
        <v>-4.8951048951048848E-2</v>
      </c>
    </row>
    <row r="85" spans="1:7" x14ac:dyDescent="0.2">
      <c r="A85" s="15">
        <v>44172</v>
      </c>
      <c r="B85" s="112">
        <v>0.95899999999999996</v>
      </c>
      <c r="C85" s="108">
        <f t="shared" si="19"/>
        <v>7.0000000000000062E-3</v>
      </c>
      <c r="D85" s="109" t="str">
        <f t="shared" si="20"/>
        <v>/</v>
      </c>
      <c r="E85" s="109">
        <f ca="1">IF(表2_36716262930389121314152324252627282930[[#This Row],[累计净值]]/MAX(INDIRECT("B21:B" &amp; ROW()))-1&lt;E84,表2_36716262930389121314152324252627282930[[#This Row],[累计净值]]/MAX(INDIRECT("B21:B" &amp; ROW()))-1,E84)</f>
        <v>-9.1173617846750599E-2</v>
      </c>
      <c r="F85" s="110">
        <f>表2_36716262930389121314152324252627282930[[#This Row],[累计净值]]</f>
        <v>0.95899999999999996</v>
      </c>
      <c r="G85" s="20">
        <f>表2_36716262930389121314152324252627282930[[#This Row],[累计净值]]/$B$21-1</f>
        <v>-4.195804195804187E-2</v>
      </c>
    </row>
    <row r="86" spans="1:7" x14ac:dyDescent="0.2">
      <c r="A86" s="15">
        <v>44173</v>
      </c>
      <c r="B86" s="112">
        <v>0.95599999999999996</v>
      </c>
      <c r="C86" s="108">
        <f t="shared" si="19"/>
        <v>-3.0000000000000027E-3</v>
      </c>
      <c r="D86" s="109">
        <f t="shared" si="20"/>
        <v>-3.0000000000000027E-3</v>
      </c>
      <c r="E86" s="109">
        <f ca="1">IF(表2_36716262930389121314152324252627282930[[#This Row],[累计净值]]/MAX(INDIRECT("B21:B" &amp; ROW()))-1&lt;E85,表2_36716262930389121314152324252627282930[[#This Row],[累计净值]]/MAX(INDIRECT("B21:B" &amp; ROW()))-1,E85)</f>
        <v>-9.1173617846750599E-2</v>
      </c>
      <c r="F86" s="110">
        <f>表2_36716262930389121314152324252627282930[[#This Row],[累计净值]]</f>
        <v>0.95599999999999996</v>
      </c>
      <c r="G86" s="20">
        <f>表2_36716262930389121314152324252627282930[[#This Row],[累计净值]]/$B$21-1</f>
        <v>-4.4955044955044876E-2</v>
      </c>
    </row>
    <row r="87" spans="1:7" x14ac:dyDescent="0.2">
      <c r="A87" s="15">
        <v>44174</v>
      </c>
      <c r="B87" s="112">
        <v>0.94899999999999995</v>
      </c>
      <c r="C87" s="108">
        <f>IFERROR(B87-B86,0)</f>
        <v>-7.0000000000000062E-3</v>
      </c>
      <c r="D87" s="109">
        <f t="shared" si="20"/>
        <v>-7.0000000000000062E-3</v>
      </c>
      <c r="E87" s="109">
        <f ca="1">IF(表2_36716262930389121314152324252627282930[[#This Row],[累计净值]]/MAX(INDIRECT("B21:B" &amp; ROW()))-1&lt;E86,表2_36716262930389121314152324252627282930[[#This Row],[累计净值]]/MAX(INDIRECT("B21:B" &amp; ROW()))-1,E86)</f>
        <v>-9.1173617846750599E-2</v>
      </c>
      <c r="F87" s="110">
        <f>表2_36716262930389121314152324252627282930[[#This Row],[累计净值]]</f>
        <v>0.94899999999999995</v>
      </c>
      <c r="G87" s="20">
        <f>表2_36716262930389121314152324252627282930[[#This Row],[累计净值]]/$B$21-1</f>
        <v>-5.1948051948051854E-2</v>
      </c>
    </row>
    <row r="88" spans="1:7" x14ac:dyDescent="0.2">
      <c r="A88" s="15">
        <v>44175</v>
      </c>
      <c r="B88" s="112">
        <v>0.94899999999999995</v>
      </c>
      <c r="C88" s="108">
        <f>IFERROR(B88-B87,0)</f>
        <v>0</v>
      </c>
      <c r="D88" s="109" t="str">
        <f t="shared" si="20"/>
        <v>/</v>
      </c>
      <c r="E88" s="109">
        <f ca="1">IF(表2_36716262930389121314152324252627282930[[#This Row],[累计净值]]/MAX(INDIRECT("B21:B" &amp; ROW()))-1&lt;E87,表2_36716262930389121314152324252627282930[[#This Row],[累计净值]]/MAX(INDIRECT("B21:B" &amp; ROW()))-1,E87)</f>
        <v>-9.1173617846750599E-2</v>
      </c>
      <c r="F88" s="110">
        <f>表2_36716262930389121314152324252627282930[[#This Row],[累计净值]]</f>
        <v>0.94899999999999995</v>
      </c>
      <c r="G88" s="20">
        <f>表2_36716262930389121314152324252627282930[[#This Row],[累计净值]]/$B$21-1</f>
        <v>-5.1948051948051854E-2</v>
      </c>
    </row>
    <row r="89" spans="1:7" x14ac:dyDescent="0.2">
      <c r="A89" s="15">
        <v>44176</v>
      </c>
      <c r="B89" s="112">
        <v>0.95599999999999996</v>
      </c>
      <c r="C89" s="108">
        <f>IFERROR(B89-B88,0)</f>
        <v>7.0000000000000062E-3</v>
      </c>
      <c r="D89" s="109" t="str">
        <f>IF(C89&lt;0,C89,"/")</f>
        <v>/</v>
      </c>
      <c r="E89" s="109">
        <f ca="1">IF(表2_36716262930389121314152324252627282930[[#This Row],[累计净值]]/MAX(INDIRECT("B21:B" &amp; ROW()))-1&lt;E88,表2_36716262930389121314152324252627282930[[#This Row],[累计净值]]/MAX(INDIRECT("B21:B" &amp; ROW()))-1,E88)</f>
        <v>-9.1173617846750599E-2</v>
      </c>
      <c r="F89" s="110">
        <f>表2_36716262930389121314152324252627282930[[#This Row],[累计净值]]</f>
        <v>0.95599999999999996</v>
      </c>
      <c r="G89" s="20">
        <f>表2_36716262930389121314152324252627282930[[#This Row],[累计净值]]/$B$21-1</f>
        <v>-4.4955044955044876E-2</v>
      </c>
    </row>
    <row r="90" spans="1:7" x14ac:dyDescent="0.2">
      <c r="A90" s="15">
        <v>44179</v>
      </c>
      <c r="B90" s="112">
        <v>0.93400000000000005</v>
      </c>
      <c r="C90" s="108">
        <f t="shared" ref="C90:C91" si="21">IFERROR(B90-B89,0)</f>
        <v>-2.1999999999999909E-2</v>
      </c>
      <c r="D90" s="109">
        <f t="shared" ref="D90:D91" si="22">IF(C90&lt;0,C90,"/")</f>
        <v>-2.1999999999999909E-2</v>
      </c>
      <c r="E90" s="109">
        <f ca="1">IF(表2_36716262930389121314152324252627282930[[#This Row],[累计净值]]/MAX(INDIRECT("B21:B" &amp; ROW()))-1&lt;E89,表2_36716262930389121314152324252627282930[[#This Row],[累计净值]]/MAX(INDIRECT("B21:B" &amp; ROW()))-1,E89)</f>
        <v>-9.4083414161008627E-2</v>
      </c>
      <c r="F90" s="110">
        <f>表2_36716262930389121314152324252627282930[[#This Row],[累计净值]]</f>
        <v>0.93400000000000005</v>
      </c>
      <c r="G90" s="20">
        <f>表2_36716262930389121314152324252627282930[[#This Row],[累计净值]]/$B$21-1</f>
        <v>-6.6933066933066776E-2</v>
      </c>
    </row>
    <row r="91" spans="1:7" x14ac:dyDescent="0.2">
      <c r="A91" s="15">
        <v>44180</v>
      </c>
      <c r="B91" s="112">
        <v>0.94299999999999995</v>
      </c>
      <c r="C91" s="108">
        <f t="shared" si="21"/>
        <v>8.999999999999897E-3</v>
      </c>
      <c r="D91" s="109" t="str">
        <f t="shared" si="22"/>
        <v>/</v>
      </c>
      <c r="E91" s="109">
        <f ca="1">IF(表2_36716262930389121314152324252627282930[[#This Row],[累计净值]]/MAX(INDIRECT("B21:B" &amp; ROW()))-1&lt;E90,表2_36716262930389121314152324252627282930[[#This Row],[累计净值]]/MAX(INDIRECT("B21:B" &amp; ROW()))-1,E90)</f>
        <v>-9.4083414161008627E-2</v>
      </c>
      <c r="F91" s="110">
        <f>表2_36716262930389121314152324252627282930[[#This Row],[累计净值]]</f>
        <v>0.94299999999999995</v>
      </c>
      <c r="G91" s="20">
        <f>表2_36716262930389121314152324252627282930[[#This Row],[累计净值]]/$B$21-1</f>
        <v>-5.7942057942057867E-2</v>
      </c>
    </row>
    <row r="92" spans="1:7" x14ac:dyDescent="0.2">
      <c r="A92" s="15">
        <v>44181</v>
      </c>
      <c r="B92" s="112">
        <v>0.95</v>
      </c>
      <c r="C92" s="108">
        <f t="shared" ref="C92:C97" si="23">IFERROR(B92-B91,0)</f>
        <v>7.0000000000000062E-3</v>
      </c>
      <c r="D92" s="109" t="str">
        <f t="shared" ref="D92:D97" si="24">IF(C92&lt;0,C92,"/")</f>
        <v>/</v>
      </c>
      <c r="E92" s="109">
        <f ca="1">IF(表2_36716262930389121314152324252627282930[[#This Row],[累计净值]]/MAX(INDIRECT("B21:B" &amp; ROW()))-1&lt;E91,表2_36716262930389121314152324252627282930[[#This Row],[累计净值]]/MAX(INDIRECT("B21:B" &amp; ROW()))-1,E91)</f>
        <v>-9.4083414161008627E-2</v>
      </c>
      <c r="F92" s="110">
        <f>表2_36716262930389121314152324252627282930[[#This Row],[累计净值]]</f>
        <v>0.95</v>
      </c>
      <c r="G92" s="20">
        <f>表2_36716262930389121314152324252627282930[[#This Row],[累计净值]]/$B$21-1</f>
        <v>-5.0949050949050889E-2</v>
      </c>
    </row>
    <row r="93" spans="1:7" x14ac:dyDescent="0.2">
      <c r="A93" s="15">
        <v>44182</v>
      </c>
      <c r="B93" s="112">
        <v>0.96199999999999997</v>
      </c>
      <c r="C93" s="108">
        <f t="shared" si="23"/>
        <v>1.2000000000000011E-2</v>
      </c>
      <c r="D93" s="109" t="str">
        <f t="shared" si="24"/>
        <v>/</v>
      </c>
      <c r="E93" s="109">
        <f ca="1">IF(表2_36716262930389121314152324252627282930[[#This Row],[累计净值]]/MAX(INDIRECT("B21:B" &amp; ROW()))-1&lt;E92,表2_36716262930389121314152324252627282930[[#This Row],[累计净值]]/MAX(INDIRECT("B21:B" &amp; ROW()))-1,E92)</f>
        <v>-9.4083414161008627E-2</v>
      </c>
      <c r="F93" s="110">
        <f>表2_36716262930389121314152324252627282930[[#This Row],[累计净值]]</f>
        <v>0.96199999999999997</v>
      </c>
      <c r="G93" s="20">
        <f>表2_36716262930389121314152324252627282930[[#This Row],[累计净值]]/$B$21-1</f>
        <v>-3.8961038961038863E-2</v>
      </c>
    </row>
    <row r="94" spans="1:7" x14ac:dyDescent="0.2">
      <c r="A94" s="15">
        <v>44183</v>
      </c>
      <c r="B94" s="112">
        <v>0.96099999999999997</v>
      </c>
      <c r="C94" s="108">
        <f t="shared" si="23"/>
        <v>-1.0000000000000009E-3</v>
      </c>
      <c r="D94" s="109">
        <f t="shared" si="24"/>
        <v>-1.0000000000000009E-3</v>
      </c>
      <c r="E94" s="109">
        <f ca="1">IF(表2_36716262930389121314152324252627282930[[#This Row],[累计净值]]/MAX(INDIRECT("B21:B" &amp; ROW()))-1&lt;E93,表2_36716262930389121314152324252627282930[[#This Row],[累计净值]]/MAX(INDIRECT("B21:B" &amp; ROW()))-1,E93)</f>
        <v>-9.4083414161008627E-2</v>
      </c>
      <c r="F94" s="110">
        <f>表2_36716262930389121314152324252627282930[[#This Row],[累计净值]]</f>
        <v>0.96099999999999997</v>
      </c>
      <c r="G94" s="20">
        <f>表2_36716262930389121314152324252627282930[[#This Row],[累计净值]]/$B$21-1</f>
        <v>-3.9960039960039939E-2</v>
      </c>
    </row>
    <row r="95" spans="1:7" x14ac:dyDescent="0.2">
      <c r="A95" s="15">
        <v>44186</v>
      </c>
      <c r="B95" s="112">
        <v>0.97499999999999998</v>
      </c>
      <c r="C95" s="108">
        <f t="shared" si="23"/>
        <v>1.4000000000000012E-2</v>
      </c>
      <c r="D95" s="109" t="str">
        <f t="shared" si="24"/>
        <v>/</v>
      </c>
      <c r="E95" s="109">
        <f ca="1">IF(表2_36716262930389121314152324252627282930[[#This Row],[累计净值]]/MAX(INDIRECT("B21:B" &amp; ROW()))-1&lt;E94,表2_36716262930389121314152324252627282930[[#This Row],[累计净值]]/MAX(INDIRECT("B21:B" &amp; ROW()))-1,E94)</f>
        <v>-9.4083414161008627E-2</v>
      </c>
      <c r="F95" s="110">
        <f>表2_36716262930389121314152324252627282930[[#This Row],[累计净值]]</f>
        <v>0.97499999999999998</v>
      </c>
      <c r="G95" s="20">
        <f>表2_36716262930389121314152324252627282930[[#This Row],[累计净值]]/$B$21-1</f>
        <v>-2.5974025974025872E-2</v>
      </c>
    </row>
    <row r="96" spans="1:7" x14ac:dyDescent="0.2">
      <c r="A96" s="15">
        <v>44187</v>
      </c>
      <c r="B96" s="112">
        <v>0.97399999999999998</v>
      </c>
      <c r="C96" s="108">
        <f t="shared" si="23"/>
        <v>-1.0000000000000009E-3</v>
      </c>
      <c r="D96" s="109">
        <f t="shared" si="24"/>
        <v>-1.0000000000000009E-3</v>
      </c>
      <c r="E96" s="109">
        <f ca="1">IF(表2_36716262930389121314152324252627282930[[#This Row],[累计净值]]/MAX(INDIRECT("B21:B" &amp; ROW()))-1&lt;E95,表2_36716262930389121314152324252627282930[[#This Row],[累计净值]]/MAX(INDIRECT("B21:B" &amp; ROW()))-1,E95)</f>
        <v>-9.4083414161008627E-2</v>
      </c>
      <c r="F96" s="110">
        <f>表2_36716262930389121314152324252627282930[[#This Row],[累计净值]]</f>
        <v>0.97399999999999998</v>
      </c>
      <c r="G96" s="20">
        <f>表2_36716262930389121314152324252627282930[[#This Row],[累计净值]]/$B$21-1</f>
        <v>-2.6973026973026837E-2</v>
      </c>
    </row>
    <row r="97" spans="1:7" x14ac:dyDescent="0.2">
      <c r="A97" s="15">
        <v>44188</v>
      </c>
      <c r="B97" s="112">
        <v>0.97299999999999998</v>
      </c>
      <c r="C97" s="108">
        <f t="shared" si="23"/>
        <v>-1.0000000000000009E-3</v>
      </c>
      <c r="D97" s="109">
        <f t="shared" si="24"/>
        <v>-1.0000000000000009E-3</v>
      </c>
      <c r="E97" s="109">
        <f ca="1">IF(表2_36716262930389121314152324252627282930[[#This Row],[累计净值]]/MAX(INDIRECT("B21:B" &amp; ROW()))-1&lt;E96,表2_36716262930389121314152324252627282930[[#This Row],[累计净值]]/MAX(INDIRECT("B21:B" &amp; ROW()))-1,E96)</f>
        <v>-9.4083414161008627E-2</v>
      </c>
      <c r="F97" s="110">
        <f>表2_36716262930389121314152324252627282930[[#This Row],[累计净值]]</f>
        <v>0.97299999999999998</v>
      </c>
      <c r="G97" s="20">
        <f>表2_36716262930389121314152324252627282930[[#This Row],[累计净值]]/$B$21-1</f>
        <v>-2.7972027972027913E-2</v>
      </c>
    </row>
    <row r="98" spans="1:7" x14ac:dyDescent="0.2">
      <c r="A98" s="15">
        <v>44189</v>
      </c>
      <c r="B98" s="112">
        <v>0.96</v>
      </c>
      <c r="C98" s="108">
        <f t="shared" ref="C98:C103" si="25">IFERROR(B98-B97,0)</f>
        <v>-1.3000000000000012E-2</v>
      </c>
      <c r="D98" s="109">
        <f t="shared" ref="D98:D103" si="26">IF(C98&lt;0,C98,"/")</f>
        <v>-1.3000000000000012E-2</v>
      </c>
      <c r="E98" s="109">
        <f ca="1">IF(表2_36716262930389121314152324252627282930[[#This Row],[累计净值]]/MAX(INDIRECT("B21:B" &amp; ROW()))-1&lt;E97,表2_36716262930389121314152324252627282930[[#This Row],[累计净值]]/MAX(INDIRECT("B21:B" &amp; ROW()))-1,E97)</f>
        <v>-9.4083414161008627E-2</v>
      </c>
      <c r="F98" s="110">
        <f>表2_36716262930389121314152324252627282930[[#This Row],[累计净值]]</f>
        <v>0.96</v>
      </c>
      <c r="G98" s="20">
        <f>表2_36716262930389121314152324252627282930[[#This Row],[累计净值]]/$B$21-1</f>
        <v>-4.0959040959040904E-2</v>
      </c>
    </row>
    <row r="99" spans="1:7" x14ac:dyDescent="0.2">
      <c r="A99" s="15">
        <v>44190</v>
      </c>
      <c r="B99" s="112">
        <v>0.96399999999999997</v>
      </c>
      <c r="C99" s="108">
        <f t="shared" si="25"/>
        <v>4.0000000000000036E-3</v>
      </c>
      <c r="D99" s="109" t="str">
        <f t="shared" si="26"/>
        <v>/</v>
      </c>
      <c r="E99" s="109">
        <f ca="1">IF(表2_36716262930389121314152324252627282930[[#This Row],[累计净值]]/MAX(INDIRECT("B21:B" &amp; ROW()))-1&lt;E98,表2_36716262930389121314152324252627282930[[#This Row],[累计净值]]/MAX(INDIRECT("B21:B" &amp; ROW()))-1,E98)</f>
        <v>-9.4083414161008627E-2</v>
      </c>
      <c r="F99" s="110">
        <f>表2_36716262930389121314152324252627282930[[#This Row],[累计净值]]</f>
        <v>0.96399999999999997</v>
      </c>
      <c r="G99" s="20">
        <f>表2_36716262930389121314152324252627282930[[#This Row],[累计净值]]/$B$21-1</f>
        <v>-3.6963036963036933E-2</v>
      </c>
    </row>
    <row r="100" spans="1:7" x14ac:dyDescent="0.2">
      <c r="A100" s="15">
        <v>44193</v>
      </c>
      <c r="B100" s="112">
        <v>0.96</v>
      </c>
      <c r="C100" s="108">
        <f t="shared" si="25"/>
        <v>-4.0000000000000036E-3</v>
      </c>
      <c r="D100" s="109">
        <f t="shared" si="26"/>
        <v>-4.0000000000000036E-3</v>
      </c>
      <c r="E100" s="109">
        <f ca="1">IF(表2_36716262930389121314152324252627282930[[#This Row],[累计净值]]/MAX(INDIRECT("B21:B" &amp; ROW()))-1&lt;E99,表2_36716262930389121314152324252627282930[[#This Row],[累计净值]]/MAX(INDIRECT("B21:B" &amp; ROW()))-1,E99)</f>
        <v>-9.4083414161008627E-2</v>
      </c>
      <c r="F100" s="110">
        <f>表2_36716262930389121314152324252627282930[[#This Row],[累计净值]]</f>
        <v>0.96</v>
      </c>
      <c r="G100" s="20">
        <f>表2_36716262930389121314152324252627282930[[#This Row],[累计净值]]/$B$21-1</f>
        <v>-4.0959040959040904E-2</v>
      </c>
    </row>
    <row r="101" spans="1:7" x14ac:dyDescent="0.2">
      <c r="A101" s="15">
        <v>44194</v>
      </c>
      <c r="B101" s="112">
        <v>0.95699999999999996</v>
      </c>
      <c r="C101" s="108">
        <f t="shared" si="25"/>
        <v>-3.0000000000000027E-3</v>
      </c>
      <c r="D101" s="109">
        <f t="shared" si="26"/>
        <v>-3.0000000000000027E-3</v>
      </c>
      <c r="E101" s="109">
        <f ca="1">IF(表2_36716262930389121314152324252627282930[[#This Row],[累计净值]]/MAX(INDIRECT("B21:B" &amp; ROW()))-1&lt;E100,表2_36716262930389121314152324252627282930[[#This Row],[累计净值]]/MAX(INDIRECT("B21:B" &amp; ROW()))-1,E100)</f>
        <v>-9.4083414161008627E-2</v>
      </c>
      <c r="F101" s="110">
        <f>表2_36716262930389121314152324252627282930[[#This Row],[累计净值]]</f>
        <v>0.95699999999999996</v>
      </c>
      <c r="G101" s="20">
        <f>表2_36716262930389121314152324252627282930[[#This Row],[累计净值]]/$B$21-1</f>
        <v>-4.3956043956043911E-2</v>
      </c>
    </row>
    <row r="102" spans="1:7" x14ac:dyDescent="0.2">
      <c r="A102" s="15">
        <v>44195</v>
      </c>
      <c r="B102" s="112">
        <v>0.96599999999999997</v>
      </c>
      <c r="C102" s="108">
        <f t="shared" si="25"/>
        <v>9.000000000000008E-3</v>
      </c>
      <c r="D102" s="109" t="str">
        <f t="shared" si="26"/>
        <v>/</v>
      </c>
      <c r="E102" s="109">
        <f ca="1">IF(表2_36716262930389121314152324252627282930[[#This Row],[累计净值]]/MAX(INDIRECT("B21:B" &amp; ROW()))-1&lt;E101,表2_36716262930389121314152324252627282930[[#This Row],[累计净值]]/MAX(INDIRECT("B21:B" &amp; ROW()))-1,E101)</f>
        <v>-9.4083414161008627E-2</v>
      </c>
      <c r="F102" s="110">
        <f>表2_36716262930389121314152324252627282930[[#This Row],[累计净值]]</f>
        <v>0.96599999999999997</v>
      </c>
      <c r="G102" s="20">
        <f>表2_36716262930389121314152324252627282930[[#This Row],[累计净值]]/$B$21-1</f>
        <v>-3.4965034965034891E-2</v>
      </c>
    </row>
    <row r="103" spans="1:7" x14ac:dyDescent="0.2">
      <c r="A103" s="15">
        <v>44196</v>
      </c>
      <c r="B103" s="112">
        <v>0.98299999999999998</v>
      </c>
      <c r="C103" s="108">
        <f t="shared" si="25"/>
        <v>1.7000000000000015E-2</v>
      </c>
      <c r="D103" s="109" t="str">
        <f t="shared" si="26"/>
        <v>/</v>
      </c>
      <c r="E103" s="109">
        <f ca="1">IF(表2_36716262930389121314152324252627282930[[#This Row],[累计净值]]/MAX(INDIRECT("B21:B" &amp; ROW()))-1&lt;E102,表2_36716262930389121314152324252627282930[[#This Row],[累计净值]]/MAX(INDIRECT("B21:B" &amp; ROW()))-1,E102)</f>
        <v>-9.4083414161008627E-2</v>
      </c>
      <c r="F103" s="110">
        <f>表2_36716262930389121314152324252627282930[[#This Row],[累计净值]]</f>
        <v>0.98299999999999998</v>
      </c>
      <c r="G103" s="20">
        <f>表2_36716262930389121314152324252627282930[[#This Row],[累计净值]]/$B$21-1</f>
        <v>-1.7982017982017928E-2</v>
      </c>
    </row>
    <row r="104" spans="1:7" x14ac:dyDescent="0.2">
      <c r="A104" s="15">
        <v>44200</v>
      </c>
      <c r="B104" s="112">
        <v>0.998</v>
      </c>
      <c r="C104" s="108">
        <f>IFERROR(B104-B103,0)</f>
        <v>1.5000000000000013E-2</v>
      </c>
      <c r="D104" s="109" t="str">
        <f>IF(C104&lt;0,C104,"/")</f>
        <v>/</v>
      </c>
      <c r="E104" s="109">
        <f ca="1">IF(表2_36716262930389121314152324252627282930[[#This Row],[累计净值]]/MAX(INDIRECT("B21:B" &amp; ROW()))-1&lt;E103,表2_36716262930389121314152324252627282930[[#This Row],[累计净值]]/MAX(INDIRECT("B21:B" &amp; ROW()))-1,E103)</f>
        <v>-9.4083414161008627E-2</v>
      </c>
      <c r="F104" s="110">
        <f>表2_36716262930389121314152324252627282930[[#This Row],[累计净值]]</f>
        <v>0.998</v>
      </c>
      <c r="G104" s="20">
        <f>表2_36716262930389121314152324252627282930[[#This Row],[累计净值]]/$B$21-1</f>
        <v>-2.9970029970028955E-3</v>
      </c>
    </row>
    <row r="105" spans="1:7" x14ac:dyDescent="0.2">
      <c r="A105" s="15">
        <v>44201</v>
      </c>
      <c r="B105" s="112">
        <v>1.0109999999999999</v>
      </c>
      <c r="C105" s="108">
        <f>IFERROR(B105-B104,0)</f>
        <v>1.2999999999999901E-2</v>
      </c>
      <c r="D105" s="109" t="str">
        <f>IF(C105&lt;0,C105,"/")</f>
        <v>/</v>
      </c>
      <c r="E105" s="109">
        <f ca="1">IF(表2_36716262930389121314152324252627282930[[#This Row],[累计净值]]/MAX(INDIRECT("B21:B" &amp; ROW()))-1&lt;E104,表2_36716262930389121314152324252627282930[[#This Row],[累计净值]]/MAX(INDIRECT("B21:B" &amp; ROW()))-1,E104)</f>
        <v>-9.4083414161008627E-2</v>
      </c>
      <c r="F105" s="110">
        <f>表2_36716262930389121314152324252627282930[[#This Row],[累计净值]]</f>
        <v>1.0109999999999999</v>
      </c>
      <c r="G105" s="20">
        <f>表2_36716262930389121314152324252627282930[[#This Row],[累计净值]]/$B$21-1</f>
        <v>9.9900099900100958E-3</v>
      </c>
    </row>
    <row r="106" spans="1:7" x14ac:dyDescent="0.2">
      <c r="A106" s="15">
        <v>44202</v>
      </c>
      <c r="B106" s="112">
        <v>1.016</v>
      </c>
      <c r="C106" s="108">
        <f>IFERROR(B106-B105,0)</f>
        <v>5.0000000000001155E-3</v>
      </c>
      <c r="D106" s="109" t="str">
        <f>IF(C106&lt;0,C106,"/")</f>
        <v>/</v>
      </c>
      <c r="E106" s="109">
        <f ca="1">IF(表2_36716262930389121314152324252627282930[[#This Row],[累计净值]]/MAX(INDIRECT("B21:B" &amp; ROW()))-1&lt;E105,表2_36716262930389121314152324252627282930[[#This Row],[累计净值]]/MAX(INDIRECT("B21:B" &amp; ROW()))-1,E105)</f>
        <v>-9.4083414161008627E-2</v>
      </c>
      <c r="F106" s="110">
        <f>表2_36716262930389121314152324252627282930[[#This Row],[累计净值]]</f>
        <v>1.016</v>
      </c>
      <c r="G106" s="20">
        <f>表2_36716262930389121314152324252627282930[[#This Row],[累计净值]]/$B$21-1</f>
        <v>1.4985014985015033E-2</v>
      </c>
    </row>
    <row r="107" spans="1:7" x14ac:dyDescent="0.2">
      <c r="A107" s="15">
        <v>44203</v>
      </c>
      <c r="B107" s="112">
        <v>1.0329999999999999</v>
      </c>
      <c r="C107" s="108">
        <f t="shared" ref="C107:C108" si="27">IFERROR(B107-B106,0)</f>
        <v>1.6999999999999904E-2</v>
      </c>
      <c r="D107" s="109" t="str">
        <f t="shared" ref="D107:D108" si="28">IF(C107&lt;0,C107,"/")</f>
        <v>/</v>
      </c>
      <c r="E107" s="109">
        <f ca="1">IF(表2_36716262930389121314152324252627282930[[#This Row],[累计净值]]/MAX(INDIRECT("B21:B" &amp; ROW()))-1&lt;E106,表2_36716262930389121314152324252627282930[[#This Row],[累计净值]]/MAX(INDIRECT("B21:B" &amp; ROW()))-1,E106)</f>
        <v>-9.4083414161008627E-2</v>
      </c>
      <c r="F107" s="110">
        <f>表2_36716262930389121314152324252627282930[[#This Row],[累计净值]]</f>
        <v>1.0329999999999999</v>
      </c>
      <c r="G107" s="20">
        <f>表2_36716262930389121314152324252627282930[[#This Row],[累计净值]]/$B$21-1</f>
        <v>3.1968031968031996E-2</v>
      </c>
    </row>
    <row r="108" spans="1:7" x14ac:dyDescent="0.2">
      <c r="A108" s="15">
        <v>44204</v>
      </c>
      <c r="B108" s="112">
        <v>1.028</v>
      </c>
      <c r="C108" s="108">
        <f t="shared" si="27"/>
        <v>-4.9999999999998934E-3</v>
      </c>
      <c r="D108" s="109">
        <f t="shared" si="28"/>
        <v>-4.9999999999998934E-3</v>
      </c>
      <c r="E108" s="109">
        <f ca="1">IF(表2_36716262930389121314152324252627282930[[#This Row],[累计净值]]/MAX(INDIRECT("B21:B" &amp; ROW()))-1&lt;E107,表2_36716262930389121314152324252627282930[[#This Row],[累计净值]]/MAX(INDIRECT("B21:B" &amp; ROW()))-1,E107)</f>
        <v>-9.4083414161008627E-2</v>
      </c>
      <c r="F108" s="110">
        <f>表2_36716262930389121314152324252627282930[[#This Row],[累计净值]]</f>
        <v>1.028</v>
      </c>
      <c r="G108" s="20">
        <f>表2_36716262930389121314152324252627282930[[#This Row],[累计净值]]/$B$21-1</f>
        <v>2.6973026973027059E-2</v>
      </c>
    </row>
    <row r="109" spans="1:7" x14ac:dyDescent="0.2">
      <c r="A109" s="15">
        <v>44207</v>
      </c>
      <c r="B109" s="112">
        <v>1.034</v>
      </c>
      <c r="C109" s="108">
        <f t="shared" ref="C109:C115" si="29">IFERROR(B109-B108,0)</f>
        <v>6.0000000000000053E-3</v>
      </c>
      <c r="D109" s="109" t="str">
        <f t="shared" ref="D109:D115" si="30">IF(C109&lt;0,C109,"/")</f>
        <v>/</v>
      </c>
      <c r="E109" s="109">
        <f ca="1">IF(表2_36716262930389121314152324252627282930[[#This Row],[累计净值]]/MAX(INDIRECT("B21:B" &amp; ROW()))-1&lt;E108,表2_36716262930389121314152324252627282930[[#This Row],[累计净值]]/MAX(INDIRECT("B21:B" &amp; ROW()))-1,E108)</f>
        <v>-9.4083414161008627E-2</v>
      </c>
      <c r="F109" s="110">
        <f>表2_36716262930389121314152324252627282930[[#This Row],[累计净值]]</f>
        <v>1.034</v>
      </c>
      <c r="G109" s="20">
        <f>表2_36716262930389121314152324252627282930[[#This Row],[累计净值]]/$B$21-1</f>
        <v>3.2967032967033072E-2</v>
      </c>
    </row>
    <row r="110" spans="1:7" x14ac:dyDescent="0.2">
      <c r="A110" s="15">
        <v>44208</v>
      </c>
      <c r="B110" s="112">
        <v>1.077</v>
      </c>
      <c r="C110" s="108">
        <f t="shared" si="29"/>
        <v>4.2999999999999927E-2</v>
      </c>
      <c r="D110" s="109" t="str">
        <f t="shared" si="30"/>
        <v>/</v>
      </c>
      <c r="E110" s="109">
        <f ca="1">IF(表2_36716262930389121314152324252627282930[[#This Row],[累计净值]]/MAX(INDIRECT("B21:B" &amp; ROW()))-1&lt;E109,表2_36716262930389121314152324252627282930[[#This Row],[累计净值]]/MAX(INDIRECT("B21:B" &amp; ROW()))-1,E109)</f>
        <v>-9.4083414161008627E-2</v>
      </c>
      <c r="F110" s="110">
        <f>表2_36716262930389121314152324252627282930[[#This Row],[累计净值]]</f>
        <v>1.077</v>
      </c>
      <c r="G110" s="20">
        <f>表2_36716262930389121314152324252627282930[[#This Row],[累计净值]]/$B$21-1</f>
        <v>7.5924075924076018E-2</v>
      </c>
    </row>
    <row r="111" spans="1:7" x14ac:dyDescent="0.2">
      <c r="A111" s="15">
        <v>44209</v>
      </c>
      <c r="B111" s="112">
        <v>1.08</v>
      </c>
      <c r="C111" s="108">
        <f t="shared" si="29"/>
        <v>3.0000000000001137E-3</v>
      </c>
      <c r="D111" s="109" t="str">
        <f t="shared" si="30"/>
        <v>/</v>
      </c>
      <c r="E111" s="109">
        <f ca="1">IF(表2_36716262930389121314152324252627282930[[#This Row],[累计净值]]/MAX(INDIRECT("B21:B" &amp; ROW()))-1&lt;E110,表2_36716262930389121314152324252627282930[[#This Row],[累计净值]]/MAX(INDIRECT("B21:B" &amp; ROW()))-1,E110)</f>
        <v>-9.4083414161008627E-2</v>
      </c>
      <c r="F111" s="110">
        <f>表2_36716262930389121314152324252627282930[[#This Row],[累计净值]]</f>
        <v>1.08</v>
      </c>
      <c r="G111" s="20">
        <f>表2_36716262930389121314152324252627282930[[#This Row],[累计净值]]/$B$21-1</f>
        <v>7.8921078921079024E-2</v>
      </c>
    </row>
    <row r="112" spans="1:7" x14ac:dyDescent="0.2">
      <c r="A112" s="15">
        <v>44210</v>
      </c>
      <c r="B112" s="112">
        <v>1.07</v>
      </c>
      <c r="C112" s="108">
        <f t="shared" si="29"/>
        <v>-1.0000000000000009E-2</v>
      </c>
      <c r="D112" s="109">
        <f t="shared" si="30"/>
        <v>-1.0000000000000009E-2</v>
      </c>
      <c r="E112" s="109">
        <f ca="1">IF(表2_36716262930389121314152324252627282930[[#This Row],[累计净值]]/MAX(INDIRECT("B21:B" &amp; ROW()))-1&lt;E111,表2_36716262930389121314152324252627282930[[#This Row],[累计净值]]/MAX(INDIRECT("B21:B" &amp; ROW()))-1,E111)</f>
        <v>-9.4083414161008627E-2</v>
      </c>
      <c r="F112" s="110">
        <f>表2_36716262930389121314152324252627282930[[#This Row],[累计净值]]</f>
        <v>1.07</v>
      </c>
      <c r="G112" s="20">
        <f>表2_36716262930389121314152324252627282930[[#This Row],[累计净值]]/$B$21-1</f>
        <v>6.893106893106915E-2</v>
      </c>
    </row>
    <row r="113" spans="1:7" x14ac:dyDescent="0.2">
      <c r="A113" s="15">
        <v>44211</v>
      </c>
      <c r="B113" s="112">
        <v>1.0680000000000001</v>
      </c>
      <c r="C113" s="108">
        <f t="shared" si="29"/>
        <v>-2.0000000000000018E-3</v>
      </c>
      <c r="D113" s="109">
        <f t="shared" si="30"/>
        <v>-2.0000000000000018E-3</v>
      </c>
      <c r="E113" s="109">
        <f ca="1">IF(表2_36716262930389121314152324252627282930[[#This Row],[累计净值]]/MAX(INDIRECT("B21:B" &amp; ROW()))-1&lt;E112,表2_36716262930389121314152324252627282930[[#This Row],[累计净值]]/MAX(INDIRECT("B21:B" &amp; ROW()))-1,E112)</f>
        <v>-9.4083414161008627E-2</v>
      </c>
      <c r="F113" s="110">
        <f>表2_36716262930389121314152324252627282930[[#This Row],[累计净值]]</f>
        <v>1.0680000000000001</v>
      </c>
      <c r="G113" s="20">
        <f>表2_36716262930389121314152324252627282930[[#This Row],[累计净值]]/$B$21-1</f>
        <v>6.693306693306722E-2</v>
      </c>
    </row>
    <row r="114" spans="1:7" x14ac:dyDescent="0.2">
      <c r="A114" s="15">
        <v>44214</v>
      </c>
      <c r="B114" s="112">
        <v>1.071</v>
      </c>
      <c r="C114" s="108">
        <f t="shared" si="29"/>
        <v>2.9999999999998916E-3</v>
      </c>
      <c r="D114" s="109" t="str">
        <f t="shared" si="30"/>
        <v>/</v>
      </c>
      <c r="E114" s="109">
        <f ca="1">IF(表2_36716262930389121314152324252627282930[[#This Row],[累计净值]]/MAX(INDIRECT("B21:B" &amp; ROW()))-1&lt;E113,表2_36716262930389121314152324252627282930[[#This Row],[累计净值]]/MAX(INDIRECT("B21:B" &amp; ROW()))-1,E113)</f>
        <v>-9.4083414161008627E-2</v>
      </c>
      <c r="F114" s="110">
        <f>表2_36716262930389121314152324252627282930[[#This Row],[累计净值]]</f>
        <v>1.071</v>
      </c>
      <c r="G114" s="20">
        <f>表2_36716262930389121314152324252627282930[[#This Row],[累计净值]]/$B$21-1</f>
        <v>6.9930069930070005E-2</v>
      </c>
    </row>
    <row r="115" spans="1:7" x14ac:dyDescent="0.2">
      <c r="A115" s="15">
        <v>44215</v>
      </c>
      <c r="B115" s="112">
        <v>1.0660000000000001</v>
      </c>
      <c r="C115" s="108">
        <f t="shared" si="29"/>
        <v>-4.9999999999998934E-3</v>
      </c>
      <c r="D115" s="109">
        <f t="shared" si="30"/>
        <v>-4.9999999999998934E-3</v>
      </c>
      <c r="E115" s="109">
        <f ca="1">IF(表2_36716262930389121314152324252627282930[[#This Row],[累计净值]]/MAX(INDIRECT("B21:B" &amp; ROW()))-1&lt;E114,表2_36716262930389121314152324252627282930[[#This Row],[累计净值]]/MAX(INDIRECT("B21:B" &amp; ROW()))-1,E114)</f>
        <v>-9.4083414161008627E-2</v>
      </c>
      <c r="F115" s="110">
        <f>表2_36716262930389121314152324252627282930[[#This Row],[累计净值]]</f>
        <v>1.0660000000000001</v>
      </c>
      <c r="G115" s="20">
        <f>表2_36716262930389121314152324252627282930[[#This Row],[累计净值]]/$B$21-1</f>
        <v>6.4935064935065068E-2</v>
      </c>
    </row>
    <row r="116" spans="1:7" x14ac:dyDescent="0.2">
      <c r="A116" s="15">
        <v>44216</v>
      </c>
      <c r="B116" s="112">
        <v>1.0660000000000001</v>
      </c>
      <c r="C116" s="108">
        <f t="shared" ref="C116:C121" si="31">IFERROR(B116-B115,0)</f>
        <v>0</v>
      </c>
      <c r="D116" s="109" t="str">
        <f t="shared" ref="D116:D121" si="32">IF(C116&lt;0,C116,"/")</f>
        <v>/</v>
      </c>
      <c r="E116" s="109">
        <f ca="1">IF(表2_36716262930389121314152324252627282930[[#This Row],[累计净值]]/MAX(INDIRECT("B21:B" &amp; ROW()))-1&lt;E115,表2_36716262930389121314152324252627282930[[#This Row],[累计净值]]/MAX(INDIRECT("B21:B" &amp; ROW()))-1,E115)</f>
        <v>-9.4083414161008627E-2</v>
      </c>
      <c r="F116" s="110">
        <f>表2_36716262930389121314152324252627282930[[#This Row],[累计净值]]</f>
        <v>1.0660000000000001</v>
      </c>
      <c r="G116" s="20">
        <f>表2_36716262930389121314152324252627282930[[#This Row],[累计净值]]/$B$21-1</f>
        <v>6.4935064935065068E-2</v>
      </c>
    </row>
    <row r="117" spans="1:7" x14ac:dyDescent="0.2">
      <c r="A117" s="15">
        <v>44217</v>
      </c>
      <c r="B117" s="112">
        <v>1.06</v>
      </c>
      <c r="C117" s="108">
        <f t="shared" si="31"/>
        <v>-6.0000000000000053E-3</v>
      </c>
      <c r="D117" s="109">
        <f t="shared" si="32"/>
        <v>-6.0000000000000053E-3</v>
      </c>
      <c r="E117" s="109">
        <f ca="1">IF(表2_36716262930389121314152324252627282930[[#This Row],[累计净值]]/MAX(INDIRECT("B21:B" &amp; ROW()))-1&lt;E116,表2_36716262930389121314152324252627282930[[#This Row],[累计净值]]/MAX(INDIRECT("B21:B" &amp; ROW()))-1,E116)</f>
        <v>-9.4083414161008627E-2</v>
      </c>
      <c r="F117" s="110">
        <f>表2_36716262930389121314152324252627282930[[#This Row],[累计净值]]</f>
        <v>1.06</v>
      </c>
      <c r="G117" s="20">
        <f>表2_36716262930389121314152324252627282930[[#This Row],[累计净值]]/$B$21-1</f>
        <v>5.8941058941059055E-2</v>
      </c>
    </row>
    <row r="118" spans="1:7" x14ac:dyDescent="0.2">
      <c r="A118" s="15">
        <v>44218</v>
      </c>
      <c r="B118" s="112">
        <v>1.0589999999999999</v>
      </c>
      <c r="C118" s="108">
        <f t="shared" si="31"/>
        <v>-1.0000000000001119E-3</v>
      </c>
      <c r="D118" s="109">
        <f t="shared" si="32"/>
        <v>-1.0000000000001119E-3</v>
      </c>
      <c r="E118" s="109">
        <f ca="1">IF(表2_36716262930389121314152324252627282930[[#This Row],[累计净值]]/MAX(INDIRECT("B21:B" &amp; ROW()))-1&lt;E117,表2_36716262930389121314152324252627282930[[#This Row],[累计净值]]/MAX(INDIRECT("B21:B" &amp; ROW()))-1,E117)</f>
        <v>-9.4083414161008627E-2</v>
      </c>
      <c r="F118" s="110">
        <f>表2_36716262930389121314152324252627282930[[#This Row],[累计净值]]</f>
        <v>1.0589999999999999</v>
      </c>
      <c r="G118" s="20">
        <f>表2_36716262930389121314152324252627282930[[#This Row],[累计净值]]/$B$21-1</f>
        <v>5.7942057942057978E-2</v>
      </c>
    </row>
    <row r="119" spans="1:7" x14ac:dyDescent="0.2">
      <c r="A119" s="15">
        <v>44221</v>
      </c>
      <c r="B119" s="112">
        <v>1.0529999999999999</v>
      </c>
      <c r="C119" s="108">
        <f t="shared" si="31"/>
        <v>-6.0000000000000053E-3</v>
      </c>
      <c r="D119" s="109">
        <f t="shared" si="32"/>
        <v>-6.0000000000000053E-3</v>
      </c>
      <c r="E119" s="109">
        <f ca="1">IF(表2_36716262930389121314152324252627282930[[#This Row],[累计净值]]/MAX(INDIRECT("B21:B" &amp; ROW()))-1&lt;E118,表2_36716262930389121314152324252627282930[[#This Row],[累计净值]]/MAX(INDIRECT("B21:B" &amp; ROW()))-1,E118)</f>
        <v>-9.4083414161008627E-2</v>
      </c>
      <c r="F119" s="110">
        <f>表2_36716262930389121314152324252627282930[[#This Row],[累计净值]]</f>
        <v>1.0529999999999999</v>
      </c>
      <c r="G119" s="20">
        <f>表2_36716262930389121314152324252627282930[[#This Row],[累计净值]]/$B$21-1</f>
        <v>5.1948051948051965E-2</v>
      </c>
    </row>
    <row r="120" spans="1:7" x14ac:dyDescent="0.2">
      <c r="A120" s="15">
        <v>44222</v>
      </c>
      <c r="B120" s="112">
        <v>1.0469999999999999</v>
      </c>
      <c r="C120" s="108">
        <f t="shared" si="31"/>
        <v>-6.0000000000000053E-3</v>
      </c>
      <c r="D120" s="109">
        <f t="shared" si="32"/>
        <v>-6.0000000000000053E-3</v>
      </c>
      <c r="E120" s="109">
        <f ca="1">IF(表2_36716262930389121314152324252627282930[[#This Row],[累计净值]]/MAX(INDIRECT("B21:B" &amp; ROW()))-1&lt;E119,表2_36716262930389121314152324252627282930[[#This Row],[累计净值]]/MAX(INDIRECT("B21:B" &amp; ROW()))-1,E119)</f>
        <v>-9.4083414161008627E-2</v>
      </c>
      <c r="F120" s="110">
        <f>表2_36716262930389121314152324252627282930[[#This Row],[累计净值]]</f>
        <v>1.0469999999999999</v>
      </c>
      <c r="G120" s="20">
        <f>表2_36716262930389121314152324252627282930[[#This Row],[累计净值]]/$B$21-1</f>
        <v>4.5954045954045952E-2</v>
      </c>
    </row>
    <row r="121" spans="1:7" x14ac:dyDescent="0.2">
      <c r="A121" s="15">
        <v>44223</v>
      </c>
      <c r="B121" s="112">
        <v>1.0449999999999999</v>
      </c>
      <c r="C121" s="108">
        <f t="shared" si="31"/>
        <v>-2.0000000000000018E-3</v>
      </c>
      <c r="D121" s="109">
        <f t="shared" si="32"/>
        <v>-2.0000000000000018E-3</v>
      </c>
      <c r="E121" s="109">
        <f ca="1">IF(表2_36716262930389121314152324252627282930[[#This Row],[累计净值]]/MAX(INDIRECT("B21:B" &amp; ROW()))-1&lt;E120,表2_36716262930389121314152324252627282930[[#This Row],[累计净值]]/MAX(INDIRECT("B21:B" &amp; ROW()))-1,E120)</f>
        <v>-9.4083414161008627E-2</v>
      </c>
      <c r="F121" s="110">
        <f>表2_36716262930389121314152324252627282930[[#This Row],[累计净值]]</f>
        <v>1.0449999999999999</v>
      </c>
      <c r="G121" s="20">
        <f>表2_36716262930389121314152324252627282930[[#This Row],[累计净值]]/$B$21-1</f>
        <v>4.3956043956044022E-2</v>
      </c>
    </row>
    <row r="122" spans="1:7" x14ac:dyDescent="0.2">
      <c r="A122" s="15">
        <v>44224</v>
      </c>
      <c r="B122" s="112">
        <v>1.0589999999999999</v>
      </c>
      <c r="C122" s="108">
        <f t="shared" ref="C122:C127" si="33">IFERROR(B122-B121,0)</f>
        <v>1.4000000000000012E-2</v>
      </c>
      <c r="D122" s="109" t="str">
        <f t="shared" ref="D122:D127" si="34">IF(C122&lt;0,C122,"/")</f>
        <v>/</v>
      </c>
      <c r="E122" s="109">
        <f ca="1">IF(表2_36716262930389121314152324252627282930[[#This Row],[累计净值]]/MAX(INDIRECT("B21:B" &amp; ROW()))-1&lt;E121,表2_36716262930389121314152324252627282930[[#This Row],[累计净值]]/MAX(INDIRECT("B21:B" &amp; ROW()))-1,E121)</f>
        <v>-9.4083414161008627E-2</v>
      </c>
      <c r="F122" s="110">
        <f>表2_36716262930389121314152324252627282930[[#This Row],[累计净值]]</f>
        <v>1.0589999999999999</v>
      </c>
      <c r="G122" s="20">
        <f>表2_36716262930389121314152324252627282930[[#This Row],[累计净值]]/$B$21-1</f>
        <v>5.7942057942057978E-2</v>
      </c>
    </row>
    <row r="123" spans="1:7" x14ac:dyDescent="0.2">
      <c r="A123" s="15">
        <v>44225</v>
      </c>
      <c r="B123" s="112">
        <v>1.052</v>
      </c>
      <c r="C123" s="108">
        <f t="shared" si="33"/>
        <v>-6.9999999999998952E-3</v>
      </c>
      <c r="D123" s="109">
        <f t="shared" si="34"/>
        <v>-6.9999999999998952E-3</v>
      </c>
      <c r="E123" s="109">
        <f ca="1">IF(表2_36716262930389121314152324252627282930[[#This Row],[累计净值]]/MAX(INDIRECT("B21:B" &amp; ROW()))-1&lt;E122,表2_36716262930389121314152324252627282930[[#This Row],[累计净值]]/MAX(INDIRECT("B21:B" &amp; ROW()))-1,E122)</f>
        <v>-9.4083414161008627E-2</v>
      </c>
      <c r="F123" s="110">
        <f>表2_36716262930389121314152324252627282930[[#This Row],[累计净值]]</f>
        <v>1.052</v>
      </c>
      <c r="G123" s="20">
        <f>表2_36716262930389121314152324252627282930[[#This Row],[累计净值]]/$B$21-1</f>
        <v>5.0949050949051111E-2</v>
      </c>
    </row>
    <row r="124" spans="1:7" x14ac:dyDescent="0.2">
      <c r="A124" s="15">
        <v>44228</v>
      </c>
      <c r="B124" s="112">
        <v>1.0469999999999999</v>
      </c>
      <c r="C124" s="108">
        <f t="shared" si="33"/>
        <v>-5.0000000000001155E-3</v>
      </c>
      <c r="D124" s="109">
        <f t="shared" si="34"/>
        <v>-5.0000000000001155E-3</v>
      </c>
      <c r="E124" s="109">
        <f ca="1">IF(表2_36716262930389121314152324252627282930[[#This Row],[累计净值]]/MAX(INDIRECT("B21:B" &amp; ROW()))-1&lt;E123,表2_36716262930389121314152324252627282930[[#This Row],[累计净值]]/MAX(INDIRECT("B21:B" &amp; ROW()))-1,E123)</f>
        <v>-9.4083414161008627E-2</v>
      </c>
      <c r="F124" s="110">
        <f>表2_36716262930389121314152324252627282930[[#This Row],[累计净值]]</f>
        <v>1.0469999999999999</v>
      </c>
      <c r="G124" s="20">
        <f>表2_36716262930389121314152324252627282930[[#This Row],[累计净值]]/$B$21-1</f>
        <v>4.5954045954045952E-2</v>
      </c>
    </row>
    <row r="125" spans="1:7" x14ac:dyDescent="0.2">
      <c r="A125" s="15">
        <v>44229</v>
      </c>
      <c r="B125" s="112">
        <v>1.054</v>
      </c>
      <c r="C125" s="108">
        <f t="shared" si="33"/>
        <v>7.0000000000001172E-3</v>
      </c>
      <c r="D125" s="109" t="str">
        <f t="shared" si="34"/>
        <v>/</v>
      </c>
      <c r="E125" s="109">
        <f ca="1">IF(表2_36716262930389121314152324252627282930[[#This Row],[累计净值]]/MAX(INDIRECT("B21:B" &amp; ROW()))-1&lt;E124,表2_36716262930389121314152324252627282930[[#This Row],[累计净值]]/MAX(INDIRECT("B21:B" &amp; ROW()))-1,E124)</f>
        <v>-9.4083414161008627E-2</v>
      </c>
      <c r="F125" s="110">
        <f>表2_36716262930389121314152324252627282930[[#This Row],[累计净值]]</f>
        <v>1.054</v>
      </c>
      <c r="G125" s="20">
        <f>表2_36716262930389121314152324252627282930[[#This Row],[累计净值]]/$B$21-1</f>
        <v>5.2947052947053042E-2</v>
      </c>
    </row>
    <row r="126" spans="1:7" x14ac:dyDescent="0.2">
      <c r="A126" s="15">
        <v>44230</v>
      </c>
      <c r="B126" s="112">
        <v>1.0640000000000001</v>
      </c>
      <c r="C126" s="108">
        <f t="shared" si="33"/>
        <v>1.0000000000000009E-2</v>
      </c>
      <c r="D126" s="109" t="str">
        <f t="shared" si="34"/>
        <v>/</v>
      </c>
      <c r="E126" s="109">
        <f ca="1">IF(表2_36716262930389121314152324252627282930[[#This Row],[累计净值]]/MAX(INDIRECT("B21:B" &amp; ROW()))-1&lt;E125,表2_36716262930389121314152324252627282930[[#This Row],[累计净值]]/MAX(INDIRECT("B21:B" &amp; ROW()))-1,E125)</f>
        <v>-9.4083414161008627E-2</v>
      </c>
      <c r="F126" s="110">
        <f>表2_36716262930389121314152324252627282930[[#This Row],[累计净值]]</f>
        <v>1.0640000000000001</v>
      </c>
      <c r="G126" s="20">
        <f>表2_36716262930389121314152324252627282930[[#This Row],[累计净值]]/$B$21-1</f>
        <v>6.2937062937063137E-2</v>
      </c>
    </row>
    <row r="127" spans="1:7" x14ac:dyDescent="0.2">
      <c r="A127" s="15">
        <v>44231</v>
      </c>
      <c r="B127" s="112">
        <v>1.0569999999999999</v>
      </c>
      <c r="C127" s="108">
        <f t="shared" si="33"/>
        <v>-7.0000000000001172E-3</v>
      </c>
      <c r="D127" s="109">
        <f t="shared" si="34"/>
        <v>-7.0000000000001172E-3</v>
      </c>
      <c r="E127" s="109">
        <f ca="1">IF(表2_36716262930389121314152324252627282930[[#This Row],[累计净值]]/MAX(INDIRECT("B21:B" &amp; ROW()))-1&lt;E126,表2_36716262930389121314152324252627282930[[#This Row],[累计净值]]/MAX(INDIRECT("B21:B" &amp; ROW()))-1,E126)</f>
        <v>-9.4083414161008627E-2</v>
      </c>
      <c r="F127" s="110">
        <f>表2_36716262930389121314152324252627282930[[#This Row],[累计净值]]</f>
        <v>1.0569999999999999</v>
      </c>
      <c r="G127" s="20">
        <f>表2_36716262930389121314152324252627282930[[#This Row],[累计净值]]/$B$21-1</f>
        <v>5.5944055944056048E-2</v>
      </c>
    </row>
    <row r="128" spans="1:7" x14ac:dyDescent="0.2">
      <c r="A128" s="15">
        <v>44232</v>
      </c>
      <c r="B128" s="112">
        <v>1.0549999999999999</v>
      </c>
      <c r="C128" s="108">
        <f>IFERROR(B128-B127,0)</f>
        <v>-2.0000000000000018E-3</v>
      </c>
      <c r="D128" s="109">
        <f>IF(C128&lt;0,C128,"/")</f>
        <v>-2.0000000000000018E-3</v>
      </c>
      <c r="E128" s="109">
        <f ca="1">IF(表2_36716262930389121314152324252627282930[[#This Row],[累计净值]]/MAX(INDIRECT("B21:B" &amp; ROW()))-1&lt;E127,表2_36716262930389121314152324252627282930[[#This Row],[累计净值]]/MAX(INDIRECT("B21:B" &amp; ROW()))-1,E127)</f>
        <v>-9.4083414161008627E-2</v>
      </c>
      <c r="F128" s="110">
        <f>表2_36716262930389121314152324252627282930[[#This Row],[累计净值]]</f>
        <v>1.0549999999999999</v>
      </c>
      <c r="G128" s="20">
        <f>表2_36716262930389121314152324252627282930[[#This Row],[累计净值]]/$B$21-1</f>
        <v>5.3946053946053896E-2</v>
      </c>
    </row>
    <row r="129" spans="1:7" x14ac:dyDescent="0.2">
      <c r="A129" s="15">
        <v>44235</v>
      </c>
      <c r="B129" s="112">
        <v>1.071</v>
      </c>
      <c r="C129" s="108">
        <f>IFERROR(B129-B128,0)</f>
        <v>1.6000000000000014E-2</v>
      </c>
      <c r="D129" s="109" t="str">
        <f>IF(C129&lt;0,C129,"/")</f>
        <v>/</v>
      </c>
      <c r="E129" s="109">
        <f ca="1">IF(表2_36716262930389121314152324252627282930[[#This Row],[累计净值]]/MAX(INDIRECT("B21:B" &amp; ROW()))-1&lt;E128,表2_36716262930389121314152324252627282930[[#This Row],[累计净值]]/MAX(INDIRECT("B21:B" &amp; ROW()))-1,E128)</f>
        <v>-9.4083414161008627E-2</v>
      </c>
      <c r="F129" s="110">
        <f>表2_36716262930389121314152324252627282930[[#This Row],[累计净值]]</f>
        <v>1.071</v>
      </c>
      <c r="G129" s="20">
        <f>表2_36716262930389121314152324252627282930[[#This Row],[累计净值]]/$B$21-1</f>
        <v>6.9930069930070005E-2</v>
      </c>
    </row>
    <row r="130" spans="1:7" x14ac:dyDescent="0.2">
      <c r="A130" s="15">
        <v>44236</v>
      </c>
      <c r="B130" s="112">
        <v>1.0740000000000001</v>
      </c>
      <c r="C130" s="108">
        <f>IFERROR(B130-B129,0)</f>
        <v>3.0000000000001137E-3</v>
      </c>
      <c r="D130" s="109" t="str">
        <f>IF(C130&lt;0,C130,"/")</f>
        <v>/</v>
      </c>
      <c r="E130" s="109">
        <f ca="1">IF(表2_36716262930389121314152324252627282930[[#This Row],[累计净值]]/MAX(INDIRECT("B21:B" &amp; ROW()))-1&lt;E129,表2_36716262930389121314152324252627282930[[#This Row],[累计净值]]/MAX(INDIRECT("B21:B" &amp; ROW()))-1,E129)</f>
        <v>-9.4083414161008627E-2</v>
      </c>
      <c r="F130" s="110">
        <f>表2_36716262930389121314152324252627282930[[#This Row],[累计净值]]</f>
        <v>1.0740000000000001</v>
      </c>
      <c r="G130" s="20">
        <f>表2_36716262930389121314152324252627282930[[#This Row],[累计净值]]/$B$21-1</f>
        <v>7.2927072927073011E-2</v>
      </c>
    </row>
    <row r="131" spans="1:7" x14ac:dyDescent="0.2">
      <c r="A131" s="15">
        <v>44237</v>
      </c>
      <c r="B131" s="112">
        <v>1.06</v>
      </c>
      <c r="C131" s="108">
        <f t="shared" ref="C131:C132" si="35">IFERROR(B131-B130,0)</f>
        <v>-1.4000000000000012E-2</v>
      </c>
      <c r="D131" s="109">
        <f t="shared" ref="D131:D132" si="36">IF(C131&lt;0,C131,"/")</f>
        <v>-1.4000000000000012E-2</v>
      </c>
      <c r="E131" s="109">
        <f ca="1">IF(表2_36716262930389121314152324252627282930[[#This Row],[累计净值]]/MAX(INDIRECT("B21:B" &amp; ROW()))-1&lt;E130,表2_36716262930389121314152324252627282930[[#This Row],[累计净值]]/MAX(INDIRECT("B21:B" &amp; ROW()))-1,E130)</f>
        <v>-9.4083414161008627E-2</v>
      </c>
      <c r="F131" s="110">
        <f>表2_36716262930389121314152324252627282930[[#This Row],[累计净值]]</f>
        <v>1.06</v>
      </c>
      <c r="G131" s="20">
        <f>表2_36716262930389121314152324252627282930[[#This Row],[累计净值]]/$B$21-1</f>
        <v>5.8941058941059055E-2</v>
      </c>
    </row>
    <row r="132" spans="1:7" x14ac:dyDescent="0.2">
      <c r="A132" s="15">
        <v>44245</v>
      </c>
      <c r="B132" s="112">
        <v>1.0389999999999999</v>
      </c>
      <c r="C132" s="108">
        <f t="shared" si="35"/>
        <v>-2.100000000000013E-2</v>
      </c>
      <c r="D132" s="109">
        <f t="shared" si="36"/>
        <v>-2.100000000000013E-2</v>
      </c>
      <c r="E132" s="109">
        <f ca="1">IF(表2_36716262930389121314152324252627282930[[#This Row],[累计净值]]/MAX(INDIRECT("B21:B" &amp; ROW()))-1&lt;E131,表2_36716262930389121314152324252627282930[[#This Row],[累计净值]]/MAX(INDIRECT("B21:B" &amp; ROW()))-1,E131)</f>
        <v>-9.4083414161008627E-2</v>
      </c>
      <c r="F132" s="110">
        <f>表2_36716262930389121314152324252627282930[[#This Row],[累计净值]]</f>
        <v>1.0389999999999999</v>
      </c>
      <c r="G132" s="20">
        <f>表2_36716262930389121314152324252627282930[[#This Row],[累计净值]]/$B$21-1</f>
        <v>3.7962037962038009E-2</v>
      </c>
    </row>
    <row r="133" spans="1:7" x14ac:dyDescent="0.2">
      <c r="A133" s="15">
        <v>44246</v>
      </c>
      <c r="B133" s="112">
        <v>1.0389999999999999</v>
      </c>
      <c r="C133" s="108">
        <f>IFERROR(B133-B132,0)</f>
        <v>0</v>
      </c>
      <c r="D133" s="109" t="str">
        <f>IF(C133&lt;0,C133,"/")</f>
        <v>/</v>
      </c>
      <c r="E133" s="109">
        <f ca="1">IF(表2_36716262930389121314152324252627282930[[#This Row],[累计净值]]/MAX(INDIRECT("B21:B" &amp; ROW()))-1&lt;E132,表2_36716262930389121314152324252627282930[[#This Row],[累计净值]]/MAX(INDIRECT("B21:B" &amp; ROW()))-1,E132)</f>
        <v>-9.4083414161008627E-2</v>
      </c>
      <c r="F133" s="110">
        <f>表2_36716262930389121314152324252627282930[[#This Row],[累计净值]]</f>
        <v>1.0389999999999999</v>
      </c>
      <c r="G133" s="20">
        <f>表2_36716262930389121314152324252627282930[[#This Row],[累计净值]]/$B$21-1</f>
        <v>3.7962037962038009E-2</v>
      </c>
    </row>
    <row r="134" spans="1:7" x14ac:dyDescent="0.2">
      <c r="A134" s="15">
        <v>44249</v>
      </c>
      <c r="B134" s="112">
        <v>1.04</v>
      </c>
      <c r="C134" s="108">
        <f>IFERROR(B134-B133,0)</f>
        <v>1.0000000000001119E-3</v>
      </c>
      <c r="D134" s="109" t="str">
        <f>IF(C134&lt;0,C134,"/")</f>
        <v>/</v>
      </c>
      <c r="E134" s="109">
        <f ca="1">IF(表2_36716262930389121314152324252627282930[[#This Row],[累计净值]]/MAX(INDIRECT("B21:B" &amp; ROW()))-1&lt;E133,表2_36716262930389121314152324252627282930[[#This Row],[累计净值]]/MAX(INDIRECT("B21:B" &amp; ROW()))-1,E133)</f>
        <v>-9.4083414161008627E-2</v>
      </c>
      <c r="F134" s="110">
        <f>表2_36716262930389121314152324252627282930[[#This Row],[累计净值]]</f>
        <v>1.04</v>
      </c>
      <c r="G134" s="20">
        <f>表2_36716262930389121314152324252627282930[[#This Row],[累计净值]]/$B$21-1</f>
        <v>3.8961038961039085E-2</v>
      </c>
    </row>
    <row r="135" spans="1:7" x14ac:dyDescent="0.2">
      <c r="A135" s="15">
        <v>44250</v>
      </c>
      <c r="B135" s="112">
        <v>1.0369999999999999</v>
      </c>
      <c r="C135" s="108">
        <f t="shared" ref="C135:C137" si="37">IFERROR(B135-B134,0)</f>
        <v>-3.0000000000001137E-3</v>
      </c>
      <c r="D135" s="109">
        <f t="shared" ref="D135:D137" si="38">IF(C135&lt;0,C135,"/")</f>
        <v>-3.0000000000001137E-3</v>
      </c>
      <c r="E135" s="109">
        <f ca="1">IF(表2_36716262930389121314152324252627282930[[#This Row],[累计净值]]/MAX(INDIRECT("B21:B" &amp; ROW()))-1&lt;E134,表2_36716262930389121314152324252627282930[[#This Row],[累计净值]]/MAX(INDIRECT("B21:B" &amp; ROW()))-1,E134)</f>
        <v>-9.4083414161008627E-2</v>
      </c>
      <c r="F135" s="110">
        <f>表2_36716262930389121314152324252627282930[[#This Row],[累计净值]]</f>
        <v>1.0369999999999999</v>
      </c>
      <c r="G135" s="20">
        <f>表2_36716262930389121314152324252627282930[[#This Row],[累计净值]]/$B$21-1</f>
        <v>3.5964035964036078E-2</v>
      </c>
    </row>
    <row r="136" spans="1:7" x14ac:dyDescent="0.2">
      <c r="A136" s="15">
        <v>44251</v>
      </c>
      <c r="B136" s="112">
        <v>1.024</v>
      </c>
      <c r="C136" s="108">
        <f t="shared" si="37"/>
        <v>-1.2999999999999901E-2</v>
      </c>
      <c r="D136" s="109">
        <f t="shared" si="38"/>
        <v>-1.2999999999999901E-2</v>
      </c>
      <c r="E136" s="109">
        <f ca="1">IF(表2_36716262930389121314152324252627282930[[#This Row],[累计净值]]/MAX(INDIRECT("B21:B" &amp; ROW()))-1&lt;E135,表2_36716262930389121314152324252627282930[[#This Row],[累计净值]]/MAX(INDIRECT("B21:B" &amp; ROW()))-1,E135)</f>
        <v>-9.4083414161008627E-2</v>
      </c>
      <c r="F136" s="110">
        <f>表2_36716262930389121314152324252627282930[[#This Row],[累计净值]]</f>
        <v>1.024</v>
      </c>
      <c r="G136" s="20">
        <f>表2_36716262930389121314152324252627282930[[#This Row],[累计净值]]/$B$21-1</f>
        <v>2.2977022977023198E-2</v>
      </c>
    </row>
    <row r="137" spans="1:7" x14ac:dyDescent="0.2">
      <c r="A137" s="15">
        <v>44252</v>
      </c>
      <c r="B137" s="112">
        <v>1.024</v>
      </c>
      <c r="C137" s="108">
        <f t="shared" si="37"/>
        <v>0</v>
      </c>
      <c r="D137" s="109" t="str">
        <f t="shared" si="38"/>
        <v>/</v>
      </c>
      <c r="E137" s="109">
        <f ca="1">IF(表2_36716262930389121314152324252627282930[[#This Row],[累计净值]]/MAX(INDIRECT("B21:B" &amp; ROW()))-1&lt;E136,表2_36716262930389121314152324252627282930[[#This Row],[累计净值]]/MAX(INDIRECT("B21:B" &amp; ROW()))-1,E136)</f>
        <v>-9.4083414161008627E-2</v>
      </c>
      <c r="F137" s="110">
        <f>表2_36716262930389121314152324252627282930[[#This Row],[累计净值]]</f>
        <v>1.024</v>
      </c>
      <c r="G137" s="20">
        <f>表2_36716262930389121314152324252627282930[[#This Row],[累计净值]]/$B$21-1</f>
        <v>2.2977022977023198E-2</v>
      </c>
    </row>
    <row r="138" spans="1:7" x14ac:dyDescent="0.2">
      <c r="A138" s="15">
        <v>44253</v>
      </c>
      <c r="B138" s="112">
        <v>1.0149999999999999</v>
      </c>
      <c r="C138" s="108">
        <f t="shared" ref="C138:C140" si="39">IFERROR(B138-B137,0)</f>
        <v>-9.000000000000119E-3</v>
      </c>
      <c r="D138" s="109">
        <f t="shared" ref="D138:D140" si="40">IF(C138&lt;0,C138,"/")</f>
        <v>-9.000000000000119E-3</v>
      </c>
      <c r="E138" s="109">
        <f ca="1">IF(表2_36716262930389121314152324252627282930[[#This Row],[累计净值]]/MAX(INDIRECT("B21:B" &amp; ROW()))-1&lt;E137,表2_36716262930389121314152324252627282930[[#This Row],[累计净值]]/MAX(INDIRECT("B21:B" &amp; ROW()))-1,E137)</f>
        <v>-9.4083414161008627E-2</v>
      </c>
      <c r="F138" s="110">
        <f>表2_36716262930389121314152324252627282930[[#This Row],[累计净值]]</f>
        <v>1.0149999999999999</v>
      </c>
      <c r="G138" s="20">
        <f>表2_36716262930389121314152324252627282930[[#This Row],[累计净值]]/$B$21-1</f>
        <v>1.3986013986013957E-2</v>
      </c>
    </row>
    <row r="139" spans="1:7" x14ac:dyDescent="0.2">
      <c r="A139" s="15">
        <v>44256</v>
      </c>
      <c r="B139" s="112">
        <v>1.016</v>
      </c>
      <c r="C139" s="108">
        <f t="shared" si="39"/>
        <v>1.0000000000001119E-3</v>
      </c>
      <c r="D139" s="109" t="str">
        <f t="shared" si="40"/>
        <v>/</v>
      </c>
      <c r="E139" s="109">
        <f ca="1">IF(表2_36716262930389121314152324252627282930[[#This Row],[累计净值]]/MAX(INDIRECT("B21:B" &amp; ROW()))-1&lt;E138,表2_36716262930389121314152324252627282930[[#This Row],[累计净值]]/MAX(INDIRECT("B21:B" &amp; ROW()))-1,E138)</f>
        <v>-9.4083414161008627E-2</v>
      </c>
      <c r="F139" s="110">
        <f>表2_36716262930389121314152324252627282930[[#This Row],[累计净值]]</f>
        <v>1.016</v>
      </c>
      <c r="G139" s="20">
        <f>表2_36716262930389121314152324252627282930[[#This Row],[累计净值]]/$B$21-1</f>
        <v>1.4985014985015033E-2</v>
      </c>
    </row>
    <row r="140" spans="1:7" x14ac:dyDescent="0.2">
      <c r="A140" s="15">
        <v>44257</v>
      </c>
      <c r="B140" s="112">
        <v>1.0189999999999999</v>
      </c>
      <c r="C140" s="108">
        <f t="shared" si="39"/>
        <v>2.9999999999998916E-3</v>
      </c>
      <c r="D140" s="109" t="str">
        <f t="shared" si="40"/>
        <v>/</v>
      </c>
      <c r="E140" s="109">
        <f ca="1">IF(表2_36716262930389121314152324252627282930[[#This Row],[累计净值]]/MAX(INDIRECT("B21:B" &amp; ROW()))-1&lt;E139,表2_36716262930389121314152324252627282930[[#This Row],[累计净值]]/MAX(INDIRECT("B21:B" &amp; ROW()))-1,E139)</f>
        <v>-9.4083414161008627E-2</v>
      </c>
      <c r="F140" s="110">
        <f>表2_36716262930389121314152324252627282930[[#This Row],[累计净值]]</f>
        <v>1.0189999999999999</v>
      </c>
      <c r="G140" s="20">
        <f>表2_36716262930389121314152324252627282930[[#This Row],[累计净值]]/$B$21-1</f>
        <v>1.7982017982018039E-2</v>
      </c>
    </row>
    <row r="141" spans="1:7" x14ac:dyDescent="0.2">
      <c r="A141" s="15">
        <v>44258</v>
      </c>
      <c r="B141" s="112">
        <v>1.0089999999999999</v>
      </c>
      <c r="C141" s="108">
        <f t="shared" ref="C141" si="41">IFERROR(B141-B140,0)</f>
        <v>-1.0000000000000009E-2</v>
      </c>
      <c r="D141" s="109">
        <f t="shared" ref="D141" si="42">IF(C141&lt;0,C141,"/")</f>
        <v>-1.0000000000000009E-2</v>
      </c>
      <c r="E141" s="109">
        <f ca="1">IF(表2_36716262930389121314152324252627282930[[#This Row],[累计净值]]/MAX(INDIRECT("B21:B" &amp; ROW()))-1&lt;E140,表2_36716262930389121314152324252627282930[[#This Row],[累计净值]]/MAX(INDIRECT("B21:B" &amp; ROW()))-1,E140)</f>
        <v>-9.4083414161008627E-2</v>
      </c>
      <c r="F141" s="110">
        <f>表2_36716262930389121314152324252627282930[[#This Row],[累计净值]]</f>
        <v>1.0089999999999999</v>
      </c>
      <c r="G141" s="20">
        <f>表2_36716262930389121314152324252627282930[[#This Row],[累计净值]]/$B$21-1</f>
        <v>7.9920079920079434E-3</v>
      </c>
    </row>
    <row r="142" spans="1:7" x14ac:dyDescent="0.2">
      <c r="A142" s="15">
        <v>44259</v>
      </c>
      <c r="B142" s="112">
        <v>1.012</v>
      </c>
      <c r="C142" s="108">
        <f t="shared" ref="C142:C148" si="43">IFERROR(B142-B141,0)</f>
        <v>3.0000000000001137E-3</v>
      </c>
      <c r="D142" s="109" t="str">
        <f t="shared" ref="D142:D148" si="44">IF(C142&lt;0,C142,"/")</f>
        <v>/</v>
      </c>
      <c r="E142" s="109">
        <f ca="1">IF(表2_36716262930389121314152324252627282930[[#This Row],[累计净值]]/MAX(INDIRECT("B21:B" &amp; ROW()))-1&lt;E141,表2_36716262930389121314152324252627282930[[#This Row],[累计净值]]/MAX(INDIRECT("B21:B" &amp; ROW()))-1,E141)</f>
        <v>-9.4083414161008627E-2</v>
      </c>
      <c r="F142" s="110">
        <f>表2_36716262930389121314152324252627282930[[#This Row],[累计净值]]</f>
        <v>1.012</v>
      </c>
      <c r="G142" s="20">
        <f>表2_36716262930389121314152324252627282930[[#This Row],[累计净值]]/$B$21-1</f>
        <v>1.0989010989011172E-2</v>
      </c>
    </row>
    <row r="143" spans="1:7" x14ac:dyDescent="0.2">
      <c r="A143" s="15">
        <v>44260</v>
      </c>
      <c r="B143" s="112">
        <v>1.01</v>
      </c>
      <c r="C143" s="108">
        <f t="shared" si="43"/>
        <v>-2.0000000000000018E-3</v>
      </c>
      <c r="D143" s="109">
        <f t="shared" si="44"/>
        <v>-2.0000000000000018E-3</v>
      </c>
      <c r="E143" s="109">
        <f ca="1">IF(表2_36716262930389121314152324252627282930[[#This Row],[累计净值]]/MAX(INDIRECT("B21:B" &amp; ROW()))-1&lt;E142,表2_36716262930389121314152324252627282930[[#This Row],[累计净值]]/MAX(INDIRECT("B21:B" &amp; ROW()))-1,E142)</f>
        <v>-9.4083414161008627E-2</v>
      </c>
      <c r="F143" s="110">
        <f>表2_36716262930389121314152324252627282930[[#This Row],[累计净值]]</f>
        <v>1.01</v>
      </c>
      <c r="G143" s="20">
        <f>表2_36716262930389121314152324252627282930[[#This Row],[累计净值]]/$B$21-1</f>
        <v>8.9910089910090196E-3</v>
      </c>
    </row>
    <row r="144" spans="1:7" x14ac:dyDescent="0.2">
      <c r="A144" s="15">
        <v>44263</v>
      </c>
      <c r="B144" s="112">
        <v>1.0289999999999999</v>
      </c>
      <c r="C144" s="108">
        <f t="shared" si="43"/>
        <v>1.8999999999999906E-2</v>
      </c>
      <c r="D144" s="109" t="str">
        <f t="shared" si="44"/>
        <v>/</v>
      </c>
      <c r="E144" s="109">
        <f ca="1">IF(表2_36716262930389121314152324252627282930[[#This Row],[累计净值]]/MAX(INDIRECT("B21:B" &amp; ROW()))-1&lt;E143,表2_36716262930389121314152324252627282930[[#This Row],[累计净值]]/MAX(INDIRECT("B21:B" &amp; ROW()))-1,E143)</f>
        <v>-9.4083414161008627E-2</v>
      </c>
      <c r="F144" s="110">
        <f>表2_36716262930389121314152324252627282930[[#This Row],[累计净值]]</f>
        <v>1.0289999999999999</v>
      </c>
      <c r="G144" s="20">
        <f>表2_36716262930389121314152324252627282930[[#This Row],[累计净值]]/$B$21-1</f>
        <v>2.7972027972027913E-2</v>
      </c>
    </row>
    <row r="145" spans="1:7" x14ac:dyDescent="0.2">
      <c r="A145" s="15">
        <v>44264</v>
      </c>
      <c r="B145" s="112">
        <v>1.0229999999999999</v>
      </c>
      <c r="C145" s="108">
        <f t="shared" si="43"/>
        <v>-6.0000000000000053E-3</v>
      </c>
      <c r="D145" s="109">
        <f t="shared" si="44"/>
        <v>-6.0000000000000053E-3</v>
      </c>
      <c r="E145" s="109">
        <f ca="1">IF(表2_36716262930389121314152324252627282930[[#This Row],[累计净值]]/MAX(INDIRECT("B21:B" &amp; ROW()))-1&lt;E144,表2_36716262930389121314152324252627282930[[#This Row],[累计净值]]/MAX(INDIRECT("B21:B" &amp; ROW()))-1,E144)</f>
        <v>-9.4083414161008627E-2</v>
      </c>
      <c r="F145" s="110">
        <f>表2_36716262930389121314152324252627282930[[#This Row],[累计净值]]</f>
        <v>1.0229999999999999</v>
      </c>
      <c r="G145" s="20">
        <f>表2_36716262930389121314152324252627282930[[#This Row],[累计净值]]/$B$21-1</f>
        <v>2.19780219780219E-2</v>
      </c>
    </row>
    <row r="146" spans="1:7" x14ac:dyDescent="0.2">
      <c r="A146" s="15">
        <v>44265</v>
      </c>
      <c r="B146" s="112">
        <v>1.0169999999999999</v>
      </c>
      <c r="C146" s="108">
        <f t="shared" si="43"/>
        <v>-6.0000000000000053E-3</v>
      </c>
      <c r="D146" s="109">
        <f t="shared" si="44"/>
        <v>-6.0000000000000053E-3</v>
      </c>
      <c r="E146" s="109">
        <f ca="1">IF(表2_36716262930389121314152324252627282930[[#This Row],[累计净值]]/MAX(INDIRECT("B21:B" &amp; ROW()))-1&lt;E145,表2_36716262930389121314152324252627282930[[#This Row],[累计净值]]/MAX(INDIRECT("B21:B" &amp; ROW()))-1,E145)</f>
        <v>-9.4083414161008627E-2</v>
      </c>
      <c r="F146" s="110">
        <f>表2_36716262930389121314152324252627282930[[#This Row],[累计净值]]</f>
        <v>1.0169999999999999</v>
      </c>
      <c r="G146" s="20">
        <f>表2_36716262930389121314152324252627282930[[#This Row],[累计净值]]/$B$21-1</f>
        <v>1.5984015984016109E-2</v>
      </c>
    </row>
    <row r="147" spans="1:7" x14ac:dyDescent="0.2">
      <c r="A147" s="15">
        <v>44266</v>
      </c>
      <c r="B147" s="112">
        <v>1.0329999999999999</v>
      </c>
      <c r="C147" s="108">
        <f t="shared" si="43"/>
        <v>1.6000000000000014E-2</v>
      </c>
      <c r="D147" s="109" t="str">
        <f t="shared" si="44"/>
        <v>/</v>
      </c>
      <c r="E147" s="109">
        <f ca="1">IF(表2_36716262930389121314152324252627282930[[#This Row],[累计净值]]/MAX(INDIRECT("B21:B" &amp; ROW()))-1&lt;E146,表2_36716262930389121314152324252627282930[[#This Row],[累计净值]]/MAX(INDIRECT("B21:B" &amp; ROW()))-1,E146)</f>
        <v>-9.4083414161008627E-2</v>
      </c>
      <c r="F147" s="110">
        <f>表2_36716262930389121314152324252627282930[[#This Row],[累计净值]]</f>
        <v>1.0329999999999999</v>
      </c>
      <c r="G147" s="20">
        <f>表2_36716262930389121314152324252627282930[[#This Row],[累计净值]]/$B$21-1</f>
        <v>3.1968031968031996E-2</v>
      </c>
    </row>
    <row r="148" spans="1:7" x14ac:dyDescent="0.2">
      <c r="A148" s="15">
        <v>44267</v>
      </c>
      <c r="B148" s="112">
        <v>1.0409999999999999</v>
      </c>
      <c r="C148" s="108">
        <f t="shared" si="43"/>
        <v>8.0000000000000071E-3</v>
      </c>
      <c r="D148" s="109" t="str">
        <f t="shared" si="44"/>
        <v>/</v>
      </c>
      <c r="E148" s="109">
        <f ca="1">IF(表2_36716262930389121314152324252627282930[[#This Row],[累计净值]]/MAX(INDIRECT("B21:B" &amp; ROW()))-1&lt;E147,表2_36716262930389121314152324252627282930[[#This Row],[累计净值]]/MAX(INDIRECT("B21:B" &amp; ROW()))-1,E147)</f>
        <v>-9.4083414161008627E-2</v>
      </c>
      <c r="F148" s="110">
        <f>表2_36716262930389121314152324252627282930[[#This Row],[累计净值]]</f>
        <v>1.0409999999999999</v>
      </c>
      <c r="G148" s="20">
        <f>表2_36716262930389121314152324252627282930[[#This Row],[累计净值]]/$B$21-1</f>
        <v>3.9960039960039939E-2</v>
      </c>
    </row>
    <row r="149" spans="1:7" x14ac:dyDescent="0.2">
      <c r="A149" s="15">
        <v>44270</v>
      </c>
      <c r="B149" s="112">
        <v>1.046</v>
      </c>
      <c r="C149" s="108">
        <f t="shared" ref="C149:C154" si="45">IFERROR(B149-B148,0)</f>
        <v>5.0000000000001155E-3</v>
      </c>
      <c r="D149" s="109" t="str">
        <f t="shared" ref="D149:D154" si="46">IF(C149&lt;0,C149,"/")</f>
        <v>/</v>
      </c>
      <c r="E149" s="109">
        <f ca="1">IF(表2_36716262930389121314152324252627282930[[#This Row],[累计净值]]/MAX(INDIRECT("B21:B" &amp; ROW()))-1&lt;E148,表2_36716262930389121314152324252627282930[[#This Row],[累计净值]]/MAX(INDIRECT("B21:B" &amp; ROW()))-1,E148)</f>
        <v>-9.4083414161008627E-2</v>
      </c>
      <c r="F149" s="110">
        <f>表2_36716262930389121314152324252627282930[[#This Row],[累计净值]]</f>
        <v>1.046</v>
      </c>
      <c r="G149" s="20">
        <f>表2_36716262930389121314152324252627282930[[#This Row],[累计净值]]/$B$21-1</f>
        <v>4.4955044955045098E-2</v>
      </c>
    </row>
    <row r="150" spans="1:7" x14ac:dyDescent="0.2">
      <c r="A150" s="15">
        <v>44271</v>
      </c>
      <c r="B150" s="112">
        <v>1.0429999999999999</v>
      </c>
      <c r="C150" s="108">
        <f t="shared" si="45"/>
        <v>-3.0000000000001137E-3</v>
      </c>
      <c r="D150" s="109">
        <f t="shared" si="46"/>
        <v>-3.0000000000001137E-3</v>
      </c>
      <c r="E150" s="109">
        <f ca="1">IF(表2_36716262930389121314152324252627282930[[#This Row],[累计净值]]/MAX(INDIRECT("B21:B" &amp; ROW()))-1&lt;E149,表2_36716262930389121314152324252627282930[[#This Row],[累计净值]]/MAX(INDIRECT("B21:B" &amp; ROW()))-1,E149)</f>
        <v>-9.4083414161008627E-2</v>
      </c>
      <c r="F150" s="110">
        <f>表2_36716262930389121314152324252627282930[[#This Row],[累计净值]]</f>
        <v>1.0429999999999999</v>
      </c>
      <c r="G150" s="20">
        <f>表2_36716262930389121314152324252627282930[[#This Row],[累计净值]]/$B$21-1</f>
        <v>4.1958041958042092E-2</v>
      </c>
    </row>
    <row r="151" spans="1:7" x14ac:dyDescent="0.2">
      <c r="A151" s="15">
        <v>44272</v>
      </c>
      <c r="B151" s="112">
        <v>1.0449999999999999</v>
      </c>
      <c r="C151" s="108">
        <f t="shared" si="45"/>
        <v>2.0000000000000018E-3</v>
      </c>
      <c r="D151" s="109" t="str">
        <f t="shared" si="46"/>
        <v>/</v>
      </c>
      <c r="E151" s="109">
        <f ca="1">IF(表2_36716262930389121314152324252627282930[[#This Row],[累计净值]]/MAX(INDIRECT("B21:B" &amp; ROW()))-1&lt;E150,表2_36716262930389121314152324252627282930[[#This Row],[累计净值]]/MAX(INDIRECT("B21:B" &amp; ROW()))-1,E150)</f>
        <v>-9.4083414161008627E-2</v>
      </c>
      <c r="F151" s="110">
        <f>表2_36716262930389121314152324252627282930[[#This Row],[累计净值]]</f>
        <v>1.0449999999999999</v>
      </c>
      <c r="G151" s="20">
        <f>表2_36716262930389121314152324252627282930[[#This Row],[累计净值]]/$B$21-1</f>
        <v>4.3956043956044022E-2</v>
      </c>
    </row>
    <row r="152" spans="1:7" x14ac:dyDescent="0.2">
      <c r="A152" s="15">
        <v>44273</v>
      </c>
      <c r="B152" s="112">
        <v>1.044</v>
      </c>
      <c r="C152" s="108">
        <f t="shared" si="45"/>
        <v>-9.9999999999988987E-4</v>
      </c>
      <c r="D152" s="109">
        <f t="shared" si="46"/>
        <v>-9.9999999999988987E-4</v>
      </c>
      <c r="E152" s="109">
        <f ca="1">IF(表2_36716262930389121314152324252627282930[[#This Row],[累计净值]]/MAX(INDIRECT("B21:B" &amp; ROW()))-1&lt;E151,表2_36716262930389121314152324252627282930[[#This Row],[累计净值]]/MAX(INDIRECT("B21:B" &amp; ROW()))-1,E151)</f>
        <v>-9.4083414161008627E-2</v>
      </c>
      <c r="F152" s="110">
        <f>表2_36716262930389121314152324252627282930[[#This Row],[累计净值]]</f>
        <v>1.044</v>
      </c>
      <c r="G152" s="20">
        <f>表2_36716262930389121314152324252627282930[[#This Row],[累计净值]]/$B$21-1</f>
        <v>4.2957042957043168E-2</v>
      </c>
    </row>
    <row r="153" spans="1:7" x14ac:dyDescent="0.2">
      <c r="A153" s="15">
        <v>44274</v>
      </c>
      <c r="B153" s="112">
        <v>1.0349999999999999</v>
      </c>
      <c r="C153" s="108">
        <f t="shared" si="45"/>
        <v>-9.000000000000119E-3</v>
      </c>
      <c r="D153" s="109">
        <f t="shared" si="46"/>
        <v>-9.000000000000119E-3</v>
      </c>
      <c r="E153" s="109">
        <f ca="1">IF(表2_36716262930389121314152324252627282930[[#This Row],[累计净值]]/MAX(INDIRECT("B21:B" &amp; ROW()))-1&lt;E152,表2_36716262930389121314152324252627282930[[#This Row],[累计净值]]/MAX(INDIRECT("B21:B" &amp; ROW()))-1,E152)</f>
        <v>-9.4083414161008627E-2</v>
      </c>
      <c r="F153" s="110">
        <f>表2_36716262930389121314152324252627282930[[#This Row],[累计净值]]</f>
        <v>1.0349999999999999</v>
      </c>
      <c r="G153" s="20">
        <f>表2_36716262930389121314152324252627282930[[#This Row],[累计净值]]/$B$21-1</f>
        <v>3.3966033966033926E-2</v>
      </c>
    </row>
    <row r="154" spans="1:7" x14ac:dyDescent="0.2">
      <c r="A154" s="15">
        <v>44277</v>
      </c>
      <c r="B154" s="112">
        <v>1.032</v>
      </c>
      <c r="C154" s="108">
        <f t="shared" si="45"/>
        <v>-2.9999999999998916E-3</v>
      </c>
      <c r="D154" s="109">
        <f t="shared" si="46"/>
        <v>-2.9999999999998916E-3</v>
      </c>
      <c r="E154" s="109">
        <f ca="1">IF(表2_36716262930389121314152324252627282930[[#This Row],[累计净值]]/MAX(INDIRECT("B21:B" &amp; ROW()))-1&lt;E153,表2_36716262930389121314152324252627282930[[#This Row],[累计净值]]/MAX(INDIRECT("B21:B" &amp; ROW()))-1,E153)</f>
        <v>-9.4083414161008627E-2</v>
      </c>
      <c r="F154" s="110">
        <f>表2_36716262930389121314152324252627282930[[#This Row],[累计净值]]</f>
        <v>1.032</v>
      </c>
      <c r="G154" s="20">
        <f>表2_36716262930389121314152324252627282930[[#This Row],[累计净值]]/$B$21-1</f>
        <v>3.0969030969031142E-2</v>
      </c>
    </row>
    <row r="155" spans="1:7" x14ac:dyDescent="0.2">
      <c r="A155" s="15">
        <v>44278</v>
      </c>
      <c r="B155" s="112">
        <v>1.0329999999999999</v>
      </c>
      <c r="C155" s="108">
        <f t="shared" ref="C155:C158" si="47">IFERROR(B155-B154,0)</f>
        <v>9.9999999999988987E-4</v>
      </c>
      <c r="D155" s="109" t="str">
        <f t="shared" ref="D155:D158" si="48">IF(C155&lt;0,C155,"/")</f>
        <v>/</v>
      </c>
      <c r="E155" s="109">
        <f ca="1">IF(表2_36716262930389121314152324252627282930[[#This Row],[累计净值]]/MAX(INDIRECT("B21:B" &amp; ROW()))-1&lt;E154,表2_36716262930389121314152324252627282930[[#This Row],[累计净值]]/MAX(INDIRECT("B21:B" &amp; ROW()))-1,E154)</f>
        <v>-9.4083414161008627E-2</v>
      </c>
      <c r="F155" s="110">
        <f>表2_36716262930389121314152324252627282930[[#This Row],[累计净值]]</f>
        <v>1.0329999999999999</v>
      </c>
      <c r="G155" s="20">
        <f>表2_36716262930389121314152324252627282930[[#This Row],[累计净值]]/$B$21-1</f>
        <v>3.1968031968031996E-2</v>
      </c>
    </row>
    <row r="156" spans="1:7" x14ac:dyDescent="0.2">
      <c r="A156" s="15">
        <v>44279</v>
      </c>
      <c r="B156" s="112">
        <v>1.0289999999999999</v>
      </c>
      <c r="C156" s="108">
        <f t="shared" si="47"/>
        <v>-4.0000000000000036E-3</v>
      </c>
      <c r="D156" s="109">
        <f t="shared" si="48"/>
        <v>-4.0000000000000036E-3</v>
      </c>
      <c r="E156" s="109">
        <f ca="1">IF(表2_36716262930389121314152324252627282930[[#This Row],[累计净值]]/MAX(INDIRECT("B21:B" &amp; ROW()))-1&lt;E155,表2_36716262930389121314152324252627282930[[#This Row],[累计净值]]/MAX(INDIRECT("B21:B" &amp; ROW()))-1,E155)</f>
        <v>-9.4083414161008627E-2</v>
      </c>
      <c r="F156" s="110">
        <f>表2_36716262930389121314152324252627282930[[#This Row],[累计净值]]</f>
        <v>1.0289999999999999</v>
      </c>
      <c r="G156" s="20">
        <f>表2_36716262930389121314152324252627282930[[#This Row],[累计净值]]/$B$21-1</f>
        <v>2.7972027972027913E-2</v>
      </c>
    </row>
    <row r="157" spans="1:7" x14ac:dyDescent="0.2">
      <c r="A157" s="15">
        <v>44280</v>
      </c>
      <c r="B157" s="112">
        <v>1.0309999999999999</v>
      </c>
      <c r="C157" s="108">
        <f t="shared" si="47"/>
        <v>2.0000000000000018E-3</v>
      </c>
      <c r="D157" s="109" t="str">
        <f t="shared" si="48"/>
        <v>/</v>
      </c>
      <c r="E157" s="109">
        <f ca="1">IF(表2_36716262930389121314152324252627282930[[#This Row],[累计净值]]/MAX(INDIRECT("B21:B" &amp; ROW()))-1&lt;E156,表2_36716262930389121314152324252627282930[[#This Row],[累计净值]]/MAX(INDIRECT("B21:B" &amp; ROW()))-1,E156)</f>
        <v>-9.4083414161008627E-2</v>
      </c>
      <c r="F157" s="110">
        <f>表2_36716262930389121314152324252627282930[[#This Row],[累计净值]]</f>
        <v>1.0309999999999999</v>
      </c>
      <c r="G157" s="20">
        <f>表2_36716262930389121314152324252627282930[[#This Row],[累计净值]]/$B$21-1</f>
        <v>2.9970029970030065E-2</v>
      </c>
    </row>
    <row r="158" spans="1:7" x14ac:dyDescent="0.2">
      <c r="A158" s="15">
        <v>44281</v>
      </c>
      <c r="B158" s="112">
        <v>1.0580000000000001</v>
      </c>
      <c r="C158" s="108">
        <f t="shared" si="47"/>
        <v>2.7000000000000135E-2</v>
      </c>
      <c r="D158" s="109" t="str">
        <f t="shared" si="48"/>
        <v>/</v>
      </c>
      <c r="E158" s="109">
        <f ca="1">IF(表2_36716262930389121314152324252627282930[[#This Row],[累计净值]]/MAX(INDIRECT("B21:B" &amp; ROW()))-1&lt;E157,表2_36716262930389121314152324252627282930[[#This Row],[累计净值]]/MAX(INDIRECT("B21:B" &amp; ROW()))-1,E157)</f>
        <v>-9.4083414161008627E-2</v>
      </c>
      <c r="F158" s="110">
        <f>表2_36716262930389121314152324252627282930[[#This Row],[累计净值]]</f>
        <v>1.0580000000000001</v>
      </c>
      <c r="G158" s="20">
        <f>表2_36716262930389121314152324252627282930[[#This Row],[累计净值]]/$B$21-1</f>
        <v>5.6943056943057124E-2</v>
      </c>
    </row>
    <row r="159" spans="1:7" x14ac:dyDescent="0.2">
      <c r="A159" s="15">
        <v>44284</v>
      </c>
      <c r="B159" s="112">
        <v>1.054</v>
      </c>
      <c r="C159" s="108">
        <f t="shared" ref="C159:C164" si="49">IFERROR(B159-B158,0)</f>
        <v>-4.0000000000000036E-3</v>
      </c>
      <c r="D159" s="109">
        <f t="shared" ref="D159:D164" si="50">IF(C159&lt;0,C159,"/")</f>
        <v>-4.0000000000000036E-3</v>
      </c>
      <c r="E159" s="109">
        <f ca="1">IF(表2_36716262930389121314152324252627282930[[#This Row],[累计净值]]/MAX(INDIRECT("B21:B" &amp; ROW()))-1&lt;E158,表2_36716262930389121314152324252627282930[[#This Row],[累计净值]]/MAX(INDIRECT("B21:B" &amp; ROW()))-1,E158)</f>
        <v>-9.4083414161008627E-2</v>
      </c>
      <c r="F159" s="110">
        <f>表2_36716262930389121314152324252627282930[[#This Row],[累计净值]]</f>
        <v>1.054</v>
      </c>
      <c r="G159" s="20">
        <f>表2_36716262930389121314152324252627282930[[#This Row],[累计净值]]/$B$21-1</f>
        <v>5.2947052947053042E-2</v>
      </c>
    </row>
    <row r="160" spans="1:7" x14ac:dyDescent="0.2">
      <c r="A160" s="15">
        <v>44285</v>
      </c>
      <c r="B160" s="112">
        <v>1.0569999999999999</v>
      </c>
      <c r="C160" s="108">
        <f t="shared" si="49"/>
        <v>2.9999999999998916E-3</v>
      </c>
      <c r="D160" s="109" t="str">
        <f t="shared" si="50"/>
        <v>/</v>
      </c>
      <c r="E160" s="109">
        <f ca="1">IF(表2_36716262930389121314152324252627282930[[#This Row],[累计净值]]/MAX(INDIRECT("B21:B" &amp; ROW()))-1&lt;E159,表2_36716262930389121314152324252627282930[[#This Row],[累计净值]]/MAX(INDIRECT("B21:B" &amp; ROW()))-1,E159)</f>
        <v>-9.4083414161008627E-2</v>
      </c>
      <c r="F160" s="110">
        <f>表2_36716262930389121314152324252627282930[[#This Row],[累计净值]]</f>
        <v>1.0569999999999999</v>
      </c>
      <c r="G160" s="20">
        <f>表2_36716262930389121314152324252627282930[[#This Row],[累计净值]]/$B$21-1</f>
        <v>5.5944055944056048E-2</v>
      </c>
    </row>
    <row r="161" spans="1:7" x14ac:dyDescent="0.2">
      <c r="A161" s="15">
        <v>44286</v>
      </c>
      <c r="B161" s="112">
        <v>1.0580000000000001</v>
      </c>
      <c r="C161" s="108">
        <f t="shared" si="49"/>
        <v>1.0000000000001119E-3</v>
      </c>
      <c r="D161" s="109" t="str">
        <f t="shared" si="50"/>
        <v>/</v>
      </c>
      <c r="E161" s="109">
        <f ca="1">IF(表2_36716262930389121314152324252627282930[[#This Row],[累计净值]]/MAX(INDIRECT("B21:B" &amp; ROW()))-1&lt;E160,表2_36716262930389121314152324252627282930[[#This Row],[累计净值]]/MAX(INDIRECT("B21:B" &amp; ROW()))-1,E160)</f>
        <v>-9.4083414161008627E-2</v>
      </c>
      <c r="F161" s="110">
        <f>表2_36716262930389121314152324252627282930[[#This Row],[累计净值]]</f>
        <v>1.0580000000000001</v>
      </c>
      <c r="G161" s="20">
        <f>表2_36716262930389121314152324252627282930[[#This Row],[累计净值]]/$B$21-1</f>
        <v>5.6943056943057124E-2</v>
      </c>
    </row>
    <row r="162" spans="1:7" x14ac:dyDescent="0.2">
      <c r="A162" s="15">
        <v>44287</v>
      </c>
      <c r="B162" s="112">
        <v>1.0569999999999999</v>
      </c>
      <c r="C162" s="108">
        <f t="shared" si="49"/>
        <v>-1.0000000000001119E-3</v>
      </c>
      <c r="D162" s="109">
        <f t="shared" si="50"/>
        <v>-1.0000000000001119E-3</v>
      </c>
      <c r="E162" s="109">
        <f ca="1">IF(表2_36716262930389121314152324252627282930[[#This Row],[累计净值]]/MAX(INDIRECT("B21:B" &amp; ROW()))-1&lt;E161,表2_36716262930389121314152324252627282930[[#This Row],[累计净值]]/MAX(INDIRECT("B21:B" &amp; ROW()))-1,E161)</f>
        <v>-9.4083414161008627E-2</v>
      </c>
      <c r="F162" s="110">
        <f>表2_36716262930389121314152324252627282930[[#This Row],[累计净值]]</f>
        <v>1.0569999999999999</v>
      </c>
      <c r="G162" s="20">
        <f>表2_36716262930389121314152324252627282930[[#This Row],[累计净值]]/$B$21-1</f>
        <v>5.5944055944056048E-2</v>
      </c>
    </row>
    <row r="163" spans="1:7" x14ac:dyDescent="0.2">
      <c r="A163" s="15">
        <v>44288</v>
      </c>
      <c r="B163" s="112">
        <v>1.048</v>
      </c>
      <c r="C163" s="108">
        <f t="shared" si="49"/>
        <v>-8.999999999999897E-3</v>
      </c>
      <c r="D163" s="109">
        <f t="shared" si="50"/>
        <v>-8.999999999999897E-3</v>
      </c>
      <c r="E163" s="109">
        <f ca="1">IF(表2_36716262930389121314152324252627282930[[#This Row],[累计净值]]/MAX(INDIRECT("B21:B" &amp; ROW()))-1&lt;E162,表2_36716262930389121314152324252627282930[[#This Row],[累计净值]]/MAX(INDIRECT("B21:B" &amp; ROW()))-1,E162)</f>
        <v>-9.4083414161008627E-2</v>
      </c>
      <c r="F163" s="110">
        <f>表2_36716262930389121314152324252627282930[[#This Row],[累计净值]]</f>
        <v>1.048</v>
      </c>
      <c r="G163" s="20">
        <f>表2_36716262930389121314152324252627282930[[#This Row],[累计净值]]/$B$21-1</f>
        <v>4.6953046953047028E-2</v>
      </c>
    </row>
    <row r="164" spans="1:7" x14ac:dyDescent="0.2">
      <c r="A164" s="15">
        <v>44292</v>
      </c>
      <c r="B164" s="112">
        <v>1.0449999999999999</v>
      </c>
      <c r="C164" s="108">
        <f t="shared" si="49"/>
        <v>-3.0000000000001137E-3</v>
      </c>
      <c r="D164" s="109">
        <f t="shared" si="50"/>
        <v>-3.0000000000001137E-3</v>
      </c>
      <c r="E164" s="109">
        <f ca="1">IF(表2_36716262930389121314152324252627282930[[#This Row],[累计净值]]/MAX(INDIRECT("B21:B" &amp; ROW()))-1&lt;E163,表2_36716262930389121314152324252627282930[[#This Row],[累计净值]]/MAX(INDIRECT("B21:B" &amp; ROW()))-1,E163)</f>
        <v>-9.4083414161008627E-2</v>
      </c>
      <c r="F164" s="110">
        <f>表2_36716262930389121314152324252627282930[[#This Row],[累计净值]]</f>
        <v>1.0449999999999999</v>
      </c>
      <c r="G164" s="20">
        <f>表2_36716262930389121314152324252627282930[[#This Row],[累计净值]]/$B$21-1</f>
        <v>4.3956043956044022E-2</v>
      </c>
    </row>
    <row r="165" spans="1:7" x14ac:dyDescent="0.2">
      <c r="A165" s="15">
        <v>44293</v>
      </c>
      <c r="B165" s="112">
        <v>1.0509999999999999</v>
      </c>
      <c r="C165" s="108">
        <f t="shared" ref="C165:C170" si="51">IFERROR(B165-B164,0)</f>
        <v>6.0000000000000053E-3</v>
      </c>
      <c r="D165" s="109" t="str">
        <f t="shared" ref="D165:D170" si="52">IF(C165&lt;0,C165,"/")</f>
        <v>/</v>
      </c>
      <c r="E165" s="109">
        <f ca="1">IF(表2_36716262930389121314152324252627282930[[#This Row],[累计净值]]/MAX(INDIRECT("B21:B" &amp; ROW()))-1&lt;E164,表2_36716262930389121314152324252627282930[[#This Row],[累计净值]]/MAX(INDIRECT("B21:B" &amp; ROW()))-1,E164)</f>
        <v>-9.4083414161008627E-2</v>
      </c>
      <c r="F165" s="110">
        <f>表2_36716262930389121314152324252627282930[[#This Row],[累计净值]]</f>
        <v>1.0509999999999999</v>
      </c>
      <c r="G165" s="20">
        <f>表2_36716262930389121314152324252627282930[[#This Row],[累计净值]]/$B$21-1</f>
        <v>4.9950049950050035E-2</v>
      </c>
    </row>
    <row r="166" spans="1:7" x14ac:dyDescent="0.2">
      <c r="A166" s="15">
        <v>44294</v>
      </c>
      <c r="B166" s="112">
        <v>1.046</v>
      </c>
      <c r="C166" s="108">
        <f t="shared" si="51"/>
        <v>-4.9999999999998934E-3</v>
      </c>
      <c r="D166" s="109">
        <f t="shared" si="52"/>
        <v>-4.9999999999998934E-3</v>
      </c>
      <c r="E166" s="109">
        <f ca="1">IF(表2_36716262930389121314152324252627282930[[#This Row],[累计净值]]/MAX(INDIRECT("B21:B" &amp; ROW()))-1&lt;E165,表2_36716262930389121314152324252627282930[[#This Row],[累计净值]]/MAX(INDIRECT("B21:B" &amp; ROW()))-1,E165)</f>
        <v>-9.4083414161008627E-2</v>
      </c>
      <c r="F166" s="110">
        <f>表2_36716262930389121314152324252627282930[[#This Row],[累计净值]]</f>
        <v>1.046</v>
      </c>
      <c r="G166" s="20">
        <f>表2_36716262930389121314152324252627282930[[#This Row],[累计净值]]/$B$21-1</f>
        <v>4.4955044955045098E-2</v>
      </c>
    </row>
    <row r="167" spans="1:7" x14ac:dyDescent="0.2">
      <c r="A167" s="15">
        <v>44295</v>
      </c>
      <c r="B167" s="112">
        <v>1.0529999999999999</v>
      </c>
      <c r="C167" s="108">
        <f t="shared" si="51"/>
        <v>6.9999999999998952E-3</v>
      </c>
      <c r="D167" s="109" t="str">
        <f t="shared" si="52"/>
        <v>/</v>
      </c>
      <c r="E167" s="109">
        <f ca="1">IF(表2_36716262930389121314152324252627282930[[#This Row],[累计净值]]/MAX(INDIRECT("B21:B" &amp; ROW()))-1&lt;E166,表2_36716262930389121314152324252627282930[[#This Row],[累计净值]]/MAX(INDIRECT("B21:B" &amp; ROW()))-1,E166)</f>
        <v>-9.4083414161008627E-2</v>
      </c>
      <c r="F167" s="110">
        <f>表2_36716262930389121314152324252627282930[[#This Row],[累计净值]]</f>
        <v>1.0529999999999999</v>
      </c>
      <c r="G167" s="20">
        <f>表2_36716262930389121314152324252627282930[[#This Row],[累计净值]]/$B$21-1</f>
        <v>5.1948051948051965E-2</v>
      </c>
    </row>
    <row r="168" spans="1:7" x14ac:dyDescent="0.2">
      <c r="A168" s="15">
        <v>44298</v>
      </c>
      <c r="B168" s="112">
        <v>1.0549999999999999</v>
      </c>
      <c r="C168" s="108">
        <f t="shared" si="51"/>
        <v>2.0000000000000018E-3</v>
      </c>
      <c r="D168" s="109" t="str">
        <f t="shared" si="52"/>
        <v>/</v>
      </c>
      <c r="E168" s="109">
        <f ca="1">IF(表2_36716262930389121314152324252627282930[[#This Row],[累计净值]]/MAX(INDIRECT("B21:B" &amp; ROW()))-1&lt;E167,表2_36716262930389121314152324252627282930[[#This Row],[累计净值]]/MAX(INDIRECT("B21:B" &amp; ROW()))-1,E167)</f>
        <v>-9.4083414161008627E-2</v>
      </c>
      <c r="F168" s="110">
        <f>表2_36716262930389121314152324252627282930[[#This Row],[累计净值]]</f>
        <v>1.0549999999999999</v>
      </c>
      <c r="G168" s="20">
        <f>表2_36716262930389121314152324252627282930[[#This Row],[累计净值]]/$B$21-1</f>
        <v>5.3946053946053896E-2</v>
      </c>
    </row>
    <row r="169" spans="1:7" x14ac:dyDescent="0.2">
      <c r="A169" s="15">
        <v>44299</v>
      </c>
      <c r="B169" s="112">
        <v>1.0509999999999999</v>
      </c>
      <c r="C169" s="108">
        <f t="shared" si="51"/>
        <v>-4.0000000000000036E-3</v>
      </c>
      <c r="D169" s="109">
        <f t="shared" si="52"/>
        <v>-4.0000000000000036E-3</v>
      </c>
      <c r="E169" s="109">
        <f ca="1">IF(表2_36716262930389121314152324252627282930[[#This Row],[累计净值]]/MAX(INDIRECT("B21:B" &amp; ROW()))-1&lt;E168,表2_36716262930389121314152324252627282930[[#This Row],[累计净值]]/MAX(INDIRECT("B21:B" &amp; ROW()))-1,E168)</f>
        <v>-9.4083414161008627E-2</v>
      </c>
      <c r="F169" s="110">
        <f>表2_36716262930389121314152324252627282930[[#This Row],[累计净值]]</f>
        <v>1.0509999999999999</v>
      </c>
      <c r="G169" s="20">
        <f>表2_36716262930389121314152324252627282930[[#This Row],[累计净值]]/$B$21-1</f>
        <v>4.9950049950050035E-2</v>
      </c>
    </row>
    <row r="170" spans="1:7" x14ac:dyDescent="0.2">
      <c r="A170" s="15">
        <v>44300</v>
      </c>
      <c r="B170" s="112">
        <v>1.0489999999999999</v>
      </c>
      <c r="C170" s="108">
        <f t="shared" si="51"/>
        <v>-2.0000000000000018E-3</v>
      </c>
      <c r="D170" s="109">
        <f t="shared" si="52"/>
        <v>-2.0000000000000018E-3</v>
      </c>
      <c r="E170" s="109">
        <f ca="1">IF(表2_36716262930389121314152324252627282930[[#This Row],[累计净值]]/MAX(INDIRECT("B21:B" &amp; ROW()))-1&lt;E169,表2_36716262930389121314152324252627282930[[#This Row],[累计净值]]/MAX(INDIRECT("B21:B" &amp; ROW()))-1,E169)</f>
        <v>-9.4083414161008627E-2</v>
      </c>
      <c r="F170" s="110">
        <f>表2_36716262930389121314152324252627282930[[#This Row],[累计净值]]</f>
        <v>1.0489999999999999</v>
      </c>
      <c r="G170" s="20">
        <f>表2_36716262930389121314152324252627282930[[#This Row],[累计净值]]/$B$21-1</f>
        <v>4.7952047952048105E-2</v>
      </c>
    </row>
    <row r="171" spans="1:7" x14ac:dyDescent="0.2">
      <c r="A171" s="15">
        <v>44301</v>
      </c>
      <c r="B171" s="112">
        <v>1.044</v>
      </c>
      <c r="C171" s="108">
        <f t="shared" ref="C171:C176" si="53">IFERROR(B171-B170,0)</f>
        <v>-4.9999999999998934E-3</v>
      </c>
      <c r="D171" s="109">
        <f t="shared" ref="D171:D176" si="54">IF(C171&lt;0,C171,"/")</f>
        <v>-4.9999999999998934E-3</v>
      </c>
      <c r="E171" s="109">
        <f ca="1">IF(表2_36716262930389121314152324252627282930[[#This Row],[累计净值]]/MAX(INDIRECT("B21:B" &amp; ROW()))-1&lt;E170,表2_36716262930389121314152324252627282930[[#This Row],[累计净值]]/MAX(INDIRECT("B21:B" &amp; ROW()))-1,E170)</f>
        <v>-9.4083414161008627E-2</v>
      </c>
      <c r="F171" s="110">
        <f>表2_36716262930389121314152324252627282930[[#This Row],[累计净值]]</f>
        <v>1.044</v>
      </c>
      <c r="G171" s="20">
        <f>表2_36716262930389121314152324252627282930[[#This Row],[累计净值]]/$B$21-1</f>
        <v>4.2957042957043168E-2</v>
      </c>
    </row>
    <row r="172" spans="1:7" x14ac:dyDescent="0.2">
      <c r="A172" s="15">
        <v>44302</v>
      </c>
      <c r="B172" s="112">
        <v>1.0409999999999999</v>
      </c>
      <c r="C172" s="108">
        <f t="shared" si="53"/>
        <v>-3.0000000000001137E-3</v>
      </c>
      <c r="D172" s="109">
        <f t="shared" si="54"/>
        <v>-3.0000000000001137E-3</v>
      </c>
      <c r="E172" s="109">
        <f ca="1">IF(表2_36716262930389121314152324252627282930[[#This Row],[累计净值]]/MAX(INDIRECT("B21:B" &amp; ROW()))-1&lt;E171,表2_36716262930389121314152324252627282930[[#This Row],[累计净值]]/MAX(INDIRECT("B21:B" &amp; ROW()))-1,E171)</f>
        <v>-9.4083414161008627E-2</v>
      </c>
      <c r="F172" s="110">
        <f>表2_36716262930389121314152324252627282930[[#This Row],[累计净值]]</f>
        <v>1.0409999999999999</v>
      </c>
      <c r="G172" s="20">
        <f>表2_36716262930389121314152324252627282930[[#This Row],[累计净值]]/$B$21-1</f>
        <v>3.9960039960039939E-2</v>
      </c>
    </row>
    <row r="173" spans="1:7" x14ac:dyDescent="0.2">
      <c r="A173" s="15">
        <v>44305</v>
      </c>
      <c r="B173" s="112">
        <v>1.0409999999999999</v>
      </c>
      <c r="C173" s="108">
        <f t="shared" si="53"/>
        <v>0</v>
      </c>
      <c r="D173" s="109" t="str">
        <f t="shared" si="54"/>
        <v>/</v>
      </c>
      <c r="E173" s="109">
        <f ca="1">IF(表2_36716262930389121314152324252627282930[[#This Row],[累计净值]]/MAX(INDIRECT("B21:B" &amp; ROW()))-1&lt;E172,表2_36716262930389121314152324252627282930[[#This Row],[累计净值]]/MAX(INDIRECT("B21:B" &amp; ROW()))-1,E172)</f>
        <v>-9.4083414161008627E-2</v>
      </c>
      <c r="F173" s="110">
        <f>表2_36716262930389121314152324252627282930[[#This Row],[累计净值]]</f>
        <v>1.0409999999999999</v>
      </c>
      <c r="G173" s="20">
        <f>表2_36716262930389121314152324252627282930[[#This Row],[累计净值]]/$B$21-1</f>
        <v>3.9960039960039939E-2</v>
      </c>
    </row>
    <row r="174" spans="1:7" x14ac:dyDescent="0.2">
      <c r="A174" s="15">
        <v>44306</v>
      </c>
      <c r="B174" s="112">
        <v>1.046</v>
      </c>
      <c r="C174" s="108">
        <f t="shared" si="53"/>
        <v>5.0000000000001155E-3</v>
      </c>
      <c r="D174" s="109" t="str">
        <f t="shared" si="54"/>
        <v>/</v>
      </c>
      <c r="E174" s="109">
        <f ca="1">IF(表2_36716262930389121314152324252627282930[[#This Row],[累计净值]]/MAX(INDIRECT("B21:B" &amp; ROW()))-1&lt;E173,表2_36716262930389121314152324252627282930[[#This Row],[累计净值]]/MAX(INDIRECT("B21:B" &amp; ROW()))-1,E173)</f>
        <v>-9.4083414161008627E-2</v>
      </c>
      <c r="F174" s="110">
        <f>表2_36716262930389121314152324252627282930[[#This Row],[累计净值]]</f>
        <v>1.046</v>
      </c>
      <c r="G174" s="20">
        <f>表2_36716262930389121314152324252627282930[[#This Row],[累计净值]]/$B$21-1</f>
        <v>4.4955044955045098E-2</v>
      </c>
    </row>
    <row r="175" spans="1:7" x14ac:dyDescent="0.2">
      <c r="A175" s="15">
        <v>44307</v>
      </c>
      <c r="B175" s="112">
        <v>1.0409999999999999</v>
      </c>
      <c r="C175" s="108">
        <f t="shared" si="53"/>
        <v>-5.0000000000001155E-3</v>
      </c>
      <c r="D175" s="109">
        <f t="shared" si="54"/>
        <v>-5.0000000000001155E-3</v>
      </c>
      <c r="E175" s="109">
        <f ca="1">IF(表2_36716262930389121314152324252627282930[[#This Row],[累计净值]]/MAX(INDIRECT("B21:B" &amp; ROW()))-1&lt;E174,表2_36716262930389121314152324252627282930[[#This Row],[累计净值]]/MAX(INDIRECT("B21:B" &amp; ROW()))-1,E174)</f>
        <v>-9.4083414161008627E-2</v>
      </c>
      <c r="F175" s="110">
        <f>表2_36716262930389121314152324252627282930[[#This Row],[累计净值]]</f>
        <v>1.0409999999999999</v>
      </c>
      <c r="G175" s="20">
        <f>表2_36716262930389121314152324252627282930[[#This Row],[累计净值]]/$B$21-1</f>
        <v>3.9960039960039939E-2</v>
      </c>
    </row>
    <row r="176" spans="1:7" x14ac:dyDescent="0.2">
      <c r="A176" s="15">
        <v>44308</v>
      </c>
      <c r="B176" s="112">
        <v>1.0369999999999999</v>
      </c>
      <c r="C176" s="108">
        <f t="shared" si="53"/>
        <v>-4.0000000000000036E-3</v>
      </c>
      <c r="D176" s="109">
        <f t="shared" si="54"/>
        <v>-4.0000000000000036E-3</v>
      </c>
      <c r="E176" s="109">
        <f ca="1">IF(表2_36716262930389121314152324252627282930[[#This Row],[累计净值]]/MAX(INDIRECT("B21:B" &amp; ROW()))-1&lt;E175,表2_36716262930389121314152324252627282930[[#This Row],[累计净值]]/MAX(INDIRECT("B21:B" &amp; ROW()))-1,E175)</f>
        <v>-9.4083414161008627E-2</v>
      </c>
      <c r="F176" s="110">
        <f>表2_36716262930389121314152324252627282930[[#This Row],[累计净值]]</f>
        <v>1.0369999999999999</v>
      </c>
      <c r="G176" s="20">
        <f>表2_36716262930389121314152324252627282930[[#This Row],[累计净值]]/$B$21-1</f>
        <v>3.5964035964036078E-2</v>
      </c>
    </row>
    <row r="177" spans="1:7" x14ac:dyDescent="0.2">
      <c r="A177" s="15">
        <v>44309</v>
      </c>
      <c r="B177" s="112">
        <v>1.0329999999999999</v>
      </c>
      <c r="C177" s="108">
        <f>IFERROR(B177-B176,0)</f>
        <v>-4.0000000000000036E-3</v>
      </c>
      <c r="D177" s="109">
        <f>IF(C177&lt;0,C177,"/")</f>
        <v>-4.0000000000000036E-3</v>
      </c>
      <c r="E177" s="109">
        <f ca="1">IF(表2_36716262930389121314152324252627282930[[#This Row],[累计净值]]/MAX(INDIRECT("B21:B" &amp; ROW()))-1&lt;E176,表2_36716262930389121314152324252627282930[[#This Row],[累计净值]]/MAX(INDIRECT("B21:B" &amp; ROW()))-1,E176)</f>
        <v>-9.4083414161008627E-2</v>
      </c>
      <c r="F177" s="110">
        <f>表2_36716262930389121314152324252627282930[[#This Row],[累计净值]]</f>
        <v>1.0329999999999999</v>
      </c>
      <c r="G177" s="20">
        <f>表2_36716262930389121314152324252627282930[[#This Row],[累计净值]]/$B$21-1</f>
        <v>3.1968031968031996E-2</v>
      </c>
    </row>
    <row r="178" spans="1:7" x14ac:dyDescent="0.2">
      <c r="A178" s="15">
        <v>44312</v>
      </c>
      <c r="B178" s="112">
        <v>1.0269999999999999</v>
      </c>
      <c r="C178" s="108">
        <f>IFERROR(B178-B177,0)</f>
        <v>-6.0000000000000053E-3</v>
      </c>
      <c r="D178" s="109">
        <f>IF(C178&lt;0,C178,"/")</f>
        <v>-6.0000000000000053E-3</v>
      </c>
      <c r="E178" s="109">
        <f ca="1">IF(表2_36716262930389121314152324252627282930[[#This Row],[累计净值]]/MAX(INDIRECT("B21:B" &amp; ROW()))-1&lt;E177,表2_36716262930389121314152324252627282930[[#This Row],[累计净值]]/MAX(INDIRECT("B21:B" &amp; ROW()))-1,E177)</f>
        <v>-9.4083414161008627E-2</v>
      </c>
      <c r="F178" s="110">
        <f>表2_36716262930389121314152324252627282930[[#This Row],[累计净值]]</f>
        <v>1.0269999999999999</v>
      </c>
      <c r="G178" s="20">
        <f>表2_36716262930389121314152324252627282930[[#This Row],[累计净值]]/$B$21-1</f>
        <v>2.5974025974025983E-2</v>
      </c>
    </row>
    <row r="179" spans="1:7" x14ac:dyDescent="0.2">
      <c r="A179" s="15">
        <v>44313</v>
      </c>
      <c r="B179" s="112">
        <v>1.024</v>
      </c>
      <c r="C179" s="108">
        <f t="shared" ref="C179:C180" si="55">IFERROR(B179-B178,0)</f>
        <v>-2.9999999999998916E-3</v>
      </c>
      <c r="D179" s="109">
        <f t="shared" ref="D179:D180" si="56">IF(C179&lt;0,C179,"/")</f>
        <v>-2.9999999999998916E-3</v>
      </c>
      <c r="E179" s="109">
        <f ca="1">IF(表2_36716262930389121314152324252627282930[[#This Row],[累计净值]]/MAX(INDIRECT("B21:B" &amp; ROW()))-1&lt;E178,表2_36716262930389121314152324252627282930[[#This Row],[累计净值]]/MAX(INDIRECT("B21:B" &amp; ROW()))-1,E178)</f>
        <v>-9.4083414161008627E-2</v>
      </c>
      <c r="F179" s="110">
        <f>表2_36716262930389121314152324252627282930[[#This Row],[累计净值]]</f>
        <v>1.024</v>
      </c>
      <c r="G179" s="20">
        <f>表2_36716262930389121314152324252627282930[[#This Row],[累计净值]]/$B$21-1</f>
        <v>2.2977022977023198E-2</v>
      </c>
    </row>
    <row r="180" spans="1:7" x14ac:dyDescent="0.2">
      <c r="A180" s="15">
        <v>44314</v>
      </c>
      <c r="B180" s="112">
        <v>1.0229999999999999</v>
      </c>
      <c r="C180" s="108">
        <f t="shared" si="55"/>
        <v>-1.0000000000001119E-3</v>
      </c>
      <c r="D180" s="109">
        <f t="shared" si="56"/>
        <v>-1.0000000000001119E-3</v>
      </c>
      <c r="E180" s="109">
        <f ca="1">IF(表2_36716262930389121314152324252627282930[[#This Row],[累计净值]]/MAX(INDIRECT("B21:B" &amp; ROW()))-1&lt;E179,表2_36716262930389121314152324252627282930[[#This Row],[累计净值]]/MAX(INDIRECT("B21:B" &amp; ROW()))-1,E179)</f>
        <v>-9.4083414161008627E-2</v>
      </c>
      <c r="F180" s="110">
        <f>表2_36716262930389121314152324252627282930[[#This Row],[累计净值]]</f>
        <v>1.0229999999999999</v>
      </c>
      <c r="G180" s="20">
        <f>表2_36716262930389121314152324252627282930[[#This Row],[累计净值]]/$B$21-1</f>
        <v>2.19780219780219E-2</v>
      </c>
    </row>
    <row r="181" spans="1:7" x14ac:dyDescent="0.2">
      <c r="A181" s="15">
        <v>44315</v>
      </c>
      <c r="B181" s="112">
        <v>1.0249999999999999</v>
      </c>
      <c r="C181" s="108">
        <f>IFERROR(B181-B180,0)</f>
        <v>2.0000000000000018E-3</v>
      </c>
      <c r="D181" s="109" t="str">
        <f>IF(C181&lt;0,C181,"/")</f>
        <v>/</v>
      </c>
      <c r="E181" s="109">
        <f ca="1">IF(表2_36716262930389121314152324252627282930[[#This Row],[累计净值]]/MAX(INDIRECT("B21:B" &amp; ROW()))-1&lt;E180,表2_36716262930389121314152324252627282930[[#This Row],[累计净值]]/MAX(INDIRECT("B21:B" &amp; ROW()))-1,E180)</f>
        <v>-9.4083414161008627E-2</v>
      </c>
      <c r="F181" s="110">
        <f>表2_36716262930389121314152324252627282930[[#This Row],[累计净值]]</f>
        <v>1.0249999999999999</v>
      </c>
      <c r="G181" s="20">
        <f>表2_36716262930389121314152324252627282930[[#This Row],[累计净值]]/$B$21-1</f>
        <v>2.3976023976024052E-2</v>
      </c>
    </row>
    <row r="182" spans="1:7" x14ac:dyDescent="0.2">
      <c r="A182" s="15">
        <v>44316</v>
      </c>
      <c r="B182" s="112">
        <v>1.02</v>
      </c>
      <c r="C182" s="108">
        <f t="shared" ref="C182:C183" si="57">IFERROR(B182-B181,0)</f>
        <v>-4.9999999999998934E-3</v>
      </c>
      <c r="D182" s="109">
        <f t="shared" ref="D182:D183" si="58">IF(C182&lt;0,C182,"/")</f>
        <v>-4.9999999999998934E-3</v>
      </c>
      <c r="E182" s="109">
        <f ca="1">IF(表2_36716262930389121314152324252627282930[[#This Row],[累计净值]]/MAX(INDIRECT("B21:B" &amp; ROW()))-1&lt;E181,表2_36716262930389121314152324252627282930[[#This Row],[累计净值]]/MAX(INDIRECT("B21:B" &amp; ROW()))-1,E181)</f>
        <v>-9.4083414161008627E-2</v>
      </c>
      <c r="F182" s="110">
        <f>表2_36716262930389121314152324252627282930[[#This Row],[累计净值]]</f>
        <v>1.02</v>
      </c>
      <c r="G182" s="20">
        <f>表2_36716262930389121314152324252627282930[[#This Row],[累计净值]]/$B$21-1</f>
        <v>1.8981018981019115E-2</v>
      </c>
    </row>
    <row r="183" spans="1:7" x14ac:dyDescent="0.2">
      <c r="A183" s="15">
        <v>44322</v>
      </c>
      <c r="B183" s="112">
        <v>1.0169999999999999</v>
      </c>
      <c r="C183" s="108">
        <f t="shared" si="57"/>
        <v>-3.0000000000001137E-3</v>
      </c>
      <c r="D183" s="109">
        <f t="shared" si="58"/>
        <v>-3.0000000000001137E-3</v>
      </c>
      <c r="E183" s="109">
        <f ca="1">IF(表2_36716262930389121314152324252627282930[[#This Row],[累计净值]]/MAX(INDIRECT("B21:B" &amp; ROW()))-1&lt;E182,表2_36716262930389121314152324252627282930[[#This Row],[累计净值]]/MAX(INDIRECT("B21:B" &amp; ROW()))-1,E182)</f>
        <v>-9.4083414161008627E-2</v>
      </c>
      <c r="F183" s="110">
        <f>表2_36716262930389121314152324252627282930[[#This Row],[累计净值]]</f>
        <v>1.0169999999999999</v>
      </c>
      <c r="G183" s="20">
        <f>表2_36716262930389121314152324252627282930[[#This Row],[累计净值]]/$B$21-1</f>
        <v>1.5984015984016109E-2</v>
      </c>
    </row>
    <row r="184" spans="1:7" x14ac:dyDescent="0.2">
      <c r="A184" s="15">
        <v>44323</v>
      </c>
      <c r="B184" s="112">
        <v>1.016</v>
      </c>
      <c r="C184" s="108">
        <f t="shared" ref="C184:C189" si="59">IFERROR(B184-B183,0)</f>
        <v>-9.9999999999988987E-4</v>
      </c>
      <c r="D184" s="109">
        <f t="shared" ref="D184:D189" si="60">IF(C184&lt;0,C184,"/")</f>
        <v>-9.9999999999988987E-4</v>
      </c>
      <c r="E184" s="109">
        <f ca="1">IF(表2_36716262930389121314152324252627282930[[#This Row],[累计净值]]/MAX(INDIRECT("B21:B" &amp; ROW()))-1&lt;E183,表2_36716262930389121314152324252627282930[[#This Row],[累计净值]]/MAX(INDIRECT("B21:B" &amp; ROW()))-1,E183)</f>
        <v>-9.4083414161008627E-2</v>
      </c>
      <c r="F184" s="110">
        <f>表2_36716262930389121314152324252627282930[[#This Row],[累计净值]]</f>
        <v>1.016</v>
      </c>
      <c r="G184" s="20">
        <f>表2_36716262930389121314152324252627282930[[#This Row],[累计净值]]/$B$21-1</f>
        <v>1.4985014985015033E-2</v>
      </c>
    </row>
    <row r="185" spans="1:7" x14ac:dyDescent="0.2">
      <c r="A185" s="15">
        <v>44326</v>
      </c>
      <c r="B185" s="112">
        <v>1.022</v>
      </c>
      <c r="C185" s="108">
        <f t="shared" si="59"/>
        <v>6.0000000000000053E-3</v>
      </c>
      <c r="D185" s="109" t="str">
        <f t="shared" si="60"/>
        <v>/</v>
      </c>
      <c r="E185" s="109">
        <f ca="1">IF(表2_36716262930389121314152324252627282930[[#This Row],[累计净值]]/MAX(INDIRECT("B21:B" &amp; ROW()))-1&lt;E184,表2_36716262930389121314152324252627282930[[#This Row],[累计净值]]/MAX(INDIRECT("B21:B" &amp; ROW()))-1,E184)</f>
        <v>-9.4083414161008627E-2</v>
      </c>
      <c r="F185" s="110">
        <f>表2_36716262930389121314152324252627282930[[#This Row],[累计净值]]</f>
        <v>1.022</v>
      </c>
      <c r="G185" s="20">
        <f>表2_36716262930389121314152324252627282930[[#This Row],[累计净值]]/$B$21-1</f>
        <v>2.0979020979021046E-2</v>
      </c>
    </row>
    <row r="186" spans="1:7" x14ac:dyDescent="0.2">
      <c r="A186" s="15">
        <v>44327</v>
      </c>
      <c r="B186" s="112">
        <v>1.02</v>
      </c>
      <c r="C186" s="108">
        <f t="shared" si="59"/>
        <v>-2.0000000000000018E-3</v>
      </c>
      <c r="D186" s="109">
        <f t="shared" si="60"/>
        <v>-2.0000000000000018E-3</v>
      </c>
      <c r="E186" s="109">
        <f ca="1">IF(表2_36716262930389121314152324252627282930[[#This Row],[累计净值]]/MAX(INDIRECT("B21:B" &amp; ROW()))-1&lt;E185,表2_36716262930389121314152324252627282930[[#This Row],[累计净值]]/MAX(INDIRECT("B21:B" &amp; ROW()))-1,E185)</f>
        <v>-9.4083414161008627E-2</v>
      </c>
      <c r="F186" s="110">
        <f>表2_36716262930389121314152324252627282930[[#This Row],[累计净值]]</f>
        <v>1.02</v>
      </c>
      <c r="G186" s="20">
        <f>表2_36716262930389121314152324252627282930[[#This Row],[累计净值]]/$B$21-1</f>
        <v>1.8981018981019115E-2</v>
      </c>
    </row>
    <row r="187" spans="1:7" x14ac:dyDescent="0.2">
      <c r="A187" s="15">
        <v>44328</v>
      </c>
      <c r="B187" s="112">
        <v>1.0269999999999999</v>
      </c>
      <c r="C187" s="108">
        <f t="shared" si="59"/>
        <v>6.9999999999998952E-3</v>
      </c>
      <c r="D187" s="109" t="str">
        <f t="shared" si="60"/>
        <v>/</v>
      </c>
      <c r="E187" s="109">
        <f ca="1">IF(表2_36716262930389121314152324252627282930[[#This Row],[累计净值]]/MAX(INDIRECT("B21:B" &amp; ROW()))-1&lt;E186,表2_36716262930389121314152324252627282930[[#This Row],[累计净值]]/MAX(INDIRECT("B21:B" &amp; ROW()))-1,E186)</f>
        <v>-9.4083414161008627E-2</v>
      </c>
      <c r="F187" s="110">
        <f>表2_36716262930389121314152324252627282930[[#This Row],[累计净值]]</f>
        <v>1.0269999999999999</v>
      </c>
      <c r="G187" s="20">
        <f>表2_36716262930389121314152324252627282930[[#This Row],[累计净值]]/$B$21-1</f>
        <v>2.5974025974025983E-2</v>
      </c>
    </row>
    <row r="188" spans="1:7" x14ac:dyDescent="0.2">
      <c r="A188" s="15">
        <v>44329</v>
      </c>
      <c r="B188" s="112">
        <v>1.024</v>
      </c>
      <c r="C188" s="108">
        <f t="shared" si="59"/>
        <v>-2.9999999999998916E-3</v>
      </c>
      <c r="D188" s="109">
        <f t="shared" si="60"/>
        <v>-2.9999999999998916E-3</v>
      </c>
      <c r="E188" s="109">
        <f ca="1">IF(表2_36716262930389121314152324252627282930[[#This Row],[累计净值]]/MAX(INDIRECT("B21:B" &amp; ROW()))-1&lt;E187,表2_36716262930389121314152324252627282930[[#This Row],[累计净值]]/MAX(INDIRECT("B21:B" &amp; ROW()))-1,E187)</f>
        <v>-9.4083414161008627E-2</v>
      </c>
      <c r="F188" s="110">
        <f>表2_36716262930389121314152324252627282930[[#This Row],[累计净值]]</f>
        <v>1.024</v>
      </c>
      <c r="G188" s="20">
        <f>表2_36716262930389121314152324252627282930[[#This Row],[累计净值]]/$B$21-1</f>
        <v>2.2977022977023198E-2</v>
      </c>
    </row>
    <row r="189" spans="1:7" x14ac:dyDescent="0.2">
      <c r="A189" s="15">
        <v>44330</v>
      </c>
      <c r="B189" s="112">
        <v>1.028</v>
      </c>
      <c r="C189" s="108">
        <f t="shared" si="59"/>
        <v>4.0000000000000036E-3</v>
      </c>
      <c r="D189" s="109" t="str">
        <f t="shared" si="60"/>
        <v>/</v>
      </c>
      <c r="E189" s="109">
        <f ca="1">IF(表2_36716262930389121314152324252627282930[[#This Row],[累计净值]]/MAX(INDIRECT("B21:B" &amp; ROW()))-1&lt;E188,表2_36716262930389121314152324252627282930[[#This Row],[累计净值]]/MAX(INDIRECT("B21:B" &amp; ROW()))-1,E188)</f>
        <v>-9.4083414161008627E-2</v>
      </c>
      <c r="F189" s="110">
        <f>表2_36716262930389121314152324252627282930[[#This Row],[累计净值]]</f>
        <v>1.028</v>
      </c>
      <c r="G189" s="20">
        <f>表2_36716262930389121314152324252627282930[[#This Row],[累计净值]]/$B$21-1</f>
        <v>2.6973026973027059E-2</v>
      </c>
    </row>
  </sheetData>
  <mergeCells count="1">
    <mergeCell ref="G2:G3"/>
  </mergeCells>
  <phoneticPr fontId="24" type="noConversion"/>
  <pageMargins left="0.7" right="0.7" top="0.75" bottom="0.75" header="0.3" footer="0.3"/>
  <pageSetup paperSize="9" orientation="portrait" horizontalDpi="200" verticalDpi="200" r:id="rId1"/>
  <drawing r:id="rId2"/>
  <tableParts count="1"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I140"/>
  <sheetViews>
    <sheetView workbookViewId="0">
      <pane xSplit="1" ySplit="20" topLeftCell="B129" activePane="bottomRight" state="frozen"/>
      <selection pane="topRight" activeCell="B1" sqref="B1"/>
      <selection pane="bottomLeft" activeCell="A21" sqref="A21"/>
      <selection pane="bottomRight" activeCell="L139" sqref="L139"/>
    </sheetView>
  </sheetViews>
  <sheetFormatPr defaultColWidth="9" defaultRowHeight="14.25" x14ac:dyDescent="0.2"/>
  <cols>
    <col min="1" max="1" width="11.625" style="1" bestFit="1" customWidth="1"/>
    <col min="2" max="2" width="13" style="1" customWidth="1"/>
    <col min="3" max="4" width="13.5" style="1" bestFit="1" customWidth="1"/>
    <col min="5" max="5" width="10.75" style="1" customWidth="1"/>
    <col min="6" max="6" width="11.125" style="1" customWidth="1"/>
    <col min="7" max="7" width="18.875" style="2" customWidth="1"/>
    <col min="8" max="8" width="14.25" style="1" customWidth="1"/>
    <col min="9" max="9" width="12" style="1" bestFit="1" customWidth="1"/>
    <col min="10" max="16384" width="9" style="1"/>
  </cols>
  <sheetData>
    <row r="1" spans="1:7" ht="15" thickBot="1" x14ac:dyDescent="0.25"/>
    <row r="2" spans="1:7" ht="15" thickBot="1" x14ac:dyDescent="0.25">
      <c r="A2" s="23" t="s">
        <v>0</v>
      </c>
      <c r="B2" s="24">
        <f>COUNT(表2_36716262930389121314152324252627283132[每日盈亏])</f>
        <v>120</v>
      </c>
      <c r="C2" s="27"/>
      <c r="D2" s="3" t="s">
        <v>1</v>
      </c>
      <c r="E2" s="28"/>
      <c r="F2" s="1" t="s">
        <v>2</v>
      </c>
      <c r="G2" s="394" t="s">
        <v>3</v>
      </c>
    </row>
    <row r="3" spans="1:7" x14ac:dyDescent="0.2">
      <c r="A3" s="25" t="s">
        <v>4</v>
      </c>
      <c r="B3" s="26">
        <f>COUNTIF(表2_36716262930389121314152324252627283132[每日盈亏],"&gt;0")</f>
        <v>52</v>
      </c>
      <c r="C3" s="29"/>
      <c r="D3" s="30" t="s">
        <v>5</v>
      </c>
      <c r="E3" s="31">
        <f>245^0.5*(B10-0.025/365)/E10</f>
        <v>1.2817909257147573</v>
      </c>
      <c r="G3" s="394"/>
    </row>
    <row r="4" spans="1:7" x14ac:dyDescent="0.2">
      <c r="A4" s="25" t="s">
        <v>6</v>
      </c>
      <c r="B4" s="26">
        <f>COUNTIF(表2_36716262930389121314152324252627283132[每日盈亏],"&lt;0")</f>
        <v>50</v>
      </c>
      <c r="C4" s="29"/>
      <c r="D4" s="32" t="s">
        <v>7</v>
      </c>
      <c r="E4" s="31">
        <f ca="1">-B9/E8</f>
        <v>4.1159999999999926</v>
      </c>
      <c r="G4" s="2">
        <f>LOOKUP(999^10,表2_36716262930389121314152324252627283132[累计净值])</f>
        <v>1.1439999999999999</v>
      </c>
    </row>
    <row r="5" spans="1:7" x14ac:dyDescent="0.2">
      <c r="A5" s="25" t="s">
        <v>8</v>
      </c>
      <c r="B5" s="26">
        <f>B2-B3-B4</f>
        <v>18</v>
      </c>
      <c r="C5" s="29"/>
      <c r="D5" s="33" t="s">
        <v>9</v>
      </c>
      <c r="E5" s="4">
        <f>245^0.5*(B10-0.025/365)/E9</f>
        <v>1.4133005295983854</v>
      </c>
    </row>
    <row r="6" spans="1:7" ht="15" thickBot="1" x14ac:dyDescent="0.25">
      <c r="A6" s="34"/>
      <c r="B6" s="35"/>
      <c r="C6" s="35"/>
      <c r="D6" s="35"/>
      <c r="E6" s="36"/>
    </row>
    <row r="7" spans="1:7" ht="15" thickBot="1" x14ac:dyDescent="0.25">
      <c r="A7" s="5" t="s">
        <v>10</v>
      </c>
      <c r="B7" s="35"/>
      <c r="C7" s="35"/>
      <c r="D7" s="3" t="s">
        <v>11</v>
      </c>
      <c r="E7" s="37"/>
    </row>
    <row r="8" spans="1:7" x14ac:dyDescent="0.2">
      <c r="A8" s="38" t="s">
        <v>12</v>
      </c>
      <c r="B8" s="39">
        <f>LOOKUP(999^10,表2_36716262930389121314152324252627283132[累计净值])/$B$21-1</f>
        <v>0.14399999999999991</v>
      </c>
      <c r="C8" s="40"/>
      <c r="D8" s="30" t="s">
        <v>13</v>
      </c>
      <c r="E8" s="41">
        <f ca="1">MIN(表2_36716262930389121314152324252627283132[最大回撤])</f>
        <v>-7.1428571428571508E-2</v>
      </c>
    </row>
    <row r="9" spans="1:7" x14ac:dyDescent="0.2">
      <c r="A9" s="25" t="s">
        <v>14</v>
      </c>
      <c r="B9" s="32">
        <f>B8*245/B2</f>
        <v>0.29399999999999982</v>
      </c>
      <c r="C9" s="40"/>
      <c r="D9" s="33" t="s">
        <v>15</v>
      </c>
      <c r="E9" s="6">
        <f>STDEV(表2_36716262930389121314152324252627283132[下跌幅度])</f>
        <v>1.2531576443658861E-2</v>
      </c>
    </row>
    <row r="10" spans="1:7" x14ac:dyDescent="0.2">
      <c r="A10" s="42" t="s">
        <v>16</v>
      </c>
      <c r="B10" s="43">
        <f>AVERAGE(表2_36716262930389121314152324252627283132[每日盈亏])</f>
        <v>1.1999999999999992E-3</v>
      </c>
      <c r="C10" s="44"/>
      <c r="D10" s="33" t="s">
        <v>17</v>
      </c>
      <c r="E10" s="6">
        <f>STDEV(表2_36716262930389121314152324252627283132[每日盈亏])</f>
        <v>1.3817295215013094E-2</v>
      </c>
    </row>
    <row r="11" spans="1:7" x14ac:dyDescent="0.2">
      <c r="A11" s="7" t="s">
        <v>18</v>
      </c>
      <c r="B11" s="32">
        <f>B3/B2</f>
        <v>0.43333333333333335</v>
      </c>
      <c r="C11" s="40"/>
      <c r="D11" s="32" t="s">
        <v>19</v>
      </c>
      <c r="E11" s="41">
        <f>245^0.5*E10</f>
        <v>0.21627487956166297</v>
      </c>
    </row>
    <row r="12" spans="1:7" ht="15" thickBot="1" x14ac:dyDescent="0.25">
      <c r="A12" s="45" t="s">
        <v>20</v>
      </c>
      <c r="B12" s="46">
        <f>-(SUMIF(表2_36716262930389121314152324252627283132[每日盈亏],"&gt;=0")/B3)/(SUMIF(表2_36716262930389121314152324252627283132[每日盈亏],"&lt;0")/B4)</f>
        <v>1.3068290811432952</v>
      </c>
      <c r="C12" s="47"/>
      <c r="D12" s="48"/>
      <c r="E12" s="49"/>
    </row>
    <row r="14" spans="1:7" ht="28.5" x14ac:dyDescent="0.2">
      <c r="A14" s="50" t="s">
        <v>21</v>
      </c>
      <c r="B14" s="50" t="s">
        <v>14</v>
      </c>
      <c r="C14" s="51" t="s">
        <v>19</v>
      </c>
      <c r="D14" s="51" t="s">
        <v>13</v>
      </c>
      <c r="E14" s="51" t="s">
        <v>5</v>
      </c>
      <c r="F14" s="51" t="s">
        <v>7</v>
      </c>
    </row>
    <row r="15" spans="1:7" x14ac:dyDescent="0.2">
      <c r="A15" s="78">
        <f>B2</f>
        <v>120</v>
      </c>
      <c r="B15" s="53">
        <f>B9</f>
        <v>0.29399999999999982</v>
      </c>
      <c r="C15" s="53">
        <f>E11</f>
        <v>0.21627487956166297</v>
      </c>
      <c r="D15" s="53">
        <f ca="1">E8</f>
        <v>-7.1428571428571508E-2</v>
      </c>
      <c r="E15" s="54">
        <f>E3</f>
        <v>1.2817909257147573</v>
      </c>
      <c r="F15" s="54">
        <f ca="1">E4</f>
        <v>4.1159999999999926</v>
      </c>
    </row>
    <row r="19" spans="1:9" x14ac:dyDescent="0.2">
      <c r="A19" s="8"/>
      <c r="B19" s="1" t="s">
        <v>22</v>
      </c>
    </row>
    <row r="20" spans="1:9" ht="15.75" x14ac:dyDescent="0.2">
      <c r="A20" s="22" t="s">
        <v>23</v>
      </c>
      <c r="B20" s="22" t="s">
        <v>24</v>
      </c>
      <c r="C20" s="22" t="s">
        <v>25</v>
      </c>
      <c r="D20" s="22" t="s">
        <v>26</v>
      </c>
      <c r="E20" s="22" t="s">
        <v>27</v>
      </c>
      <c r="F20" s="22" t="s">
        <v>28</v>
      </c>
      <c r="G20" s="22" t="s">
        <v>29</v>
      </c>
    </row>
    <row r="21" spans="1:9" x14ac:dyDescent="0.2">
      <c r="A21" s="15">
        <v>44151</v>
      </c>
      <c r="B21" s="204">
        <v>1</v>
      </c>
      <c r="C21" s="57">
        <f t="shared" ref="C21:C22" si="0">IFERROR(B21-B20,0)</f>
        <v>0</v>
      </c>
      <c r="D21" s="58" t="str">
        <f t="shared" ref="D21:D26" si="1">IF(C21&lt;0,C21,"/")</f>
        <v>/</v>
      </c>
      <c r="E21" s="58">
        <f ca="1">IF(表2_36716262930389121314152324252627283132[[#This Row],[累计净值]]/MAX(INDIRECT("B21:B" &amp; ROW()))-1&lt;E20,表2_36716262930389121314152324252627283132[[#This Row],[累计净值]]/MAX(INDIRECT("B21:B" &amp; ROW()))-1,E20)</f>
        <v>0</v>
      </c>
      <c r="F21" s="21">
        <f>表2_36716262930389121314152324252627283132[[#This Row],[累计净值]]</f>
        <v>1</v>
      </c>
      <c r="G21" s="205"/>
    </row>
    <row r="22" spans="1:9" x14ac:dyDescent="0.2">
      <c r="A22" s="15">
        <v>44152</v>
      </c>
      <c r="B22" s="112">
        <v>0.998</v>
      </c>
      <c r="C22" s="17">
        <f t="shared" si="0"/>
        <v>-2.0000000000000018E-3</v>
      </c>
      <c r="D22" s="18">
        <f t="shared" si="1"/>
        <v>-2.0000000000000018E-3</v>
      </c>
      <c r="E22" s="18">
        <f ca="1">IF(表2_36716262930389121314152324252627283132[[#This Row],[累计净值]]/MAX(INDIRECT("B21:B" &amp; ROW()))-1&lt;E21,表2_36716262930389121314152324252627283132[[#This Row],[累计净值]]/MAX(INDIRECT("B21:B" &amp; ROW()))-1,E21)</f>
        <v>-2.0000000000000018E-3</v>
      </c>
      <c r="F22" s="19">
        <f>表2_36716262930389121314152324252627283132[[#This Row],[累计净值]]</f>
        <v>0.998</v>
      </c>
      <c r="G22" s="194" t="s">
        <v>30</v>
      </c>
    </row>
    <row r="23" spans="1:9" x14ac:dyDescent="0.2">
      <c r="A23" s="15">
        <v>44153</v>
      </c>
      <c r="B23" s="112">
        <v>0.998</v>
      </c>
      <c r="C23" s="108">
        <f t="shared" ref="C23:C28" si="2">IFERROR(B23-B22,0)</f>
        <v>0</v>
      </c>
      <c r="D23" s="109" t="str">
        <f t="shared" si="1"/>
        <v>/</v>
      </c>
      <c r="E23" s="109">
        <f ca="1">IF(表2_36716262930389121314152324252627283132[[#This Row],[累计净值]]/MAX(INDIRECT("B21:B" &amp; ROW()))-1&lt;E22,表2_36716262930389121314152324252627283132[[#This Row],[累计净值]]/MAX(INDIRECT("B21:B" &amp; ROW()))-1,E22)</f>
        <v>-2.0000000000000018E-3</v>
      </c>
      <c r="F23" s="110">
        <f>表2_36716262930389121314152324252627283132[[#This Row],[累计净值]]</f>
        <v>0.998</v>
      </c>
      <c r="G23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0</v>
      </c>
    </row>
    <row r="24" spans="1:9" x14ac:dyDescent="0.2">
      <c r="A24" s="15">
        <v>44154</v>
      </c>
      <c r="B24" s="112">
        <v>0.998</v>
      </c>
      <c r="C24" s="108">
        <f t="shared" si="2"/>
        <v>0</v>
      </c>
      <c r="D24" s="109" t="str">
        <f t="shared" si="1"/>
        <v>/</v>
      </c>
      <c r="E24" s="109">
        <f ca="1">IF(表2_36716262930389121314152324252627283132[[#This Row],[累计净值]]/MAX(INDIRECT("B21:B" &amp; ROW()))-1&lt;E23,表2_36716262930389121314152324252627283132[[#This Row],[累计净值]]/MAX(INDIRECT("B21:B" &amp; ROW()))-1,E23)</f>
        <v>-2.0000000000000018E-3</v>
      </c>
      <c r="F24" s="110">
        <f>表2_36716262930389121314152324252627283132[[#This Row],[累计净值]]</f>
        <v>0.998</v>
      </c>
      <c r="G24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0</v>
      </c>
    </row>
    <row r="25" spans="1:9" x14ac:dyDescent="0.2">
      <c r="A25" s="15">
        <v>44155</v>
      </c>
      <c r="B25" s="112">
        <v>0.998</v>
      </c>
      <c r="C25" s="108">
        <f t="shared" si="2"/>
        <v>0</v>
      </c>
      <c r="D25" s="109" t="str">
        <f t="shared" si="1"/>
        <v>/</v>
      </c>
      <c r="E25" s="109">
        <f ca="1">IF(表2_36716262930389121314152324252627283132[[#This Row],[累计净值]]/MAX(INDIRECT("B21:B" &amp; ROW()))-1&lt;E24,表2_36716262930389121314152324252627283132[[#This Row],[累计净值]]/MAX(INDIRECT("B21:B" &amp; ROW()))-1,E24)</f>
        <v>-2.0000000000000018E-3</v>
      </c>
      <c r="F25" s="110">
        <f>表2_36716262930389121314152324252627283132[[#This Row],[累计净值]]</f>
        <v>0.998</v>
      </c>
      <c r="G25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0</v>
      </c>
    </row>
    <row r="26" spans="1:9" x14ac:dyDescent="0.2">
      <c r="A26" s="15">
        <v>44158</v>
      </c>
      <c r="B26" s="112">
        <v>0.997</v>
      </c>
      <c r="C26" s="108">
        <f t="shared" si="2"/>
        <v>-1.0000000000000009E-3</v>
      </c>
      <c r="D26" s="109">
        <f t="shared" si="1"/>
        <v>-1.0000000000000009E-3</v>
      </c>
      <c r="E26" s="109">
        <f ca="1">IF(表2_36716262930389121314152324252627283132[[#This Row],[累计净值]]/MAX(INDIRECT("B21:B" &amp; ROW()))-1&lt;E25,表2_36716262930389121314152324252627283132[[#This Row],[累计净值]]/MAX(INDIRECT("B21:B" &amp; ROW()))-1,E25)</f>
        <v>-3.0000000000000027E-3</v>
      </c>
      <c r="F26" s="110">
        <f>表2_36716262930389121314152324252627283132[[#This Row],[累计净值]]</f>
        <v>0.997</v>
      </c>
      <c r="G26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-1.0020040080159776E-3</v>
      </c>
    </row>
    <row r="27" spans="1:9" x14ac:dyDescent="0.2">
      <c r="A27" s="15">
        <v>44159</v>
      </c>
      <c r="B27" s="112">
        <v>0.996</v>
      </c>
      <c r="C27" s="108">
        <f t="shared" si="2"/>
        <v>-1.0000000000000009E-3</v>
      </c>
      <c r="D27" s="109">
        <f t="shared" ref="D27:D32" si="3">IF(C27&lt;0,C27,"/")</f>
        <v>-1.0000000000000009E-3</v>
      </c>
      <c r="E27" s="109">
        <f ca="1">IF(表2_36716262930389121314152324252627283132[[#This Row],[累计净值]]/MAX(INDIRECT("B21:B" &amp; ROW()))-1&lt;E26,表2_36716262930389121314152324252627283132[[#This Row],[累计净值]]/MAX(INDIRECT("B21:B" &amp; ROW()))-1,E26)</f>
        <v>-4.0000000000000036E-3</v>
      </c>
      <c r="F27" s="110">
        <f>表2_36716262930389121314152324252627283132[[#This Row],[累计净值]]</f>
        <v>0.996</v>
      </c>
      <c r="G27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-2.0040080160320661E-3</v>
      </c>
    </row>
    <row r="28" spans="1:9" x14ac:dyDescent="0.2">
      <c r="A28" s="15">
        <v>44160</v>
      </c>
      <c r="B28" s="112">
        <v>0.996</v>
      </c>
      <c r="C28" s="108">
        <f t="shared" si="2"/>
        <v>0</v>
      </c>
      <c r="D28" s="109" t="str">
        <f t="shared" si="3"/>
        <v>/</v>
      </c>
      <c r="E28" s="109">
        <f ca="1">IF(表2_36716262930389121314152324252627283132[[#This Row],[累计净值]]/MAX(INDIRECT("B21:B" &amp; ROW()))-1&lt;E27,表2_36716262930389121314152324252627283132[[#This Row],[累计净值]]/MAX(INDIRECT("B21:B" &amp; ROW()))-1,E27)</f>
        <v>-4.0000000000000036E-3</v>
      </c>
      <c r="F28" s="110">
        <f>表2_36716262930389121314152324252627283132[[#This Row],[累计净值]]</f>
        <v>0.996</v>
      </c>
      <c r="G28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-2.0040080160320661E-3</v>
      </c>
    </row>
    <row r="29" spans="1:9" x14ac:dyDescent="0.2">
      <c r="A29" s="15">
        <v>44161</v>
      </c>
      <c r="B29" s="112">
        <v>0.996</v>
      </c>
      <c r="C29" s="108">
        <f t="shared" ref="C29:C34" si="4">IFERROR(B29-B28,0)</f>
        <v>0</v>
      </c>
      <c r="D29" s="109" t="str">
        <f t="shared" si="3"/>
        <v>/</v>
      </c>
      <c r="E29" s="109">
        <f ca="1">IF(表2_36716262930389121314152324252627283132[[#This Row],[累计净值]]/MAX(INDIRECT("B21:B" &amp; ROW()))-1&lt;E28,表2_36716262930389121314152324252627283132[[#This Row],[累计净值]]/MAX(INDIRECT("B21:B" &amp; ROW()))-1,E28)</f>
        <v>-4.0000000000000036E-3</v>
      </c>
      <c r="F29" s="110">
        <f>表2_36716262930389121314152324252627283132[[#This Row],[累计净值]]</f>
        <v>0.996</v>
      </c>
      <c r="G29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-2.0040080160320661E-3</v>
      </c>
      <c r="I29" s="196" t="s">
        <v>44</v>
      </c>
    </row>
    <row r="30" spans="1:9" x14ac:dyDescent="0.2">
      <c r="A30" s="15">
        <v>44162</v>
      </c>
      <c r="B30" s="112">
        <v>0.997</v>
      </c>
      <c r="C30" s="108">
        <f t="shared" si="4"/>
        <v>1.0000000000000009E-3</v>
      </c>
      <c r="D30" s="109" t="str">
        <f t="shared" si="3"/>
        <v>/</v>
      </c>
      <c r="E30" s="109">
        <f ca="1">IF(表2_36716262930389121314152324252627283132[[#This Row],[累计净值]]/MAX(INDIRECT("B21:B" &amp; ROW()))-1&lt;E29,表2_36716262930389121314152324252627283132[[#This Row],[累计净值]]/MAX(INDIRECT("B21:B" &amp; ROW()))-1,E29)</f>
        <v>-4.0000000000000036E-3</v>
      </c>
      <c r="F30" s="110">
        <f>表2_36716262930389121314152324252627283132[[#This Row],[累计净值]]</f>
        <v>0.997</v>
      </c>
      <c r="G30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-1.0020040080159776E-3</v>
      </c>
    </row>
    <row r="31" spans="1:9" x14ac:dyDescent="0.2">
      <c r="A31" s="15">
        <v>44165</v>
      </c>
      <c r="B31" s="112">
        <v>0.998</v>
      </c>
      <c r="C31" s="108">
        <f t="shared" si="4"/>
        <v>1.0000000000000009E-3</v>
      </c>
      <c r="D31" s="109" t="str">
        <f t="shared" si="3"/>
        <v>/</v>
      </c>
      <c r="E31" s="109">
        <f ca="1">IF(表2_36716262930389121314152324252627283132[[#This Row],[累计净值]]/MAX(INDIRECT("B21:B" &amp; ROW()))-1&lt;E30,表2_36716262930389121314152324252627283132[[#This Row],[累计净值]]/MAX(INDIRECT("B21:B" &amp; ROW()))-1,E30)</f>
        <v>-4.0000000000000036E-3</v>
      </c>
      <c r="F31" s="110">
        <f>表2_36716262930389121314152324252627283132[[#This Row],[累计净值]]</f>
        <v>0.998</v>
      </c>
      <c r="G31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0</v>
      </c>
    </row>
    <row r="32" spans="1:9" x14ac:dyDescent="0.2">
      <c r="A32" s="15">
        <v>44166</v>
      </c>
      <c r="B32" s="112">
        <v>0.998</v>
      </c>
      <c r="C32" s="108">
        <f t="shared" si="4"/>
        <v>0</v>
      </c>
      <c r="D32" s="109" t="str">
        <f t="shared" si="3"/>
        <v>/</v>
      </c>
      <c r="E32" s="109">
        <f ca="1">IF(表2_36716262930389121314152324252627283132[[#This Row],[累计净值]]/MAX(INDIRECT("B21:B" &amp; ROW()))-1&lt;E31,表2_36716262930389121314152324252627283132[[#This Row],[累计净值]]/MAX(INDIRECT("B21:B" &amp; ROW()))-1,E31)</f>
        <v>-4.0000000000000036E-3</v>
      </c>
      <c r="F32" s="110">
        <f>表2_36716262930389121314152324252627283132[[#This Row],[累计净值]]</f>
        <v>0.998</v>
      </c>
      <c r="G32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0</v>
      </c>
    </row>
    <row r="33" spans="1:7" x14ac:dyDescent="0.2">
      <c r="A33" s="15">
        <v>44167</v>
      </c>
      <c r="B33" s="112">
        <v>1</v>
      </c>
      <c r="C33" s="108">
        <f t="shared" si="4"/>
        <v>2.0000000000000018E-3</v>
      </c>
      <c r="D33" s="109" t="str">
        <f t="shared" ref="D33:D38" si="5">IF(C33&lt;0,C33,"/")</f>
        <v>/</v>
      </c>
      <c r="E33" s="109">
        <f ca="1">IF(表2_36716262930389121314152324252627283132[[#This Row],[累计净值]]/MAX(INDIRECT("B21:B" &amp; ROW()))-1&lt;E32,表2_36716262930389121314152324252627283132[[#This Row],[累计净值]]/MAX(INDIRECT("B21:B" &amp; ROW()))-1,E32)</f>
        <v>-4.0000000000000036E-3</v>
      </c>
      <c r="F33" s="110">
        <f>表2_36716262930389121314152324252627283132[[#This Row],[累计净值]]</f>
        <v>1</v>
      </c>
      <c r="G33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1.6032064128255641E-3</v>
      </c>
    </row>
    <row r="34" spans="1:7" x14ac:dyDescent="0.2">
      <c r="A34" s="15">
        <v>44168</v>
      </c>
      <c r="B34" s="112">
        <v>0.99399999999999999</v>
      </c>
      <c r="C34" s="108">
        <f t="shared" si="4"/>
        <v>-6.0000000000000053E-3</v>
      </c>
      <c r="D34" s="109">
        <f t="shared" si="5"/>
        <v>-6.0000000000000053E-3</v>
      </c>
      <c r="E34" s="109">
        <f ca="1">IF(表2_36716262930389121314152324252627283132[[#This Row],[累计净值]]/MAX(INDIRECT("B21:B" &amp; ROW()))-1&lt;E33,表2_36716262930389121314152324252627283132[[#This Row],[累计净值]]/MAX(INDIRECT("B21:B" &amp; ROW()))-1,E33)</f>
        <v>-6.0000000000000053E-3</v>
      </c>
      <c r="F34" s="110">
        <f>表2_36716262930389121314152324252627283132[[#This Row],[累计净值]]</f>
        <v>0.99399999999999999</v>
      </c>
      <c r="G34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-4.0080160320641323E-3</v>
      </c>
    </row>
    <row r="35" spans="1:7" x14ac:dyDescent="0.2">
      <c r="A35" s="15">
        <v>44169</v>
      </c>
      <c r="B35" s="112">
        <v>0.996</v>
      </c>
      <c r="C35" s="108">
        <f t="shared" ref="C35:C40" si="6">IFERROR(B35-B34,0)</f>
        <v>2.0000000000000018E-3</v>
      </c>
      <c r="D35" s="109" t="str">
        <f t="shared" si="5"/>
        <v>/</v>
      </c>
      <c r="E35" s="109">
        <f ca="1">IF(表2_36716262930389121314152324252627283132[[#This Row],[累计净值]]/MAX(INDIRECT("B21:B" &amp; ROW()))-1&lt;E34,表2_36716262930389121314152324252627283132[[#This Row],[累计净值]]/MAX(INDIRECT("B21:B" &amp; ROW()))-1,E34)</f>
        <v>-6.0000000000000053E-3</v>
      </c>
      <c r="F35" s="110">
        <f>表2_36716262930389121314152324252627283132[[#This Row],[累计净值]]</f>
        <v>0.996</v>
      </c>
      <c r="G35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-2.0040080160320661E-3</v>
      </c>
    </row>
    <row r="36" spans="1:7" x14ac:dyDescent="0.2">
      <c r="A36" s="15">
        <v>44172</v>
      </c>
      <c r="B36" s="112">
        <v>1.004</v>
      </c>
      <c r="C36" s="108">
        <f t="shared" si="6"/>
        <v>8.0000000000000071E-3</v>
      </c>
      <c r="D36" s="109" t="str">
        <f t="shared" si="5"/>
        <v>/</v>
      </c>
      <c r="E36" s="109">
        <f ca="1">IF(表2_36716262930389121314152324252627283132[[#This Row],[累计净值]]/MAX(INDIRECT("B21:B" &amp; ROW()))-1&lt;E35,表2_36716262930389121314152324252627283132[[#This Row],[累计净值]]/MAX(INDIRECT("B21:B" &amp; ROW()))-1,E35)</f>
        <v>-6.0000000000000053E-3</v>
      </c>
      <c r="F36" s="110">
        <f>表2_36716262930389121314152324252627283132[[#This Row],[累计净值]]</f>
        <v>1.004</v>
      </c>
      <c r="G36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4.8096192384768704E-3</v>
      </c>
    </row>
    <row r="37" spans="1:7" x14ac:dyDescent="0.2">
      <c r="A37" s="15">
        <v>44173</v>
      </c>
      <c r="B37" s="112">
        <v>1.01</v>
      </c>
      <c r="C37" s="108">
        <f t="shared" si="6"/>
        <v>6.0000000000000053E-3</v>
      </c>
      <c r="D37" s="109" t="str">
        <f t="shared" si="5"/>
        <v>/</v>
      </c>
      <c r="E37" s="109">
        <f ca="1">IF(表2_36716262930389121314152324252627283132[[#This Row],[累计净值]]/MAX(INDIRECT("B21:B" &amp; ROW()))-1&lt;E36,表2_36716262930389121314152324252627283132[[#This Row],[累计净值]]/MAX(INDIRECT("B21:B" &amp; ROW()))-1,E36)</f>
        <v>-6.0000000000000053E-3</v>
      </c>
      <c r="F37" s="110">
        <f>表2_36716262930389121314152324252627283132[[#This Row],[累计净值]]</f>
        <v>1.01</v>
      </c>
      <c r="G37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9.6192384769539178E-3</v>
      </c>
    </row>
    <row r="38" spans="1:7" x14ac:dyDescent="0.2">
      <c r="A38" s="15">
        <v>44174</v>
      </c>
      <c r="B38" s="112">
        <v>1.0149999999999999</v>
      </c>
      <c r="C38" s="108">
        <f t="shared" si="6"/>
        <v>4.9999999999998934E-3</v>
      </c>
      <c r="D38" s="109" t="str">
        <f t="shared" si="5"/>
        <v>/</v>
      </c>
      <c r="E38" s="109">
        <f ca="1">IF(表2_36716262930389121314152324252627283132[[#This Row],[累计净值]]/MAX(INDIRECT("B21:B" &amp; ROW()))-1&lt;E37,表2_36716262930389121314152324252627283132[[#This Row],[累计净值]]/MAX(INDIRECT("B21:B" &amp; ROW()))-1,E37)</f>
        <v>-6.0000000000000053E-3</v>
      </c>
      <c r="F38" s="110">
        <f>表2_36716262930389121314152324252627283132[[#This Row],[累计净值]]</f>
        <v>1.0149999999999999</v>
      </c>
      <c r="G38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1.3627254509017916E-2</v>
      </c>
    </row>
    <row r="39" spans="1:7" x14ac:dyDescent="0.2">
      <c r="A39" s="15">
        <v>44175</v>
      </c>
      <c r="B39" s="112">
        <v>1.0169999999999999</v>
      </c>
      <c r="C39" s="108">
        <f t="shared" si="6"/>
        <v>2.0000000000000018E-3</v>
      </c>
      <c r="D39" s="109" t="str">
        <f t="shared" ref="D39:D44" si="7">IF(C39&lt;0,C39,"/")</f>
        <v>/</v>
      </c>
      <c r="E39" s="109">
        <f ca="1">IF(表2_36716262930389121314152324252627283132[[#This Row],[累计净值]]/MAX(INDIRECT("B21:B" &amp; ROW()))-1&lt;E38,表2_36716262930389121314152324252627283132[[#This Row],[累计净值]]/MAX(INDIRECT("B21:B" &amp; ROW()))-1,E38)</f>
        <v>-6.0000000000000053E-3</v>
      </c>
      <c r="F39" s="110">
        <f>表2_36716262930389121314152324252627283132[[#This Row],[累计净值]]</f>
        <v>1.0169999999999999</v>
      </c>
      <c r="G39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1.5230460921843658E-2</v>
      </c>
    </row>
    <row r="40" spans="1:7" x14ac:dyDescent="0.2">
      <c r="A40" s="15">
        <v>44176</v>
      </c>
      <c r="B40" s="112">
        <v>1.028</v>
      </c>
      <c r="C40" s="108">
        <f t="shared" si="6"/>
        <v>1.1000000000000121E-2</v>
      </c>
      <c r="D40" s="109" t="str">
        <f t="shared" si="7"/>
        <v>/</v>
      </c>
      <c r="E40" s="109">
        <f ca="1">IF(表2_36716262930389121314152324252627283132[[#This Row],[累计净值]]/MAX(INDIRECT("B21:B" &amp; ROW()))-1&lt;E39,表2_36716262930389121314152324252627283132[[#This Row],[累计净值]]/MAX(INDIRECT("B21:B" &amp; ROW()))-1,E39)</f>
        <v>-6.0000000000000053E-3</v>
      </c>
      <c r="F40" s="110">
        <f>表2_36716262930389121314152324252627283132[[#This Row],[累计净值]]</f>
        <v>1.028</v>
      </c>
      <c r="G40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2.4048096192384707E-2</v>
      </c>
    </row>
    <row r="41" spans="1:7" x14ac:dyDescent="0.2">
      <c r="A41" s="15">
        <v>44179</v>
      </c>
      <c r="B41" s="112">
        <v>1.0209999999999999</v>
      </c>
      <c r="C41" s="108">
        <f t="shared" ref="C41:C46" si="8">IFERROR(B41-B40,0)</f>
        <v>-7.0000000000001172E-3</v>
      </c>
      <c r="D41" s="109">
        <f t="shared" si="7"/>
        <v>-7.0000000000001172E-3</v>
      </c>
      <c r="E41" s="109">
        <f ca="1">IF(表2_36716262930389121314152324252627283132[[#This Row],[累计净值]]/MAX(INDIRECT("B21:B" &amp; ROW()))-1&lt;E40,表2_36716262930389121314152324252627283132[[#This Row],[累计净值]]/MAX(INDIRECT("B21:B" &amp; ROW()))-1,E40)</f>
        <v>-6.809338521400865E-3</v>
      </c>
      <c r="F41" s="110">
        <f>表2_36716262930389121314152324252627283132[[#This Row],[累计净值]]</f>
        <v>1.0209999999999999</v>
      </c>
      <c r="G41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1.8436873747494965E-2</v>
      </c>
    </row>
    <row r="42" spans="1:7" x14ac:dyDescent="0.2">
      <c r="A42" s="15">
        <v>44180</v>
      </c>
      <c r="B42" s="112">
        <v>1.016</v>
      </c>
      <c r="C42" s="108">
        <f t="shared" si="8"/>
        <v>-4.9999999999998934E-3</v>
      </c>
      <c r="D42" s="109">
        <f t="shared" si="7"/>
        <v>-4.9999999999998934E-3</v>
      </c>
      <c r="E42" s="109">
        <f ca="1">IF(表2_36716262930389121314152324252627283132[[#This Row],[累计净值]]/MAX(INDIRECT("B21:B" &amp; ROW()))-1&lt;E41,表2_36716262930389121314152324252627283132[[#This Row],[累计净值]]/MAX(INDIRECT("B21:B" &amp; ROW()))-1,E41)</f>
        <v>-1.1673151750972721E-2</v>
      </c>
      <c r="F42" s="110">
        <f>表2_36716262930389121314152324252627283132[[#This Row],[累计净值]]</f>
        <v>1.016</v>
      </c>
      <c r="G42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1.4428857715430787E-2</v>
      </c>
    </row>
    <row r="43" spans="1:7" x14ac:dyDescent="0.2">
      <c r="A43" s="15">
        <v>44181</v>
      </c>
      <c r="B43" s="112">
        <v>1.0209999999999999</v>
      </c>
      <c r="C43" s="108">
        <f t="shared" si="8"/>
        <v>4.9999999999998934E-3</v>
      </c>
      <c r="D43" s="109" t="str">
        <f t="shared" si="7"/>
        <v>/</v>
      </c>
      <c r="E43" s="109">
        <f ca="1">IF(表2_36716262930389121314152324252627283132[[#This Row],[累计净值]]/MAX(INDIRECT("B21:B" &amp; ROW()))-1&lt;E42,表2_36716262930389121314152324252627283132[[#This Row],[累计净值]]/MAX(INDIRECT("B21:B" &amp; ROW()))-1,E42)</f>
        <v>-1.1673151750972721E-2</v>
      </c>
      <c r="F43" s="110">
        <f>表2_36716262930389121314152324252627283132[[#This Row],[累计净值]]</f>
        <v>1.0209999999999999</v>
      </c>
      <c r="G43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1.8436873747494965E-2</v>
      </c>
    </row>
    <row r="44" spans="1:7" x14ac:dyDescent="0.2">
      <c r="A44" s="15">
        <v>44182</v>
      </c>
      <c r="B44" s="112">
        <v>1.0229999999999999</v>
      </c>
      <c r="C44" s="108">
        <f t="shared" si="8"/>
        <v>2.0000000000000018E-3</v>
      </c>
      <c r="D44" s="109" t="str">
        <f t="shared" si="7"/>
        <v>/</v>
      </c>
      <c r="E44" s="109">
        <f ca="1">IF(表2_36716262930389121314152324252627283132[[#This Row],[累计净值]]/MAX(INDIRECT("B21:B" &amp; ROW()))-1&lt;E43,表2_36716262930389121314152324252627283132[[#This Row],[累计净值]]/MAX(INDIRECT("B21:B" &amp; ROW()))-1,E43)</f>
        <v>-1.1673151750972721E-2</v>
      </c>
      <c r="F44" s="110">
        <f>表2_36716262930389121314152324252627283132[[#This Row],[累计净值]]</f>
        <v>1.0229999999999999</v>
      </c>
      <c r="G44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2.0040080160320529E-2</v>
      </c>
    </row>
    <row r="45" spans="1:7" x14ac:dyDescent="0.2">
      <c r="A45" s="15">
        <v>44183</v>
      </c>
      <c r="B45" s="112">
        <v>1.034</v>
      </c>
      <c r="C45" s="108">
        <f t="shared" si="8"/>
        <v>1.1000000000000121E-2</v>
      </c>
      <c r="D45" s="109" t="str">
        <f>IF(C45&lt;0,C45,"/")</f>
        <v>/</v>
      </c>
      <c r="E45" s="109">
        <f ca="1">IF(表2_36716262930389121314152324252627283132[[#This Row],[累计净值]]/MAX(INDIRECT("B21:B" &amp; ROW()))-1&lt;E44,表2_36716262930389121314152324252627283132[[#This Row],[累计净值]]/MAX(INDIRECT("B21:B" &amp; ROW()))-1,E44)</f>
        <v>-1.1673151750972721E-2</v>
      </c>
      <c r="F45" s="110">
        <f>表2_36716262930389121314152324252627283132[[#This Row],[累计净值]]</f>
        <v>1.034</v>
      </c>
      <c r="G45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2.8857715430861755E-2</v>
      </c>
    </row>
    <row r="46" spans="1:7" x14ac:dyDescent="0.2">
      <c r="A46" s="15">
        <v>44186</v>
      </c>
      <c r="B46" s="117">
        <v>1.044</v>
      </c>
      <c r="C46" s="108">
        <f t="shared" si="8"/>
        <v>1.0000000000000009E-2</v>
      </c>
      <c r="D46" s="109" t="str">
        <f>IF(C46&lt;0,C46,"/")</f>
        <v>/</v>
      </c>
      <c r="E46" s="109">
        <f ca="1">IF(表2_36716262930389121314152324252627283132[[#This Row],[累计净值]]/MAX(INDIRECT("B21:B" &amp; ROW()))-1&lt;E45,表2_36716262930389121314152324252627283132[[#This Row],[累计净值]]/MAX(INDIRECT("B21:B" &amp; ROW()))-1,E45)</f>
        <v>-1.1673151750972721E-2</v>
      </c>
      <c r="F46" s="110">
        <f>表2_36716262930389121314152324252627283132[[#This Row],[累计净值]]</f>
        <v>1.044</v>
      </c>
      <c r="G46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3.6873747494989929E-2</v>
      </c>
    </row>
    <row r="47" spans="1:7" x14ac:dyDescent="0.2">
      <c r="A47" s="15">
        <v>44187</v>
      </c>
      <c r="B47" s="112">
        <v>1.0329999999999999</v>
      </c>
      <c r="C47" s="108">
        <f>IFERROR(B47-B46,0)</f>
        <v>-1.1000000000000121E-2</v>
      </c>
      <c r="D47" s="109">
        <f>IF(C47&lt;0,C47,"/")</f>
        <v>-1.1000000000000121E-2</v>
      </c>
      <c r="E47" s="109">
        <f ca="1">IF(表2_36716262930389121314152324252627283132[[#This Row],[累计净值]]/MAX(INDIRECT("B21:B" &amp; ROW()))-1&lt;E46,表2_36716262930389121314152324252627283132[[#This Row],[累计净值]]/MAX(INDIRECT("B21:B" &amp; ROW()))-1,E46)</f>
        <v>-1.1673151750972721E-2</v>
      </c>
      <c r="F47" s="110">
        <f>表2_36716262930389121314152324252627283132[[#This Row],[累计净值]]</f>
        <v>1.0329999999999999</v>
      </c>
      <c r="G47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2.8056112224448884E-2</v>
      </c>
    </row>
    <row r="48" spans="1:7" x14ac:dyDescent="0.2">
      <c r="A48" s="15">
        <v>44188</v>
      </c>
      <c r="B48" s="112">
        <v>1.016</v>
      </c>
      <c r="C48" s="108">
        <f>IFERROR(B48-B47,0)</f>
        <v>-1.6999999999999904E-2</v>
      </c>
      <c r="D48" s="109">
        <f>IF(C48&lt;0,C48,"/")</f>
        <v>-1.6999999999999904E-2</v>
      </c>
      <c r="E48" s="109">
        <f ca="1">IF(表2_36716262930389121314152324252627283132[[#This Row],[累计净值]]/MAX(INDIRECT("B21:B" &amp; ROW()))-1&lt;E47,表2_36716262930389121314152324252627283132[[#This Row],[累计净值]]/MAX(INDIRECT("B21:B" &amp; ROW()))-1,E47)</f>
        <v>-2.6819923371647514E-2</v>
      </c>
      <c r="F48" s="110">
        <f>表2_36716262930389121314152324252627283132[[#This Row],[累计净值]]</f>
        <v>1.016</v>
      </c>
      <c r="G48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1.4428857715430787E-2</v>
      </c>
    </row>
    <row r="49" spans="1:9" x14ac:dyDescent="0.2">
      <c r="A49" s="15">
        <v>44189</v>
      </c>
      <c r="B49" s="112">
        <v>1.0209999999999999</v>
      </c>
      <c r="C49" s="108">
        <f t="shared" ref="C49:C50" si="9">IFERROR(B49-B48,0)</f>
        <v>4.9999999999998934E-3</v>
      </c>
      <c r="D49" s="109" t="str">
        <f t="shared" ref="D49:D50" si="10">IF(C49&lt;0,C49,"/")</f>
        <v>/</v>
      </c>
      <c r="E49" s="109">
        <f ca="1">IF(表2_36716262930389121314152324252627283132[[#This Row],[累计净值]]/MAX(INDIRECT("B21:B" &amp; ROW()))-1&lt;E48,表2_36716262930389121314152324252627283132[[#This Row],[累计净值]]/MAX(INDIRECT("B21:B" &amp; ROW()))-1,E48)</f>
        <v>-2.6819923371647514E-2</v>
      </c>
      <c r="F49" s="110">
        <f>表2_36716262930389121314152324252627283132[[#This Row],[累计净值]]</f>
        <v>1.0209999999999999</v>
      </c>
      <c r="G49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1.8436873747494965E-2</v>
      </c>
    </row>
    <row r="50" spans="1:9" x14ac:dyDescent="0.2">
      <c r="A50" s="15">
        <v>44190</v>
      </c>
      <c r="B50" s="208">
        <v>1.0189999999999999</v>
      </c>
      <c r="C50" s="108">
        <f t="shared" si="9"/>
        <v>-2.0000000000000018E-3</v>
      </c>
      <c r="D50" s="109">
        <f t="shared" si="10"/>
        <v>-2.0000000000000018E-3</v>
      </c>
      <c r="E50" s="109">
        <f ca="1">IF(表2_36716262930389121314152324252627283132[[#This Row],[累计净值]]/MAX(INDIRECT("B21:B" &amp; ROW()))-1&lt;E49,表2_36716262930389121314152324252627283132[[#This Row],[累计净值]]/MAX(INDIRECT("B21:B" &amp; ROW()))-1,E49)</f>
        <v>-2.6819923371647514E-2</v>
      </c>
      <c r="F50" s="110">
        <f>表2_36716262930389121314152324252627283132[[#This Row],[累计净值]]</f>
        <v>1.0189999999999999</v>
      </c>
      <c r="G50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1.6833667334669223E-2</v>
      </c>
    </row>
    <row r="51" spans="1:9" x14ac:dyDescent="0.2">
      <c r="A51" s="15">
        <v>44193</v>
      </c>
      <c r="B51" s="208">
        <v>1.018</v>
      </c>
      <c r="C51" s="108">
        <f>IFERROR(B51-B50,0)</f>
        <v>-9.9999999999988987E-4</v>
      </c>
      <c r="D51" s="109">
        <f>IF(C51&lt;0,C51,"/")</f>
        <v>-9.9999999999988987E-4</v>
      </c>
      <c r="E51" s="109">
        <f ca="1">IF(表2_36716262930389121314152324252627283132[[#This Row],[累计净值]]/MAX(INDIRECT("B21:B" &amp; ROW()))-1&lt;E50,表2_36716262930389121314152324252627283132[[#This Row],[累计净值]]/MAX(INDIRECT("B21:B" &amp; ROW()))-1,E50)</f>
        <v>-2.6819923371647514E-2</v>
      </c>
      <c r="F51" s="110">
        <f>表2_36716262930389121314152324252627283132[[#This Row],[累计净值]]</f>
        <v>1.018</v>
      </c>
      <c r="G51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1.6032064128256529E-2</v>
      </c>
    </row>
    <row r="52" spans="1:9" x14ac:dyDescent="0.2">
      <c r="A52" s="15">
        <v>44194</v>
      </c>
      <c r="B52" s="112">
        <v>1.0189999999999999</v>
      </c>
      <c r="C52" s="108">
        <f>IFERROR(B52-B51,0)</f>
        <v>9.9999999999988987E-4</v>
      </c>
      <c r="D52" s="109" t="str">
        <f>IF(C52&lt;0,C52,"/")</f>
        <v>/</v>
      </c>
      <c r="E52" s="109">
        <f ca="1">IF(表2_36716262930389121314152324252627283132[[#This Row],[累计净值]]/MAX(INDIRECT("B21:B" &amp; ROW()))-1&lt;E51,表2_36716262930389121314152324252627283132[[#This Row],[累计净值]]/MAX(INDIRECT("B21:B" &amp; ROW()))-1,E51)</f>
        <v>-2.6819923371647514E-2</v>
      </c>
      <c r="F52" s="110">
        <f>表2_36716262930389121314152324252627283132[[#This Row],[累计净值]]</f>
        <v>1.0189999999999999</v>
      </c>
      <c r="G52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1.6833667334669223E-2</v>
      </c>
    </row>
    <row r="53" spans="1:9" x14ac:dyDescent="0.2">
      <c r="A53" s="15">
        <v>44195</v>
      </c>
      <c r="B53" s="112">
        <v>1.016</v>
      </c>
      <c r="C53" s="108">
        <f t="shared" ref="C53:C54" si="11">IFERROR(B53-B52,0)</f>
        <v>-2.9999999999998916E-3</v>
      </c>
      <c r="D53" s="109">
        <f t="shared" ref="D53:D54" si="12">IF(C53&lt;0,C53,"/")</f>
        <v>-2.9999999999998916E-3</v>
      </c>
      <c r="E53" s="109">
        <f ca="1">IF(表2_36716262930389121314152324252627283132[[#This Row],[累计净值]]/MAX(INDIRECT("B21:B" &amp; ROW()))-1&lt;E52,表2_36716262930389121314152324252627283132[[#This Row],[累计净值]]/MAX(INDIRECT("B21:B" &amp; ROW()))-1,E52)</f>
        <v>-2.6819923371647514E-2</v>
      </c>
      <c r="F53" s="110">
        <f>表2_36716262930389121314152324252627283132[[#This Row],[累计净值]]</f>
        <v>1.016</v>
      </c>
      <c r="G53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1.4428857715430787E-2</v>
      </c>
    </row>
    <row r="54" spans="1:9" x14ac:dyDescent="0.2">
      <c r="A54" s="15">
        <v>44196</v>
      </c>
      <c r="B54" s="112">
        <v>1.0209999999999999</v>
      </c>
      <c r="C54" s="108">
        <f t="shared" si="11"/>
        <v>4.9999999999998934E-3</v>
      </c>
      <c r="D54" s="109" t="str">
        <f t="shared" si="12"/>
        <v>/</v>
      </c>
      <c r="E54" s="109">
        <f ca="1">IF(表2_36716262930389121314152324252627283132[[#This Row],[累计净值]]/MAX(INDIRECT("B21:B" &amp; ROW()))-1&lt;E53,表2_36716262930389121314152324252627283132[[#This Row],[累计净值]]/MAX(INDIRECT("B21:B" &amp; ROW()))-1,E53)</f>
        <v>-2.6819923371647514E-2</v>
      </c>
      <c r="F54" s="110">
        <f>表2_36716262930389121314152324252627283132[[#This Row],[累计净值]]</f>
        <v>1.0209999999999999</v>
      </c>
      <c r="G54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1.8436873747494965E-2</v>
      </c>
      <c r="I54" s="210" t="s">
        <v>47</v>
      </c>
    </row>
    <row r="55" spans="1:9" x14ac:dyDescent="0.2">
      <c r="A55" s="15">
        <v>44200</v>
      </c>
      <c r="B55" s="112">
        <v>1.0289999999999999</v>
      </c>
      <c r="C55" s="108">
        <f>IFERROR(B55-B54,0)</f>
        <v>8.0000000000000071E-3</v>
      </c>
      <c r="D55" s="109" t="str">
        <f>IF(C55&lt;0,C55,"/")</f>
        <v>/</v>
      </c>
      <c r="E55" s="109">
        <f ca="1">IF(表2_36716262930389121314152324252627283132[[#This Row],[累计净值]]/MAX(INDIRECT("B21:B" &amp; ROW()))-1&lt;E54,表2_36716262930389121314152324252627283132[[#This Row],[累计净值]]/MAX(INDIRECT("B21:B" &amp; ROW()))-1,E54)</f>
        <v>-2.6819923371647514E-2</v>
      </c>
      <c r="F55" s="110">
        <f>表2_36716262930389121314152324252627283132[[#This Row],[累计净值]]</f>
        <v>1.0289999999999999</v>
      </c>
      <c r="G55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2.4849699398797578E-2</v>
      </c>
    </row>
    <row r="56" spans="1:9" x14ac:dyDescent="0.2">
      <c r="A56" s="15">
        <v>44201</v>
      </c>
      <c r="B56" s="112">
        <v>1.024</v>
      </c>
      <c r="C56" s="108">
        <f>IFERROR(B56-B55,0)</f>
        <v>-4.9999999999998934E-3</v>
      </c>
      <c r="D56" s="109">
        <f>IF(C56&lt;0,C56,"/")</f>
        <v>-4.9999999999998934E-3</v>
      </c>
      <c r="E56" s="109">
        <f ca="1">IF(表2_36716262930389121314152324252627283132[[#This Row],[累计净值]]/MAX(INDIRECT("B21:B" &amp; ROW()))-1&lt;E55,表2_36716262930389121314152324252627283132[[#This Row],[累计净值]]/MAX(INDIRECT("B21:B" &amp; ROW()))-1,E55)</f>
        <v>-2.6819923371647514E-2</v>
      </c>
      <c r="F56" s="110">
        <f>表2_36716262930389121314152324252627283132[[#This Row],[累计净值]]</f>
        <v>1.024</v>
      </c>
      <c r="G56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2.08416833667334E-2</v>
      </c>
    </row>
    <row r="57" spans="1:9" x14ac:dyDescent="0.2">
      <c r="A57" s="15">
        <v>44202</v>
      </c>
      <c r="B57" s="112">
        <v>1.0329999999999999</v>
      </c>
      <c r="C57" s="108">
        <f>IFERROR(B57-B56,0)</f>
        <v>8.999999999999897E-3</v>
      </c>
      <c r="D57" s="109" t="str">
        <f>IF(C57&lt;0,C57,"/")</f>
        <v>/</v>
      </c>
      <c r="E57" s="109">
        <f ca="1">IF(表2_36716262930389121314152324252627283132[[#This Row],[累计净值]]/MAX(INDIRECT("B21:B" &amp; ROW()))-1&lt;E56,表2_36716262930389121314152324252627283132[[#This Row],[累计净值]]/MAX(INDIRECT("B21:B" &amp; ROW()))-1,E56)</f>
        <v>-2.6819923371647514E-2</v>
      </c>
      <c r="F57" s="110">
        <f>表2_36716262930389121314152324252627283132[[#This Row],[累计净值]]</f>
        <v>1.0329999999999999</v>
      </c>
      <c r="G57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2.8056112224448884E-2</v>
      </c>
    </row>
    <row r="58" spans="1:9" x14ac:dyDescent="0.2">
      <c r="A58" s="15">
        <v>44203</v>
      </c>
      <c r="B58" s="112">
        <v>1.0409999999999999</v>
      </c>
      <c r="C58" s="108">
        <f t="shared" ref="C58:C59" si="13">IFERROR(B58-B57,0)</f>
        <v>8.0000000000000071E-3</v>
      </c>
      <c r="D58" s="109" t="str">
        <f t="shared" ref="D58:D59" si="14">IF(C58&lt;0,C58,"/")</f>
        <v>/</v>
      </c>
      <c r="E58" s="109">
        <f ca="1">IF(表2_36716262930389121314152324252627283132[[#This Row],[累计净值]]/MAX(INDIRECT("B21:B" &amp; ROW()))-1&lt;E57,表2_36716262930389121314152324252627283132[[#This Row],[累计净值]]/MAX(INDIRECT("B21:B" &amp; ROW()))-1,E57)</f>
        <v>-2.6819923371647514E-2</v>
      </c>
      <c r="F58" s="110">
        <f>表2_36716262930389121314152324252627283132[[#This Row],[累计净值]]</f>
        <v>1.0409999999999999</v>
      </c>
      <c r="G58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3.4468937875751497E-2</v>
      </c>
    </row>
    <row r="59" spans="1:9" x14ac:dyDescent="0.2">
      <c r="A59" s="15">
        <v>44204</v>
      </c>
      <c r="B59" s="112">
        <v>1.0409999999999999</v>
      </c>
      <c r="C59" s="108">
        <f t="shared" si="13"/>
        <v>0</v>
      </c>
      <c r="D59" s="109" t="str">
        <f t="shared" si="14"/>
        <v>/</v>
      </c>
      <c r="E59" s="109">
        <f ca="1">IF(表2_36716262930389121314152324252627283132[[#This Row],[累计净值]]/MAX(INDIRECT("B21:B" &amp; ROW()))-1&lt;E58,表2_36716262930389121314152324252627283132[[#This Row],[累计净值]]/MAX(INDIRECT("B21:B" &amp; ROW()))-1,E58)</f>
        <v>-2.6819923371647514E-2</v>
      </c>
      <c r="F59" s="110">
        <f>表2_36716262930389121314152324252627283132[[#This Row],[累计净值]]</f>
        <v>1.0409999999999999</v>
      </c>
      <c r="G59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3.4468937875751497E-2</v>
      </c>
    </row>
    <row r="60" spans="1:9" x14ac:dyDescent="0.2">
      <c r="A60" s="15">
        <v>44207</v>
      </c>
      <c r="B60" s="112">
        <v>1.0389999999999999</v>
      </c>
      <c r="C60" s="108">
        <f t="shared" ref="C60:C66" si="15">IFERROR(B60-B59,0)</f>
        <v>-2.0000000000000018E-3</v>
      </c>
      <c r="D60" s="109">
        <f t="shared" ref="D60:D66" si="16">IF(C60&lt;0,C60,"/")</f>
        <v>-2.0000000000000018E-3</v>
      </c>
      <c r="E60" s="109">
        <f ca="1">IF(表2_36716262930389121314152324252627283132[[#This Row],[累计净值]]/MAX(INDIRECT("B21:B" &amp; ROW()))-1&lt;E59,表2_36716262930389121314152324252627283132[[#This Row],[累计净值]]/MAX(INDIRECT("B21:B" &amp; ROW()))-1,E59)</f>
        <v>-2.6819923371647514E-2</v>
      </c>
      <c r="F60" s="110">
        <f>表2_36716262930389121314152324252627283132[[#This Row],[累计净值]]</f>
        <v>1.0389999999999999</v>
      </c>
      <c r="G60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3.2865731462925755E-2</v>
      </c>
    </row>
    <row r="61" spans="1:9" x14ac:dyDescent="0.2">
      <c r="A61" s="15">
        <v>44208</v>
      </c>
      <c r="B61" s="112">
        <v>1.032</v>
      </c>
      <c r="C61" s="108">
        <f t="shared" si="15"/>
        <v>-6.9999999999998952E-3</v>
      </c>
      <c r="D61" s="109">
        <f t="shared" si="16"/>
        <v>-6.9999999999998952E-3</v>
      </c>
      <c r="E61" s="109">
        <f ca="1">IF(表2_36716262930389121314152324252627283132[[#This Row],[累计净值]]/MAX(INDIRECT("B21:B" &amp; ROW()))-1&lt;E60,表2_36716262930389121314152324252627283132[[#This Row],[累计净值]]/MAX(INDIRECT("B21:B" &amp; ROW()))-1,E60)</f>
        <v>-2.6819923371647514E-2</v>
      </c>
      <c r="F61" s="110">
        <f>表2_36716262930389121314152324252627283132[[#This Row],[累计净值]]</f>
        <v>1.032</v>
      </c>
      <c r="G61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2.7254509018036013E-2</v>
      </c>
    </row>
    <row r="62" spans="1:9" x14ac:dyDescent="0.2">
      <c r="A62" s="15">
        <v>44209</v>
      </c>
      <c r="B62" s="112">
        <v>1.0389999999999999</v>
      </c>
      <c r="C62" s="108">
        <f t="shared" si="15"/>
        <v>6.9999999999998952E-3</v>
      </c>
      <c r="D62" s="109" t="str">
        <f t="shared" si="16"/>
        <v>/</v>
      </c>
      <c r="E62" s="109">
        <f ca="1">IF(表2_36716262930389121314152324252627283132[[#This Row],[累计净值]]/MAX(INDIRECT("B21:B" &amp; ROW()))-1&lt;E61,表2_36716262930389121314152324252627283132[[#This Row],[累计净值]]/MAX(INDIRECT("B21:B" &amp; ROW()))-1,E61)</f>
        <v>-2.6819923371647514E-2</v>
      </c>
      <c r="F62" s="110">
        <f>表2_36716262930389121314152324252627283132[[#This Row],[累计净值]]</f>
        <v>1.0389999999999999</v>
      </c>
      <c r="G62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3.2865731462925755E-2</v>
      </c>
    </row>
    <row r="63" spans="1:9" x14ac:dyDescent="0.2">
      <c r="A63" s="15">
        <v>44210</v>
      </c>
      <c r="B63" s="112">
        <v>1.0389999999999999</v>
      </c>
      <c r="C63" s="108">
        <f t="shared" si="15"/>
        <v>0</v>
      </c>
      <c r="D63" s="109" t="str">
        <f t="shared" si="16"/>
        <v>/</v>
      </c>
      <c r="E63" s="109">
        <f ca="1">IF(表2_36716262930389121314152324252627283132[[#This Row],[累计净值]]/MAX(INDIRECT("B21:B" &amp; ROW()))-1&lt;E62,表2_36716262930389121314152324252627283132[[#This Row],[累计净值]]/MAX(INDIRECT("B21:B" &amp; ROW()))-1,E62)</f>
        <v>-2.6819923371647514E-2</v>
      </c>
      <c r="F63" s="110">
        <f>表2_36716262930389121314152324252627283132[[#This Row],[累计净值]]</f>
        <v>1.0389999999999999</v>
      </c>
      <c r="G63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3.2865731462925755E-2</v>
      </c>
    </row>
    <row r="64" spans="1:9" x14ac:dyDescent="0.2">
      <c r="A64" s="15">
        <v>44211</v>
      </c>
      <c r="B64" s="112">
        <v>1.034</v>
      </c>
      <c r="C64" s="108">
        <f t="shared" si="15"/>
        <v>-4.9999999999998934E-3</v>
      </c>
      <c r="D64" s="109">
        <f t="shared" si="16"/>
        <v>-4.9999999999998934E-3</v>
      </c>
      <c r="E64" s="109">
        <f ca="1">IF(表2_36716262930389121314152324252627283132[[#This Row],[累计净值]]/MAX(INDIRECT("B21:B" &amp; ROW()))-1&lt;E63,表2_36716262930389121314152324252627283132[[#This Row],[累计净值]]/MAX(INDIRECT("B21:B" &amp; ROW()))-1,E63)</f>
        <v>-2.6819923371647514E-2</v>
      </c>
      <c r="F64" s="110">
        <f>表2_36716262930389121314152324252627283132[[#This Row],[累计净值]]</f>
        <v>1.034</v>
      </c>
      <c r="G64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2.8857715430861755E-2</v>
      </c>
    </row>
    <row r="65" spans="1:7" x14ac:dyDescent="0.2">
      <c r="A65" s="15">
        <v>44214</v>
      </c>
      <c r="B65" s="112">
        <v>1.0349999999999999</v>
      </c>
      <c r="C65" s="108">
        <f t="shared" si="15"/>
        <v>9.9999999999988987E-4</v>
      </c>
      <c r="D65" s="109" t="str">
        <f t="shared" si="16"/>
        <v>/</v>
      </c>
      <c r="E65" s="109">
        <f ca="1">IF(表2_36716262930389121314152324252627283132[[#This Row],[累计净值]]/MAX(INDIRECT("B21:B" &amp; ROW()))-1&lt;E64,表2_36716262930389121314152324252627283132[[#This Row],[累计净值]]/MAX(INDIRECT("B21:B" &amp; ROW()))-1,E64)</f>
        <v>-2.6819923371647514E-2</v>
      </c>
      <c r="F65" s="110">
        <f>表2_36716262930389121314152324252627283132[[#This Row],[累计净值]]</f>
        <v>1.0349999999999999</v>
      </c>
      <c r="G65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2.9659318637274446E-2</v>
      </c>
    </row>
    <row r="66" spans="1:7" x14ac:dyDescent="0.2">
      <c r="A66" s="15">
        <v>44215</v>
      </c>
      <c r="B66" s="112">
        <v>1.034</v>
      </c>
      <c r="C66" s="108">
        <f t="shared" si="15"/>
        <v>-9.9999999999988987E-4</v>
      </c>
      <c r="D66" s="109">
        <f t="shared" si="16"/>
        <v>-9.9999999999988987E-4</v>
      </c>
      <c r="E66" s="109">
        <f ca="1">IF(表2_36716262930389121314152324252627283132[[#This Row],[累计净值]]/MAX(INDIRECT("B21:B" &amp; ROW()))-1&lt;E65,表2_36716262930389121314152324252627283132[[#This Row],[累计净值]]/MAX(INDIRECT("B21:B" &amp; ROW()))-1,E65)</f>
        <v>-2.6819923371647514E-2</v>
      </c>
      <c r="F66" s="110">
        <f>表2_36716262930389121314152324252627283132[[#This Row],[累计净值]]</f>
        <v>1.034</v>
      </c>
      <c r="G66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2.8857715430861755E-2</v>
      </c>
    </row>
    <row r="67" spans="1:7" x14ac:dyDescent="0.2">
      <c r="A67" s="15">
        <v>44216</v>
      </c>
      <c r="B67" s="112">
        <v>1.042</v>
      </c>
      <c r="C67" s="108">
        <f t="shared" ref="C67:C72" si="17">IFERROR(B67-B66,0)</f>
        <v>8.0000000000000071E-3</v>
      </c>
      <c r="D67" s="109" t="str">
        <f t="shared" ref="D67:D72" si="18">IF(C67&lt;0,C67,"/")</f>
        <v>/</v>
      </c>
      <c r="E67" s="109">
        <f ca="1">IF(表2_36716262930389121314152324252627283132[[#This Row],[累计净值]]/MAX(INDIRECT("B21:B" &amp; ROW()))-1&lt;E66,表2_36716262930389121314152324252627283132[[#This Row],[累计净值]]/MAX(INDIRECT("B21:B" &amp; ROW()))-1,E66)</f>
        <v>-2.6819923371647514E-2</v>
      </c>
      <c r="F67" s="110">
        <f>表2_36716262930389121314152324252627283132[[#This Row],[累计净值]]</f>
        <v>1.042</v>
      </c>
      <c r="G67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3.5270541082164368E-2</v>
      </c>
    </row>
    <row r="68" spans="1:7" x14ac:dyDescent="0.2">
      <c r="A68" s="15">
        <v>44217</v>
      </c>
      <c r="B68" s="112">
        <v>1.048</v>
      </c>
      <c r="C68" s="108">
        <f t="shared" si="17"/>
        <v>6.0000000000000053E-3</v>
      </c>
      <c r="D68" s="109" t="str">
        <f t="shared" si="18"/>
        <v>/</v>
      </c>
      <c r="E68" s="109">
        <f ca="1">IF(表2_36716262930389121314152324252627283132[[#This Row],[累计净值]]/MAX(INDIRECT("B21:B" &amp; ROW()))-1&lt;E67,表2_36716262930389121314152324252627283132[[#This Row],[累计净值]]/MAX(INDIRECT("B21:B" &amp; ROW()))-1,E67)</f>
        <v>-2.6819923371647514E-2</v>
      </c>
      <c r="F68" s="110">
        <f>表2_36716262930389121314152324252627283132[[#This Row],[累计净值]]</f>
        <v>1.048</v>
      </c>
      <c r="G68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4.0080160320641239E-2</v>
      </c>
    </row>
    <row r="69" spans="1:7" x14ac:dyDescent="0.2">
      <c r="A69" s="15">
        <v>44218</v>
      </c>
      <c r="B69" s="112">
        <v>1.0389999999999999</v>
      </c>
      <c r="C69" s="108">
        <f t="shared" si="17"/>
        <v>-9.000000000000119E-3</v>
      </c>
      <c r="D69" s="109">
        <f t="shared" si="18"/>
        <v>-9.000000000000119E-3</v>
      </c>
      <c r="E69" s="109">
        <f ca="1">IF(表2_36716262930389121314152324252627283132[[#This Row],[累计净值]]/MAX(INDIRECT("B21:B" &amp; ROW()))-1&lt;E68,表2_36716262930389121314152324252627283132[[#This Row],[累计净值]]/MAX(INDIRECT("B21:B" &amp; ROW()))-1,E68)</f>
        <v>-2.6819923371647514E-2</v>
      </c>
      <c r="F69" s="110">
        <f>表2_36716262930389121314152324252627283132[[#This Row],[累计净值]]</f>
        <v>1.0389999999999999</v>
      </c>
      <c r="G69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3.2865731462925755E-2</v>
      </c>
    </row>
    <row r="70" spans="1:7" x14ac:dyDescent="0.2">
      <c r="A70" s="15">
        <v>44221</v>
      </c>
      <c r="B70" s="112">
        <v>1.056</v>
      </c>
      <c r="C70" s="108">
        <f t="shared" si="17"/>
        <v>1.7000000000000126E-2</v>
      </c>
      <c r="D70" s="109" t="str">
        <f t="shared" si="18"/>
        <v>/</v>
      </c>
      <c r="E70" s="109">
        <f ca="1">IF(表2_36716262930389121314152324252627283132[[#This Row],[累计净值]]/MAX(INDIRECT("B21:B" &amp; ROW()))-1&lt;E69,表2_36716262930389121314152324252627283132[[#This Row],[累计净值]]/MAX(INDIRECT("B21:B" &amp; ROW()))-1,E69)</f>
        <v>-2.6819923371647514E-2</v>
      </c>
      <c r="F70" s="110">
        <f>表2_36716262930389121314152324252627283132[[#This Row],[累计净值]]</f>
        <v>1.056</v>
      </c>
      <c r="G70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4.6492985971943845E-2</v>
      </c>
    </row>
    <row r="71" spans="1:7" x14ac:dyDescent="0.2">
      <c r="A71" s="9">
        <v>44222</v>
      </c>
      <c r="B71" s="117">
        <v>1.0580000000000001</v>
      </c>
      <c r="C71" s="191">
        <f t="shared" si="17"/>
        <v>2.0000000000000018E-3</v>
      </c>
      <c r="D71" s="192" t="str">
        <f t="shared" si="18"/>
        <v>/</v>
      </c>
      <c r="E71" s="192">
        <f ca="1">IF(表2_36716262930389121314152324252627283132[[#This Row],[累计净值]]/MAX(INDIRECT("B21:B" &amp; ROW()))-1&lt;E70,表2_36716262930389121314152324252627283132[[#This Row],[累计净值]]/MAX(INDIRECT("B21:B" &amp; ROW()))-1,E70)</f>
        <v>-2.6819923371647514E-2</v>
      </c>
      <c r="F71" s="193">
        <f>表2_36716262930389121314152324252627283132[[#This Row],[累计净值]]</f>
        <v>1.0580000000000001</v>
      </c>
      <c r="G71" s="82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4.8096192384769587E-2</v>
      </c>
    </row>
    <row r="72" spans="1:7" x14ac:dyDescent="0.2">
      <c r="A72" s="15">
        <v>44223</v>
      </c>
      <c r="B72" s="112">
        <v>1.056</v>
      </c>
      <c r="C72" s="108">
        <f t="shared" si="17"/>
        <v>-2.0000000000000018E-3</v>
      </c>
      <c r="D72" s="109">
        <f t="shared" si="18"/>
        <v>-2.0000000000000018E-3</v>
      </c>
      <c r="E72" s="109">
        <f ca="1">IF(表2_36716262930389121314152324252627283132[[#This Row],[累计净值]]/MAX(INDIRECT("B21:B" &amp; ROW()))-1&lt;E71,表2_36716262930389121314152324252627283132[[#This Row],[累计净值]]/MAX(INDIRECT("B21:B" &amp; ROW()))-1,E71)</f>
        <v>-2.6819923371647514E-2</v>
      </c>
      <c r="F72" s="110">
        <f>表2_36716262930389121314152324252627283132[[#This Row],[累计净值]]</f>
        <v>1.056</v>
      </c>
      <c r="G72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4.6492985971943845E-2</v>
      </c>
    </row>
    <row r="73" spans="1:7" x14ac:dyDescent="0.2">
      <c r="A73" s="15">
        <v>44224</v>
      </c>
      <c r="B73" s="112">
        <v>1.0429999999999999</v>
      </c>
      <c r="C73" s="108">
        <f t="shared" ref="C73:C78" si="19">IFERROR(B73-B72,0)</f>
        <v>-1.3000000000000123E-2</v>
      </c>
      <c r="D73" s="109">
        <f t="shared" ref="D73:D78" si="20">IF(C73&lt;0,C73,"/")</f>
        <v>-1.3000000000000123E-2</v>
      </c>
      <c r="E73" s="109">
        <f ca="1">IF(表2_36716262930389121314152324252627283132[[#This Row],[累计净值]]/MAX(INDIRECT("B21:B" &amp; ROW()))-1&lt;E72,表2_36716262930389121314152324252627283132[[#This Row],[累计净值]]/MAX(INDIRECT("B21:B" &amp; ROW()))-1,E72)</f>
        <v>-2.6819923371647514E-2</v>
      </c>
      <c r="F73" s="110">
        <f>表2_36716262930389121314152324252627283132[[#This Row],[累计净值]]</f>
        <v>1.0429999999999999</v>
      </c>
      <c r="G73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3.6072144288577059E-2</v>
      </c>
    </row>
    <row r="74" spans="1:7" x14ac:dyDescent="0.2">
      <c r="A74" s="15">
        <v>44225</v>
      </c>
      <c r="B74" s="112">
        <v>1.0429999999999999</v>
      </c>
      <c r="C74" s="108">
        <f t="shared" si="19"/>
        <v>0</v>
      </c>
      <c r="D74" s="109" t="str">
        <f t="shared" si="20"/>
        <v>/</v>
      </c>
      <c r="E74" s="109">
        <f ca="1">IF(表2_36716262930389121314152324252627283132[[#This Row],[累计净值]]/MAX(INDIRECT("B21:B" &amp; ROW()))-1&lt;E73,表2_36716262930389121314152324252627283132[[#This Row],[累计净值]]/MAX(INDIRECT("B21:B" &amp; ROW()))-1,E73)</f>
        <v>-2.6819923371647514E-2</v>
      </c>
      <c r="F74" s="110">
        <f>表2_36716262930389121314152324252627283132[[#This Row],[累计净值]]</f>
        <v>1.0429999999999999</v>
      </c>
      <c r="G74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3.6072144288577059E-2</v>
      </c>
    </row>
    <row r="75" spans="1:7" x14ac:dyDescent="0.2">
      <c r="A75" s="15">
        <v>44228</v>
      </c>
      <c r="B75" s="112">
        <v>1.0449999999999999</v>
      </c>
      <c r="C75" s="108">
        <f t="shared" si="19"/>
        <v>2.0000000000000018E-3</v>
      </c>
      <c r="D75" s="109" t="str">
        <f t="shared" si="20"/>
        <v>/</v>
      </c>
      <c r="E75" s="109">
        <f ca="1">IF(表2_36716262930389121314152324252627283132[[#This Row],[累计净值]]/MAX(INDIRECT("B21:B" &amp; ROW()))-1&lt;E74,表2_36716262930389121314152324252627283132[[#This Row],[累计净值]]/MAX(INDIRECT("B21:B" &amp; ROW()))-1,E74)</f>
        <v>-2.6819923371647514E-2</v>
      </c>
      <c r="F75" s="110">
        <f>表2_36716262930389121314152324252627283132[[#This Row],[累计净值]]</f>
        <v>1.0449999999999999</v>
      </c>
      <c r="G75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3.76753507014028E-2</v>
      </c>
    </row>
    <row r="76" spans="1:7" x14ac:dyDescent="0.2">
      <c r="A76" s="15">
        <v>44229</v>
      </c>
      <c r="B76" s="112">
        <v>1.0580000000000001</v>
      </c>
      <c r="C76" s="108">
        <f t="shared" si="19"/>
        <v>1.3000000000000123E-2</v>
      </c>
      <c r="D76" s="109" t="str">
        <f t="shared" si="20"/>
        <v>/</v>
      </c>
      <c r="E76" s="109">
        <f ca="1">IF(表2_36716262930389121314152324252627283132[[#This Row],[累计净值]]/MAX(INDIRECT("B21:B" &amp; ROW()))-1&lt;E75,表2_36716262930389121314152324252627283132[[#This Row],[累计净值]]/MAX(INDIRECT("B21:B" &amp; ROW()))-1,E75)</f>
        <v>-2.6819923371647514E-2</v>
      </c>
      <c r="F76" s="110">
        <f>表2_36716262930389121314152324252627283132[[#This Row],[累计净值]]</f>
        <v>1.0580000000000001</v>
      </c>
      <c r="G76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4.8096192384769587E-2</v>
      </c>
    </row>
    <row r="77" spans="1:7" x14ac:dyDescent="0.2">
      <c r="A77" s="15">
        <v>44230</v>
      </c>
      <c r="B77" s="117">
        <v>1.0640000000000001</v>
      </c>
      <c r="C77" s="108">
        <f t="shared" si="19"/>
        <v>6.0000000000000053E-3</v>
      </c>
      <c r="D77" s="109" t="str">
        <f t="shared" si="20"/>
        <v>/</v>
      </c>
      <c r="E77" s="109">
        <f ca="1">IF(表2_36716262930389121314152324252627283132[[#This Row],[累计净值]]/MAX(INDIRECT("B21:B" &amp; ROW()))-1&lt;E76,表2_36716262930389121314152324252627283132[[#This Row],[累计净值]]/MAX(INDIRECT("B21:B" &amp; ROW()))-1,E76)</f>
        <v>-2.6819923371647514E-2</v>
      </c>
      <c r="F77" s="110">
        <f>表2_36716262930389121314152324252627283132[[#This Row],[累计净值]]</f>
        <v>1.0640000000000001</v>
      </c>
      <c r="G77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5.2905811623246458E-2</v>
      </c>
    </row>
    <row r="78" spans="1:7" x14ac:dyDescent="0.2">
      <c r="A78" s="15">
        <v>44231</v>
      </c>
      <c r="B78" s="112">
        <v>1.0529999999999999</v>
      </c>
      <c r="C78" s="108">
        <f t="shared" si="19"/>
        <v>-1.1000000000000121E-2</v>
      </c>
      <c r="D78" s="109">
        <f t="shared" si="20"/>
        <v>-1.1000000000000121E-2</v>
      </c>
      <c r="E78" s="109">
        <f ca="1">IF(表2_36716262930389121314152324252627283132[[#This Row],[累计净值]]/MAX(INDIRECT("B21:B" &amp; ROW()))-1&lt;E77,表2_36716262930389121314152324252627283132[[#This Row],[累计净值]]/MAX(INDIRECT("B21:B" &amp; ROW()))-1,E77)</f>
        <v>-2.6819923371647514E-2</v>
      </c>
      <c r="F78" s="110">
        <f>表2_36716262930389121314152324252627283132[[#This Row],[累计净值]]</f>
        <v>1.0529999999999999</v>
      </c>
      <c r="G78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4.4088176352705413E-2</v>
      </c>
    </row>
    <row r="79" spans="1:7" x14ac:dyDescent="0.2">
      <c r="A79" s="15">
        <v>44232</v>
      </c>
      <c r="B79" s="112">
        <v>1.0469999999999999</v>
      </c>
      <c r="C79" s="108">
        <f>IFERROR(B79-B78,0)</f>
        <v>-6.0000000000000053E-3</v>
      </c>
      <c r="D79" s="109">
        <f>IF(C79&lt;0,C79,"/")</f>
        <v>-6.0000000000000053E-3</v>
      </c>
      <c r="E79" s="109">
        <f ca="1">IF(表2_36716262930389121314152324252627283132[[#This Row],[累计净值]]/MAX(INDIRECT("B21:B" &amp; ROW()))-1&lt;E78,表2_36716262930389121314152324252627283132[[#This Row],[累计净值]]/MAX(INDIRECT("B21:B" &amp; ROW()))-1,E78)</f>
        <v>-2.6819923371647514E-2</v>
      </c>
      <c r="F79" s="110">
        <f>表2_36716262930389121314152324252627283132[[#This Row],[累计净值]]</f>
        <v>1.0469999999999999</v>
      </c>
      <c r="G79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3.9278557114228368E-2</v>
      </c>
    </row>
    <row r="80" spans="1:7" x14ac:dyDescent="0.2">
      <c r="A80" s="15">
        <v>44235</v>
      </c>
      <c r="B80" s="112">
        <v>1.046</v>
      </c>
      <c r="C80" s="108">
        <f>IFERROR(B80-B79,0)</f>
        <v>-9.9999999999988987E-4</v>
      </c>
      <c r="D80" s="109">
        <f>IF(C80&lt;0,C80,"/")</f>
        <v>-9.9999999999988987E-4</v>
      </c>
      <c r="E80" s="109">
        <f ca="1">IF(表2_36716262930389121314152324252627283132[[#This Row],[累计净值]]/MAX(INDIRECT("B21:B" &amp; ROW()))-1&lt;E79,表2_36716262930389121314152324252627283132[[#This Row],[累计净值]]/MAX(INDIRECT("B21:B" &amp; ROW()))-1,E79)</f>
        <v>-2.6819923371647514E-2</v>
      </c>
      <c r="F80" s="110">
        <f>表2_36716262930389121314152324252627283132[[#This Row],[累计净值]]</f>
        <v>1.046</v>
      </c>
      <c r="G80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3.8476953907815671E-2</v>
      </c>
    </row>
    <row r="81" spans="1:7" x14ac:dyDescent="0.2">
      <c r="A81" s="15">
        <v>44236</v>
      </c>
      <c r="B81" s="112">
        <v>1.0389999999999999</v>
      </c>
      <c r="C81" s="108">
        <f t="shared" ref="C81:C82" si="21">IFERROR(B81-B80,0)</f>
        <v>-7.0000000000001172E-3</v>
      </c>
      <c r="D81" s="109">
        <f t="shared" ref="D81:D82" si="22">IF(C81&lt;0,C81,"/")</f>
        <v>-7.0000000000001172E-3</v>
      </c>
      <c r="E81" s="109">
        <f ca="1">IF(表2_36716262930389121314152324252627283132[[#This Row],[累计净值]]/MAX(INDIRECT("B21:B" &amp; ROW()))-1&lt;E80,表2_36716262930389121314152324252627283132[[#This Row],[累计净值]]/MAX(INDIRECT("B21:B" &amp; ROW()))-1,E80)</f>
        <v>-2.6819923371647514E-2</v>
      </c>
      <c r="F81" s="110">
        <f>表2_36716262930389121314152324252627283132[[#This Row],[累计净值]]</f>
        <v>1.0389999999999999</v>
      </c>
      <c r="G81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3.2865731462925755E-2</v>
      </c>
    </row>
    <row r="82" spans="1:7" x14ac:dyDescent="0.2">
      <c r="A82" s="15">
        <v>44237</v>
      </c>
      <c r="B82" s="112">
        <v>1.0329999999999999</v>
      </c>
      <c r="C82" s="108">
        <f t="shared" si="21"/>
        <v>-6.0000000000000053E-3</v>
      </c>
      <c r="D82" s="109">
        <f t="shared" si="22"/>
        <v>-6.0000000000000053E-3</v>
      </c>
      <c r="E82" s="109">
        <f ca="1">IF(表2_36716262930389121314152324252627283132[[#This Row],[累计净值]]/MAX(INDIRECT("B21:B" &amp; ROW()))-1&lt;E81,表2_36716262930389121314152324252627283132[[#This Row],[累计净值]]/MAX(INDIRECT("B21:B" &amp; ROW()))-1,E81)</f>
        <v>-2.9135338345864792E-2</v>
      </c>
      <c r="F82" s="110">
        <f>表2_36716262930389121314152324252627283132[[#This Row],[累计净值]]</f>
        <v>1.0329999999999999</v>
      </c>
      <c r="G82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2.8056112224448884E-2</v>
      </c>
    </row>
    <row r="83" spans="1:7" x14ac:dyDescent="0.2">
      <c r="A83" s="15">
        <v>44245</v>
      </c>
      <c r="B83" s="112">
        <v>1.024</v>
      </c>
      <c r="C83" s="108">
        <f>IFERROR(B83-B82,0)</f>
        <v>-8.999999999999897E-3</v>
      </c>
      <c r="D83" s="109">
        <f>IF(C83&lt;0,C83,"/")</f>
        <v>-8.999999999999897E-3</v>
      </c>
      <c r="E83" s="109">
        <f ca="1">IF(表2_36716262930389121314152324252627283132[[#This Row],[累计净值]]/MAX(INDIRECT("B21:B" &amp; ROW()))-1&lt;E82,表2_36716262930389121314152324252627283132[[#This Row],[累计净值]]/MAX(INDIRECT("B21:B" &amp; ROW()))-1,E82)</f>
        <v>-3.7593984962406068E-2</v>
      </c>
      <c r="F83" s="110">
        <f>表2_36716262930389121314152324252627283132[[#This Row],[累计净值]]</f>
        <v>1.024</v>
      </c>
      <c r="G83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2.08416833667334E-2</v>
      </c>
    </row>
    <row r="84" spans="1:7" x14ac:dyDescent="0.2">
      <c r="A84" s="15">
        <v>44246</v>
      </c>
      <c r="B84" s="112">
        <v>1.026</v>
      </c>
      <c r="C84" s="108">
        <f>IFERROR(B84-B83,0)</f>
        <v>2.0000000000000018E-3</v>
      </c>
      <c r="D84" s="109" t="str">
        <f>IF(C84&lt;0,C84,"/")</f>
        <v>/</v>
      </c>
      <c r="E84" s="109">
        <f ca="1">IF(表2_36716262930389121314152324252627283132[[#This Row],[累计净值]]/MAX(INDIRECT("B21:B" &amp; ROW()))-1&lt;E83,表2_36716262930389121314152324252627283132[[#This Row],[累计净值]]/MAX(INDIRECT("B21:B" &amp; ROW()))-1,E83)</f>
        <v>-3.7593984962406068E-2</v>
      </c>
      <c r="F84" s="110">
        <f>表2_36716262930389121314152324252627283132[[#This Row],[累计净值]]</f>
        <v>1.026</v>
      </c>
      <c r="G84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2.2444889779559142E-2</v>
      </c>
    </row>
    <row r="85" spans="1:7" x14ac:dyDescent="0.2">
      <c r="A85" s="15">
        <v>44249</v>
      </c>
      <c r="B85" s="112">
        <v>1.026</v>
      </c>
      <c r="C85" s="108">
        <f>IFERROR(B85-B84,0)</f>
        <v>0</v>
      </c>
      <c r="D85" s="109" t="str">
        <f>IF(C85&lt;0,C85,"/")</f>
        <v>/</v>
      </c>
      <c r="E85" s="109">
        <f ca="1">IF(表2_36716262930389121314152324252627283132[[#This Row],[累计净值]]/MAX(INDIRECT("B21:B" &amp; ROW()))-1&lt;E84,表2_36716262930389121314152324252627283132[[#This Row],[累计净值]]/MAX(INDIRECT("B21:B" &amp; ROW()))-1,E84)</f>
        <v>-3.7593984962406068E-2</v>
      </c>
      <c r="F85" s="110">
        <f>表2_36716262930389121314152324252627283132[[#This Row],[累计净值]]</f>
        <v>1.026</v>
      </c>
      <c r="G85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2.2444889779559142E-2</v>
      </c>
    </row>
    <row r="86" spans="1:7" x14ac:dyDescent="0.2">
      <c r="A86" s="15">
        <v>44250</v>
      </c>
      <c r="B86" s="112">
        <v>1.03</v>
      </c>
      <c r="C86" s="108">
        <f t="shared" ref="C86:C87" si="23">IFERROR(B86-B85,0)</f>
        <v>4.0000000000000036E-3</v>
      </c>
      <c r="D86" s="109" t="str">
        <f t="shared" ref="D86:D87" si="24">IF(C86&lt;0,C86,"/")</f>
        <v>/</v>
      </c>
      <c r="E86" s="109">
        <f ca="1">IF(表2_36716262930389121314152324252627283132[[#This Row],[累计净值]]/MAX(INDIRECT("B21:B" &amp; ROW()))-1&lt;E85,表2_36716262930389121314152324252627283132[[#This Row],[累计净值]]/MAX(INDIRECT("B21:B" &amp; ROW()))-1,E85)</f>
        <v>-3.7593984962406068E-2</v>
      </c>
      <c r="F86" s="110">
        <f>表2_36716262930389121314152324252627283132[[#This Row],[累计净值]]</f>
        <v>1.03</v>
      </c>
      <c r="G86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2.5651302605210449E-2</v>
      </c>
    </row>
    <row r="87" spans="1:7" x14ac:dyDescent="0.2">
      <c r="A87" s="15">
        <v>44251</v>
      </c>
      <c r="B87" s="112">
        <v>1.03</v>
      </c>
      <c r="C87" s="108">
        <f t="shared" si="23"/>
        <v>0</v>
      </c>
      <c r="D87" s="109" t="str">
        <f t="shared" si="24"/>
        <v>/</v>
      </c>
      <c r="E87" s="109">
        <f ca="1">IF(表2_36716262930389121314152324252627283132[[#This Row],[累计净值]]/MAX(INDIRECT("B21:B" &amp; ROW()))-1&lt;E86,表2_36716262930389121314152324252627283132[[#This Row],[累计净值]]/MAX(INDIRECT("B21:B" &amp; ROW()))-1,E86)</f>
        <v>-3.7593984962406068E-2</v>
      </c>
      <c r="F87" s="110">
        <f>表2_36716262930389121314152324252627283132[[#This Row],[累计净值]]</f>
        <v>1.03</v>
      </c>
      <c r="G87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2.5651302605210449E-2</v>
      </c>
    </row>
    <row r="88" spans="1:7" x14ac:dyDescent="0.2">
      <c r="A88" s="15">
        <v>44252</v>
      </c>
      <c r="B88" s="112">
        <v>1.06</v>
      </c>
      <c r="C88" s="108">
        <f t="shared" ref="C88:C89" si="25">IFERROR(B88-B87,0)</f>
        <v>3.0000000000000027E-2</v>
      </c>
      <c r="D88" s="109" t="str">
        <f t="shared" ref="D88:D89" si="26">IF(C88&lt;0,C88,"/")</f>
        <v>/</v>
      </c>
      <c r="E88" s="109">
        <f ca="1">IF(表2_36716262930389121314152324252627283132[[#This Row],[累计净值]]/MAX(INDIRECT("B21:B" &amp; ROW()))-1&lt;E87,表2_36716262930389121314152324252627283132[[#This Row],[累计净值]]/MAX(INDIRECT("B21:B" &amp; ROW()))-1,E87)</f>
        <v>-3.7593984962406068E-2</v>
      </c>
      <c r="F88" s="110">
        <f>表2_36716262930389121314152324252627283132[[#This Row],[累计净值]]</f>
        <v>1.06</v>
      </c>
      <c r="G88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4.9699398797595155E-2</v>
      </c>
    </row>
    <row r="89" spans="1:7" x14ac:dyDescent="0.2">
      <c r="A89" s="15">
        <v>44253</v>
      </c>
      <c r="B89" s="112">
        <v>1.0580000000000001</v>
      </c>
      <c r="C89" s="108">
        <f t="shared" si="25"/>
        <v>-2.0000000000000018E-3</v>
      </c>
      <c r="D89" s="109">
        <f t="shared" si="26"/>
        <v>-2.0000000000000018E-3</v>
      </c>
      <c r="E89" s="109">
        <f ca="1">IF(表2_36716262930389121314152324252627283132[[#This Row],[累计净值]]/MAX(INDIRECT("B21:B" &amp; ROW()))-1&lt;E88,表2_36716262930389121314152324252627283132[[#This Row],[累计净值]]/MAX(INDIRECT("B21:B" &amp; ROW()))-1,E88)</f>
        <v>-3.7593984962406068E-2</v>
      </c>
      <c r="F89" s="110">
        <f>表2_36716262930389121314152324252627283132[[#This Row],[累计净值]]</f>
        <v>1.0580000000000001</v>
      </c>
      <c r="G89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4.8096192384769587E-2</v>
      </c>
    </row>
    <row r="90" spans="1:7" x14ac:dyDescent="0.2">
      <c r="A90" s="15">
        <v>44256</v>
      </c>
      <c r="B90" s="112">
        <v>1.0469999999999999</v>
      </c>
      <c r="C90" s="108">
        <f t="shared" ref="C90:C91" si="27">IFERROR(B90-B89,0)</f>
        <v>-1.1000000000000121E-2</v>
      </c>
      <c r="D90" s="109">
        <f t="shared" ref="D90:D91" si="28">IF(C90&lt;0,C90,"/")</f>
        <v>-1.1000000000000121E-2</v>
      </c>
      <c r="E90" s="109">
        <f ca="1">IF(表2_36716262930389121314152324252627283132[[#This Row],[累计净值]]/MAX(INDIRECT("B21:B" &amp; ROW()))-1&lt;E89,表2_36716262930389121314152324252627283132[[#This Row],[累计净值]]/MAX(INDIRECT("B21:B" &amp; ROW()))-1,E89)</f>
        <v>-3.7593984962406068E-2</v>
      </c>
      <c r="F90" s="110">
        <f>表2_36716262930389121314152324252627283132[[#This Row],[累计净值]]</f>
        <v>1.0469999999999999</v>
      </c>
      <c r="G90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3.9278557114228368E-2</v>
      </c>
    </row>
    <row r="91" spans="1:7" x14ac:dyDescent="0.2">
      <c r="A91" s="15">
        <v>44257</v>
      </c>
      <c r="B91" s="112">
        <v>1.0349999999999999</v>
      </c>
      <c r="C91" s="108">
        <f t="shared" si="27"/>
        <v>-1.2000000000000011E-2</v>
      </c>
      <c r="D91" s="109">
        <f t="shared" si="28"/>
        <v>-1.2000000000000011E-2</v>
      </c>
      <c r="E91" s="109">
        <f ca="1">IF(表2_36716262930389121314152324252627283132[[#This Row],[累计净值]]/MAX(INDIRECT("B21:B" &amp; ROW()))-1&lt;E90,表2_36716262930389121314152324252627283132[[#This Row],[累计净值]]/MAX(INDIRECT("B21:B" &amp; ROW()))-1,E90)</f>
        <v>-3.7593984962406068E-2</v>
      </c>
      <c r="F91" s="110">
        <f>表2_36716262930389121314152324252627283132[[#This Row],[累计净值]]</f>
        <v>1.0349999999999999</v>
      </c>
      <c r="G91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2.9659318637274446E-2</v>
      </c>
    </row>
    <row r="92" spans="1:7" x14ac:dyDescent="0.2">
      <c r="A92" s="15">
        <v>44258</v>
      </c>
      <c r="B92" s="112">
        <v>1.054</v>
      </c>
      <c r="C92" s="108">
        <f t="shared" ref="C92" si="29">IFERROR(B92-B91,0)</f>
        <v>1.9000000000000128E-2</v>
      </c>
      <c r="D92" s="109" t="str">
        <f t="shared" ref="D92" si="30">IF(C92&lt;0,C92,"/")</f>
        <v>/</v>
      </c>
      <c r="E92" s="109">
        <f ca="1">IF(表2_36716262930389121314152324252627283132[[#This Row],[累计净值]]/MAX(INDIRECT("B21:B" &amp; ROW()))-1&lt;E91,表2_36716262930389121314152324252627283132[[#This Row],[累计净值]]/MAX(INDIRECT("B21:B" &amp; ROW()))-1,E91)</f>
        <v>-3.7593984962406068E-2</v>
      </c>
      <c r="F92" s="110">
        <f>表2_36716262930389121314152324252627283132[[#This Row],[累计净值]]</f>
        <v>1.054</v>
      </c>
      <c r="G92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4.4889779559118284E-2</v>
      </c>
    </row>
    <row r="93" spans="1:7" x14ac:dyDescent="0.2">
      <c r="A93" s="15">
        <v>44259</v>
      </c>
      <c r="B93" s="112">
        <v>1.0509999999999999</v>
      </c>
      <c r="C93" s="108">
        <f t="shared" ref="C93:C94" si="31">IFERROR(B93-B92,0)</f>
        <v>-3.0000000000001137E-3</v>
      </c>
      <c r="D93" s="109">
        <f t="shared" ref="D93:D94" si="32">IF(C93&lt;0,C93,"/")</f>
        <v>-3.0000000000001137E-3</v>
      </c>
      <c r="E93" s="109">
        <f ca="1">IF(表2_36716262930389121314152324252627283132[[#This Row],[累计净值]]/MAX(INDIRECT("B21:B" &amp; ROW()))-1&lt;E92,表2_36716262930389121314152324252627283132[[#This Row],[累计净值]]/MAX(INDIRECT("B21:B" &amp; ROW()))-1,E92)</f>
        <v>-3.7593984962406068E-2</v>
      </c>
      <c r="F93" s="110">
        <f>表2_36716262930389121314152324252627283132[[#This Row],[累计净值]]</f>
        <v>1.0509999999999999</v>
      </c>
      <c r="G93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4.2484969939879672E-2</v>
      </c>
    </row>
    <row r="94" spans="1:7" x14ac:dyDescent="0.2">
      <c r="A94" s="15">
        <v>44260</v>
      </c>
      <c r="B94" s="112">
        <v>1.0449999999999999</v>
      </c>
      <c r="C94" s="108">
        <f t="shared" si="31"/>
        <v>-6.0000000000000053E-3</v>
      </c>
      <c r="D94" s="109">
        <f t="shared" si="32"/>
        <v>-6.0000000000000053E-3</v>
      </c>
      <c r="E94" s="109">
        <f ca="1">IF(表2_36716262930389121314152324252627283132[[#This Row],[累计净值]]/MAX(INDIRECT("B21:B" &amp; ROW()))-1&lt;E93,表2_36716262930389121314152324252627283132[[#This Row],[累计净值]]/MAX(INDIRECT("B21:B" &amp; ROW()))-1,E93)</f>
        <v>-3.7593984962406068E-2</v>
      </c>
      <c r="F94" s="110">
        <f>表2_36716262930389121314152324252627283132[[#This Row],[累计净值]]</f>
        <v>1.0449999999999999</v>
      </c>
      <c r="G94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3.76753507014028E-2</v>
      </c>
    </row>
    <row r="95" spans="1:7" x14ac:dyDescent="0.2">
      <c r="A95" s="15">
        <v>44263</v>
      </c>
      <c r="B95" s="117">
        <v>1.081</v>
      </c>
      <c r="C95" s="108">
        <f t="shared" ref="C95:C96" si="33">IFERROR(B95-B94,0)</f>
        <v>3.6000000000000032E-2</v>
      </c>
      <c r="D95" s="109" t="str">
        <f t="shared" ref="D95:D96" si="34">IF(C95&lt;0,C95,"/")</f>
        <v>/</v>
      </c>
      <c r="E95" s="109">
        <f ca="1">IF(表2_36716262930389121314152324252627283132[[#This Row],[累计净值]]/MAX(INDIRECT("B21:B" &amp; ROW()))-1&lt;E94,表2_36716262930389121314152324252627283132[[#This Row],[累计净值]]/MAX(INDIRECT("B21:B" &amp; ROW()))-1,E94)</f>
        <v>-3.7593984962406068E-2</v>
      </c>
      <c r="F95" s="110">
        <f>表2_36716262930389121314152324252627283132[[#This Row],[累计净值]]</f>
        <v>1.081</v>
      </c>
      <c r="G95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6.6533066132264548E-2</v>
      </c>
    </row>
    <row r="96" spans="1:7" x14ac:dyDescent="0.2">
      <c r="A96" s="15">
        <v>44264</v>
      </c>
      <c r="B96" s="112">
        <v>1.06</v>
      </c>
      <c r="C96" s="108">
        <f t="shared" si="33"/>
        <v>-2.0999999999999908E-2</v>
      </c>
      <c r="D96" s="109">
        <f t="shared" si="34"/>
        <v>-2.0999999999999908E-2</v>
      </c>
      <c r="E96" s="109">
        <f ca="1">IF(表2_36716262930389121314152324252627283132[[#This Row],[累计净值]]/MAX(INDIRECT("B21:B" &amp; ROW()))-1&lt;E95,表2_36716262930389121314152324252627283132[[#This Row],[累计净值]]/MAX(INDIRECT("B21:B" &amp; ROW()))-1,E95)</f>
        <v>-3.7593984962406068E-2</v>
      </c>
      <c r="F96" s="110">
        <f>表2_36716262930389121314152324252627283132[[#This Row],[累计净值]]</f>
        <v>1.06</v>
      </c>
      <c r="G96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4.9699398797595155E-2</v>
      </c>
    </row>
    <row r="97" spans="1:7" x14ac:dyDescent="0.2">
      <c r="A97" s="15">
        <v>44265</v>
      </c>
      <c r="B97" s="112">
        <v>1.0509999999999999</v>
      </c>
      <c r="C97" s="108">
        <f t="shared" ref="C97:C102" si="35">IFERROR(B97-B96,0)</f>
        <v>-9.000000000000119E-3</v>
      </c>
      <c r="D97" s="109">
        <f t="shared" ref="D97:D102" si="36">IF(C97&lt;0,C97,"/")</f>
        <v>-9.000000000000119E-3</v>
      </c>
      <c r="E97" s="109">
        <f ca="1">IF(表2_36716262930389121314152324252627283132[[#This Row],[累计净值]]/MAX(INDIRECT("B21:B" &amp; ROW()))-1&lt;E96,表2_36716262930389121314152324252627283132[[#This Row],[累计净值]]/MAX(INDIRECT("B21:B" &amp; ROW()))-1,E96)</f>
        <v>-3.7593984962406068E-2</v>
      </c>
      <c r="F97" s="110">
        <f>表2_36716262930389121314152324252627283132[[#This Row],[累计净值]]</f>
        <v>1.0509999999999999</v>
      </c>
      <c r="G97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4.2484969939879672E-2</v>
      </c>
    </row>
    <row r="98" spans="1:7" x14ac:dyDescent="0.2">
      <c r="A98" s="15">
        <v>44266</v>
      </c>
      <c r="B98" s="112">
        <v>1.054</v>
      </c>
      <c r="C98" s="108">
        <f t="shared" si="35"/>
        <v>3.0000000000001137E-3</v>
      </c>
      <c r="D98" s="109" t="str">
        <f t="shared" si="36"/>
        <v>/</v>
      </c>
      <c r="E98" s="109">
        <f ca="1">IF(表2_36716262930389121314152324252627283132[[#This Row],[累计净值]]/MAX(INDIRECT("B21:B" &amp; ROW()))-1&lt;E97,表2_36716262930389121314152324252627283132[[#This Row],[累计净值]]/MAX(INDIRECT("B21:B" &amp; ROW()))-1,E97)</f>
        <v>-3.7593984962406068E-2</v>
      </c>
      <c r="F98" s="110">
        <f>表2_36716262930389121314152324252627283132[[#This Row],[累计净值]]</f>
        <v>1.054</v>
      </c>
      <c r="G98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4.4889779559118284E-2</v>
      </c>
    </row>
    <row r="99" spans="1:7" x14ac:dyDescent="0.2">
      <c r="A99" s="15">
        <v>44267</v>
      </c>
      <c r="B99" s="112">
        <v>1.069</v>
      </c>
      <c r="C99" s="108">
        <f t="shared" si="35"/>
        <v>1.4999999999999902E-2</v>
      </c>
      <c r="D99" s="109" t="str">
        <f t="shared" si="36"/>
        <v>/</v>
      </c>
      <c r="E99" s="109">
        <f ca="1">IF(表2_36716262930389121314152324252627283132[[#This Row],[累计净值]]/MAX(INDIRECT("B21:B" &amp; ROW()))-1&lt;E98,表2_36716262930389121314152324252627283132[[#This Row],[累计净值]]/MAX(INDIRECT("B21:B" &amp; ROW()))-1,E98)</f>
        <v>-3.7593984962406068E-2</v>
      </c>
      <c r="F99" s="110">
        <f>表2_36716262930389121314152324252627283132[[#This Row],[累计净值]]</f>
        <v>1.069</v>
      </c>
      <c r="G99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5.6913827655310639E-2</v>
      </c>
    </row>
    <row r="100" spans="1:7" x14ac:dyDescent="0.2">
      <c r="A100" s="15">
        <v>44270</v>
      </c>
      <c r="B100" s="112">
        <v>1.069</v>
      </c>
      <c r="C100" s="108">
        <f t="shared" si="35"/>
        <v>0</v>
      </c>
      <c r="D100" s="109" t="str">
        <f t="shared" si="36"/>
        <v>/</v>
      </c>
      <c r="E100" s="109">
        <f ca="1">IF(表2_36716262930389121314152324252627283132[[#This Row],[累计净值]]/MAX(INDIRECT("B21:B" &amp; ROW()))-1&lt;E99,表2_36716262930389121314152324252627283132[[#This Row],[累计净值]]/MAX(INDIRECT("B21:B" &amp; ROW()))-1,E99)</f>
        <v>-3.7593984962406068E-2</v>
      </c>
      <c r="F100" s="110">
        <f>表2_36716262930389121314152324252627283132[[#This Row],[累计净值]]</f>
        <v>1.069</v>
      </c>
      <c r="G100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5.6913827655310639E-2</v>
      </c>
    </row>
    <row r="101" spans="1:7" x14ac:dyDescent="0.2">
      <c r="A101" s="15">
        <v>44271</v>
      </c>
      <c r="B101" s="112">
        <v>1.0740000000000001</v>
      </c>
      <c r="C101" s="108">
        <f t="shared" si="35"/>
        <v>5.0000000000001155E-3</v>
      </c>
      <c r="D101" s="109" t="str">
        <f t="shared" si="36"/>
        <v>/</v>
      </c>
      <c r="E101" s="109">
        <f ca="1">IF(表2_36716262930389121314152324252627283132[[#This Row],[累计净值]]/MAX(INDIRECT("B21:B" &amp; ROW()))-1&lt;E100,表2_36716262930389121314152324252627283132[[#This Row],[累计净值]]/MAX(INDIRECT("B21:B" &amp; ROW()))-1,E100)</f>
        <v>-3.7593984962406068E-2</v>
      </c>
      <c r="F101" s="110">
        <f>表2_36716262930389121314152324252627283132[[#This Row],[累计净值]]</f>
        <v>1.0740000000000001</v>
      </c>
      <c r="G101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6.0921843687374813E-2</v>
      </c>
    </row>
    <row r="102" spans="1:7" x14ac:dyDescent="0.2">
      <c r="A102" s="15">
        <v>44272</v>
      </c>
      <c r="B102" s="112">
        <v>1.0620000000000001</v>
      </c>
      <c r="C102" s="108">
        <f t="shared" si="35"/>
        <v>-1.2000000000000011E-2</v>
      </c>
      <c r="D102" s="109">
        <f t="shared" si="36"/>
        <v>-1.2000000000000011E-2</v>
      </c>
      <c r="E102" s="109">
        <f ca="1">IF(表2_36716262930389121314152324252627283132[[#This Row],[累计净值]]/MAX(INDIRECT("B21:B" &amp; ROW()))-1&lt;E101,表2_36716262930389121314152324252627283132[[#This Row],[累计净值]]/MAX(INDIRECT("B21:B" &amp; ROW()))-1,E101)</f>
        <v>-3.7593984962406068E-2</v>
      </c>
      <c r="F102" s="110">
        <f>表2_36716262930389121314152324252627283132[[#This Row],[累计净值]]</f>
        <v>1.0620000000000001</v>
      </c>
      <c r="G102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5.1302605210420897E-2</v>
      </c>
    </row>
    <row r="103" spans="1:7" x14ac:dyDescent="0.2">
      <c r="A103" s="15">
        <v>44273</v>
      </c>
      <c r="B103" s="112">
        <v>1.0640000000000001</v>
      </c>
      <c r="C103" s="108">
        <f>IFERROR(B103-B102,0)</f>
        <v>2.0000000000000018E-3</v>
      </c>
      <c r="D103" s="109" t="str">
        <f>IF(C103&lt;0,C103,"/")</f>
        <v>/</v>
      </c>
      <c r="E103" s="109">
        <f ca="1">IF(表2_36716262930389121314152324252627283132[[#This Row],[累计净值]]/MAX(INDIRECT("B21:B" &amp; ROW()))-1&lt;E102,表2_36716262930389121314152324252627283132[[#This Row],[累计净值]]/MAX(INDIRECT("B21:B" &amp; ROW()))-1,E102)</f>
        <v>-3.7593984962406068E-2</v>
      </c>
      <c r="F103" s="110">
        <f>表2_36716262930389121314152324252627283132[[#This Row],[累计净值]]</f>
        <v>1.0640000000000001</v>
      </c>
      <c r="G103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5.2905811623246458E-2</v>
      </c>
    </row>
    <row r="104" spans="1:7" x14ac:dyDescent="0.2">
      <c r="A104" s="15">
        <v>44274</v>
      </c>
      <c r="B104" s="112">
        <v>1.07</v>
      </c>
      <c r="C104" s="108">
        <f>IFERROR(B104-B103,0)</f>
        <v>6.0000000000000053E-3</v>
      </c>
      <c r="D104" s="109" t="str">
        <f>IF(C104&lt;0,C104,"/")</f>
        <v>/</v>
      </c>
      <c r="E104" s="109">
        <f ca="1">IF(表2_36716262930389121314152324252627283132[[#This Row],[累计净值]]/MAX(INDIRECT("B21:B" &amp; ROW()))-1&lt;E103,表2_36716262930389121314152324252627283132[[#This Row],[累计净值]]/MAX(INDIRECT("B21:B" &amp; ROW()))-1,E103)</f>
        <v>-3.7593984962406068E-2</v>
      </c>
      <c r="F104" s="110">
        <f>表2_36716262930389121314152324252627283132[[#This Row],[累计净值]]</f>
        <v>1.07</v>
      </c>
      <c r="G104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5.771543086172351E-2</v>
      </c>
    </row>
    <row r="105" spans="1:7" x14ac:dyDescent="0.2">
      <c r="A105" s="15">
        <v>44277</v>
      </c>
      <c r="B105" s="112">
        <v>1.085</v>
      </c>
      <c r="C105" s="108">
        <f>IFERROR(B105-B104,0)</f>
        <v>1.4999999999999902E-2</v>
      </c>
      <c r="D105" s="109" t="str">
        <f>IF(C105&lt;0,C105,"/")</f>
        <v>/</v>
      </c>
      <c r="E105" s="109">
        <f ca="1">IF(表2_36716262930389121314152324252627283132[[#This Row],[累计净值]]/MAX(INDIRECT("B21:B" &amp; ROW()))-1&lt;E104,表2_36716262930389121314152324252627283132[[#This Row],[累计净值]]/MAX(INDIRECT("B21:B" &amp; ROW()))-1,E104)</f>
        <v>-3.7593984962406068E-2</v>
      </c>
      <c r="F105" s="110">
        <f>表2_36716262930389121314152324252627283132[[#This Row],[累计净值]]</f>
        <v>1.085</v>
      </c>
      <c r="G105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6.9739478957915865E-2</v>
      </c>
    </row>
    <row r="106" spans="1:7" x14ac:dyDescent="0.2">
      <c r="A106" s="15">
        <v>44278</v>
      </c>
      <c r="B106" s="112">
        <v>1.097</v>
      </c>
      <c r="C106" s="108">
        <f t="shared" ref="C106:C109" si="37">IFERROR(B106-B105,0)</f>
        <v>1.2000000000000011E-2</v>
      </c>
      <c r="D106" s="109" t="str">
        <f t="shared" ref="D106:D109" si="38">IF(C106&lt;0,C106,"/")</f>
        <v>/</v>
      </c>
      <c r="E106" s="109">
        <f ca="1">IF(表2_36716262930389121314152324252627283132[[#This Row],[累计净值]]/MAX(INDIRECT("B21:B" &amp; ROW()))-1&lt;E105,表2_36716262930389121314152324252627283132[[#This Row],[累计净值]]/MAX(INDIRECT("B21:B" &amp; ROW()))-1,E105)</f>
        <v>-3.7593984962406068E-2</v>
      </c>
      <c r="F106" s="110">
        <f>表2_36716262930389121314152324252627283132[[#This Row],[累计净值]]</f>
        <v>1.097</v>
      </c>
      <c r="G106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7.9358717434869774E-2</v>
      </c>
    </row>
    <row r="107" spans="1:7" x14ac:dyDescent="0.2">
      <c r="A107" s="15">
        <v>44279</v>
      </c>
      <c r="B107" s="117">
        <v>1.099</v>
      </c>
      <c r="C107" s="108">
        <f t="shared" si="37"/>
        <v>2.0000000000000018E-3</v>
      </c>
      <c r="D107" s="109" t="str">
        <f t="shared" si="38"/>
        <v>/</v>
      </c>
      <c r="E107" s="109">
        <f ca="1">IF(表2_36716262930389121314152324252627283132[[#This Row],[累计净值]]/MAX(INDIRECT("B21:B" &amp; ROW()))-1&lt;E106,表2_36716262930389121314152324252627283132[[#This Row],[累计净值]]/MAX(INDIRECT("B21:B" &amp; ROW()))-1,E106)</f>
        <v>-3.7593984962406068E-2</v>
      </c>
      <c r="F107" s="110">
        <f>表2_36716262930389121314152324252627283132[[#This Row],[累计净值]]</f>
        <v>1.099</v>
      </c>
      <c r="G107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8.096192384769535E-2</v>
      </c>
    </row>
    <row r="108" spans="1:7" x14ac:dyDescent="0.2">
      <c r="A108" s="15">
        <v>44280</v>
      </c>
      <c r="B108" s="112">
        <v>1.099</v>
      </c>
      <c r="C108" s="108">
        <f t="shared" si="37"/>
        <v>0</v>
      </c>
      <c r="D108" s="109" t="str">
        <f t="shared" si="38"/>
        <v>/</v>
      </c>
      <c r="E108" s="109">
        <f ca="1">IF(表2_36716262930389121314152324252627283132[[#This Row],[累计净值]]/MAX(INDIRECT("B21:B" &amp; ROW()))-1&lt;E107,表2_36716262930389121314152324252627283132[[#This Row],[累计净值]]/MAX(INDIRECT("B21:B" &amp; ROW()))-1,E107)</f>
        <v>-3.7593984962406068E-2</v>
      </c>
      <c r="F108" s="110">
        <f>表2_36716262930389121314152324252627283132[[#This Row],[累计净值]]</f>
        <v>1.099</v>
      </c>
      <c r="G108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8.096192384769535E-2</v>
      </c>
    </row>
    <row r="109" spans="1:7" x14ac:dyDescent="0.2">
      <c r="A109" s="15">
        <v>44281</v>
      </c>
      <c r="B109" s="112">
        <v>1.097</v>
      </c>
      <c r="C109" s="108">
        <f t="shared" si="37"/>
        <v>-2.0000000000000018E-3</v>
      </c>
      <c r="D109" s="109">
        <f t="shared" si="38"/>
        <v>-2.0000000000000018E-3</v>
      </c>
      <c r="E109" s="109">
        <f ca="1">IF(表2_36716262930389121314152324252627283132[[#This Row],[累计净值]]/MAX(INDIRECT("B21:B" &amp; ROW()))-1&lt;E108,表2_36716262930389121314152324252627283132[[#This Row],[累计净值]]/MAX(INDIRECT("B21:B" &amp; ROW()))-1,E108)</f>
        <v>-3.7593984962406068E-2</v>
      </c>
      <c r="F109" s="110">
        <f>表2_36716262930389121314152324252627283132[[#This Row],[累计净值]]</f>
        <v>1.097</v>
      </c>
      <c r="G109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7.9358717434869774E-2</v>
      </c>
    </row>
    <row r="110" spans="1:7" x14ac:dyDescent="0.2">
      <c r="A110" s="15">
        <v>44284</v>
      </c>
      <c r="B110" s="112">
        <v>1.0840000000000001</v>
      </c>
      <c r="C110" s="108">
        <f t="shared" ref="C110:C115" si="39">IFERROR(B110-B109,0)</f>
        <v>-1.2999999999999901E-2</v>
      </c>
      <c r="D110" s="109">
        <f t="shared" ref="D110:D115" si="40">IF(C110&lt;0,C110,"/")</f>
        <v>-1.2999999999999901E-2</v>
      </c>
      <c r="E110" s="109">
        <f ca="1">IF(表2_36716262930389121314152324252627283132[[#This Row],[累计净值]]/MAX(INDIRECT("B21:B" &amp; ROW()))-1&lt;E109,表2_36716262930389121314152324252627283132[[#This Row],[累计净值]]/MAX(INDIRECT("B21:B" &amp; ROW()))-1,E109)</f>
        <v>-3.7593984962406068E-2</v>
      </c>
      <c r="F110" s="110">
        <f>表2_36716262930389121314152324252627283132[[#This Row],[累计净值]]</f>
        <v>1.0840000000000001</v>
      </c>
      <c r="G110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6.8937875751502994E-2</v>
      </c>
    </row>
    <row r="111" spans="1:7" x14ac:dyDescent="0.2">
      <c r="A111" s="15">
        <v>44285</v>
      </c>
      <c r="B111" s="112">
        <v>1.0840000000000001</v>
      </c>
      <c r="C111" s="108">
        <f t="shared" si="39"/>
        <v>0</v>
      </c>
      <c r="D111" s="109" t="str">
        <f t="shared" si="40"/>
        <v>/</v>
      </c>
      <c r="E111" s="109">
        <f ca="1">IF(表2_36716262930389121314152324252627283132[[#This Row],[累计净值]]/MAX(INDIRECT("B21:B" &amp; ROW()))-1&lt;E110,表2_36716262930389121314152324252627283132[[#This Row],[累计净值]]/MAX(INDIRECT("B21:B" &amp; ROW()))-1,E110)</f>
        <v>-3.7593984962406068E-2</v>
      </c>
      <c r="F111" s="110">
        <f>表2_36716262930389121314152324252627283132[[#This Row],[累计净值]]</f>
        <v>1.0840000000000001</v>
      </c>
      <c r="G111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6.8937875751502994E-2</v>
      </c>
    </row>
    <row r="112" spans="1:7" x14ac:dyDescent="0.2">
      <c r="A112" s="15">
        <v>44286</v>
      </c>
      <c r="B112" s="112">
        <v>1.083</v>
      </c>
      <c r="C112" s="108">
        <f t="shared" si="39"/>
        <v>-1.0000000000001119E-3</v>
      </c>
      <c r="D112" s="109">
        <f t="shared" si="40"/>
        <v>-1.0000000000001119E-3</v>
      </c>
      <c r="E112" s="109">
        <f ca="1">IF(表2_36716262930389121314152324252627283132[[#This Row],[累计净值]]/MAX(INDIRECT("B21:B" &amp; ROW()))-1&lt;E111,表2_36716262930389121314152324252627283132[[#This Row],[累计净值]]/MAX(INDIRECT("B21:B" &amp; ROW()))-1,E111)</f>
        <v>-3.7593984962406068E-2</v>
      </c>
      <c r="F112" s="110">
        <f>表2_36716262930389121314152324252627283132[[#This Row],[累计净值]]</f>
        <v>1.083</v>
      </c>
      <c r="G112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6.8136272545090124E-2</v>
      </c>
    </row>
    <row r="113" spans="1:7" x14ac:dyDescent="0.2">
      <c r="A113" s="15">
        <v>44287</v>
      </c>
      <c r="B113" s="112">
        <v>1.081</v>
      </c>
      <c r="C113" s="108">
        <f t="shared" si="39"/>
        <v>-2.0000000000000018E-3</v>
      </c>
      <c r="D113" s="109">
        <f t="shared" si="40"/>
        <v>-2.0000000000000018E-3</v>
      </c>
      <c r="E113" s="109">
        <f ca="1">IF(表2_36716262930389121314152324252627283132[[#This Row],[累计净值]]/MAX(INDIRECT("B21:B" &amp; ROW()))-1&lt;E112,表2_36716262930389121314152324252627283132[[#This Row],[累计净值]]/MAX(INDIRECT("B21:B" &amp; ROW()))-1,E112)</f>
        <v>-3.7593984962406068E-2</v>
      </c>
      <c r="F113" s="110">
        <f>表2_36716262930389121314152324252627283132[[#This Row],[累计净值]]</f>
        <v>1.081</v>
      </c>
      <c r="G113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6.6533066132264548E-2</v>
      </c>
    </row>
    <row r="114" spans="1:7" x14ac:dyDescent="0.2">
      <c r="A114" s="15">
        <v>44288</v>
      </c>
      <c r="B114" s="112">
        <v>1.077</v>
      </c>
      <c r="C114" s="108">
        <f t="shared" si="39"/>
        <v>-4.0000000000000036E-3</v>
      </c>
      <c r="D114" s="109">
        <f t="shared" si="40"/>
        <v>-4.0000000000000036E-3</v>
      </c>
      <c r="E114" s="109">
        <f ca="1">IF(表2_36716262930389121314152324252627283132[[#This Row],[累计净值]]/MAX(INDIRECT("B21:B" &amp; ROW()))-1&lt;E113,表2_36716262930389121314152324252627283132[[#This Row],[累计净值]]/MAX(INDIRECT("B21:B" &amp; ROW()))-1,E113)</f>
        <v>-3.7593984962406068E-2</v>
      </c>
      <c r="F114" s="110">
        <f>表2_36716262930389121314152324252627283132[[#This Row],[累计净值]]</f>
        <v>1.077</v>
      </c>
      <c r="G114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6.3326653306613245E-2</v>
      </c>
    </row>
    <row r="115" spans="1:7" x14ac:dyDescent="0.2">
      <c r="A115" s="15">
        <v>44292</v>
      </c>
      <c r="B115" s="112">
        <v>1.0720000000000001</v>
      </c>
      <c r="C115" s="108">
        <f t="shared" si="39"/>
        <v>-4.9999999999998934E-3</v>
      </c>
      <c r="D115" s="109">
        <f t="shared" si="40"/>
        <v>-4.9999999999998934E-3</v>
      </c>
      <c r="E115" s="109">
        <f ca="1">IF(表2_36716262930389121314152324252627283132[[#This Row],[累计净值]]/MAX(INDIRECT("B21:B" &amp; ROW()))-1&lt;E114,表2_36716262930389121314152324252627283132[[#This Row],[累计净值]]/MAX(INDIRECT("B21:B" &amp; ROW()))-1,E114)</f>
        <v>-3.7593984962406068E-2</v>
      </c>
      <c r="F115" s="110">
        <f>表2_36716262930389121314152324252627283132[[#This Row],[累计净值]]</f>
        <v>1.0720000000000001</v>
      </c>
      <c r="G115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5.9318637274549071E-2</v>
      </c>
    </row>
    <row r="116" spans="1:7" x14ac:dyDescent="0.2">
      <c r="A116" s="15">
        <v>44293</v>
      </c>
      <c r="B116" s="112">
        <v>1.06</v>
      </c>
      <c r="C116" s="108">
        <f t="shared" ref="C116:C121" si="41">IFERROR(B116-B115,0)</f>
        <v>-1.2000000000000011E-2</v>
      </c>
      <c r="D116" s="109">
        <f t="shared" ref="D116:D121" si="42">IF(C116&lt;0,C116,"/")</f>
        <v>-1.2000000000000011E-2</v>
      </c>
      <c r="E116" s="109">
        <f ca="1">IF(表2_36716262930389121314152324252627283132[[#This Row],[累计净值]]/MAX(INDIRECT("B21:B" &amp; ROW()))-1&lt;E115,表2_36716262930389121314152324252627283132[[#This Row],[累计净值]]/MAX(INDIRECT("B21:B" &amp; ROW()))-1,E115)</f>
        <v>-3.7593984962406068E-2</v>
      </c>
      <c r="F116" s="110">
        <f>表2_36716262930389121314152324252627283132[[#This Row],[累计净值]]</f>
        <v>1.06</v>
      </c>
      <c r="G116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4.9699398797595155E-2</v>
      </c>
    </row>
    <row r="117" spans="1:7" x14ac:dyDescent="0.2">
      <c r="A117" s="15">
        <v>44294</v>
      </c>
      <c r="B117" s="112">
        <v>1.0660000000000001</v>
      </c>
      <c r="C117" s="108">
        <f t="shared" si="41"/>
        <v>6.0000000000000053E-3</v>
      </c>
      <c r="D117" s="109" t="str">
        <f t="shared" si="42"/>
        <v>/</v>
      </c>
      <c r="E117" s="109">
        <f ca="1">IF(表2_36716262930389121314152324252627283132[[#This Row],[累计净值]]/MAX(INDIRECT("B21:B" &amp; ROW()))-1&lt;E116,表2_36716262930389121314152324252627283132[[#This Row],[累计净值]]/MAX(INDIRECT("B21:B" &amp; ROW()))-1,E116)</f>
        <v>-3.7593984962406068E-2</v>
      </c>
      <c r="F117" s="110">
        <f>表2_36716262930389121314152324252627283132[[#This Row],[累计净值]]</f>
        <v>1.0660000000000001</v>
      </c>
      <c r="G117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5.45090180360722E-2</v>
      </c>
    </row>
    <row r="118" spans="1:7" x14ac:dyDescent="0.2">
      <c r="A118" s="15">
        <v>44295</v>
      </c>
      <c r="B118" s="112">
        <v>1.0629999999999999</v>
      </c>
      <c r="C118" s="108">
        <f t="shared" si="41"/>
        <v>-3.0000000000001137E-3</v>
      </c>
      <c r="D118" s="109">
        <f t="shared" si="42"/>
        <v>-3.0000000000001137E-3</v>
      </c>
      <c r="E118" s="109">
        <f ca="1">IF(表2_36716262930389121314152324252627283132[[#This Row],[累计净值]]/MAX(INDIRECT("B21:B" &amp; ROW()))-1&lt;E117,表2_36716262930389121314152324252627283132[[#This Row],[累计净值]]/MAX(INDIRECT("B21:B" &amp; ROW()))-1,E117)</f>
        <v>-3.7593984962406068E-2</v>
      </c>
      <c r="F118" s="110">
        <f>表2_36716262930389121314152324252627283132[[#This Row],[累计净值]]</f>
        <v>1.0629999999999999</v>
      </c>
      <c r="G118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5.2104208416833588E-2</v>
      </c>
    </row>
    <row r="119" spans="1:7" x14ac:dyDescent="0.2">
      <c r="A119" s="15">
        <v>44298</v>
      </c>
      <c r="B119" s="112">
        <v>1.0669999999999999</v>
      </c>
      <c r="C119" s="108">
        <f t="shared" si="41"/>
        <v>4.0000000000000036E-3</v>
      </c>
      <c r="D119" s="109" t="str">
        <f t="shared" si="42"/>
        <v>/</v>
      </c>
      <c r="E119" s="109">
        <f ca="1">IF(表2_36716262930389121314152324252627283132[[#This Row],[累计净值]]/MAX(INDIRECT("B21:B" &amp; ROW()))-1&lt;E118,表2_36716262930389121314152324252627283132[[#This Row],[累计净值]]/MAX(INDIRECT("B21:B" &amp; ROW()))-1,E118)</f>
        <v>-3.7593984962406068E-2</v>
      </c>
      <c r="F119" s="110">
        <f>表2_36716262930389121314152324252627283132[[#This Row],[累计净值]]</f>
        <v>1.0669999999999999</v>
      </c>
      <c r="G119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5.5310621242484898E-2</v>
      </c>
    </row>
    <row r="120" spans="1:7" x14ac:dyDescent="0.2">
      <c r="A120" s="15">
        <v>44299</v>
      </c>
      <c r="B120" s="112">
        <v>1.079</v>
      </c>
      <c r="C120" s="108">
        <f t="shared" si="41"/>
        <v>1.2000000000000011E-2</v>
      </c>
      <c r="D120" s="109" t="str">
        <f t="shared" si="42"/>
        <v>/</v>
      </c>
      <c r="E120" s="109">
        <f ca="1">IF(表2_36716262930389121314152324252627283132[[#This Row],[累计净值]]/MAX(INDIRECT("B21:B" &amp; ROW()))-1&lt;E119,表2_36716262930389121314152324252627283132[[#This Row],[累计净值]]/MAX(INDIRECT("B21:B" &amp; ROW()))-1,E119)</f>
        <v>-3.7593984962406068E-2</v>
      </c>
      <c r="F120" s="110">
        <f>表2_36716262930389121314152324252627283132[[#This Row],[累计净值]]</f>
        <v>1.079</v>
      </c>
      <c r="G120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6.4929859719438807E-2</v>
      </c>
    </row>
    <row r="121" spans="1:7" x14ac:dyDescent="0.2">
      <c r="A121" s="15">
        <v>44300</v>
      </c>
      <c r="B121" s="112">
        <v>1.077</v>
      </c>
      <c r="C121" s="108">
        <f t="shared" si="41"/>
        <v>-2.0000000000000018E-3</v>
      </c>
      <c r="D121" s="109">
        <f t="shared" si="42"/>
        <v>-2.0000000000000018E-3</v>
      </c>
      <c r="E121" s="109">
        <f ca="1">IF(表2_36716262930389121314152324252627283132[[#This Row],[累计净值]]/MAX(INDIRECT("B21:B" &amp; ROW()))-1&lt;E120,表2_36716262930389121314152324252627283132[[#This Row],[累计净值]]/MAX(INDIRECT("B21:B" &amp; ROW()))-1,E120)</f>
        <v>-3.7593984962406068E-2</v>
      </c>
      <c r="F121" s="110">
        <f>表2_36716262930389121314152324252627283132[[#This Row],[累计净值]]</f>
        <v>1.077</v>
      </c>
      <c r="G121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6.3326653306613245E-2</v>
      </c>
    </row>
    <row r="122" spans="1:7" x14ac:dyDescent="0.2">
      <c r="A122" s="15">
        <v>44301</v>
      </c>
      <c r="B122" s="112">
        <v>1.0649999999999999</v>
      </c>
      <c r="C122" s="108">
        <f t="shared" ref="C122:C127" si="43">IFERROR(B122-B121,0)</f>
        <v>-1.2000000000000011E-2</v>
      </c>
      <c r="D122" s="109">
        <f t="shared" ref="D122:D127" si="44">IF(C122&lt;0,C122,"/")</f>
        <v>-1.2000000000000011E-2</v>
      </c>
      <c r="E122" s="109">
        <f ca="1">IF(表2_36716262930389121314152324252627283132[[#This Row],[累计净值]]/MAX(INDIRECT("B21:B" &amp; ROW()))-1&lt;E121,表2_36716262930389121314152324252627283132[[#This Row],[累计净值]]/MAX(INDIRECT("B21:B" &amp; ROW()))-1,E121)</f>
        <v>-3.7593984962406068E-2</v>
      </c>
      <c r="F122" s="110">
        <f>表2_36716262930389121314152324252627283132[[#This Row],[累计净值]]</f>
        <v>1.0649999999999999</v>
      </c>
      <c r="G122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5.3707414829659329E-2</v>
      </c>
    </row>
    <row r="123" spans="1:7" x14ac:dyDescent="0.2">
      <c r="A123" s="15">
        <v>44302</v>
      </c>
      <c r="B123" s="112">
        <v>1.0569999999999999</v>
      </c>
      <c r="C123" s="108">
        <f t="shared" si="43"/>
        <v>-8.0000000000000071E-3</v>
      </c>
      <c r="D123" s="109">
        <f t="shared" si="44"/>
        <v>-8.0000000000000071E-3</v>
      </c>
      <c r="E123" s="109">
        <f ca="1">IF(表2_36716262930389121314152324252627283132[[#This Row],[累计净值]]/MAX(INDIRECT("B21:B" &amp; ROW()))-1&lt;E122,表2_36716262930389121314152324252627283132[[#This Row],[累计净值]]/MAX(INDIRECT("B21:B" &amp; ROW()))-1,E122)</f>
        <v>-3.8216560509554132E-2</v>
      </c>
      <c r="F123" s="110">
        <f>表2_36716262930389121314152324252627283132[[#This Row],[累计净值]]</f>
        <v>1.0569999999999999</v>
      </c>
      <c r="G123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4.7294589178356716E-2</v>
      </c>
    </row>
    <row r="124" spans="1:7" x14ac:dyDescent="0.2">
      <c r="A124" s="15">
        <v>44305</v>
      </c>
      <c r="B124" s="112">
        <v>1.0569999999999999</v>
      </c>
      <c r="C124" s="108">
        <f t="shared" si="43"/>
        <v>0</v>
      </c>
      <c r="D124" s="109" t="str">
        <f t="shared" si="44"/>
        <v>/</v>
      </c>
      <c r="E124" s="109">
        <f ca="1">IF(表2_36716262930389121314152324252627283132[[#This Row],[累计净值]]/MAX(INDIRECT("B21:B" &amp; ROW()))-1&lt;E123,表2_36716262930389121314152324252627283132[[#This Row],[累计净值]]/MAX(INDIRECT("B21:B" &amp; ROW()))-1,E123)</f>
        <v>-3.8216560509554132E-2</v>
      </c>
      <c r="F124" s="110">
        <f>表2_36716262930389121314152324252627283132[[#This Row],[累计净值]]</f>
        <v>1.0569999999999999</v>
      </c>
      <c r="G124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4.7294589178356716E-2</v>
      </c>
    </row>
    <row r="125" spans="1:7" x14ac:dyDescent="0.2">
      <c r="A125" s="15">
        <v>44306</v>
      </c>
      <c r="B125" s="112">
        <v>1.0529999999999999</v>
      </c>
      <c r="C125" s="108">
        <f t="shared" si="43"/>
        <v>-4.0000000000000036E-3</v>
      </c>
      <c r="D125" s="109">
        <f t="shared" si="44"/>
        <v>-4.0000000000000036E-3</v>
      </c>
      <c r="E125" s="109">
        <f ca="1">IF(表2_36716262930389121314152324252627283132[[#This Row],[累计净值]]/MAX(INDIRECT("B21:B" &amp; ROW()))-1&lt;E124,表2_36716262930389121314152324252627283132[[#This Row],[累计净值]]/MAX(INDIRECT("B21:B" &amp; ROW()))-1,E124)</f>
        <v>-4.1856232939035509E-2</v>
      </c>
      <c r="F125" s="110">
        <f>表2_36716262930389121314152324252627283132[[#This Row],[累计净值]]</f>
        <v>1.0529999999999999</v>
      </c>
      <c r="G125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4.4088176352705413E-2</v>
      </c>
    </row>
    <row r="126" spans="1:7" x14ac:dyDescent="0.2">
      <c r="A126" s="15">
        <v>44307</v>
      </c>
      <c r="B126" s="112">
        <v>1.0489999999999999</v>
      </c>
      <c r="C126" s="108">
        <f t="shared" si="43"/>
        <v>-4.0000000000000036E-3</v>
      </c>
      <c r="D126" s="109">
        <f t="shared" si="44"/>
        <v>-4.0000000000000036E-3</v>
      </c>
      <c r="E126" s="109">
        <f ca="1">IF(表2_36716262930389121314152324252627283132[[#This Row],[累计净值]]/MAX(INDIRECT("B21:B" &amp; ROW()))-1&lt;E125,表2_36716262930389121314152324252627283132[[#This Row],[累计净值]]/MAX(INDIRECT("B21:B" &amp; ROW()))-1,E125)</f>
        <v>-4.5495905368516887E-2</v>
      </c>
      <c r="F126" s="110">
        <f>表2_36716262930389121314152324252627283132[[#This Row],[累计净值]]</f>
        <v>1.0489999999999999</v>
      </c>
      <c r="G126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4.088176352705411E-2</v>
      </c>
    </row>
    <row r="127" spans="1:7" x14ac:dyDescent="0.2">
      <c r="A127" s="15">
        <v>44308</v>
      </c>
      <c r="B127" s="112">
        <v>1.0489999999999999</v>
      </c>
      <c r="C127" s="108">
        <f t="shared" si="43"/>
        <v>0</v>
      </c>
      <c r="D127" s="109" t="str">
        <f t="shared" si="44"/>
        <v>/</v>
      </c>
      <c r="E127" s="109">
        <f ca="1">IF(表2_36716262930389121314152324252627283132[[#This Row],[累计净值]]/MAX(INDIRECT("B21:B" &amp; ROW()))-1&lt;E126,表2_36716262930389121314152324252627283132[[#This Row],[累计净值]]/MAX(INDIRECT("B21:B" &amp; ROW()))-1,E126)</f>
        <v>-4.5495905368516887E-2</v>
      </c>
      <c r="F127" s="110">
        <f>表2_36716262930389121314152324252627283132[[#This Row],[累计净值]]</f>
        <v>1.0489999999999999</v>
      </c>
      <c r="G127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4.088176352705411E-2</v>
      </c>
    </row>
    <row r="128" spans="1:7" x14ac:dyDescent="0.2">
      <c r="A128" s="15">
        <v>44309</v>
      </c>
      <c r="B128" s="112">
        <v>1.046</v>
      </c>
      <c r="C128" s="108">
        <f>IFERROR(B128-B127,0)</f>
        <v>-2.9999999999998916E-3</v>
      </c>
      <c r="D128" s="109">
        <f>IF(C128&lt;0,C128,"/")</f>
        <v>-2.9999999999998916E-3</v>
      </c>
      <c r="E128" s="109">
        <f ca="1">IF(表2_36716262930389121314152324252627283132[[#This Row],[累计净值]]/MAX(INDIRECT("B21:B" &amp; ROW()))-1&lt;E127,表2_36716262930389121314152324252627283132[[#This Row],[累计净值]]/MAX(INDIRECT("B21:B" &amp; ROW()))-1,E127)</f>
        <v>-4.8225659690627753E-2</v>
      </c>
      <c r="F128" s="110">
        <f>表2_36716262930389121314152324252627283132[[#This Row],[累计净值]]</f>
        <v>1.046</v>
      </c>
      <c r="G128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3.8476953907815671E-2</v>
      </c>
    </row>
    <row r="129" spans="1:7" x14ac:dyDescent="0.2">
      <c r="A129" s="15">
        <v>44312</v>
      </c>
      <c r="B129" s="112">
        <v>1.0569999999999999</v>
      </c>
      <c r="C129" s="108">
        <f>IFERROR(B129-B128,0)</f>
        <v>1.0999999999999899E-2</v>
      </c>
      <c r="D129" s="109" t="str">
        <f>IF(C129&lt;0,C129,"/")</f>
        <v>/</v>
      </c>
      <c r="E129" s="109">
        <f ca="1">IF(表2_36716262930389121314152324252627283132[[#This Row],[累计净值]]/MAX(INDIRECT("B21:B" &amp; ROW()))-1&lt;E128,表2_36716262930389121314152324252627283132[[#This Row],[累计净值]]/MAX(INDIRECT("B21:B" &amp; ROW()))-1,E128)</f>
        <v>-4.8225659690627753E-2</v>
      </c>
      <c r="F129" s="110">
        <f>表2_36716262930389121314152324252627283132[[#This Row],[累计净值]]</f>
        <v>1.0569999999999999</v>
      </c>
      <c r="G129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4.7294589178356716E-2</v>
      </c>
    </row>
    <row r="130" spans="1:7" x14ac:dyDescent="0.2">
      <c r="A130" s="15">
        <v>44313</v>
      </c>
      <c r="B130" s="112">
        <v>1.069</v>
      </c>
      <c r="C130" s="108">
        <f>IFERROR(B130-B129,0)</f>
        <v>1.2000000000000011E-2</v>
      </c>
      <c r="D130" s="109" t="str">
        <f>IF(C130&lt;0,C130,"/")</f>
        <v>/</v>
      </c>
      <c r="E130" s="109">
        <f ca="1">IF(表2_36716262930389121314152324252627283132[[#This Row],[累计净值]]/MAX(INDIRECT("B21:B" &amp; ROW()))-1&lt;E129,表2_36716262930389121314152324252627283132[[#This Row],[累计净值]]/MAX(INDIRECT("B21:B" &amp; ROW()))-1,E129)</f>
        <v>-4.8225659690627753E-2</v>
      </c>
      <c r="F130" s="110">
        <f>表2_36716262930389121314152324252627283132[[#This Row],[累计净值]]</f>
        <v>1.069</v>
      </c>
      <c r="G130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5.6913827655310639E-2</v>
      </c>
    </row>
    <row r="131" spans="1:7" x14ac:dyDescent="0.2">
      <c r="A131" s="15">
        <v>44314</v>
      </c>
      <c r="B131" s="391">
        <v>1.0509999999999999</v>
      </c>
      <c r="C131" s="108">
        <f>IFERROR(B131-B130,0)</f>
        <v>-1.8000000000000016E-2</v>
      </c>
      <c r="D131" s="109">
        <f>IF(C131&lt;0,C131,"/")</f>
        <v>-1.8000000000000016E-2</v>
      </c>
      <c r="E131" s="109">
        <f ca="1">IF(表2_36716262930389121314152324252627283132[[#This Row],[累计净值]]/MAX(INDIRECT("B21:B" &amp; ROW()))-1&lt;E130,表2_36716262930389121314152324252627283132[[#This Row],[累计净值]]/MAX(INDIRECT("B21:B" &amp; ROW()))-1,E130)</f>
        <v>-4.8225659690627753E-2</v>
      </c>
      <c r="F131" s="110">
        <f>表2_36716262930389121314152324252627283132[[#This Row],[累计净值]]</f>
        <v>1.0509999999999999</v>
      </c>
      <c r="G131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4.2484969939879672E-2</v>
      </c>
    </row>
    <row r="132" spans="1:7" x14ac:dyDescent="0.2">
      <c r="A132" s="15">
        <v>44315</v>
      </c>
      <c r="B132" s="112">
        <v>1.0580000000000001</v>
      </c>
      <c r="C132" s="108">
        <f t="shared" ref="C132:C134" si="45">IFERROR(B132-B131,0)</f>
        <v>7.0000000000001172E-3</v>
      </c>
      <c r="D132" s="109" t="str">
        <f t="shared" ref="D132:D134" si="46">IF(C132&lt;0,C132,"/")</f>
        <v>/</v>
      </c>
      <c r="E132" s="109">
        <f ca="1">IF(表2_36716262930389121314152324252627283132[[#This Row],[累计净值]]/MAX(INDIRECT("B21:B" &amp; ROW()))-1&lt;E131,表2_36716262930389121314152324252627283132[[#This Row],[累计净值]]/MAX(INDIRECT("B21:B" &amp; ROW()))-1,E131)</f>
        <v>-4.8225659690627753E-2</v>
      </c>
      <c r="F132" s="110">
        <f>表2_36716262930389121314152324252627283132[[#This Row],[累计净值]]</f>
        <v>1.0580000000000001</v>
      </c>
      <c r="G132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4.8096192384769587E-2</v>
      </c>
    </row>
    <row r="133" spans="1:7" x14ac:dyDescent="0.2">
      <c r="A133" s="15">
        <v>44316</v>
      </c>
      <c r="B133" s="112">
        <v>1.0580000000000001</v>
      </c>
      <c r="C133" s="108">
        <f t="shared" si="45"/>
        <v>0</v>
      </c>
      <c r="D133" s="109" t="str">
        <f t="shared" si="46"/>
        <v>/</v>
      </c>
      <c r="E133" s="109">
        <f ca="1">IF(表2_36716262930389121314152324252627283132[[#This Row],[累计净值]]/MAX(INDIRECT("B21:B" &amp; ROW()))-1&lt;E132,表2_36716262930389121314152324252627283132[[#This Row],[累计净值]]/MAX(INDIRECT("B21:B" &amp; ROW()))-1,E132)</f>
        <v>-4.8225659690627753E-2</v>
      </c>
      <c r="F133" s="110">
        <f>表2_36716262930389121314152324252627283132[[#This Row],[累计净值]]</f>
        <v>1.0580000000000001</v>
      </c>
      <c r="G133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4.8096192384769587E-2</v>
      </c>
    </row>
    <row r="134" spans="1:7" x14ac:dyDescent="0.2">
      <c r="A134" s="15">
        <v>44322</v>
      </c>
      <c r="B134" s="112">
        <v>1.101</v>
      </c>
      <c r="C134" s="108">
        <f t="shared" si="45"/>
        <v>4.2999999999999927E-2</v>
      </c>
      <c r="D134" s="109" t="str">
        <f t="shared" si="46"/>
        <v>/</v>
      </c>
      <c r="E134" s="109">
        <f ca="1">IF(表2_36716262930389121314152324252627283132[[#This Row],[累计净值]]/MAX(INDIRECT("B21:B" &amp; ROW()))-1&lt;E133,表2_36716262930389121314152324252627283132[[#This Row],[累计净值]]/MAX(INDIRECT("B21:B" &amp; ROW()))-1,E133)</f>
        <v>-4.8225659690627753E-2</v>
      </c>
      <c r="F134" s="110">
        <f>表2_36716262930389121314152324252627283132[[#This Row],[累计净值]]</f>
        <v>1.101</v>
      </c>
      <c r="G134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8.2565130260521091E-2</v>
      </c>
    </row>
    <row r="135" spans="1:7" x14ac:dyDescent="0.2">
      <c r="A135" s="15">
        <v>44323</v>
      </c>
      <c r="B135" s="112">
        <v>1.1379999999999999</v>
      </c>
      <c r="C135" s="108">
        <f t="shared" ref="C135:C140" si="47">IFERROR(B135-B134,0)</f>
        <v>3.6999999999999922E-2</v>
      </c>
      <c r="D135" s="109" t="str">
        <f t="shared" ref="D135:D140" si="48">IF(C135&lt;0,C135,"/")</f>
        <v>/</v>
      </c>
      <c r="E135" s="109">
        <f ca="1">IF(表2_36716262930389121314152324252627283132[[#This Row],[累计净值]]/MAX(INDIRECT("B21:B" &amp; ROW()))-1&lt;E134,表2_36716262930389121314152324252627283132[[#This Row],[累计净值]]/MAX(INDIRECT("B21:B" &amp; ROW()))-1,E134)</f>
        <v>-4.8225659690627753E-2</v>
      </c>
      <c r="F135" s="110">
        <f>表2_36716262930389121314152324252627283132[[#This Row],[累计净值]]</f>
        <v>1.1379999999999999</v>
      </c>
      <c r="G135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0.11222444889779554</v>
      </c>
    </row>
    <row r="136" spans="1:7" x14ac:dyDescent="0.2">
      <c r="A136" s="15">
        <v>44326</v>
      </c>
      <c r="B136" s="112">
        <v>1.181</v>
      </c>
      <c r="C136" s="108">
        <f t="shared" si="47"/>
        <v>4.3000000000000149E-2</v>
      </c>
      <c r="D136" s="109" t="str">
        <f t="shared" si="48"/>
        <v>/</v>
      </c>
      <c r="E136" s="109">
        <f ca="1">IF(表2_36716262930389121314152324252627283132[[#This Row],[累计净值]]/MAX(INDIRECT("B21:B" &amp; ROW()))-1&lt;E135,表2_36716262930389121314152324252627283132[[#This Row],[累计净值]]/MAX(INDIRECT("B21:B" &amp; ROW()))-1,E135)</f>
        <v>-4.8225659690627753E-2</v>
      </c>
      <c r="F136" s="110">
        <f>表2_36716262930389121314152324252627283132[[#This Row],[累计净值]]</f>
        <v>1.181</v>
      </c>
      <c r="G136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0.14669338677354721</v>
      </c>
    </row>
    <row r="137" spans="1:7" x14ac:dyDescent="0.2">
      <c r="A137" s="15">
        <v>44327</v>
      </c>
      <c r="B137" s="112">
        <v>1.177</v>
      </c>
      <c r="C137" s="108">
        <f t="shared" si="47"/>
        <v>-4.0000000000000036E-3</v>
      </c>
      <c r="D137" s="109">
        <f t="shared" si="48"/>
        <v>-4.0000000000000036E-3</v>
      </c>
      <c r="E137" s="109">
        <f ca="1">IF(表2_36716262930389121314152324252627283132[[#This Row],[累计净值]]/MAX(INDIRECT("B21:B" &amp; ROW()))-1&lt;E136,表2_36716262930389121314152324252627283132[[#This Row],[累计净值]]/MAX(INDIRECT("B21:B" &amp; ROW()))-1,E136)</f>
        <v>-4.8225659690627753E-2</v>
      </c>
      <c r="F137" s="110">
        <f>表2_36716262930389121314152324252627283132[[#This Row],[累计净值]]</f>
        <v>1.177</v>
      </c>
      <c r="G137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0.14348697394789589</v>
      </c>
    </row>
    <row r="138" spans="1:7" x14ac:dyDescent="0.2">
      <c r="A138" s="15">
        <v>44328</v>
      </c>
      <c r="B138" s="112">
        <v>1.2150000000000001</v>
      </c>
      <c r="C138" s="108">
        <f t="shared" si="47"/>
        <v>3.8000000000000034E-2</v>
      </c>
      <c r="D138" s="109" t="str">
        <f t="shared" si="48"/>
        <v>/</v>
      </c>
      <c r="E138" s="109">
        <f ca="1">IF(表2_36716262930389121314152324252627283132[[#This Row],[累计净值]]/MAX(INDIRECT("B21:B" &amp; ROW()))-1&lt;E137,表2_36716262930389121314152324252627283132[[#This Row],[累计净值]]/MAX(INDIRECT("B21:B" &amp; ROW()))-1,E137)</f>
        <v>-4.8225659690627753E-2</v>
      </c>
      <c r="F138" s="110">
        <f>表2_36716262930389121314152324252627283132[[#This Row],[累计净值]]</f>
        <v>1.2150000000000001</v>
      </c>
      <c r="G138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0.17394789579158321</v>
      </c>
    </row>
    <row r="139" spans="1:7" x14ac:dyDescent="0.2">
      <c r="A139" s="15">
        <v>44329</v>
      </c>
      <c r="B139" s="112">
        <v>1.232</v>
      </c>
      <c r="C139" s="108">
        <f t="shared" si="47"/>
        <v>1.6999999999999904E-2</v>
      </c>
      <c r="D139" s="109" t="str">
        <f t="shared" si="48"/>
        <v>/</v>
      </c>
      <c r="E139" s="109">
        <f ca="1">IF(表2_36716262930389121314152324252627283132[[#This Row],[累计净值]]/MAX(INDIRECT("B21:B" &amp; ROW()))-1&lt;E138,表2_36716262930389121314152324252627283132[[#This Row],[累计净值]]/MAX(INDIRECT("B21:B" &amp; ROW()))-1,E138)</f>
        <v>-4.8225659690627753E-2</v>
      </c>
      <c r="F139" s="110">
        <f>表2_36716262930389121314152324252627283132[[#This Row],[累计净值]]</f>
        <v>1.232</v>
      </c>
      <c r="G139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0.18757515030060112</v>
      </c>
    </row>
    <row r="140" spans="1:7" x14ac:dyDescent="0.2">
      <c r="A140" s="15">
        <v>44330</v>
      </c>
      <c r="B140" s="112">
        <v>1.1439999999999999</v>
      </c>
      <c r="C140" s="108">
        <f t="shared" si="47"/>
        <v>-8.8000000000000078E-2</v>
      </c>
      <c r="D140" s="109">
        <f t="shared" si="48"/>
        <v>-8.8000000000000078E-2</v>
      </c>
      <c r="E140" s="109">
        <f ca="1">IF(表2_36716262930389121314152324252627283132[[#This Row],[累计净值]]/MAX(INDIRECT("B21:B" &amp; ROW()))-1&lt;E139,表2_36716262930389121314152324252627283132[[#This Row],[累计净值]]/MAX(INDIRECT("B21:B" &amp; ROW()))-1,E139)</f>
        <v>-7.1428571428571508E-2</v>
      </c>
      <c r="F140" s="110">
        <f>表2_36716262930389121314152324252627283132[[#This Row],[累计净值]]</f>
        <v>1.1439999999999999</v>
      </c>
      <c r="G140" s="20">
        <f>IF(表2_36716262930389121314152324252627283132[[#This Row],[累计净值]]&gt;0.998,0.8*(表2_36716262930389121314152324252627283132[[#This Row],[累计净值]]/$B$22-1),表2_36716262930389121314152324252627283132[[#This Row],[累计净值]]/$B$22-1)</f>
        <v>0.1170340681362724</v>
      </c>
    </row>
  </sheetData>
  <mergeCells count="1">
    <mergeCell ref="G2:G3"/>
  </mergeCells>
  <phoneticPr fontId="24" type="noConversion"/>
  <pageMargins left="0.7" right="0.7" top="0.75" bottom="0.75" header="0.3" footer="0.3"/>
  <pageSetup paperSize="9" orientation="portrait" horizontalDpi="200" verticalDpi="200" r:id="rId1"/>
  <drawing r:id="rId2"/>
  <tableParts count="1"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G200"/>
  <sheetViews>
    <sheetView workbookViewId="0">
      <pane xSplit="1" ySplit="20" topLeftCell="B186" activePane="bottomRight" state="frozen"/>
      <selection pane="topRight" activeCell="B1" sqref="B1"/>
      <selection pane="bottomLeft" activeCell="A21" sqref="A21"/>
      <selection pane="bottomRight" activeCell="L197" sqref="L197"/>
    </sheetView>
  </sheetViews>
  <sheetFormatPr defaultColWidth="9" defaultRowHeight="14.25" x14ac:dyDescent="0.2"/>
  <cols>
    <col min="1" max="1" width="11.625" style="1" bestFit="1" customWidth="1"/>
    <col min="2" max="2" width="13" style="1" customWidth="1"/>
    <col min="3" max="4" width="13.5" style="1" bestFit="1" customWidth="1"/>
    <col min="5" max="5" width="10.75" style="1" customWidth="1"/>
    <col min="6" max="6" width="11.125" style="1" customWidth="1"/>
    <col min="7" max="7" width="18.875" style="2" customWidth="1"/>
    <col min="8" max="8" width="14.25" style="1" customWidth="1"/>
    <col min="9" max="9" width="12" style="1" bestFit="1" customWidth="1"/>
    <col min="10" max="16384" width="9" style="1"/>
  </cols>
  <sheetData>
    <row r="1" spans="1:7" ht="15" thickBot="1" x14ac:dyDescent="0.25"/>
    <row r="2" spans="1:7" ht="15" thickBot="1" x14ac:dyDescent="0.25">
      <c r="A2" s="23" t="s">
        <v>0</v>
      </c>
      <c r="B2" s="24">
        <f>COUNT(表2_367162629303891213141523242526272835[每日盈亏])</f>
        <v>180</v>
      </c>
      <c r="C2" s="27"/>
      <c r="D2" s="3" t="s">
        <v>1</v>
      </c>
      <c r="E2" s="28"/>
      <c r="F2" s="1" t="s">
        <v>2</v>
      </c>
      <c r="G2" s="394" t="s">
        <v>3</v>
      </c>
    </row>
    <row r="3" spans="1:7" x14ac:dyDescent="0.2">
      <c r="A3" s="25" t="s">
        <v>4</v>
      </c>
      <c r="B3" s="26">
        <f>COUNTIF(表2_367162629303891213141523242526272835[每日盈亏],"&gt;0")</f>
        <v>119</v>
      </c>
      <c r="C3" s="29"/>
      <c r="D3" s="30" t="s">
        <v>5</v>
      </c>
      <c r="E3" s="31">
        <f>245^0.5*(B10-0.025/365)/E10</f>
        <v>2.9129762126765195</v>
      </c>
      <c r="G3" s="394"/>
    </row>
    <row r="4" spans="1:7" x14ac:dyDescent="0.2">
      <c r="A4" s="25" t="s">
        <v>6</v>
      </c>
      <c r="B4" s="26">
        <f>COUNTIF(表2_367162629303891213141523242526272835[每日盈亏],"&lt;0")</f>
        <v>56</v>
      </c>
      <c r="C4" s="29"/>
      <c r="D4" s="32" t="s">
        <v>7</v>
      </c>
      <c r="E4" s="31">
        <f ca="1">-B9/E8</f>
        <v>8.3163722561665647</v>
      </c>
      <c r="G4" s="2">
        <f>LOOKUP(999^10,表2_367162629303891213141523242526272835[累计净值])</f>
        <v>1.2443</v>
      </c>
    </row>
    <row r="5" spans="1:7" x14ac:dyDescent="0.2">
      <c r="A5" s="25" t="s">
        <v>8</v>
      </c>
      <c r="B5" s="26">
        <f>B2-B3-B4</f>
        <v>5</v>
      </c>
      <c r="C5" s="29"/>
      <c r="D5" s="33" t="s">
        <v>9</v>
      </c>
      <c r="E5" s="4">
        <f>245^0.5*(B10-0.025/365)/E9</f>
        <v>3.3745124360082599</v>
      </c>
    </row>
    <row r="6" spans="1:7" ht="15" thickBot="1" x14ac:dyDescent="0.25">
      <c r="A6" s="34"/>
      <c r="B6" s="35"/>
      <c r="C6" s="35"/>
      <c r="D6" s="35"/>
      <c r="E6" s="36"/>
    </row>
    <row r="7" spans="1:7" ht="15" thickBot="1" x14ac:dyDescent="0.25">
      <c r="A7" s="5" t="s">
        <v>10</v>
      </c>
      <c r="B7" s="35"/>
      <c r="C7" s="35"/>
      <c r="D7" s="3" t="s">
        <v>11</v>
      </c>
      <c r="E7" s="37"/>
    </row>
    <row r="8" spans="1:7" x14ac:dyDescent="0.2">
      <c r="A8" s="38" t="s">
        <v>12</v>
      </c>
      <c r="B8" s="39">
        <f>LOOKUP(999^10,表2_367162629303891213141523242526272835[累计净值])/$B$21-1</f>
        <v>0.24429999999999996</v>
      </c>
      <c r="C8" s="40"/>
      <c r="D8" s="30" t="s">
        <v>13</v>
      </c>
      <c r="E8" s="41">
        <f ca="1">MIN(表2_367162629303891213141523242526272835[最大回撤])</f>
        <v>-3.99837133550488E-2</v>
      </c>
    </row>
    <row r="9" spans="1:7" x14ac:dyDescent="0.2">
      <c r="A9" s="25" t="s">
        <v>14</v>
      </c>
      <c r="B9" s="32">
        <f>B8*245/B2</f>
        <v>0.33251944444444437</v>
      </c>
      <c r="C9" s="40"/>
      <c r="D9" s="33" t="s">
        <v>15</v>
      </c>
      <c r="E9" s="6">
        <f>STDEV(表2_367162629303891213141523242526272835[下跌幅度])</f>
        <v>5.9776933830548848E-3</v>
      </c>
    </row>
    <row r="10" spans="1:7" x14ac:dyDescent="0.2">
      <c r="A10" s="42" t="s">
        <v>16</v>
      </c>
      <c r="B10" s="43">
        <f>AVERAGE(表2_367162629303891213141523242526272835[每日盈亏])</f>
        <v>1.3572222222222219E-3</v>
      </c>
      <c r="C10" s="44"/>
      <c r="D10" s="33" t="s">
        <v>17</v>
      </c>
      <c r="E10" s="6">
        <f>STDEV(表2_367162629303891213141523242526272835[每日盈亏])</f>
        <v>6.9248078896012033E-3</v>
      </c>
    </row>
    <row r="11" spans="1:7" x14ac:dyDescent="0.2">
      <c r="A11" s="7" t="s">
        <v>18</v>
      </c>
      <c r="B11" s="32">
        <f>B3/B2</f>
        <v>0.66111111111111109</v>
      </c>
      <c r="C11" s="40"/>
      <c r="D11" s="32" t="s">
        <v>19</v>
      </c>
      <c r="E11" s="41">
        <f>245^0.5*E10</f>
        <v>0.10839038820592606</v>
      </c>
    </row>
    <row r="12" spans="1:7" ht="15" thickBot="1" x14ac:dyDescent="0.25">
      <c r="A12" s="45" t="s">
        <v>20</v>
      </c>
      <c r="B12" s="46">
        <f>-(SUMIF(表2_367162629303891213141523242526272835[每日盈亏],"&gt;=0")/B3)/(SUMIF(表2_367162629303891213141523242526272835[每日盈亏],"&lt;0")/B4)</f>
        <v>0.85611709472521591</v>
      </c>
      <c r="C12" s="47"/>
      <c r="D12" s="48"/>
      <c r="E12" s="49"/>
    </row>
    <row r="14" spans="1:7" ht="28.5" x14ac:dyDescent="0.2">
      <c r="A14" s="50" t="s">
        <v>21</v>
      </c>
      <c r="B14" s="50" t="s">
        <v>14</v>
      </c>
      <c r="C14" s="51" t="s">
        <v>19</v>
      </c>
      <c r="D14" s="51" t="s">
        <v>13</v>
      </c>
      <c r="E14" s="51" t="s">
        <v>5</v>
      </c>
      <c r="F14" s="51" t="s">
        <v>7</v>
      </c>
    </row>
    <row r="15" spans="1:7" x14ac:dyDescent="0.2">
      <c r="A15" s="78">
        <f>B2</f>
        <v>180</v>
      </c>
      <c r="B15" s="53">
        <f>B9</f>
        <v>0.33251944444444437</v>
      </c>
      <c r="C15" s="53">
        <f>E11</f>
        <v>0.10839038820592606</v>
      </c>
      <c r="D15" s="53">
        <f ca="1">E8</f>
        <v>-3.99837133550488E-2</v>
      </c>
      <c r="E15" s="54">
        <f>E3</f>
        <v>2.9129762126765195</v>
      </c>
      <c r="F15" s="54">
        <f ca="1">E4</f>
        <v>8.3163722561665647</v>
      </c>
    </row>
    <row r="19" spans="1:7" x14ac:dyDescent="0.2">
      <c r="A19" s="8"/>
      <c r="B19" s="1" t="s">
        <v>22</v>
      </c>
    </row>
    <row r="20" spans="1:7" ht="15.75" x14ac:dyDescent="0.2">
      <c r="A20" s="22" t="s">
        <v>23</v>
      </c>
      <c r="B20" s="22" t="s">
        <v>24</v>
      </c>
      <c r="C20" s="22" t="s">
        <v>25</v>
      </c>
      <c r="D20" s="22" t="s">
        <v>26</v>
      </c>
      <c r="E20" s="22" t="s">
        <v>27</v>
      </c>
      <c r="F20" s="22" t="s">
        <v>28</v>
      </c>
      <c r="G20" s="22" t="s">
        <v>29</v>
      </c>
    </row>
    <row r="21" spans="1:7" x14ac:dyDescent="0.2">
      <c r="A21" s="212">
        <v>44060</v>
      </c>
      <c r="B21" s="169">
        <v>1</v>
      </c>
      <c r="C21" s="11">
        <f t="shared" ref="C21:C33" si="0">IFERROR(B21-B20,0)</f>
        <v>0</v>
      </c>
      <c r="D21" s="12" t="str">
        <f>IF(C21&lt;0,C21,"/")</f>
        <v>/</v>
      </c>
      <c r="E21" s="12">
        <f ca="1">IF(表2_367162629303891213141523242526272835[[#This Row],[累计净值]]/MAX(INDIRECT("B21:B" &amp; ROW()))-1&lt;E20,表2_367162629303891213141523242526272835[[#This Row],[累计净值]]/MAX(INDIRECT("B21:B" &amp; ROW()))-1,E20)</f>
        <v>0</v>
      </c>
      <c r="F21" s="13">
        <f>表2_367162629303891213141523242526272835[[#This Row],[累计净值]]</f>
        <v>1</v>
      </c>
      <c r="G21" s="194" t="s">
        <v>30</v>
      </c>
    </row>
    <row r="22" spans="1:7" x14ac:dyDescent="0.2">
      <c r="A22" s="212">
        <v>44061</v>
      </c>
      <c r="B22" s="169">
        <v>0.99990000000000001</v>
      </c>
      <c r="C22" s="17">
        <f t="shared" si="0"/>
        <v>-9.9999999999988987E-5</v>
      </c>
      <c r="D22" s="18">
        <f>IF(C22&lt;0,C22,"/")</f>
        <v>-9.9999999999988987E-5</v>
      </c>
      <c r="E22" s="18">
        <f ca="1">IF(表2_367162629303891213141523242526272835[[#This Row],[累计净值]]/MAX(INDIRECT("B21:B" &amp; ROW()))-1&lt;E21,表2_367162629303891213141523242526272835[[#This Row],[累计净值]]/MAX(INDIRECT("B21:B" &amp; ROW()))-1,E21)</f>
        <v>-9.9999999999988987E-5</v>
      </c>
      <c r="F22" s="19">
        <f>表2_367162629303891213141523242526272835[[#This Row],[累计净值]]</f>
        <v>0.99990000000000001</v>
      </c>
      <c r="G22" s="20"/>
    </row>
    <row r="23" spans="1:7" x14ac:dyDescent="0.2">
      <c r="A23" s="212">
        <v>44062</v>
      </c>
      <c r="B23" s="169">
        <v>0.99990000000000001</v>
      </c>
      <c r="C23" s="17">
        <f t="shared" si="0"/>
        <v>0</v>
      </c>
      <c r="D23" s="109" t="str">
        <f>IF(C23&lt;0,C23,"/")</f>
        <v>/</v>
      </c>
      <c r="E23" s="18">
        <f ca="1">IF(表2_367162629303891213141523242526272835[[#This Row],[累计净值]]/MAX(INDIRECT("B21:B" &amp; ROW()))-1&lt;E22,表2_367162629303891213141523242526272835[[#This Row],[累计净值]]/MAX(INDIRECT("B21:B" &amp; ROW()))-1,E22)</f>
        <v>-9.9999999999988987E-5</v>
      </c>
      <c r="F23" s="110">
        <f>表2_367162629303891213141523242526272835[[#This Row],[累计净值]]</f>
        <v>0.99990000000000001</v>
      </c>
      <c r="G23" s="20"/>
    </row>
    <row r="24" spans="1:7" x14ac:dyDescent="0.2">
      <c r="A24" s="212">
        <v>44063</v>
      </c>
      <c r="B24" s="169">
        <v>0.99980000000000002</v>
      </c>
      <c r="C24" s="17">
        <f t="shared" si="0"/>
        <v>-9.9999999999988987E-5</v>
      </c>
      <c r="D24" s="109">
        <f>IF(C24&lt;0,C24,"/")</f>
        <v>-9.9999999999988987E-5</v>
      </c>
      <c r="E24" s="18">
        <f ca="1">IF(表2_367162629303891213141523242526272835[[#This Row],[累计净值]]/MAX(INDIRECT("B21:B" &amp; ROW()))-1&lt;E23,表2_367162629303891213141523242526272835[[#This Row],[累计净值]]/MAX(INDIRECT("B21:B" &amp; ROW()))-1,E23)</f>
        <v>-1.9999999999997797E-4</v>
      </c>
      <c r="F24" s="110">
        <f>表2_367162629303891213141523242526272835[[#This Row],[累计净值]]</f>
        <v>0.99980000000000002</v>
      </c>
      <c r="G24" s="20"/>
    </row>
    <row r="25" spans="1:7" x14ac:dyDescent="0.2">
      <c r="A25" s="212">
        <v>44064</v>
      </c>
      <c r="B25" s="169">
        <v>0.99939999999999996</v>
      </c>
      <c r="C25" s="17">
        <f t="shared" si="0"/>
        <v>-4.0000000000006697E-4</v>
      </c>
      <c r="D25" s="109">
        <f>IF(C25&lt;0,C25,"/")</f>
        <v>-4.0000000000006697E-4</v>
      </c>
      <c r="E25" s="18">
        <f ca="1">IF(表2_367162629303891213141523242526272835[[#This Row],[累计净值]]/MAX(INDIRECT("B21:B" &amp; ROW()))-1&lt;E24,表2_367162629303891213141523242526272835[[#This Row],[累计净值]]/MAX(INDIRECT("B21:B" &amp; ROW()))-1,E24)</f>
        <v>-6.0000000000004494E-4</v>
      </c>
      <c r="F25" s="110">
        <f>表2_367162629303891213141523242526272835[[#This Row],[累计净值]]</f>
        <v>0.99939999999999996</v>
      </c>
      <c r="G25" s="20"/>
    </row>
    <row r="26" spans="1:7" x14ac:dyDescent="0.2">
      <c r="A26" s="212">
        <v>44067</v>
      </c>
      <c r="B26" s="169">
        <v>1.0018</v>
      </c>
      <c r="C26" s="17">
        <f t="shared" si="0"/>
        <v>2.4000000000000687E-3</v>
      </c>
      <c r="D26" s="109" t="str">
        <f t="shared" ref="D26:D64" si="1">IF(C26&lt;0,C26,"/")</f>
        <v>/</v>
      </c>
      <c r="E26" s="18">
        <f ca="1">IF(表2_367162629303891213141523242526272835[[#This Row],[累计净值]]/MAX(INDIRECT("B21:B" &amp; ROW()))-1&lt;E25,表2_367162629303891213141523242526272835[[#This Row],[累计净值]]/MAX(INDIRECT("B21:B" &amp; ROW()))-1,E25)</f>
        <v>-6.0000000000004494E-4</v>
      </c>
      <c r="F26" s="110">
        <f>表2_367162629303891213141523242526272835[[#This Row],[累计净值]]</f>
        <v>1.0018</v>
      </c>
      <c r="G26" s="20"/>
    </row>
    <row r="27" spans="1:7" x14ac:dyDescent="0.2">
      <c r="A27" s="212">
        <v>44068</v>
      </c>
      <c r="B27" s="169">
        <v>1.0048999999999999</v>
      </c>
      <c r="C27" s="17">
        <f t="shared" si="0"/>
        <v>3.0999999999998806E-3</v>
      </c>
      <c r="D27" s="109" t="str">
        <f t="shared" si="1"/>
        <v>/</v>
      </c>
      <c r="E27" s="18">
        <f ca="1">IF(表2_367162629303891213141523242526272835[[#This Row],[累计净值]]/MAX(INDIRECT("B21:B" &amp; ROW()))-1&lt;E26,表2_367162629303891213141523242526272835[[#This Row],[累计净值]]/MAX(INDIRECT("B21:B" &amp; ROW()))-1,E26)</f>
        <v>-6.0000000000004494E-4</v>
      </c>
      <c r="F27" s="110">
        <f>表2_367162629303891213141523242526272835[[#This Row],[累计净值]]</f>
        <v>1.0048999999999999</v>
      </c>
      <c r="G27" s="20"/>
    </row>
    <row r="28" spans="1:7" x14ac:dyDescent="0.2">
      <c r="A28" s="212">
        <v>44069</v>
      </c>
      <c r="B28" s="169">
        <v>0.99950000000000006</v>
      </c>
      <c r="C28" s="108">
        <f t="shared" si="0"/>
        <v>-5.3999999999998494E-3</v>
      </c>
      <c r="D28" s="109">
        <f t="shared" si="1"/>
        <v>-5.3999999999998494E-3</v>
      </c>
      <c r="E28" s="109">
        <f ca="1">IF(表2_367162629303891213141523242526272835[[#This Row],[累计净值]]/MAX(INDIRECT("B21:B" &amp; ROW()))-1&lt;E27,表2_367162629303891213141523242526272835[[#This Row],[累计净值]]/MAX(INDIRECT("B21:B" &amp; ROW()))-1,E27)</f>
        <v>-5.3736690217930372E-3</v>
      </c>
      <c r="F28" s="110">
        <f>表2_367162629303891213141523242526272835[[#This Row],[累计净值]]</f>
        <v>0.99950000000000006</v>
      </c>
      <c r="G28" s="20"/>
    </row>
    <row r="29" spans="1:7" x14ac:dyDescent="0.2">
      <c r="A29" s="212">
        <v>44070</v>
      </c>
      <c r="B29" s="169">
        <v>1.0055000000000001</v>
      </c>
      <c r="C29" s="108">
        <f t="shared" si="0"/>
        <v>6.0000000000000053E-3</v>
      </c>
      <c r="D29" s="109" t="str">
        <f t="shared" si="1"/>
        <v>/</v>
      </c>
      <c r="E29" s="109">
        <f ca="1">IF(表2_367162629303891213141523242526272835[[#This Row],[累计净值]]/MAX(INDIRECT("B21:B" &amp; ROW()))-1&lt;E28,表2_367162629303891213141523242526272835[[#This Row],[累计净值]]/MAX(INDIRECT("B21:B" &amp; ROW()))-1,E28)</f>
        <v>-5.3736690217930372E-3</v>
      </c>
      <c r="F29" s="110">
        <f>表2_367162629303891213141523242526272835[[#This Row],[累计净值]]</f>
        <v>1.0055000000000001</v>
      </c>
      <c r="G29" s="20"/>
    </row>
    <row r="30" spans="1:7" x14ac:dyDescent="0.2">
      <c r="A30" s="212">
        <v>44071</v>
      </c>
      <c r="B30" s="169">
        <v>1.0128999999999999</v>
      </c>
      <c r="C30" s="108">
        <f t="shared" si="0"/>
        <v>7.3999999999998511E-3</v>
      </c>
      <c r="D30" s="109" t="str">
        <f t="shared" si="1"/>
        <v>/</v>
      </c>
      <c r="E30" s="109">
        <f ca="1">IF(表2_367162629303891213141523242526272835[[#This Row],[累计净值]]/MAX(INDIRECT("B21:B" &amp; ROW()))-1&lt;E29,表2_367162629303891213141523242526272835[[#This Row],[累计净值]]/MAX(INDIRECT("B21:B" &amp; ROW()))-1,E29)</f>
        <v>-5.3736690217930372E-3</v>
      </c>
      <c r="F30" s="110">
        <f>表2_367162629303891213141523242526272835[[#This Row],[累计净值]]</f>
        <v>1.0128999999999999</v>
      </c>
      <c r="G30" s="20"/>
    </row>
    <row r="31" spans="1:7" x14ac:dyDescent="0.2">
      <c r="A31" s="212">
        <v>44074</v>
      </c>
      <c r="B31" s="169">
        <v>1.0122</v>
      </c>
      <c r="C31" s="108">
        <f t="shared" si="0"/>
        <v>-6.9999999999992291E-4</v>
      </c>
      <c r="D31" s="109">
        <f t="shared" si="1"/>
        <v>-6.9999999999992291E-4</v>
      </c>
      <c r="E31" s="109">
        <f ca="1">IF(表2_367162629303891213141523242526272835[[#This Row],[累计净值]]/MAX(INDIRECT("B21:B" &amp; ROW()))-1&lt;E30,表2_367162629303891213141523242526272835[[#This Row],[累计净值]]/MAX(INDIRECT("B21:B" &amp; ROW()))-1,E30)</f>
        <v>-5.3736690217930372E-3</v>
      </c>
      <c r="F31" s="110">
        <f>表2_367162629303891213141523242526272835[[#This Row],[累计净值]]</f>
        <v>1.0122</v>
      </c>
      <c r="G31" s="20"/>
    </row>
    <row r="32" spans="1:7" x14ac:dyDescent="0.2">
      <c r="A32" s="212">
        <v>44075</v>
      </c>
      <c r="B32" s="169">
        <v>1.0154000000000001</v>
      </c>
      <c r="C32" s="108">
        <f t="shared" si="0"/>
        <v>3.2000000000000917E-3</v>
      </c>
      <c r="D32" s="109" t="str">
        <f t="shared" si="1"/>
        <v>/</v>
      </c>
      <c r="E32" s="109">
        <f ca="1">IF(表2_367162629303891213141523242526272835[[#This Row],[累计净值]]/MAX(INDIRECT("B21:B" &amp; ROW()))-1&lt;E31,表2_367162629303891213141523242526272835[[#This Row],[累计净值]]/MAX(INDIRECT("B21:B" &amp; ROW()))-1,E31)</f>
        <v>-5.3736690217930372E-3</v>
      </c>
      <c r="F32" s="110">
        <f>表2_367162629303891213141523242526272835[[#This Row],[累计净值]]</f>
        <v>1.0154000000000001</v>
      </c>
      <c r="G32" s="20"/>
    </row>
    <row r="33" spans="1:7" x14ac:dyDescent="0.2">
      <c r="A33" s="212">
        <v>44076</v>
      </c>
      <c r="B33" s="169">
        <v>1.0155000000000001</v>
      </c>
      <c r="C33" s="108">
        <f t="shared" si="0"/>
        <v>9.9999999999988987E-5</v>
      </c>
      <c r="D33" s="109" t="str">
        <f t="shared" si="1"/>
        <v>/</v>
      </c>
      <c r="E33" s="109">
        <f ca="1">IF(表2_367162629303891213141523242526272835[[#This Row],[累计净值]]/MAX(INDIRECT("B21:B" &amp; ROW()))-1&lt;E32,表2_367162629303891213141523242526272835[[#This Row],[累计净值]]/MAX(INDIRECT("B21:B" &amp; ROW()))-1,E32)</f>
        <v>-5.3736690217930372E-3</v>
      </c>
      <c r="F33" s="110">
        <f>表2_367162629303891213141523242526272835[[#This Row],[累计净值]]</f>
        <v>1.0155000000000001</v>
      </c>
      <c r="G33" s="20"/>
    </row>
    <row r="34" spans="1:7" x14ac:dyDescent="0.2">
      <c r="A34" s="212">
        <v>44077</v>
      </c>
      <c r="B34" s="169">
        <v>1.0148999999999999</v>
      </c>
      <c r="C34" s="108">
        <f>IFERROR(B34-B33,0)</f>
        <v>-6.0000000000015596E-4</v>
      </c>
      <c r="D34" s="109">
        <f t="shared" si="1"/>
        <v>-6.0000000000015596E-4</v>
      </c>
      <c r="E34" s="109">
        <f ca="1">IF(表2_367162629303891213141523242526272835[[#This Row],[累计净值]]/MAX(INDIRECT("B21:B" &amp; ROW()))-1&lt;E33,表2_367162629303891213141523242526272835[[#This Row],[累计净值]]/MAX(INDIRECT("B21:B" &amp; ROW()))-1,E33)</f>
        <v>-5.3736690217930372E-3</v>
      </c>
      <c r="F34" s="110">
        <f>表2_367162629303891213141523242526272835[[#This Row],[累计净值]]</f>
        <v>1.0148999999999999</v>
      </c>
      <c r="G34" s="20"/>
    </row>
    <row r="35" spans="1:7" x14ac:dyDescent="0.2">
      <c r="A35" s="212">
        <v>44078</v>
      </c>
      <c r="B35" s="169">
        <v>1.0143</v>
      </c>
      <c r="C35" s="108">
        <f>IFERROR(B35-B34,0)</f>
        <v>-5.9999999999993392E-4</v>
      </c>
      <c r="D35" s="109">
        <f t="shared" si="1"/>
        <v>-5.9999999999993392E-4</v>
      </c>
      <c r="E35" s="109">
        <f ca="1">IF(表2_367162629303891213141523242526272835[[#This Row],[累计净值]]/MAX(INDIRECT("B21:B" &amp; ROW()))-1&lt;E34,表2_367162629303891213141523242526272835[[#This Row],[累计净值]]/MAX(INDIRECT("B21:B" &amp; ROW()))-1,E34)</f>
        <v>-5.3736690217930372E-3</v>
      </c>
      <c r="F35" s="110">
        <f>表2_367162629303891213141523242526272835[[#This Row],[累计净值]]</f>
        <v>1.0143</v>
      </c>
      <c r="G35" s="20"/>
    </row>
    <row r="36" spans="1:7" x14ac:dyDescent="0.2">
      <c r="A36" s="212">
        <v>44081</v>
      </c>
      <c r="B36" s="169">
        <v>1.0031000000000001</v>
      </c>
      <c r="C36" s="108">
        <f>IFERROR(B36-B35,0)</f>
        <v>-1.1199999999999877E-2</v>
      </c>
      <c r="D36" s="109">
        <f t="shared" si="1"/>
        <v>-1.1199999999999877E-2</v>
      </c>
      <c r="E36" s="109">
        <f ca="1">IF(表2_367162629303891213141523242526272835[[#This Row],[累计净值]]/MAX(INDIRECT("B21:B" &amp; ROW()))-1&lt;E35,表2_367162629303891213141523242526272835[[#This Row],[累计净值]]/MAX(INDIRECT("B21:B" &amp; ROW()))-1,E35)</f>
        <v>-1.2210733628754245E-2</v>
      </c>
      <c r="F36" s="110">
        <f>表2_367162629303891213141523242526272835[[#This Row],[累计净值]]</f>
        <v>1.0031000000000001</v>
      </c>
      <c r="G36" s="20"/>
    </row>
    <row r="37" spans="1:7" x14ac:dyDescent="0.2">
      <c r="A37" s="212">
        <v>44082</v>
      </c>
      <c r="B37" s="169">
        <v>1.0124</v>
      </c>
      <c r="C37" s="108">
        <f>IFERROR(B37-B36,0)</f>
        <v>9.2999999999998639E-3</v>
      </c>
      <c r="D37" s="109" t="str">
        <f t="shared" si="1"/>
        <v>/</v>
      </c>
      <c r="E37" s="109">
        <f ca="1">IF(表2_367162629303891213141523242526272835[[#This Row],[累计净值]]/MAX(INDIRECT("B21:B" &amp; ROW()))-1&lt;E36,表2_367162629303891213141523242526272835[[#This Row],[累计净值]]/MAX(INDIRECT("B21:B" &amp; ROW()))-1,E36)</f>
        <v>-1.2210733628754245E-2</v>
      </c>
      <c r="F37" s="110">
        <f>表2_367162629303891213141523242526272835[[#This Row],[累计净值]]</f>
        <v>1.0124</v>
      </c>
      <c r="G37" s="20"/>
    </row>
    <row r="38" spans="1:7" x14ac:dyDescent="0.2">
      <c r="A38" s="212">
        <v>44083</v>
      </c>
      <c r="B38" s="169">
        <v>0.99319999999999997</v>
      </c>
      <c r="C38" s="108">
        <f>IFERROR(B38-B37,0)</f>
        <v>-1.9199999999999995E-2</v>
      </c>
      <c r="D38" s="109">
        <f t="shared" si="1"/>
        <v>-1.9199999999999995E-2</v>
      </c>
      <c r="E38" s="109">
        <f ca="1">IF(表2_367162629303891213141523242526272835[[#This Row],[累计净值]]/MAX(INDIRECT("B21:B" &amp; ROW()))-1&lt;E37,表2_367162629303891213141523242526272835[[#This Row],[累计净值]]/MAX(INDIRECT("B21:B" &amp; ROW()))-1,E37)</f>
        <v>-2.1959625800098581E-2</v>
      </c>
      <c r="F38" s="110">
        <f>表2_367162629303891213141523242526272835[[#This Row],[累计净值]]</f>
        <v>0.99319999999999997</v>
      </c>
      <c r="G38" s="20"/>
    </row>
    <row r="39" spans="1:7" x14ac:dyDescent="0.2">
      <c r="A39" s="212">
        <v>44084</v>
      </c>
      <c r="B39" s="169">
        <v>1.0004999999999999</v>
      </c>
      <c r="C39" s="108">
        <f t="shared" ref="C39:C64" si="2">IFERROR(B39-B38,0)</f>
        <v>7.2999999999999732E-3</v>
      </c>
      <c r="D39" s="109" t="str">
        <f t="shared" si="1"/>
        <v>/</v>
      </c>
      <c r="E39" s="109">
        <f ca="1">IF(表2_367162629303891213141523242526272835[[#This Row],[累计净值]]/MAX(INDIRECT("B21:B" &amp; ROW()))-1&lt;E38,表2_367162629303891213141523242526272835[[#This Row],[累计净值]]/MAX(INDIRECT("B21:B" &amp; ROW()))-1,E38)</f>
        <v>-2.1959625800098581E-2</v>
      </c>
      <c r="F39" s="110">
        <f>表2_367162629303891213141523242526272835[[#This Row],[累计净值]]</f>
        <v>1.0004999999999999</v>
      </c>
      <c r="G39" s="20"/>
    </row>
    <row r="40" spans="1:7" x14ac:dyDescent="0.2">
      <c r="A40" s="212">
        <v>44085</v>
      </c>
      <c r="B40" s="169">
        <v>1.0139</v>
      </c>
      <c r="C40" s="108">
        <f t="shared" si="2"/>
        <v>1.3400000000000079E-2</v>
      </c>
      <c r="D40" s="109" t="str">
        <f t="shared" si="1"/>
        <v>/</v>
      </c>
      <c r="E40" s="109">
        <f ca="1">IF(表2_367162629303891213141523242526272835[[#This Row],[累计净值]]/MAX(INDIRECT("B21:B" &amp; ROW()))-1&lt;E39,表2_367162629303891213141523242526272835[[#This Row],[累计净值]]/MAX(INDIRECT("B21:B" &amp; ROW()))-1,E39)</f>
        <v>-2.1959625800098581E-2</v>
      </c>
      <c r="F40" s="110">
        <f>表2_367162629303891213141523242526272835[[#This Row],[累计净值]]</f>
        <v>1.0139</v>
      </c>
      <c r="G40" s="20"/>
    </row>
    <row r="41" spans="1:7" x14ac:dyDescent="0.2">
      <c r="A41" s="212">
        <v>44088</v>
      </c>
      <c r="B41" s="169">
        <v>1.0289999999999999</v>
      </c>
      <c r="C41" s="108">
        <f t="shared" si="2"/>
        <v>1.5099999999999891E-2</v>
      </c>
      <c r="D41" s="109" t="str">
        <f t="shared" si="1"/>
        <v>/</v>
      </c>
      <c r="E41" s="109">
        <f ca="1">IF(表2_367162629303891213141523242526272835[[#This Row],[累计净值]]/MAX(INDIRECT("B21:B" &amp; ROW()))-1&lt;E40,表2_367162629303891213141523242526272835[[#This Row],[累计净值]]/MAX(INDIRECT("B21:B" &amp; ROW()))-1,E40)</f>
        <v>-2.1959625800098581E-2</v>
      </c>
      <c r="F41" s="110">
        <f>表2_367162629303891213141523242526272835[[#This Row],[累计净值]]</f>
        <v>1.0289999999999999</v>
      </c>
      <c r="G41" s="20"/>
    </row>
    <row r="42" spans="1:7" x14ac:dyDescent="0.2">
      <c r="A42" s="212">
        <v>44089</v>
      </c>
      <c r="B42" s="169">
        <v>1.0367999999999999</v>
      </c>
      <c r="C42" s="108">
        <f t="shared" si="2"/>
        <v>7.8000000000000291E-3</v>
      </c>
      <c r="D42" s="109" t="str">
        <f t="shared" si="1"/>
        <v>/</v>
      </c>
      <c r="E42" s="109">
        <f ca="1">IF(表2_367162629303891213141523242526272835[[#This Row],[累计净值]]/MAX(INDIRECT("B21:B" &amp; ROW()))-1&lt;E41,表2_367162629303891213141523242526272835[[#This Row],[累计净值]]/MAX(INDIRECT("B21:B" &amp; ROW()))-1,E41)</f>
        <v>-2.1959625800098581E-2</v>
      </c>
      <c r="F42" s="110">
        <f>表2_367162629303891213141523242526272835[[#This Row],[累计净值]]</f>
        <v>1.0367999999999999</v>
      </c>
      <c r="G42" s="20"/>
    </row>
    <row r="43" spans="1:7" x14ac:dyDescent="0.2">
      <c r="A43" s="212">
        <v>44090</v>
      </c>
      <c r="B43" s="169">
        <v>1.0358000000000001</v>
      </c>
      <c r="C43" s="108">
        <f t="shared" si="2"/>
        <v>-9.9999999999988987E-4</v>
      </c>
      <c r="D43" s="109">
        <f t="shared" si="1"/>
        <v>-9.9999999999988987E-4</v>
      </c>
      <c r="E43" s="109">
        <f ca="1">IF(表2_367162629303891213141523242526272835[[#This Row],[累计净值]]/MAX(INDIRECT("B21:B" &amp; ROW()))-1&lt;E42,表2_367162629303891213141523242526272835[[#This Row],[累计净值]]/MAX(INDIRECT("B21:B" &amp; ROW()))-1,E42)</f>
        <v>-2.1959625800098581E-2</v>
      </c>
      <c r="F43" s="110">
        <f>表2_367162629303891213141523242526272835[[#This Row],[累计净值]]</f>
        <v>1.0358000000000001</v>
      </c>
      <c r="G43" s="20"/>
    </row>
    <row r="44" spans="1:7" x14ac:dyDescent="0.2">
      <c r="A44" s="212">
        <v>44091</v>
      </c>
      <c r="B44" s="169">
        <v>1.0326</v>
      </c>
      <c r="C44" s="108">
        <f t="shared" si="2"/>
        <v>-3.2000000000000917E-3</v>
      </c>
      <c r="D44" s="109">
        <f t="shared" si="1"/>
        <v>-3.2000000000000917E-3</v>
      </c>
      <c r="E44" s="109">
        <f ca="1">IF(表2_367162629303891213141523242526272835[[#This Row],[累计净值]]/MAX(INDIRECT("B21:B" &amp; ROW()))-1&lt;E43,表2_367162629303891213141523242526272835[[#This Row],[累计净值]]/MAX(INDIRECT("B21:B" &amp; ROW()))-1,E43)</f>
        <v>-2.1959625800098581E-2</v>
      </c>
      <c r="F44" s="110">
        <f>表2_367162629303891213141523242526272835[[#This Row],[累计净值]]</f>
        <v>1.0326</v>
      </c>
      <c r="G44" s="20"/>
    </row>
    <row r="45" spans="1:7" x14ac:dyDescent="0.2">
      <c r="A45" s="212">
        <v>44092</v>
      </c>
      <c r="B45" s="169">
        <v>1.0485</v>
      </c>
      <c r="C45" s="108">
        <f t="shared" si="2"/>
        <v>1.5900000000000025E-2</v>
      </c>
      <c r="D45" s="109" t="str">
        <f t="shared" si="1"/>
        <v>/</v>
      </c>
      <c r="E45" s="109">
        <f ca="1">IF(表2_367162629303891213141523242526272835[[#This Row],[累计净值]]/MAX(INDIRECT("B21:B" &amp; ROW()))-1&lt;E44,表2_367162629303891213141523242526272835[[#This Row],[累计净值]]/MAX(INDIRECT("B21:B" &amp; ROW()))-1,E44)</f>
        <v>-2.1959625800098581E-2</v>
      </c>
      <c r="F45" s="110">
        <f>表2_367162629303891213141523242526272835[[#This Row],[累计净值]]</f>
        <v>1.0485</v>
      </c>
      <c r="G45" s="20"/>
    </row>
    <row r="46" spans="1:7" x14ac:dyDescent="0.2">
      <c r="A46" s="212">
        <v>44095</v>
      </c>
      <c r="B46" s="169">
        <v>1.0458000000000001</v>
      </c>
      <c r="C46" s="108">
        <f t="shared" si="2"/>
        <v>-2.6999999999999247E-3</v>
      </c>
      <c r="D46" s="109">
        <f t="shared" si="1"/>
        <v>-2.6999999999999247E-3</v>
      </c>
      <c r="E46" s="109">
        <f ca="1">IF(表2_367162629303891213141523242526272835[[#This Row],[累计净值]]/MAX(INDIRECT("B21:B" &amp; ROW()))-1&lt;E45,表2_367162629303891213141523242526272835[[#This Row],[累计净值]]/MAX(INDIRECT("B21:B" &amp; ROW()))-1,E45)</f>
        <v>-2.1959625800098581E-2</v>
      </c>
      <c r="F46" s="110">
        <f>表2_367162629303891213141523242526272835[[#This Row],[累计净值]]</f>
        <v>1.0458000000000001</v>
      </c>
      <c r="G46" s="20"/>
    </row>
    <row r="47" spans="1:7" x14ac:dyDescent="0.2">
      <c r="A47" s="212">
        <v>44096</v>
      </c>
      <c r="B47" s="169">
        <v>1.0363</v>
      </c>
      <c r="C47" s="108">
        <f t="shared" si="2"/>
        <v>-9.5000000000000639E-3</v>
      </c>
      <c r="D47" s="109">
        <f t="shared" si="1"/>
        <v>-9.5000000000000639E-3</v>
      </c>
      <c r="E47" s="109">
        <f ca="1">IF(表2_367162629303891213141523242526272835[[#This Row],[累计净值]]/MAX(INDIRECT("B21:B" &amp; ROW()))-1&lt;E46,表2_367162629303891213141523242526272835[[#This Row],[累计净值]]/MAX(INDIRECT("B21:B" &amp; ROW()))-1,E46)</f>
        <v>-2.1959625800098581E-2</v>
      </c>
      <c r="F47" s="110">
        <f>表2_367162629303891213141523242526272835[[#This Row],[累计净值]]</f>
        <v>1.0363</v>
      </c>
      <c r="G47" s="20"/>
    </row>
    <row r="48" spans="1:7" x14ac:dyDescent="0.2">
      <c r="A48" s="212">
        <v>44097</v>
      </c>
      <c r="B48" s="169">
        <v>1.0428999999999999</v>
      </c>
      <c r="C48" s="108">
        <f t="shared" si="2"/>
        <v>6.5999999999999392E-3</v>
      </c>
      <c r="D48" s="109" t="str">
        <f t="shared" si="1"/>
        <v>/</v>
      </c>
      <c r="E48" s="109">
        <f ca="1">IF(表2_367162629303891213141523242526272835[[#This Row],[累计净值]]/MAX(INDIRECT("B21:B" &amp; ROW()))-1&lt;E47,表2_367162629303891213141523242526272835[[#This Row],[累计净值]]/MAX(INDIRECT("B21:B" &amp; ROW()))-1,E47)</f>
        <v>-2.1959625800098581E-2</v>
      </c>
      <c r="F48" s="110">
        <f>表2_367162629303891213141523242526272835[[#This Row],[累计净值]]</f>
        <v>1.0428999999999999</v>
      </c>
      <c r="G48" s="20"/>
    </row>
    <row r="49" spans="1:7" x14ac:dyDescent="0.2">
      <c r="A49" s="212">
        <v>44098</v>
      </c>
      <c r="B49" s="169">
        <v>1.0246999999999999</v>
      </c>
      <c r="C49" s="108">
        <f t="shared" si="2"/>
        <v>-1.8199999999999994E-2</v>
      </c>
      <c r="D49" s="109">
        <f t="shared" si="1"/>
        <v>-1.8199999999999994E-2</v>
      </c>
      <c r="E49" s="109">
        <f ca="1">IF(表2_367162629303891213141523242526272835[[#This Row],[累计净值]]/MAX(INDIRECT("B21:B" &amp; ROW()))-1&lt;E48,表2_367162629303891213141523242526272835[[#This Row],[累计净值]]/MAX(INDIRECT("B21:B" &amp; ROW()))-1,E48)</f>
        <v>-2.2699093943729154E-2</v>
      </c>
      <c r="F49" s="110">
        <f>表2_367162629303891213141523242526272835[[#This Row],[累计净值]]</f>
        <v>1.0246999999999999</v>
      </c>
      <c r="G49" s="20"/>
    </row>
    <row r="50" spans="1:7" x14ac:dyDescent="0.2">
      <c r="A50" s="212">
        <v>44099</v>
      </c>
      <c r="B50" s="169">
        <v>1.0277000000000001</v>
      </c>
      <c r="C50" s="108">
        <f t="shared" si="2"/>
        <v>3.0000000000001137E-3</v>
      </c>
      <c r="D50" s="109" t="str">
        <f t="shared" si="1"/>
        <v>/</v>
      </c>
      <c r="E50" s="109">
        <f ca="1">IF(表2_367162629303891213141523242526272835[[#This Row],[累计净值]]/MAX(INDIRECT("B21:B" &amp; ROW()))-1&lt;E49,表2_367162629303891213141523242526272835[[#This Row],[累计净值]]/MAX(INDIRECT("B21:B" &amp; ROW()))-1,E49)</f>
        <v>-2.2699093943729154E-2</v>
      </c>
      <c r="F50" s="110">
        <f>表2_367162629303891213141523242526272835[[#This Row],[累计净值]]</f>
        <v>1.0277000000000001</v>
      </c>
      <c r="G50" s="20"/>
    </row>
    <row r="51" spans="1:7" x14ac:dyDescent="0.2">
      <c r="A51" s="212">
        <v>44102</v>
      </c>
      <c r="B51" s="169">
        <v>1.0294000000000001</v>
      </c>
      <c r="C51" s="108">
        <f t="shared" si="2"/>
        <v>1.7000000000000348E-3</v>
      </c>
      <c r="D51" s="109" t="str">
        <f t="shared" si="1"/>
        <v>/</v>
      </c>
      <c r="E51" s="109">
        <f ca="1">IF(表2_367162629303891213141523242526272835[[#This Row],[累计净值]]/MAX(INDIRECT("B21:B" &amp; ROW()))-1&lt;E50,表2_367162629303891213141523242526272835[[#This Row],[累计净值]]/MAX(INDIRECT("B21:B" &amp; ROW()))-1,E50)</f>
        <v>-2.2699093943729154E-2</v>
      </c>
      <c r="F51" s="110">
        <f>表2_367162629303891213141523242526272835[[#This Row],[累计净值]]</f>
        <v>1.0294000000000001</v>
      </c>
      <c r="G51" s="20"/>
    </row>
    <row r="52" spans="1:7" x14ac:dyDescent="0.2">
      <c r="A52" s="212">
        <v>44103</v>
      </c>
      <c r="B52" s="169">
        <v>1.0298</v>
      </c>
      <c r="C52" s="108">
        <f t="shared" si="2"/>
        <v>3.9999999999995595E-4</v>
      </c>
      <c r="D52" s="109" t="str">
        <f t="shared" si="1"/>
        <v>/</v>
      </c>
      <c r="E52" s="109">
        <f ca="1">IF(表2_367162629303891213141523242526272835[[#This Row],[累计净值]]/MAX(INDIRECT("B21:B" &amp; ROW()))-1&lt;E51,表2_367162629303891213141523242526272835[[#This Row],[累计净值]]/MAX(INDIRECT("B21:B" &amp; ROW()))-1,E51)</f>
        <v>-2.2699093943729154E-2</v>
      </c>
      <c r="F52" s="110">
        <f>表2_367162629303891213141523242526272835[[#This Row],[累计净值]]</f>
        <v>1.0298</v>
      </c>
      <c r="G52" s="20"/>
    </row>
    <row r="53" spans="1:7" x14ac:dyDescent="0.2">
      <c r="A53" s="212">
        <v>44104</v>
      </c>
      <c r="B53" s="169">
        <v>1.0241</v>
      </c>
      <c r="C53" s="108">
        <f t="shared" si="2"/>
        <v>-5.7000000000000384E-3</v>
      </c>
      <c r="D53" s="109">
        <f t="shared" si="1"/>
        <v>-5.7000000000000384E-3</v>
      </c>
      <c r="E53" s="109">
        <f ca="1">IF(表2_367162629303891213141523242526272835[[#This Row],[累计净值]]/MAX(INDIRECT("B21:B" &amp; ROW()))-1&lt;E52,表2_367162629303891213141523242526272835[[#This Row],[累计净值]]/MAX(INDIRECT("B21:B" &amp; ROW()))-1,E52)</f>
        <v>-2.3271340009537456E-2</v>
      </c>
      <c r="F53" s="110">
        <f>表2_367162629303891213141523242526272835[[#This Row],[累计净值]]</f>
        <v>1.0241</v>
      </c>
      <c r="G53" s="20"/>
    </row>
    <row r="54" spans="1:7" x14ac:dyDescent="0.2">
      <c r="A54" s="212">
        <v>44113</v>
      </c>
      <c r="B54" s="169">
        <v>1.0687</v>
      </c>
      <c r="C54" s="108">
        <f t="shared" si="2"/>
        <v>4.4599999999999973E-2</v>
      </c>
      <c r="D54" s="109" t="str">
        <f t="shared" si="1"/>
        <v>/</v>
      </c>
      <c r="E54" s="109">
        <f ca="1">IF(表2_367162629303891213141523242526272835[[#This Row],[累计净值]]/MAX(INDIRECT("B21:B" &amp; ROW()))-1&lt;E53,表2_367162629303891213141523242526272835[[#This Row],[累计净值]]/MAX(INDIRECT("B21:B" &amp; ROW()))-1,E53)</f>
        <v>-2.3271340009537456E-2</v>
      </c>
      <c r="F54" s="110">
        <f>表2_367162629303891213141523242526272835[[#This Row],[累计净值]]</f>
        <v>1.0687</v>
      </c>
      <c r="G54" s="20"/>
    </row>
    <row r="55" spans="1:7" x14ac:dyDescent="0.2">
      <c r="A55" s="212">
        <v>44116</v>
      </c>
      <c r="B55" s="169">
        <v>1.0805</v>
      </c>
      <c r="C55" s="108">
        <f t="shared" si="2"/>
        <v>1.1800000000000033E-2</v>
      </c>
      <c r="D55" s="109" t="str">
        <f t="shared" si="1"/>
        <v>/</v>
      </c>
      <c r="E55" s="109">
        <f ca="1">IF(表2_367162629303891213141523242526272835[[#This Row],[累计净值]]/MAX(INDIRECT("B21:B" &amp; ROW()))-1&lt;E54,表2_367162629303891213141523242526272835[[#This Row],[累计净值]]/MAX(INDIRECT("B21:B" &amp; ROW()))-1,E54)</f>
        <v>-2.3271340009537456E-2</v>
      </c>
      <c r="F55" s="110">
        <f>表2_367162629303891213141523242526272835[[#This Row],[累计净值]]</f>
        <v>1.0805</v>
      </c>
      <c r="G55" s="20"/>
    </row>
    <row r="56" spans="1:7" x14ac:dyDescent="0.2">
      <c r="A56" s="212">
        <v>44117</v>
      </c>
      <c r="B56" s="169">
        <v>1.0842000000000001</v>
      </c>
      <c r="C56" s="108">
        <f t="shared" si="2"/>
        <v>3.7000000000000366E-3</v>
      </c>
      <c r="D56" s="109" t="str">
        <f t="shared" si="1"/>
        <v>/</v>
      </c>
      <c r="E56" s="109">
        <f ca="1">IF(表2_367162629303891213141523242526272835[[#This Row],[累计净值]]/MAX(INDIRECT("B21:B" &amp; ROW()))-1&lt;E55,表2_367162629303891213141523242526272835[[#This Row],[累计净值]]/MAX(INDIRECT("B21:B" &amp; ROW()))-1,E55)</f>
        <v>-2.3271340009537456E-2</v>
      </c>
      <c r="F56" s="110">
        <f>表2_367162629303891213141523242526272835[[#This Row],[累计净值]]</f>
        <v>1.0842000000000001</v>
      </c>
      <c r="G56" s="20"/>
    </row>
    <row r="57" spans="1:7" x14ac:dyDescent="0.2">
      <c r="A57" s="212">
        <v>44118</v>
      </c>
      <c r="B57" s="169">
        <v>1.0848</v>
      </c>
      <c r="C57" s="108">
        <f t="shared" si="2"/>
        <v>5.9999999999993392E-4</v>
      </c>
      <c r="D57" s="109" t="str">
        <f t="shared" si="1"/>
        <v>/</v>
      </c>
      <c r="E57" s="109">
        <f ca="1">IF(表2_367162629303891213141523242526272835[[#This Row],[累计净值]]/MAX(INDIRECT("B21:B" &amp; ROW()))-1&lt;E56,表2_367162629303891213141523242526272835[[#This Row],[累计净值]]/MAX(INDIRECT("B21:B" &amp; ROW()))-1,E56)</f>
        <v>-2.3271340009537456E-2</v>
      </c>
      <c r="F57" s="110">
        <f>表2_367162629303891213141523242526272835[[#This Row],[累计净值]]</f>
        <v>1.0848</v>
      </c>
      <c r="G57" s="20"/>
    </row>
    <row r="58" spans="1:7" x14ac:dyDescent="0.2">
      <c r="A58" s="212">
        <v>44119</v>
      </c>
      <c r="B58" s="169">
        <v>1.0851999999999999</v>
      </c>
      <c r="C58" s="108">
        <f t="shared" si="2"/>
        <v>3.9999999999995595E-4</v>
      </c>
      <c r="D58" s="109" t="str">
        <f t="shared" si="1"/>
        <v>/</v>
      </c>
      <c r="E58" s="109">
        <f ca="1">IF(表2_367162629303891213141523242526272835[[#This Row],[累计净值]]/MAX(INDIRECT("B21:B" &amp; ROW()))-1&lt;E57,表2_367162629303891213141523242526272835[[#This Row],[累计净值]]/MAX(INDIRECT("B21:B" &amp; ROW()))-1,E57)</f>
        <v>-2.3271340009537456E-2</v>
      </c>
      <c r="F58" s="110">
        <f>表2_367162629303891213141523242526272835[[#This Row],[累计净值]]</f>
        <v>1.0851999999999999</v>
      </c>
      <c r="G58" s="20"/>
    </row>
    <row r="59" spans="1:7" x14ac:dyDescent="0.2">
      <c r="A59" s="212">
        <v>44120</v>
      </c>
      <c r="B59" s="169">
        <v>1.0867</v>
      </c>
      <c r="C59" s="108">
        <f t="shared" si="2"/>
        <v>1.5000000000000568E-3</v>
      </c>
      <c r="D59" s="109" t="str">
        <f t="shared" si="1"/>
        <v>/</v>
      </c>
      <c r="E59" s="109">
        <f ca="1">IF(表2_367162629303891213141523242526272835[[#This Row],[累计净值]]/MAX(INDIRECT("B21:B" &amp; ROW()))-1&lt;E58,表2_367162629303891213141523242526272835[[#This Row],[累计净值]]/MAX(INDIRECT("B21:B" &amp; ROW()))-1,E58)</f>
        <v>-2.3271340009537456E-2</v>
      </c>
      <c r="F59" s="110">
        <f>表2_367162629303891213141523242526272835[[#This Row],[累计净值]]</f>
        <v>1.0867</v>
      </c>
      <c r="G59" s="20"/>
    </row>
    <row r="60" spans="1:7" x14ac:dyDescent="0.2">
      <c r="A60" s="212">
        <v>44123</v>
      </c>
      <c r="B60" s="169">
        <v>1.0925</v>
      </c>
      <c r="C60" s="108">
        <f t="shared" si="2"/>
        <v>5.8000000000000274E-3</v>
      </c>
      <c r="D60" s="109" t="str">
        <f t="shared" si="1"/>
        <v>/</v>
      </c>
      <c r="E60" s="109">
        <f ca="1">IF(表2_367162629303891213141523242526272835[[#This Row],[累计净值]]/MAX(INDIRECT("B21:B" &amp; ROW()))-1&lt;E59,表2_367162629303891213141523242526272835[[#This Row],[累计净值]]/MAX(INDIRECT("B21:B" &amp; ROW()))-1,E59)</f>
        <v>-2.3271340009537456E-2</v>
      </c>
      <c r="F60" s="110">
        <f>表2_367162629303891213141523242526272835[[#This Row],[累计净值]]</f>
        <v>1.0925</v>
      </c>
      <c r="G60" s="20"/>
    </row>
    <row r="61" spans="1:7" x14ac:dyDescent="0.2">
      <c r="A61" s="213">
        <v>44124</v>
      </c>
      <c r="B61" s="169">
        <v>1.0952999999999999</v>
      </c>
      <c r="C61" s="108">
        <f t="shared" si="2"/>
        <v>2.7999999999999137E-3</v>
      </c>
      <c r="D61" s="109" t="str">
        <f t="shared" si="1"/>
        <v>/</v>
      </c>
      <c r="E61" s="109">
        <f ca="1">IF(表2_367162629303891213141523242526272835[[#This Row],[累计净值]]/MAX(INDIRECT("B21:B" &amp; ROW()))-1&lt;E60,表2_367162629303891213141523242526272835[[#This Row],[累计净值]]/MAX(INDIRECT("B21:B" &amp; ROW()))-1,E60)</f>
        <v>-2.3271340009537456E-2</v>
      </c>
      <c r="F61" s="110">
        <f>表2_367162629303891213141523242526272835[[#This Row],[累计净值]]</f>
        <v>1.0952999999999999</v>
      </c>
      <c r="G61" s="20"/>
    </row>
    <row r="62" spans="1:7" x14ac:dyDescent="0.2">
      <c r="A62" s="213">
        <v>44125</v>
      </c>
      <c r="B62" s="169">
        <v>1.0945</v>
      </c>
      <c r="C62" s="108">
        <f t="shared" si="2"/>
        <v>-7.9999999999991189E-4</v>
      </c>
      <c r="D62" s="109">
        <f t="shared" si="1"/>
        <v>-7.9999999999991189E-4</v>
      </c>
      <c r="E62" s="109">
        <f ca="1">IF(表2_367162629303891213141523242526272835[[#This Row],[累计净值]]/MAX(INDIRECT("B21:B" &amp; ROW()))-1&lt;E61,表2_367162629303891213141523242526272835[[#This Row],[累计净值]]/MAX(INDIRECT("B21:B" &amp; ROW()))-1,E61)</f>
        <v>-2.3271340009537456E-2</v>
      </c>
      <c r="F62" s="110">
        <f>表2_367162629303891213141523242526272835[[#This Row],[累计净值]]</f>
        <v>1.0945</v>
      </c>
      <c r="G62" s="20"/>
    </row>
    <row r="63" spans="1:7" x14ac:dyDescent="0.2">
      <c r="A63" s="213">
        <v>44126</v>
      </c>
      <c r="B63" s="169">
        <v>1.0924</v>
      </c>
      <c r="C63" s="108">
        <f t="shared" si="2"/>
        <v>-2.0999999999999908E-3</v>
      </c>
      <c r="D63" s="109">
        <f t="shared" si="1"/>
        <v>-2.0999999999999908E-3</v>
      </c>
      <c r="E63" s="109">
        <f ca="1">IF(表2_367162629303891213141523242526272835[[#This Row],[累计净值]]/MAX(INDIRECT("B21:B" &amp; ROW()))-1&lt;E62,表2_367162629303891213141523242526272835[[#This Row],[累计净值]]/MAX(INDIRECT("B21:B" &amp; ROW()))-1,E62)</f>
        <v>-2.3271340009537456E-2</v>
      </c>
      <c r="F63" s="110">
        <f>表2_367162629303891213141523242526272835[[#This Row],[累计净值]]</f>
        <v>1.0924</v>
      </c>
      <c r="G63" s="20"/>
    </row>
    <row r="64" spans="1:7" x14ac:dyDescent="0.2">
      <c r="A64" s="213">
        <v>44127</v>
      </c>
      <c r="B64" s="169">
        <v>1.0899000000000001</v>
      </c>
      <c r="C64" s="108">
        <f t="shared" si="2"/>
        <v>-2.4999999999999467E-3</v>
      </c>
      <c r="D64" s="109">
        <f t="shared" si="1"/>
        <v>-2.4999999999999467E-3</v>
      </c>
      <c r="E64" s="109">
        <f ca="1">IF(表2_367162629303891213141523242526272835[[#This Row],[累计净值]]/MAX(INDIRECT("B21:B" &amp; ROW()))-1&lt;E63,表2_367162629303891213141523242526272835[[#This Row],[累计净值]]/MAX(INDIRECT("B21:B" &amp; ROW()))-1,E63)</f>
        <v>-2.3271340009537456E-2</v>
      </c>
      <c r="F64" s="110">
        <f>表2_367162629303891213141523242526272835[[#This Row],[累计净值]]</f>
        <v>1.0899000000000001</v>
      </c>
      <c r="G64" s="20"/>
    </row>
    <row r="65" spans="1:7" x14ac:dyDescent="0.2">
      <c r="A65" s="212">
        <v>44130</v>
      </c>
      <c r="B65" s="169">
        <f>VLOOKUP(A65,[1]瑾尚二号净值!A:B,2,FALSE)</f>
        <v>1.0872999999999999</v>
      </c>
      <c r="C65" s="108">
        <f>IFERROR(B65-B64,0)</f>
        <v>-2.6000000000001577E-3</v>
      </c>
      <c r="D65" s="109">
        <f>IF(C65&lt;0,C65,"/")</f>
        <v>-2.6000000000001577E-3</v>
      </c>
      <c r="E65" s="109">
        <f ca="1">IF(表2_367162629303891213141523242526272835[[#This Row],[累计净值]]/MAX(INDIRECT("B21:B" &amp; ROW()))-1&lt;E64,表2_367162629303891213141523242526272835[[#This Row],[累计净值]]/MAX(INDIRECT("B21:B" &amp; ROW()))-1,E64)</f>
        <v>-2.3271340009537456E-2</v>
      </c>
      <c r="F65" s="110">
        <f>表2_367162629303891213141523242526272835[[#This Row],[累计净值]]</f>
        <v>1.0872999999999999</v>
      </c>
      <c r="G65" s="20"/>
    </row>
    <row r="66" spans="1:7" x14ac:dyDescent="0.2">
      <c r="A66" s="212">
        <v>44131</v>
      </c>
      <c r="B66" s="169">
        <f>VLOOKUP(A66,[1]瑾尚二号净值!A:B,2,FALSE)</f>
        <v>1.0891</v>
      </c>
      <c r="C66" s="108">
        <f>IFERROR(B66-B65,0)</f>
        <v>1.8000000000000238E-3</v>
      </c>
      <c r="D66" s="109" t="str">
        <f>IF(C66&lt;0,C66,"/")</f>
        <v>/</v>
      </c>
      <c r="E66" s="109">
        <f ca="1">IF(表2_367162629303891213141523242526272835[[#This Row],[累计净值]]/MAX(INDIRECT("B21:B" &amp; ROW()))-1&lt;E65,表2_367162629303891213141523242526272835[[#This Row],[累计净值]]/MAX(INDIRECT("B21:B" &amp; ROW()))-1,E65)</f>
        <v>-2.3271340009537456E-2</v>
      </c>
      <c r="F66" s="110">
        <f>表2_367162629303891213141523242526272835[[#This Row],[累计净值]]</f>
        <v>1.0891</v>
      </c>
      <c r="G66" s="20"/>
    </row>
    <row r="67" spans="1:7" x14ac:dyDescent="0.2">
      <c r="A67" s="212">
        <v>44132</v>
      </c>
      <c r="B67" s="169">
        <f>VLOOKUP(A67,[1]瑾尚二号净值!A:B,2,FALSE)</f>
        <v>1.0968</v>
      </c>
      <c r="C67" s="108">
        <f>IFERROR(B67-B66,0)</f>
        <v>7.7000000000000401E-3</v>
      </c>
      <c r="D67" s="109" t="str">
        <f>IF(C67&lt;0,C67,"/")</f>
        <v>/</v>
      </c>
      <c r="E67" s="109">
        <f ca="1">IF(表2_367162629303891213141523242526272835[[#This Row],[累计净值]]/MAX(INDIRECT("B21:B" &amp; ROW()))-1&lt;E66,表2_367162629303891213141523242526272835[[#This Row],[累计净值]]/MAX(INDIRECT("B21:B" &amp; ROW()))-1,E66)</f>
        <v>-2.3271340009537456E-2</v>
      </c>
      <c r="F67" s="110">
        <f>表2_367162629303891213141523242526272835[[#This Row],[累计净值]]</f>
        <v>1.0968</v>
      </c>
      <c r="G67" s="20"/>
    </row>
    <row r="68" spans="1:7" x14ac:dyDescent="0.2">
      <c r="A68" s="212">
        <v>44133</v>
      </c>
      <c r="B68" s="169">
        <f>VLOOKUP(A68,[1]瑾尚二号净值!A:B,2,FALSE)</f>
        <v>1.1032</v>
      </c>
      <c r="C68" s="108">
        <f t="shared" ref="C68:C89" si="3">IFERROR(B68-B67,0)</f>
        <v>6.3999999999999613E-3</v>
      </c>
      <c r="D68" s="109" t="str">
        <f t="shared" ref="D68:D89" si="4">IF(C68&lt;0,C68,"/")</f>
        <v>/</v>
      </c>
      <c r="E68" s="109">
        <f ca="1">IF(表2_367162629303891213141523242526272835[[#This Row],[累计净值]]/MAX(INDIRECT("B21:B" &amp; ROW()))-1&lt;E67,表2_367162629303891213141523242526272835[[#This Row],[累计净值]]/MAX(INDIRECT("B21:B" &amp; ROW()))-1,E67)</f>
        <v>-2.3271340009537456E-2</v>
      </c>
      <c r="F68" s="110">
        <f>表2_367162629303891213141523242526272835[[#This Row],[累计净值]]</f>
        <v>1.1032</v>
      </c>
      <c r="G68" s="20"/>
    </row>
    <row r="69" spans="1:7" x14ac:dyDescent="0.2">
      <c r="A69" s="212">
        <v>44134</v>
      </c>
      <c r="B69" s="169">
        <f>VLOOKUP(A69,[1]瑾尚二号净值!A:B,2,FALSE)</f>
        <v>1.0911</v>
      </c>
      <c r="C69" s="108">
        <f t="shared" si="3"/>
        <v>-1.21E-2</v>
      </c>
      <c r="D69" s="109">
        <f t="shared" si="4"/>
        <v>-1.21E-2</v>
      </c>
      <c r="E69" s="109">
        <f ca="1">IF(表2_367162629303891213141523242526272835[[#This Row],[累计净值]]/MAX(INDIRECT("B21:B" &amp; ROW()))-1&lt;E68,表2_367162629303891213141523242526272835[[#This Row],[累计净值]]/MAX(INDIRECT("B21:B" &amp; ROW()))-1,E68)</f>
        <v>-2.3271340009537456E-2</v>
      </c>
      <c r="F69" s="110">
        <f>表2_367162629303891213141523242526272835[[#This Row],[累计净值]]</f>
        <v>1.0911</v>
      </c>
      <c r="G69" s="20"/>
    </row>
    <row r="70" spans="1:7" x14ac:dyDescent="0.2">
      <c r="A70" s="212">
        <v>44137</v>
      </c>
      <c r="B70" s="169">
        <v>1.0965</v>
      </c>
      <c r="C70" s="108">
        <f t="shared" si="3"/>
        <v>5.4000000000000714E-3</v>
      </c>
      <c r="D70" s="109" t="str">
        <f t="shared" si="4"/>
        <v>/</v>
      </c>
      <c r="E70" s="109">
        <f ca="1">IF(表2_367162629303891213141523242526272835[[#This Row],[累计净值]]/MAX(INDIRECT("B21:B" &amp; ROW()))-1&lt;E69,表2_367162629303891213141523242526272835[[#This Row],[累计净值]]/MAX(INDIRECT("B21:B" &amp; ROW()))-1,E69)</f>
        <v>-2.3271340009537456E-2</v>
      </c>
      <c r="F70" s="110">
        <f>表2_367162629303891213141523242526272835[[#This Row],[累计净值]]</f>
        <v>1.0965</v>
      </c>
      <c r="G70" s="20"/>
    </row>
    <row r="71" spans="1:7" x14ac:dyDescent="0.2">
      <c r="A71" s="212">
        <v>44138</v>
      </c>
      <c r="B71" s="169">
        <v>1.1032999999999999</v>
      </c>
      <c r="C71" s="108">
        <f t="shared" si="3"/>
        <v>6.7999999999999172E-3</v>
      </c>
      <c r="D71" s="109" t="str">
        <f t="shared" si="4"/>
        <v>/</v>
      </c>
      <c r="E71" s="109">
        <f ca="1">IF(表2_367162629303891213141523242526272835[[#This Row],[累计净值]]/MAX(INDIRECT("B21:B" &amp; ROW()))-1&lt;E70,表2_367162629303891213141523242526272835[[#This Row],[累计净值]]/MAX(INDIRECT("B21:B" &amp; ROW()))-1,E70)</f>
        <v>-2.3271340009537456E-2</v>
      </c>
      <c r="F71" s="110">
        <f>表2_367162629303891213141523242526272835[[#This Row],[累计净值]]</f>
        <v>1.1032999999999999</v>
      </c>
      <c r="G71" s="20"/>
    </row>
    <row r="72" spans="1:7" x14ac:dyDescent="0.2">
      <c r="A72" s="212">
        <v>44139</v>
      </c>
      <c r="B72" s="169">
        <v>1.1109</v>
      </c>
      <c r="C72" s="108">
        <f t="shared" si="3"/>
        <v>7.6000000000000512E-3</v>
      </c>
      <c r="D72" s="109" t="str">
        <f t="shared" si="4"/>
        <v>/</v>
      </c>
      <c r="E72" s="109">
        <f ca="1">IF(表2_367162629303891213141523242526272835[[#This Row],[累计净值]]/MAX(INDIRECT("B21:B" &amp; ROW()))-1&lt;E71,表2_367162629303891213141523242526272835[[#This Row],[累计净值]]/MAX(INDIRECT("B21:B" &amp; ROW()))-1,E71)</f>
        <v>-2.3271340009537456E-2</v>
      </c>
      <c r="F72" s="110">
        <f>表2_367162629303891213141523242526272835[[#This Row],[累计净值]]</f>
        <v>1.1109</v>
      </c>
      <c r="G72" s="20"/>
    </row>
    <row r="73" spans="1:7" x14ac:dyDescent="0.2">
      <c r="A73" s="212">
        <v>44140</v>
      </c>
      <c r="B73" s="169">
        <v>1.1166</v>
      </c>
      <c r="C73" s="108">
        <f t="shared" si="3"/>
        <v>5.7000000000000384E-3</v>
      </c>
      <c r="D73" s="109" t="str">
        <f t="shared" si="4"/>
        <v>/</v>
      </c>
      <c r="E73" s="109">
        <f ca="1">IF(表2_367162629303891213141523242526272835[[#This Row],[累计净值]]/MAX(INDIRECT("B21:B" &amp; ROW()))-1&lt;E72,表2_367162629303891213141523242526272835[[#This Row],[累计净值]]/MAX(INDIRECT("B21:B" &amp; ROW()))-1,E72)</f>
        <v>-2.3271340009537456E-2</v>
      </c>
      <c r="F73" s="110">
        <f>表2_367162629303891213141523242526272835[[#This Row],[累计净值]]</f>
        <v>1.1166</v>
      </c>
      <c r="G73" s="20"/>
    </row>
    <row r="74" spans="1:7" x14ac:dyDescent="0.2">
      <c r="A74" s="213">
        <v>44141</v>
      </c>
      <c r="B74" s="169">
        <v>1.1188</v>
      </c>
      <c r="C74" s="108">
        <f t="shared" si="3"/>
        <v>2.1999999999999797E-3</v>
      </c>
      <c r="D74" s="109" t="str">
        <f t="shared" si="4"/>
        <v>/</v>
      </c>
      <c r="E74" s="109">
        <f ca="1">IF(表2_367162629303891213141523242526272835[[#This Row],[累计净值]]/MAX(INDIRECT("B21:B" &amp; ROW()))-1&lt;E73,表2_367162629303891213141523242526272835[[#This Row],[累计净值]]/MAX(INDIRECT("B21:B" &amp; ROW()))-1,E73)</f>
        <v>-2.3271340009537456E-2</v>
      </c>
      <c r="F74" s="110">
        <f>表2_367162629303891213141523242526272835[[#This Row],[累计净值]]</f>
        <v>1.1188</v>
      </c>
      <c r="G74" s="20"/>
    </row>
    <row r="75" spans="1:7" x14ac:dyDescent="0.2">
      <c r="A75" s="213">
        <v>44144</v>
      </c>
      <c r="B75" s="169">
        <v>1.1198999999999999</v>
      </c>
      <c r="C75" s="108">
        <f t="shared" si="3"/>
        <v>1.0999999999998789E-3</v>
      </c>
      <c r="D75" s="109" t="str">
        <f t="shared" si="4"/>
        <v>/</v>
      </c>
      <c r="E75" s="109">
        <f ca="1">IF(表2_367162629303891213141523242526272835[[#This Row],[累计净值]]/MAX(INDIRECT("B21:B" &amp; ROW()))-1&lt;E74,表2_367162629303891213141523242526272835[[#This Row],[累计净值]]/MAX(INDIRECT("B21:B" &amp; ROW()))-1,E74)</f>
        <v>-2.3271340009537456E-2</v>
      </c>
      <c r="F75" s="110">
        <f>表2_367162629303891213141523242526272835[[#This Row],[累计净值]]</f>
        <v>1.1198999999999999</v>
      </c>
      <c r="G75" s="20"/>
    </row>
    <row r="76" spans="1:7" x14ac:dyDescent="0.2">
      <c r="A76" s="213">
        <v>44145</v>
      </c>
      <c r="B76" s="169">
        <v>1.1204000000000001</v>
      </c>
      <c r="C76" s="108">
        <f t="shared" si="3"/>
        <v>5.0000000000016698E-4</v>
      </c>
      <c r="D76" s="109" t="str">
        <f t="shared" si="4"/>
        <v>/</v>
      </c>
      <c r="E76" s="109">
        <f ca="1">IF(表2_367162629303891213141523242526272835[[#This Row],[累计净值]]/MAX(INDIRECT("B21:B" &amp; ROW()))-1&lt;E75,表2_367162629303891213141523242526272835[[#This Row],[累计净值]]/MAX(INDIRECT("B21:B" &amp; ROW()))-1,E75)</f>
        <v>-2.3271340009537456E-2</v>
      </c>
      <c r="F76" s="110">
        <f>表2_367162629303891213141523242526272835[[#This Row],[累计净值]]</f>
        <v>1.1204000000000001</v>
      </c>
      <c r="G76" s="20"/>
    </row>
    <row r="77" spans="1:7" x14ac:dyDescent="0.2">
      <c r="A77" s="214">
        <v>44146</v>
      </c>
      <c r="B77" s="169">
        <v>1.1208</v>
      </c>
      <c r="C77" s="108">
        <f t="shared" si="3"/>
        <v>3.9999999999995595E-4</v>
      </c>
      <c r="D77" s="109" t="str">
        <f t="shared" si="4"/>
        <v>/</v>
      </c>
      <c r="E77" s="109">
        <f ca="1">IF(表2_367162629303891213141523242526272835[[#This Row],[累计净值]]/MAX(INDIRECT("B21:B" &amp; ROW()))-1&lt;E76,表2_367162629303891213141523242526272835[[#This Row],[累计净值]]/MAX(INDIRECT("B21:B" &amp; ROW()))-1,E76)</f>
        <v>-2.3271340009537456E-2</v>
      </c>
      <c r="F77" s="110">
        <f>表2_367162629303891213141523242526272835[[#This Row],[累计净值]]</f>
        <v>1.1208</v>
      </c>
      <c r="G77" s="20"/>
    </row>
    <row r="78" spans="1:7" x14ac:dyDescent="0.2">
      <c r="A78" s="214">
        <v>44147</v>
      </c>
      <c r="B78" s="169">
        <v>1.1228</v>
      </c>
      <c r="C78" s="108">
        <f t="shared" si="3"/>
        <v>2.0000000000000018E-3</v>
      </c>
      <c r="D78" s="109" t="str">
        <f t="shared" si="4"/>
        <v>/</v>
      </c>
      <c r="E78" s="109">
        <f ca="1">IF(表2_367162629303891213141523242526272835[[#This Row],[累计净值]]/MAX(INDIRECT("B21:B" &amp; ROW()))-1&lt;E77,表2_367162629303891213141523242526272835[[#This Row],[累计净值]]/MAX(INDIRECT("B21:B" &amp; ROW()))-1,E77)</f>
        <v>-2.3271340009537456E-2</v>
      </c>
      <c r="F78" s="110">
        <f>表2_367162629303891213141523242526272835[[#This Row],[累计净值]]</f>
        <v>1.1228</v>
      </c>
      <c r="G78" s="20"/>
    </row>
    <row r="79" spans="1:7" x14ac:dyDescent="0.2">
      <c r="A79" s="214">
        <v>44148</v>
      </c>
      <c r="B79" s="169">
        <v>1.1214999999999999</v>
      </c>
      <c r="C79" s="108">
        <f t="shared" si="3"/>
        <v>-1.3000000000000789E-3</v>
      </c>
      <c r="D79" s="109">
        <f t="shared" si="4"/>
        <v>-1.3000000000000789E-3</v>
      </c>
      <c r="E79" s="109">
        <f ca="1">IF(表2_367162629303891213141523242526272835[[#This Row],[累计净值]]/MAX(INDIRECT("B21:B" &amp; ROW()))-1&lt;E78,表2_367162629303891213141523242526272835[[#This Row],[累计净值]]/MAX(INDIRECT("B21:B" &amp; ROW()))-1,E78)</f>
        <v>-2.3271340009537456E-2</v>
      </c>
      <c r="F79" s="110">
        <f>表2_367162629303891213141523242526272835[[#This Row],[累计净值]]</f>
        <v>1.1214999999999999</v>
      </c>
      <c r="G79" s="20"/>
    </row>
    <row r="80" spans="1:7" x14ac:dyDescent="0.2">
      <c r="A80" s="214">
        <v>44151</v>
      </c>
      <c r="B80" s="169">
        <v>1.1287</v>
      </c>
      <c r="C80" s="108">
        <f t="shared" si="3"/>
        <v>7.2000000000000952E-3</v>
      </c>
      <c r="D80" s="109" t="str">
        <f t="shared" si="4"/>
        <v>/</v>
      </c>
      <c r="E80" s="109">
        <f ca="1">IF(表2_367162629303891213141523242526272835[[#This Row],[累计净值]]/MAX(INDIRECT("B21:B" &amp; ROW()))-1&lt;E79,表2_367162629303891213141523242526272835[[#This Row],[累计净值]]/MAX(INDIRECT("B21:B" &amp; ROW()))-1,E79)</f>
        <v>-2.3271340009537456E-2</v>
      </c>
      <c r="F80" s="110">
        <f>表2_367162629303891213141523242526272835[[#This Row],[累计净值]]</f>
        <v>1.1287</v>
      </c>
      <c r="G80" s="20"/>
    </row>
    <row r="81" spans="1:7" x14ac:dyDescent="0.2">
      <c r="A81" s="214">
        <v>44152</v>
      </c>
      <c r="B81" s="169">
        <v>1.1309</v>
      </c>
      <c r="C81" s="108">
        <f t="shared" si="3"/>
        <v>2.1999999999999797E-3</v>
      </c>
      <c r="D81" s="109" t="str">
        <f t="shared" si="4"/>
        <v>/</v>
      </c>
      <c r="E81" s="109">
        <f ca="1">IF(表2_367162629303891213141523242526272835[[#This Row],[累计净值]]/MAX(INDIRECT("B21:B" &amp; ROW()))-1&lt;E80,表2_367162629303891213141523242526272835[[#This Row],[累计净值]]/MAX(INDIRECT("B21:B" &amp; ROW()))-1,E80)</f>
        <v>-2.3271340009537456E-2</v>
      </c>
      <c r="F81" s="110">
        <f>表2_367162629303891213141523242526272835[[#This Row],[累计净值]]</f>
        <v>1.1309</v>
      </c>
      <c r="G81" s="20"/>
    </row>
    <row r="82" spans="1:7" x14ac:dyDescent="0.2">
      <c r="A82" s="214">
        <v>44153</v>
      </c>
      <c r="B82" s="169">
        <v>1.1303000000000001</v>
      </c>
      <c r="C82" s="108">
        <f t="shared" si="3"/>
        <v>-5.9999999999993392E-4</v>
      </c>
      <c r="D82" s="109">
        <f t="shared" si="4"/>
        <v>-5.9999999999993392E-4</v>
      </c>
      <c r="E82" s="109">
        <f ca="1">IF(表2_367162629303891213141523242526272835[[#This Row],[累计净值]]/MAX(INDIRECT("B21:B" &amp; ROW()))-1&lt;E81,表2_367162629303891213141523242526272835[[#This Row],[累计净值]]/MAX(INDIRECT("B21:B" &amp; ROW()))-1,E81)</f>
        <v>-2.3271340009537456E-2</v>
      </c>
      <c r="F82" s="110">
        <f>表2_367162629303891213141523242526272835[[#This Row],[累计净值]]</f>
        <v>1.1303000000000001</v>
      </c>
      <c r="G82" s="20"/>
    </row>
    <row r="83" spans="1:7" x14ac:dyDescent="0.2">
      <c r="A83" s="214">
        <v>44154</v>
      </c>
      <c r="B83" s="169">
        <v>1.1338999999999999</v>
      </c>
      <c r="C83" s="108">
        <f t="shared" si="3"/>
        <v>3.5999999999998256E-3</v>
      </c>
      <c r="D83" s="109" t="str">
        <f t="shared" si="4"/>
        <v>/</v>
      </c>
      <c r="E83" s="109">
        <f ca="1">IF(表2_367162629303891213141523242526272835[[#This Row],[累计净值]]/MAX(INDIRECT("B21:B" &amp; ROW()))-1&lt;E82,表2_367162629303891213141523242526272835[[#This Row],[累计净值]]/MAX(INDIRECT("B21:B" &amp; ROW()))-1,E82)</f>
        <v>-2.3271340009537456E-2</v>
      </c>
      <c r="F83" s="110">
        <f>表2_367162629303891213141523242526272835[[#This Row],[累计净值]]</f>
        <v>1.1338999999999999</v>
      </c>
      <c r="G83" s="20"/>
    </row>
    <row r="84" spans="1:7" x14ac:dyDescent="0.2">
      <c r="A84" s="214">
        <v>44155</v>
      </c>
      <c r="B84" s="169">
        <v>1.137</v>
      </c>
      <c r="C84" s="108">
        <f t="shared" si="3"/>
        <v>3.1000000000001027E-3</v>
      </c>
      <c r="D84" s="109" t="str">
        <f t="shared" si="4"/>
        <v>/</v>
      </c>
      <c r="E84" s="109">
        <f ca="1">IF(表2_367162629303891213141523242526272835[[#This Row],[累计净值]]/MAX(INDIRECT("B21:B" &amp; ROW()))-1&lt;E83,表2_367162629303891213141523242526272835[[#This Row],[累计净值]]/MAX(INDIRECT("B21:B" &amp; ROW()))-1,E83)</f>
        <v>-2.3271340009537456E-2</v>
      </c>
      <c r="F84" s="110">
        <f>表2_367162629303891213141523242526272835[[#This Row],[累计净值]]</f>
        <v>1.137</v>
      </c>
      <c r="G84" s="20"/>
    </row>
    <row r="85" spans="1:7" x14ac:dyDescent="0.2">
      <c r="A85" s="214">
        <v>44158</v>
      </c>
      <c r="B85" s="169">
        <v>1.1417999999999999</v>
      </c>
      <c r="C85" s="108">
        <f t="shared" si="3"/>
        <v>4.7999999999999154E-3</v>
      </c>
      <c r="D85" s="109" t="str">
        <f t="shared" si="4"/>
        <v>/</v>
      </c>
      <c r="E85" s="109">
        <f ca="1">IF(表2_367162629303891213141523242526272835[[#This Row],[累计净值]]/MAX(INDIRECT("B21:B" &amp; ROW()))-1&lt;E84,表2_367162629303891213141523242526272835[[#This Row],[累计净值]]/MAX(INDIRECT("B21:B" &amp; ROW()))-1,E84)</f>
        <v>-2.3271340009537456E-2</v>
      </c>
      <c r="F85" s="110">
        <f>表2_367162629303891213141523242526272835[[#This Row],[累计净值]]</f>
        <v>1.1417999999999999</v>
      </c>
      <c r="G85" s="20"/>
    </row>
    <row r="86" spans="1:7" x14ac:dyDescent="0.2">
      <c r="A86" s="214">
        <v>44159</v>
      </c>
      <c r="B86" s="169">
        <v>1.1424000000000001</v>
      </c>
      <c r="C86" s="108">
        <f t="shared" si="3"/>
        <v>6.0000000000015596E-4</v>
      </c>
      <c r="D86" s="109" t="str">
        <f t="shared" si="4"/>
        <v>/</v>
      </c>
      <c r="E86" s="109">
        <f ca="1">IF(表2_367162629303891213141523242526272835[[#This Row],[累计净值]]/MAX(INDIRECT("B21:B" &amp; ROW()))-1&lt;E85,表2_367162629303891213141523242526272835[[#This Row],[累计净值]]/MAX(INDIRECT("B21:B" &amp; ROW()))-1,E85)</f>
        <v>-2.3271340009537456E-2</v>
      </c>
      <c r="F86" s="110">
        <f>表2_367162629303891213141523242526272835[[#This Row],[累计净值]]</f>
        <v>1.1424000000000001</v>
      </c>
      <c r="G86" s="20"/>
    </row>
    <row r="87" spans="1:7" x14ac:dyDescent="0.2">
      <c r="A87" s="214">
        <v>44160</v>
      </c>
      <c r="B87" s="169">
        <v>1.1403000000000001</v>
      </c>
      <c r="C87" s="108">
        <f t="shared" si="3"/>
        <v>-2.0999999999999908E-3</v>
      </c>
      <c r="D87" s="109">
        <f t="shared" si="4"/>
        <v>-2.0999999999999908E-3</v>
      </c>
      <c r="E87" s="109">
        <f ca="1">IF(表2_367162629303891213141523242526272835[[#This Row],[累计净值]]/MAX(INDIRECT("B21:B" &amp; ROW()))-1&lt;E86,表2_367162629303891213141523242526272835[[#This Row],[累计净值]]/MAX(INDIRECT("B21:B" &amp; ROW()))-1,E86)</f>
        <v>-2.3271340009537456E-2</v>
      </c>
      <c r="F87" s="110">
        <f>表2_367162629303891213141523242526272835[[#This Row],[累计净值]]</f>
        <v>1.1403000000000001</v>
      </c>
      <c r="G87" s="20"/>
    </row>
    <row r="88" spans="1:7" x14ac:dyDescent="0.2">
      <c r="A88" s="214">
        <v>44161</v>
      </c>
      <c r="B88" s="169">
        <v>1.1442000000000001</v>
      </c>
      <c r="C88" s="108">
        <f t="shared" si="3"/>
        <v>3.9000000000000146E-3</v>
      </c>
      <c r="D88" s="109" t="str">
        <f t="shared" si="4"/>
        <v>/</v>
      </c>
      <c r="E88" s="109">
        <f ca="1">IF(表2_367162629303891213141523242526272835[[#This Row],[累计净值]]/MAX(INDIRECT("B21:B" &amp; ROW()))-1&lt;E87,表2_367162629303891213141523242526272835[[#This Row],[累计净值]]/MAX(INDIRECT("B21:B" &amp; ROW()))-1,E87)</f>
        <v>-2.3271340009537456E-2</v>
      </c>
      <c r="F88" s="110">
        <f>表2_367162629303891213141523242526272835[[#This Row],[累计净值]]</f>
        <v>1.1442000000000001</v>
      </c>
      <c r="G88" s="20"/>
    </row>
    <row r="89" spans="1:7" x14ac:dyDescent="0.2">
      <c r="A89" s="214">
        <v>44162</v>
      </c>
      <c r="B89" s="169">
        <v>1.1494</v>
      </c>
      <c r="C89" s="108">
        <f t="shared" si="3"/>
        <v>5.1999999999998714E-3</v>
      </c>
      <c r="D89" s="109" t="str">
        <f t="shared" si="4"/>
        <v>/</v>
      </c>
      <c r="E89" s="109">
        <f ca="1">IF(表2_367162629303891213141523242526272835[[#This Row],[累计净值]]/MAX(INDIRECT("B21:B" &amp; ROW()))-1&lt;E88,表2_367162629303891213141523242526272835[[#This Row],[累计净值]]/MAX(INDIRECT("B21:B" &amp; ROW()))-1,E88)</f>
        <v>-2.3271340009537456E-2</v>
      </c>
      <c r="F89" s="110">
        <f>表2_367162629303891213141523242526272835[[#This Row],[累计净值]]</f>
        <v>1.1494</v>
      </c>
      <c r="G89" s="20"/>
    </row>
    <row r="90" spans="1:7" x14ac:dyDescent="0.2">
      <c r="A90" s="214">
        <v>44165</v>
      </c>
      <c r="B90" s="169">
        <v>1.1494</v>
      </c>
      <c r="C90" s="108">
        <f>IFERROR(B90-B89,0)</f>
        <v>0</v>
      </c>
      <c r="D90" s="109" t="str">
        <f>IF(C90&lt;0,C90,"/")</f>
        <v>/</v>
      </c>
      <c r="E90" s="109">
        <f ca="1">IF(表2_367162629303891213141523242526272835[[#This Row],[累计净值]]/MAX(INDIRECT("B21:B" &amp; ROW()))-1&lt;E89,表2_367162629303891213141523242526272835[[#This Row],[累计净值]]/MAX(INDIRECT("B21:B" &amp; ROW()))-1,E89)</f>
        <v>-2.3271340009537456E-2</v>
      </c>
      <c r="F90" s="110">
        <f>表2_367162629303891213141523242526272835[[#This Row],[累计净值]]</f>
        <v>1.1494</v>
      </c>
      <c r="G90" s="20"/>
    </row>
    <row r="91" spans="1:7" x14ac:dyDescent="0.2">
      <c r="A91" s="214">
        <v>44166</v>
      </c>
      <c r="B91" s="169">
        <v>1.1497999999999999</v>
      </c>
      <c r="C91" s="108">
        <f t="shared" ref="C91:C92" si="5">IFERROR(B91-B90,0)</f>
        <v>3.9999999999995595E-4</v>
      </c>
      <c r="D91" s="109" t="str">
        <f t="shared" ref="D91:D92" si="6">IF(C91&lt;0,C91,"/")</f>
        <v>/</v>
      </c>
      <c r="E91" s="109">
        <f ca="1">IF(表2_367162629303891213141523242526272835[[#This Row],[累计净值]]/MAX(INDIRECT("B21:B" &amp; ROW()))-1&lt;E90,表2_367162629303891213141523242526272835[[#This Row],[累计净值]]/MAX(INDIRECT("B21:B" &amp; ROW()))-1,E90)</f>
        <v>-2.3271340009537456E-2</v>
      </c>
      <c r="F91" s="110">
        <f>表2_367162629303891213141523242526272835[[#This Row],[累计净值]]</f>
        <v>1.1497999999999999</v>
      </c>
      <c r="G91" s="20"/>
    </row>
    <row r="92" spans="1:7" x14ac:dyDescent="0.2">
      <c r="A92" s="214">
        <v>44167</v>
      </c>
      <c r="B92" s="169">
        <v>1.1497999999999999</v>
      </c>
      <c r="C92" s="108">
        <f t="shared" si="5"/>
        <v>0</v>
      </c>
      <c r="D92" s="109" t="str">
        <f t="shared" si="6"/>
        <v>/</v>
      </c>
      <c r="E92" s="109">
        <f ca="1">IF(表2_367162629303891213141523242526272835[[#This Row],[累计净值]]/MAX(INDIRECT("B21:B" &amp; ROW()))-1&lt;E91,表2_367162629303891213141523242526272835[[#This Row],[累计净值]]/MAX(INDIRECT("B21:B" &amp; ROW()))-1,E91)</f>
        <v>-2.3271340009537456E-2</v>
      </c>
      <c r="F92" s="110">
        <f>表2_367162629303891213141523242526272835[[#This Row],[累计净值]]</f>
        <v>1.1497999999999999</v>
      </c>
      <c r="G92" s="20"/>
    </row>
    <row r="93" spans="1:7" x14ac:dyDescent="0.2">
      <c r="A93" s="214">
        <v>44168</v>
      </c>
      <c r="B93" s="169">
        <v>1.1512</v>
      </c>
      <c r="C93" s="108">
        <f>IFERROR(B93-B92,0)</f>
        <v>1.4000000000000679E-3</v>
      </c>
      <c r="D93" s="109" t="str">
        <f>IF(C93&lt;0,C93,"/")</f>
        <v>/</v>
      </c>
      <c r="E93" s="109">
        <f ca="1">IF(表2_367162629303891213141523242526272835[[#This Row],[累计净值]]/MAX(INDIRECT("B21:B" &amp; ROW()))-1&lt;E92,表2_367162629303891213141523242526272835[[#This Row],[累计净值]]/MAX(INDIRECT("B21:B" &amp; ROW()))-1,E92)</f>
        <v>-2.3271340009537456E-2</v>
      </c>
      <c r="F93" s="110">
        <f>表2_367162629303891213141523242526272835[[#This Row],[累计净值]]</f>
        <v>1.1512</v>
      </c>
      <c r="G93" s="20"/>
    </row>
    <row r="94" spans="1:7" x14ac:dyDescent="0.2">
      <c r="A94" s="214">
        <v>44169</v>
      </c>
      <c r="B94" s="169">
        <v>1.1557999999999999</v>
      </c>
      <c r="C94" s="108">
        <f>IFERROR(B94-B93,0)</f>
        <v>4.5999999999999375E-3</v>
      </c>
      <c r="D94" s="109" t="str">
        <f>IF(C94&lt;0,C94,"/")</f>
        <v>/</v>
      </c>
      <c r="E94" s="109">
        <f ca="1">IF(表2_367162629303891213141523242526272835[[#This Row],[累计净值]]/MAX(INDIRECT("B21:B" &amp; ROW()))-1&lt;E93,表2_367162629303891213141523242526272835[[#This Row],[累计净值]]/MAX(INDIRECT("B21:B" &amp; ROW()))-1,E93)</f>
        <v>-2.3271340009537456E-2</v>
      </c>
      <c r="F94" s="110">
        <f>表2_367162629303891213141523242526272835[[#This Row],[累计净值]]</f>
        <v>1.1557999999999999</v>
      </c>
      <c r="G94" s="20"/>
    </row>
    <row r="95" spans="1:7" x14ac:dyDescent="0.2">
      <c r="A95" s="214">
        <v>44172</v>
      </c>
      <c r="B95" s="169">
        <v>1.1580999999999999</v>
      </c>
      <c r="C95" s="108">
        <f>IFERROR(B95-B94,0)</f>
        <v>2.2999999999999687E-3</v>
      </c>
      <c r="D95" s="109" t="str">
        <f>IF(C95&lt;0,C95,"/")</f>
        <v>/</v>
      </c>
      <c r="E95" s="109">
        <f ca="1">IF(表2_367162629303891213141523242526272835[[#This Row],[累计净值]]/MAX(INDIRECT("B21:B" &amp; ROW()))-1&lt;E94,表2_367162629303891213141523242526272835[[#This Row],[累计净值]]/MAX(INDIRECT("B21:B" &amp; ROW()))-1,E94)</f>
        <v>-2.3271340009537456E-2</v>
      </c>
      <c r="F95" s="110">
        <f>表2_367162629303891213141523242526272835[[#This Row],[累计净值]]</f>
        <v>1.1580999999999999</v>
      </c>
      <c r="G95" s="20"/>
    </row>
    <row r="96" spans="1:7" x14ac:dyDescent="0.2">
      <c r="A96" s="213">
        <v>44173</v>
      </c>
      <c r="B96" s="169">
        <v>1.1614</v>
      </c>
      <c r="C96" s="108">
        <f t="shared" ref="C96:C109" si="7">IFERROR(B96-B95,0)</f>
        <v>3.3000000000000806E-3</v>
      </c>
      <c r="D96" s="109" t="str">
        <f t="shared" ref="D96:D109" si="8">IF(C96&lt;0,C96,"/")</f>
        <v>/</v>
      </c>
      <c r="E96" s="109">
        <f ca="1">IF(表2_367162629303891213141523242526272835[[#This Row],[累计净值]]/MAX(INDIRECT("B21:B" &amp; ROW()))-1&lt;E95,表2_367162629303891213141523242526272835[[#This Row],[累计净值]]/MAX(INDIRECT("B21:B" &amp; ROW()))-1,E95)</f>
        <v>-2.3271340009537456E-2</v>
      </c>
      <c r="F96" s="110">
        <f>表2_367162629303891213141523242526272835[[#This Row],[累计净值]]</f>
        <v>1.1614</v>
      </c>
      <c r="G96" s="20"/>
    </row>
    <row r="97" spans="1:7" x14ac:dyDescent="0.2">
      <c r="A97" s="213">
        <v>44174</v>
      </c>
      <c r="B97" s="169">
        <v>1.1575</v>
      </c>
      <c r="C97" s="108">
        <f t="shared" si="7"/>
        <v>-3.9000000000000146E-3</v>
      </c>
      <c r="D97" s="109">
        <f t="shared" si="8"/>
        <v>-3.9000000000000146E-3</v>
      </c>
      <c r="E97" s="109">
        <f ca="1">IF(表2_367162629303891213141523242526272835[[#This Row],[累计净值]]/MAX(INDIRECT("B21:B" &amp; ROW()))-1&lt;E96,表2_367162629303891213141523242526272835[[#This Row],[累计净值]]/MAX(INDIRECT("B21:B" &amp; ROW()))-1,E96)</f>
        <v>-2.3271340009537456E-2</v>
      </c>
      <c r="F97" s="110">
        <f>表2_367162629303891213141523242526272835[[#This Row],[累计净值]]</f>
        <v>1.1575</v>
      </c>
      <c r="G97" s="20"/>
    </row>
    <row r="98" spans="1:7" x14ac:dyDescent="0.2">
      <c r="A98" s="213">
        <v>44175</v>
      </c>
      <c r="B98" s="169">
        <v>1.159</v>
      </c>
      <c r="C98" s="108">
        <f t="shared" si="7"/>
        <v>1.5000000000000568E-3</v>
      </c>
      <c r="D98" s="109" t="str">
        <f t="shared" si="8"/>
        <v>/</v>
      </c>
      <c r="E98" s="109">
        <f ca="1">IF(表2_367162629303891213141523242526272835[[#This Row],[累计净值]]/MAX(INDIRECT("B21:B" &amp; ROW()))-1&lt;E97,表2_367162629303891213141523242526272835[[#This Row],[累计净值]]/MAX(INDIRECT("B21:B" &amp; ROW()))-1,E97)</f>
        <v>-2.3271340009537456E-2</v>
      </c>
      <c r="F98" s="110">
        <f>表2_367162629303891213141523242526272835[[#This Row],[累计净值]]</f>
        <v>1.159</v>
      </c>
      <c r="G98" s="20"/>
    </row>
    <row r="99" spans="1:7" x14ac:dyDescent="0.2">
      <c r="A99" s="213">
        <v>44176</v>
      </c>
      <c r="B99" s="169">
        <v>1.1448</v>
      </c>
      <c r="C99" s="108">
        <f t="shared" si="7"/>
        <v>-1.419999999999999E-2</v>
      </c>
      <c r="D99" s="109">
        <f t="shared" si="8"/>
        <v>-1.419999999999999E-2</v>
      </c>
      <c r="E99" s="109">
        <f ca="1">IF(表2_367162629303891213141523242526272835[[#This Row],[累计净值]]/MAX(INDIRECT("B21:B" &amp; ROW()))-1&lt;E98,表2_367162629303891213141523242526272835[[#This Row],[累计净值]]/MAX(INDIRECT("B21:B" &amp; ROW()))-1,E98)</f>
        <v>-2.3271340009537456E-2</v>
      </c>
      <c r="F99" s="110">
        <f>表2_367162629303891213141523242526272835[[#This Row],[累计净值]]</f>
        <v>1.1448</v>
      </c>
      <c r="G99" s="20"/>
    </row>
    <row r="100" spans="1:7" x14ac:dyDescent="0.2">
      <c r="A100" s="213">
        <v>44179</v>
      </c>
      <c r="B100" s="169">
        <v>1.1568000000000001</v>
      </c>
      <c r="C100" s="108">
        <f t="shared" si="7"/>
        <v>1.2000000000000011E-2</v>
      </c>
      <c r="D100" s="109" t="str">
        <f t="shared" si="8"/>
        <v>/</v>
      </c>
      <c r="E100" s="109">
        <f ca="1">IF(表2_367162629303891213141523242526272835[[#This Row],[累计净值]]/MAX(INDIRECT("B21:B" &amp; ROW()))-1&lt;E99,表2_367162629303891213141523242526272835[[#This Row],[累计净值]]/MAX(INDIRECT("B21:B" &amp; ROW()))-1,E99)</f>
        <v>-2.3271340009537456E-2</v>
      </c>
      <c r="F100" s="110">
        <f>表2_367162629303891213141523242526272835[[#This Row],[累计净值]]</f>
        <v>1.1568000000000001</v>
      </c>
      <c r="G100" s="20"/>
    </row>
    <row r="101" spans="1:7" x14ac:dyDescent="0.2">
      <c r="A101" s="213">
        <v>44180</v>
      </c>
      <c r="B101" s="169">
        <v>1.159</v>
      </c>
      <c r="C101" s="108">
        <f t="shared" si="7"/>
        <v>2.1999999999999797E-3</v>
      </c>
      <c r="D101" s="109" t="str">
        <f t="shared" si="8"/>
        <v>/</v>
      </c>
      <c r="E101" s="109">
        <f ca="1">IF(表2_367162629303891213141523242526272835[[#This Row],[累计净值]]/MAX(INDIRECT("B21:B" &amp; ROW()))-1&lt;E100,表2_367162629303891213141523242526272835[[#This Row],[累计净值]]/MAX(INDIRECT("B21:B" &amp; ROW()))-1,E100)</f>
        <v>-2.3271340009537456E-2</v>
      </c>
      <c r="F101" s="110">
        <f>表2_367162629303891213141523242526272835[[#This Row],[累计净值]]</f>
        <v>1.159</v>
      </c>
      <c r="G101" s="20"/>
    </row>
    <row r="102" spans="1:7" x14ac:dyDescent="0.2">
      <c r="A102" s="213">
        <v>44181</v>
      </c>
      <c r="B102" s="169">
        <v>1.1595</v>
      </c>
      <c r="C102" s="108">
        <f t="shared" si="7"/>
        <v>4.9999999999994493E-4</v>
      </c>
      <c r="D102" s="109" t="str">
        <f t="shared" si="8"/>
        <v>/</v>
      </c>
      <c r="E102" s="109">
        <f ca="1">IF(表2_367162629303891213141523242526272835[[#This Row],[累计净值]]/MAX(INDIRECT("B21:B" &amp; ROW()))-1&lt;E101,表2_367162629303891213141523242526272835[[#This Row],[累计净值]]/MAX(INDIRECT("B21:B" &amp; ROW()))-1,E101)</f>
        <v>-2.3271340009537456E-2</v>
      </c>
      <c r="F102" s="110">
        <f>表2_367162629303891213141523242526272835[[#This Row],[累计净值]]</f>
        <v>1.1595</v>
      </c>
      <c r="G102" s="20"/>
    </row>
    <row r="103" spans="1:7" x14ac:dyDescent="0.2">
      <c r="A103" s="213">
        <v>44182</v>
      </c>
      <c r="B103" s="169">
        <v>1.1659999999999999</v>
      </c>
      <c r="C103" s="108">
        <f t="shared" si="7"/>
        <v>6.4999999999999503E-3</v>
      </c>
      <c r="D103" s="109" t="str">
        <f t="shared" si="8"/>
        <v>/</v>
      </c>
      <c r="E103" s="109">
        <f ca="1">IF(表2_367162629303891213141523242526272835[[#This Row],[累计净值]]/MAX(INDIRECT("B21:B" &amp; ROW()))-1&lt;E102,表2_367162629303891213141523242526272835[[#This Row],[累计净值]]/MAX(INDIRECT("B21:B" &amp; ROW()))-1,E102)</f>
        <v>-2.3271340009537456E-2</v>
      </c>
      <c r="F103" s="110">
        <f>表2_367162629303891213141523242526272835[[#This Row],[累计净值]]</f>
        <v>1.1659999999999999</v>
      </c>
      <c r="G103" s="20"/>
    </row>
    <row r="104" spans="1:7" x14ac:dyDescent="0.2">
      <c r="A104" s="213">
        <v>44183</v>
      </c>
      <c r="B104" s="169">
        <v>1.167</v>
      </c>
      <c r="C104" s="108">
        <f t="shared" si="7"/>
        <v>1.0000000000001119E-3</v>
      </c>
      <c r="D104" s="109" t="str">
        <f t="shared" si="8"/>
        <v>/</v>
      </c>
      <c r="E104" s="109">
        <f ca="1">IF(表2_367162629303891213141523242526272835[[#This Row],[累计净值]]/MAX(INDIRECT("B21:B" &amp; ROW()))-1&lt;E103,表2_367162629303891213141523242526272835[[#This Row],[累计净值]]/MAX(INDIRECT("B21:B" &amp; ROW()))-1,E103)</f>
        <v>-2.3271340009537456E-2</v>
      </c>
      <c r="F104" s="110">
        <f>表2_367162629303891213141523242526272835[[#This Row],[累计净值]]</f>
        <v>1.167</v>
      </c>
      <c r="G104" s="20"/>
    </row>
    <row r="105" spans="1:7" x14ac:dyDescent="0.2">
      <c r="A105" s="213">
        <v>44186</v>
      </c>
      <c r="B105" s="169">
        <v>1.1697</v>
      </c>
      <c r="C105" s="108">
        <f t="shared" si="7"/>
        <v>2.6999999999999247E-3</v>
      </c>
      <c r="D105" s="109" t="str">
        <f t="shared" si="8"/>
        <v>/</v>
      </c>
      <c r="E105" s="109">
        <f ca="1">IF(表2_367162629303891213141523242526272835[[#This Row],[累计净值]]/MAX(INDIRECT("B21:B" &amp; ROW()))-1&lt;E104,表2_367162629303891213141523242526272835[[#This Row],[累计净值]]/MAX(INDIRECT("B21:B" &amp; ROW()))-1,E104)</f>
        <v>-2.3271340009537456E-2</v>
      </c>
      <c r="F105" s="110">
        <f>表2_367162629303891213141523242526272835[[#This Row],[累计净值]]</f>
        <v>1.1697</v>
      </c>
      <c r="G105" s="20"/>
    </row>
    <row r="106" spans="1:7" x14ac:dyDescent="0.2">
      <c r="A106" s="213">
        <v>44187</v>
      </c>
      <c r="B106" s="169">
        <v>1.1635</v>
      </c>
      <c r="C106" s="108">
        <f t="shared" si="7"/>
        <v>-6.1999999999999833E-3</v>
      </c>
      <c r="D106" s="109">
        <f t="shared" si="8"/>
        <v>-6.1999999999999833E-3</v>
      </c>
      <c r="E106" s="109">
        <f ca="1">IF(表2_367162629303891213141523242526272835[[#This Row],[累计净值]]/MAX(INDIRECT("B21:B" &amp; ROW()))-1&lt;E105,表2_367162629303891213141523242526272835[[#This Row],[累计净值]]/MAX(INDIRECT("B21:B" &amp; ROW()))-1,E105)</f>
        <v>-2.3271340009537456E-2</v>
      </c>
      <c r="F106" s="110">
        <f>表2_367162629303891213141523242526272835[[#This Row],[累计净值]]</f>
        <v>1.1635</v>
      </c>
      <c r="G106" s="20"/>
    </row>
    <row r="107" spans="1:7" x14ac:dyDescent="0.2">
      <c r="A107" s="213">
        <v>44188</v>
      </c>
      <c r="B107" s="169">
        <v>1.1673</v>
      </c>
      <c r="C107" s="108">
        <f t="shared" si="7"/>
        <v>3.8000000000000256E-3</v>
      </c>
      <c r="D107" s="109" t="str">
        <f t="shared" si="8"/>
        <v>/</v>
      </c>
      <c r="E107" s="109">
        <f ca="1">IF(表2_367162629303891213141523242526272835[[#This Row],[累计净值]]/MAX(INDIRECT("B21:B" &amp; ROW()))-1&lt;E106,表2_367162629303891213141523242526272835[[#This Row],[累计净值]]/MAX(INDIRECT("B21:B" &amp; ROW()))-1,E106)</f>
        <v>-2.3271340009537456E-2</v>
      </c>
      <c r="F107" s="110">
        <f>表2_367162629303891213141523242526272835[[#This Row],[累计净值]]</f>
        <v>1.1673</v>
      </c>
      <c r="G107" s="20"/>
    </row>
    <row r="108" spans="1:7" x14ac:dyDescent="0.2">
      <c r="A108" s="213">
        <v>44189</v>
      </c>
      <c r="B108" s="169">
        <v>1.169</v>
      </c>
      <c r="C108" s="108">
        <f t="shared" si="7"/>
        <v>1.7000000000000348E-3</v>
      </c>
      <c r="D108" s="109" t="str">
        <f t="shared" si="8"/>
        <v>/</v>
      </c>
      <c r="E108" s="109">
        <f ca="1">IF(表2_367162629303891213141523242526272835[[#This Row],[累计净值]]/MAX(INDIRECT("B21:B" &amp; ROW()))-1&lt;E107,表2_367162629303891213141523242526272835[[#This Row],[累计净值]]/MAX(INDIRECT("B21:B" &amp; ROW()))-1,E107)</f>
        <v>-2.3271340009537456E-2</v>
      </c>
      <c r="F108" s="110">
        <f>表2_367162629303891213141523242526272835[[#This Row],[累计净值]]</f>
        <v>1.169</v>
      </c>
      <c r="G108" s="20"/>
    </row>
    <row r="109" spans="1:7" x14ac:dyDescent="0.2">
      <c r="A109" s="213">
        <v>44190</v>
      </c>
      <c r="B109" s="169">
        <v>1.1731</v>
      </c>
      <c r="C109" s="108">
        <f t="shared" si="7"/>
        <v>4.0999999999999925E-3</v>
      </c>
      <c r="D109" s="109" t="str">
        <f t="shared" si="8"/>
        <v>/</v>
      </c>
      <c r="E109" s="109">
        <f ca="1">IF(表2_367162629303891213141523242526272835[[#This Row],[累计净值]]/MAX(INDIRECT("B21:B" &amp; ROW()))-1&lt;E108,表2_367162629303891213141523242526272835[[#This Row],[累计净值]]/MAX(INDIRECT("B21:B" &amp; ROW()))-1,E108)</f>
        <v>-2.3271340009537456E-2</v>
      </c>
      <c r="F109" s="110">
        <f>表2_367162629303891213141523242526272835[[#This Row],[累计净值]]</f>
        <v>1.1731</v>
      </c>
      <c r="G109" s="20"/>
    </row>
    <row r="110" spans="1:7" x14ac:dyDescent="0.2">
      <c r="A110" s="213">
        <v>44193</v>
      </c>
      <c r="B110" s="169">
        <v>1.1755</v>
      </c>
      <c r="C110" s="108">
        <f>IFERROR(B110-B109,0)</f>
        <v>2.3999999999999577E-3</v>
      </c>
      <c r="D110" s="109" t="str">
        <f>IF(C110&lt;0,C110,"/")</f>
        <v>/</v>
      </c>
      <c r="E110" s="109">
        <f ca="1">IF(表2_367162629303891213141523242526272835[[#This Row],[累计净值]]/MAX(INDIRECT("B21:B" &amp; ROW()))-1&lt;E109,表2_367162629303891213141523242526272835[[#This Row],[累计净值]]/MAX(INDIRECT("B21:B" &amp; ROW()))-1,E109)</f>
        <v>-2.3271340009537456E-2</v>
      </c>
      <c r="F110" s="110">
        <f>表2_367162629303891213141523242526272835[[#This Row],[累计净值]]</f>
        <v>1.1755</v>
      </c>
      <c r="G110" s="20"/>
    </row>
    <row r="111" spans="1:7" x14ac:dyDescent="0.2">
      <c r="A111" s="213">
        <v>44194</v>
      </c>
      <c r="B111" s="169">
        <v>1.1736</v>
      </c>
      <c r="C111" s="108">
        <f>IFERROR(B111-B110,0)</f>
        <v>-1.9000000000000128E-3</v>
      </c>
      <c r="D111" s="109">
        <f>IF(C111&lt;0,C111,"/")</f>
        <v>-1.9000000000000128E-3</v>
      </c>
      <c r="E111" s="109">
        <f ca="1">IF(表2_367162629303891213141523242526272835[[#This Row],[累计净值]]/MAX(INDIRECT("B21:B" &amp; ROW()))-1&lt;E110,表2_367162629303891213141523242526272835[[#This Row],[累计净值]]/MAX(INDIRECT("B21:B" &amp; ROW()))-1,E110)</f>
        <v>-2.3271340009537456E-2</v>
      </c>
      <c r="F111" s="110">
        <f>表2_367162629303891213141523242526272835[[#This Row],[累计净值]]</f>
        <v>1.1736</v>
      </c>
      <c r="G111" s="20"/>
    </row>
    <row r="112" spans="1:7" x14ac:dyDescent="0.2">
      <c r="A112" s="213">
        <v>44195</v>
      </c>
      <c r="B112" s="169">
        <v>1.1763999999999999</v>
      </c>
      <c r="C112" s="108">
        <f>IFERROR(B112-B111,0)</f>
        <v>2.7999999999999137E-3</v>
      </c>
      <c r="D112" s="109" t="str">
        <f>IF(C112&lt;0,C112,"/")</f>
        <v>/</v>
      </c>
      <c r="E112" s="109">
        <f ca="1">IF(表2_367162629303891213141523242526272835[[#This Row],[累计净值]]/MAX(INDIRECT("B21:B" &amp; ROW()))-1&lt;E111,表2_367162629303891213141523242526272835[[#This Row],[累计净值]]/MAX(INDIRECT("B21:B" &amp; ROW()))-1,E111)</f>
        <v>-2.3271340009537456E-2</v>
      </c>
      <c r="F112" s="110">
        <f>表2_367162629303891213141523242526272835[[#This Row],[累计净值]]</f>
        <v>1.1763999999999999</v>
      </c>
      <c r="G112" s="20"/>
    </row>
    <row r="113" spans="1:7" x14ac:dyDescent="0.2">
      <c r="A113" s="213">
        <v>44196</v>
      </c>
      <c r="B113" s="169">
        <v>1.1778999999999999</v>
      </c>
      <c r="C113" s="108">
        <f t="shared" ref="C113:C116" si="9">IFERROR(B113-B112,0)</f>
        <v>1.5000000000000568E-3</v>
      </c>
      <c r="D113" s="109" t="str">
        <f t="shared" ref="D113:D116" si="10">IF(C113&lt;0,C113,"/")</f>
        <v>/</v>
      </c>
      <c r="E113" s="109">
        <f ca="1">IF(表2_367162629303891213141523242526272835[[#This Row],[累计净值]]/MAX(INDIRECT("B21:B" &amp; ROW()))-1&lt;E112,表2_367162629303891213141523242526272835[[#This Row],[累计净值]]/MAX(INDIRECT("B21:B" &amp; ROW()))-1,E112)</f>
        <v>-2.3271340009537456E-2</v>
      </c>
      <c r="F113" s="110">
        <f>表2_367162629303891213141523242526272835[[#This Row],[累计净值]]</f>
        <v>1.1778999999999999</v>
      </c>
      <c r="G113" s="20"/>
    </row>
    <row r="114" spans="1:7" x14ac:dyDescent="0.2">
      <c r="A114" s="222">
        <v>44200</v>
      </c>
      <c r="B114" s="165">
        <v>1.1827000000000001</v>
      </c>
      <c r="C114" s="191">
        <f t="shared" si="9"/>
        <v>4.8000000000001375E-3</v>
      </c>
      <c r="D114" s="192" t="str">
        <f t="shared" si="10"/>
        <v>/</v>
      </c>
      <c r="E114" s="192">
        <f ca="1">IF(表2_367162629303891213141523242526272835[[#This Row],[累计净值]]/MAX(INDIRECT("B21:B" &amp; ROW()))-1&lt;E113,表2_367162629303891213141523242526272835[[#This Row],[累计净值]]/MAX(INDIRECT("B21:B" &amp; ROW()))-1,E113)</f>
        <v>-2.3271340009537456E-2</v>
      </c>
      <c r="F114" s="193">
        <f>表2_367162629303891213141523242526272835[[#This Row],[累计净值]]</f>
        <v>1.1827000000000001</v>
      </c>
      <c r="G114" s="194" t="s">
        <v>30</v>
      </c>
    </row>
    <row r="115" spans="1:7" x14ac:dyDescent="0.2">
      <c r="A115" s="213">
        <v>44201</v>
      </c>
      <c r="B115" s="169">
        <v>1.1879999999999999</v>
      </c>
      <c r="C115" s="108">
        <f t="shared" si="9"/>
        <v>5.2999999999998604E-3</v>
      </c>
      <c r="D115" s="109" t="str">
        <f t="shared" si="10"/>
        <v>/</v>
      </c>
      <c r="E115" s="109">
        <f ca="1">IF(表2_367162629303891213141523242526272835[[#This Row],[累计净值]]/MAX(INDIRECT("B21:B" &amp; ROW()))-1&lt;E114,表2_367162629303891213141523242526272835[[#This Row],[累计净值]]/MAX(INDIRECT("B21:B" &amp; ROW()))-1,E114)</f>
        <v>-2.3271340009537456E-2</v>
      </c>
      <c r="F115" s="110">
        <f>表2_367162629303891213141523242526272835[[#This Row],[累计净值]]</f>
        <v>1.1879999999999999</v>
      </c>
      <c r="G115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3.1368901665679736E-3</v>
      </c>
    </row>
    <row r="116" spans="1:7" x14ac:dyDescent="0.2">
      <c r="A116" s="213">
        <v>44202</v>
      </c>
      <c r="B116" s="169">
        <v>1.1884999999999999</v>
      </c>
      <c r="C116" s="108">
        <f t="shared" si="9"/>
        <v>4.9999999999994493E-4</v>
      </c>
      <c r="D116" s="109" t="str">
        <f t="shared" si="10"/>
        <v>/</v>
      </c>
      <c r="E116" s="109">
        <f ca="1">IF(表2_367162629303891213141523242526272835[[#This Row],[累计净值]]/MAX(INDIRECT("B21:B" &amp; ROW()))-1&lt;E115,表2_367162629303891213141523242526272835[[#This Row],[累计净值]]/MAX(INDIRECT("B21:B" &amp; ROW()))-1,E115)</f>
        <v>-2.3271340009537456E-2</v>
      </c>
      <c r="F116" s="110">
        <f>表2_367162629303891213141523242526272835[[#This Row],[累计净值]]</f>
        <v>1.1884999999999999</v>
      </c>
      <c r="G116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3.432823201149726E-3</v>
      </c>
    </row>
    <row r="117" spans="1:7" x14ac:dyDescent="0.2">
      <c r="A117" s="213">
        <v>44203</v>
      </c>
      <c r="B117" s="169">
        <v>1.1899</v>
      </c>
      <c r="C117" s="108">
        <f t="shared" ref="C117:C119" si="11">IFERROR(B117-B116,0)</f>
        <v>1.4000000000000679E-3</v>
      </c>
      <c r="D117" s="109" t="str">
        <f t="shared" ref="D117:D119" si="12">IF(C117&lt;0,C117,"/")</f>
        <v>/</v>
      </c>
      <c r="E117" s="109">
        <f ca="1">IF(表2_367162629303891213141523242526272835[[#This Row],[累计净值]]/MAX(INDIRECT("B21:B" &amp; ROW()))-1&lt;E116,表2_367162629303891213141523242526272835[[#This Row],[累计净值]]/MAX(INDIRECT("B21:B" &amp; ROW()))-1,E116)</f>
        <v>-2.3271340009537456E-2</v>
      </c>
      <c r="F117" s="110">
        <f>表2_367162629303891213141523242526272835[[#This Row],[累计净值]]</f>
        <v>1.1899</v>
      </c>
      <c r="G117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4.261435697979099E-3</v>
      </c>
    </row>
    <row r="118" spans="1:7" x14ac:dyDescent="0.2">
      <c r="A118" s="213">
        <v>44204</v>
      </c>
      <c r="B118" s="169">
        <v>1.1871</v>
      </c>
      <c r="C118" s="108">
        <f t="shared" si="11"/>
        <v>-2.7999999999999137E-3</v>
      </c>
      <c r="D118" s="109">
        <f t="shared" si="12"/>
        <v>-2.7999999999999137E-3</v>
      </c>
      <c r="E118" s="109">
        <f ca="1">IF(表2_367162629303891213141523242526272835[[#This Row],[累计净值]]/MAX(INDIRECT("B21:B" &amp; ROW()))-1&lt;E117,表2_367162629303891213141523242526272835[[#This Row],[累计净值]]/MAX(INDIRECT("B21:B" &amp; ROW()))-1,E117)</f>
        <v>-2.3271340009537456E-2</v>
      </c>
      <c r="F118" s="110">
        <f>表2_367162629303891213141523242526272835[[#This Row],[累计净值]]</f>
        <v>1.1871</v>
      </c>
      <c r="G118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2.6042107043206639E-3</v>
      </c>
    </row>
    <row r="119" spans="1:7" x14ac:dyDescent="0.2">
      <c r="A119" s="213">
        <v>44207</v>
      </c>
      <c r="B119" s="169">
        <v>1.1888000000000001</v>
      </c>
      <c r="C119" s="108">
        <f t="shared" si="11"/>
        <v>1.7000000000000348E-3</v>
      </c>
      <c r="D119" s="109" t="str">
        <f t="shared" si="12"/>
        <v>/</v>
      </c>
      <c r="E119" s="109">
        <f ca="1">IF(表2_367162629303891213141523242526272835[[#This Row],[累计净值]]/MAX(INDIRECT("B21:B" &amp; ROW()))-1&lt;E118,表2_367162629303891213141523242526272835[[#This Row],[累计净值]]/MAX(INDIRECT("B21:B" &amp; ROW()))-1,E118)</f>
        <v>-2.3271340009537456E-2</v>
      </c>
      <c r="F119" s="110">
        <f>表2_367162629303891213141523242526272835[[#This Row],[累计净值]]</f>
        <v>1.1888000000000001</v>
      </c>
      <c r="G119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3.610383021899088E-3</v>
      </c>
    </row>
    <row r="120" spans="1:7" x14ac:dyDescent="0.2">
      <c r="A120" s="213">
        <v>44208</v>
      </c>
      <c r="B120" s="215">
        <v>1.2004999999999999</v>
      </c>
      <c r="C120" s="108">
        <f t="shared" ref="C120:C125" si="13">IFERROR(B120-B119,0)</f>
        <v>1.1699999999999822E-2</v>
      </c>
      <c r="D120" s="109" t="str">
        <f t="shared" ref="D120:D125" si="14">IF(C120&lt;0,C120,"/")</f>
        <v>/</v>
      </c>
      <c r="E120" s="109">
        <f ca="1">IF(表2_367162629303891213141523242526272835[[#This Row],[累计净值]]/MAX(INDIRECT("B21:B" &amp; ROW()))-1&lt;E119,表2_367162629303891213141523242526272835[[#This Row],[累计净值]]/MAX(INDIRECT("B21:B" &amp; ROW()))-1,E119)</f>
        <v>-2.3271340009537456E-2</v>
      </c>
      <c r="F120" s="110">
        <f>表2_367162629303891213141523242526272835[[#This Row],[累计净值]]</f>
        <v>1.2004999999999999</v>
      </c>
      <c r="G120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1.0535216031115201E-2</v>
      </c>
    </row>
    <row r="121" spans="1:7" x14ac:dyDescent="0.2">
      <c r="A121" s="213">
        <v>44209</v>
      </c>
      <c r="B121" s="169">
        <v>1.1989000000000001</v>
      </c>
      <c r="C121" s="108">
        <f t="shared" si="13"/>
        <v>-1.5999999999998238E-3</v>
      </c>
      <c r="D121" s="109">
        <f t="shared" si="14"/>
        <v>-1.5999999999998238E-3</v>
      </c>
      <c r="E121" s="109">
        <f ca="1">IF(表2_367162629303891213141523242526272835[[#This Row],[累计净值]]/MAX(INDIRECT("B21:B" &amp; ROW()))-1&lt;E120,表2_367162629303891213141523242526272835[[#This Row],[累计净值]]/MAX(INDIRECT("B21:B" &amp; ROW()))-1,E120)</f>
        <v>-2.3271340009537456E-2</v>
      </c>
      <c r="F121" s="110">
        <f>表2_367162629303891213141523242526272835[[#This Row],[累计净值]]</f>
        <v>1.1989000000000001</v>
      </c>
      <c r="G121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9.5882303204531272E-3</v>
      </c>
    </row>
    <row r="122" spans="1:7" x14ac:dyDescent="0.2">
      <c r="A122" s="213">
        <v>44210</v>
      </c>
      <c r="B122" s="169">
        <v>1.1876</v>
      </c>
      <c r="C122" s="108">
        <f t="shared" si="13"/>
        <v>-1.1300000000000088E-2</v>
      </c>
      <c r="D122" s="109">
        <f t="shared" si="14"/>
        <v>-1.1300000000000088E-2</v>
      </c>
      <c r="E122" s="109">
        <f ca="1">IF(表2_367162629303891213141523242526272835[[#This Row],[累计净值]]/MAX(INDIRECT("B21:B" &amp; ROW()))-1&lt;E121,表2_367162629303891213141523242526272835[[#This Row],[累计净值]]/MAX(INDIRECT("B21:B" &amp; ROW()))-1,E121)</f>
        <v>-2.3271340009537456E-2</v>
      </c>
      <c r="F122" s="110">
        <f>表2_367162629303891213141523242526272835[[#This Row],[累计净值]]</f>
        <v>1.1876</v>
      </c>
      <c r="G122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2.9001437389024162E-3</v>
      </c>
    </row>
    <row r="123" spans="1:7" x14ac:dyDescent="0.2">
      <c r="A123" s="213">
        <v>44211</v>
      </c>
      <c r="B123" s="169">
        <v>1.1914</v>
      </c>
      <c r="C123" s="108">
        <f t="shared" si="13"/>
        <v>3.8000000000000256E-3</v>
      </c>
      <c r="D123" s="109" t="str">
        <f t="shared" si="14"/>
        <v>/</v>
      </c>
      <c r="E123" s="109">
        <f ca="1">IF(表2_367162629303891213141523242526272835[[#This Row],[累计净值]]/MAX(INDIRECT("B21:B" &amp; ROW()))-1&lt;E122,表2_367162629303891213141523242526272835[[#This Row],[累计净值]]/MAX(INDIRECT("B21:B" &amp; ROW()))-1,E122)</f>
        <v>-2.3271340009537456E-2</v>
      </c>
      <c r="F123" s="110">
        <f>表2_367162629303891213141523242526272835[[#This Row],[累计净值]]</f>
        <v>1.1914</v>
      </c>
      <c r="G123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5.1492348017248219E-3</v>
      </c>
    </row>
    <row r="124" spans="1:7" x14ac:dyDescent="0.2">
      <c r="A124" s="213">
        <v>44214</v>
      </c>
      <c r="B124" s="169">
        <v>1.2014</v>
      </c>
      <c r="C124" s="108">
        <f t="shared" si="13"/>
        <v>1.0000000000000009E-2</v>
      </c>
      <c r="D124" s="109" t="str">
        <f t="shared" si="14"/>
        <v>/</v>
      </c>
      <c r="E124" s="109">
        <f ca="1">IF(表2_367162629303891213141523242526272835[[#This Row],[累计净值]]/MAX(INDIRECT("B21:B" &amp; ROW()))-1&lt;E123,表2_367162629303891213141523242526272835[[#This Row],[累计净值]]/MAX(INDIRECT("B21:B" &amp; ROW()))-1,E123)</f>
        <v>-2.3271340009537456E-2</v>
      </c>
      <c r="F124" s="110">
        <f>表2_367162629303891213141523242526272835[[#This Row],[累计净值]]</f>
        <v>1.2014</v>
      </c>
      <c r="G124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1.1067895493362666E-2</v>
      </c>
    </row>
    <row r="125" spans="1:7" x14ac:dyDescent="0.2">
      <c r="A125" s="213">
        <v>44215</v>
      </c>
      <c r="B125" s="112">
        <v>1.1869000000000001</v>
      </c>
      <c r="C125" s="108">
        <f t="shared" si="13"/>
        <v>-1.4499999999999957E-2</v>
      </c>
      <c r="D125" s="109">
        <f t="shared" si="14"/>
        <v>-1.4499999999999957E-2</v>
      </c>
      <c r="E125" s="109">
        <f ca="1">IF(表2_367162629303891213141523242526272835[[#This Row],[累计净值]]/MAX(INDIRECT("B21:B" &amp; ROW()))-1&lt;E124,表2_367162629303891213141523242526272835[[#This Row],[累计净值]]/MAX(INDIRECT("B21:B" &amp; ROW()))-1,E124)</f>
        <v>-2.3271340009537456E-2</v>
      </c>
      <c r="F125" s="110">
        <f>表2_367162629303891213141523242526272835[[#This Row],[累计净值]]</f>
        <v>1.1869000000000001</v>
      </c>
      <c r="G125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2.4858374904878078E-3</v>
      </c>
    </row>
    <row r="126" spans="1:7" x14ac:dyDescent="0.2">
      <c r="A126" s="213">
        <v>44216</v>
      </c>
      <c r="B126" s="112">
        <v>1.1955</v>
      </c>
      <c r="C126" s="108">
        <f t="shared" ref="C126:C131" si="15">IFERROR(B126-B125,0)</f>
        <v>8.599999999999941E-3</v>
      </c>
      <c r="D126" s="109" t="str">
        <f t="shared" ref="D126:D131" si="16">IF(C126&lt;0,C126,"/")</f>
        <v>/</v>
      </c>
      <c r="E126" s="109">
        <f ca="1">IF(表2_367162629303891213141523242526272835[[#This Row],[累计净值]]/MAX(INDIRECT("B21:B" &amp; ROW()))-1&lt;E125,表2_367162629303891213141523242526272835[[#This Row],[累计净值]]/MAX(INDIRECT("B21:B" &amp; ROW()))-1,E125)</f>
        <v>-2.3271340009537456E-2</v>
      </c>
      <c r="F126" s="110">
        <f>表2_367162629303891213141523242526272835[[#This Row],[累计净值]]</f>
        <v>1.1955</v>
      </c>
      <c r="G126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7.575885685296279E-3</v>
      </c>
    </row>
    <row r="127" spans="1:7" x14ac:dyDescent="0.2">
      <c r="A127" s="213">
        <v>44217</v>
      </c>
      <c r="B127" s="112">
        <v>1.2036</v>
      </c>
      <c r="C127" s="108">
        <f t="shared" si="15"/>
        <v>8.0999999999999961E-3</v>
      </c>
      <c r="D127" s="109" t="str">
        <f t="shared" si="16"/>
        <v>/</v>
      </c>
      <c r="E127" s="109">
        <f ca="1">IF(表2_367162629303891213141523242526272835[[#This Row],[累计净值]]/MAX(INDIRECT("B21:B" &amp; ROW()))-1&lt;E126,表2_367162629303891213141523242526272835[[#This Row],[累计净值]]/MAX(INDIRECT("B21:B" &amp; ROW()))-1,E126)</f>
        <v>-2.3271340009537456E-2</v>
      </c>
      <c r="F127" s="110">
        <f>表2_367162629303891213141523242526272835[[#This Row],[累计净值]]</f>
        <v>1.2036</v>
      </c>
      <c r="G127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1.2370000845522843E-2</v>
      </c>
    </row>
    <row r="128" spans="1:7" x14ac:dyDescent="0.2">
      <c r="A128" s="213">
        <v>44218</v>
      </c>
      <c r="B128" s="112">
        <v>1.2097</v>
      </c>
      <c r="C128" s="108">
        <f t="shared" si="15"/>
        <v>6.0999999999999943E-3</v>
      </c>
      <c r="D128" s="109" t="str">
        <f t="shared" si="16"/>
        <v>/</v>
      </c>
      <c r="E128" s="109">
        <f ca="1">IF(表2_367162629303891213141523242526272835[[#This Row],[累计净值]]/MAX(INDIRECT("B21:B" &amp; ROW()))-1&lt;E127,表2_367162629303891213141523242526272835[[#This Row],[累计净值]]/MAX(INDIRECT("B21:B" &amp; ROW()))-1,E127)</f>
        <v>-2.3271340009537456E-2</v>
      </c>
      <c r="F128" s="110">
        <f>表2_367162629303891213141523242526272835[[#This Row],[累计净值]]</f>
        <v>1.2097</v>
      </c>
      <c r="G128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1.598038386742193E-2</v>
      </c>
    </row>
    <row r="129" spans="1:7" x14ac:dyDescent="0.2">
      <c r="A129" s="213">
        <v>44221</v>
      </c>
      <c r="B129" s="215">
        <v>1.2141999999999999</v>
      </c>
      <c r="C129" s="108">
        <f t="shared" si="15"/>
        <v>4.4999999999999485E-3</v>
      </c>
      <c r="D129" s="109" t="str">
        <f t="shared" si="16"/>
        <v>/</v>
      </c>
      <c r="E129" s="109">
        <f ca="1">IF(表2_367162629303891213141523242526272835[[#This Row],[累计净值]]/MAX(INDIRECT("B21:B" &amp; ROW()))-1&lt;E128,表2_367162629303891213141523242526272835[[#This Row],[累计净值]]/MAX(INDIRECT("B21:B" &amp; ROW()))-1,E128)</f>
        <v>-2.3271340009537456E-2</v>
      </c>
      <c r="F129" s="110">
        <f>表2_367162629303891213141523242526272835[[#This Row],[累计净值]]</f>
        <v>1.2141999999999999</v>
      </c>
      <c r="G129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1.8643781178658947E-2</v>
      </c>
    </row>
    <row r="130" spans="1:7" x14ac:dyDescent="0.2">
      <c r="A130" s="213">
        <v>44222</v>
      </c>
      <c r="B130" s="112">
        <v>1.2075</v>
      </c>
      <c r="C130" s="108">
        <f t="shared" si="15"/>
        <v>-6.6999999999999282E-3</v>
      </c>
      <c r="D130" s="109">
        <f t="shared" si="16"/>
        <v>-6.6999999999999282E-3</v>
      </c>
      <c r="E130" s="109">
        <f ca="1">IF(表2_367162629303891213141523242526272835[[#This Row],[累计净值]]/MAX(INDIRECT("B21:B" &amp; ROW()))-1&lt;E129,表2_367162629303891213141523242526272835[[#This Row],[累计净值]]/MAX(INDIRECT("B21:B" &amp; ROW()))-1,E129)</f>
        <v>-2.3271340009537456E-2</v>
      </c>
      <c r="F130" s="110">
        <f>表2_367162629303891213141523242526272835[[#This Row],[累计净值]]</f>
        <v>1.2075</v>
      </c>
      <c r="G130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1.4678278515261598E-2</v>
      </c>
    </row>
    <row r="131" spans="1:7" x14ac:dyDescent="0.2">
      <c r="A131" s="213">
        <v>44223</v>
      </c>
      <c r="B131" s="112">
        <v>1.2081999999999999</v>
      </c>
      <c r="C131" s="108">
        <f t="shared" si="15"/>
        <v>6.9999999999992291E-4</v>
      </c>
      <c r="D131" s="109" t="str">
        <f t="shared" si="16"/>
        <v>/</v>
      </c>
      <c r="E131" s="109">
        <f ca="1">IF(表2_367162629303891213141523242526272835[[#This Row],[累计净值]]/MAX(INDIRECT("B21:B" &amp; ROW()))-1&lt;E130,表2_367162629303891213141523242526272835[[#This Row],[累计净值]]/MAX(INDIRECT("B21:B" &amp; ROW()))-1,E130)</f>
        <v>-2.3271340009537456E-2</v>
      </c>
      <c r="F131" s="110">
        <f>表2_367162629303891213141523242526272835[[#This Row],[累计净值]]</f>
        <v>1.2081999999999999</v>
      </c>
      <c r="G131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1.5092584763676208E-2</v>
      </c>
    </row>
    <row r="132" spans="1:7" x14ac:dyDescent="0.2">
      <c r="A132" s="213">
        <v>44224</v>
      </c>
      <c r="B132" s="112">
        <v>1.1890000000000001</v>
      </c>
      <c r="C132" s="108">
        <f t="shared" ref="C132:C137" si="17">IFERROR(B132-B131,0)</f>
        <v>-1.9199999999999884E-2</v>
      </c>
      <c r="D132" s="109">
        <f t="shared" ref="D132:D137" si="18">IF(C132&lt;0,C132,"/")</f>
        <v>-1.9199999999999884E-2</v>
      </c>
      <c r="E132" s="109">
        <f ca="1">IF(表2_367162629303891213141523242526272835[[#This Row],[累计净值]]/MAX(INDIRECT("B21:B" &amp; ROW()))-1&lt;E131,表2_367162629303891213141523242526272835[[#This Row],[累计净值]]/MAX(INDIRECT("B21:B" &amp; ROW()))-1,E131)</f>
        <v>-2.3271340009537456E-2</v>
      </c>
      <c r="F132" s="110">
        <f>表2_367162629303891213141523242526272835[[#This Row],[累计净值]]</f>
        <v>1.1890000000000001</v>
      </c>
      <c r="G132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3.7287562357317893E-3</v>
      </c>
    </row>
    <row r="133" spans="1:7" x14ac:dyDescent="0.2">
      <c r="A133" s="213">
        <v>44225</v>
      </c>
      <c r="B133" s="112">
        <v>1.1878</v>
      </c>
      <c r="C133" s="108">
        <f t="shared" si="17"/>
        <v>-1.2000000000000899E-3</v>
      </c>
      <c r="D133" s="109">
        <f t="shared" si="18"/>
        <v>-1.2000000000000899E-3</v>
      </c>
      <c r="E133" s="109">
        <f ca="1">IF(表2_367162629303891213141523242526272835[[#This Row],[累计净值]]/MAX(INDIRECT("B21:B" &amp; ROW()))-1&lt;E132,表2_367162629303891213141523242526272835[[#This Row],[累计净值]]/MAX(INDIRECT("B21:B" &amp; ROW()))-1,E132)</f>
        <v>-2.3271340009537456E-2</v>
      </c>
      <c r="F133" s="110">
        <f>表2_367162629303891213141523242526272835[[#This Row],[累计净值]]</f>
        <v>1.1878</v>
      </c>
      <c r="G133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3.0185169527352728E-3</v>
      </c>
    </row>
    <row r="134" spans="1:7" x14ac:dyDescent="0.2">
      <c r="A134" s="213">
        <v>44228</v>
      </c>
      <c r="B134" s="112">
        <v>1.1931</v>
      </c>
      <c r="C134" s="108">
        <f t="shared" si="17"/>
        <v>5.3000000000000824E-3</v>
      </c>
      <c r="D134" s="109" t="str">
        <f t="shared" si="18"/>
        <v>/</v>
      </c>
      <c r="E134" s="109">
        <f ca="1">IF(表2_367162629303891213141523242526272835[[#This Row],[累计净值]]/MAX(INDIRECT("B21:B" &amp; ROW()))-1&lt;E133,表2_367162629303891213141523242526272835[[#This Row],[累计净值]]/MAX(INDIRECT("B21:B" &amp; ROW()))-1,E133)</f>
        <v>-2.3271340009537456E-2</v>
      </c>
      <c r="F134" s="110">
        <f>表2_367162629303891213141523242526272835[[#This Row],[累计净值]]</f>
        <v>1.1931</v>
      </c>
      <c r="G134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6.155407119303246E-3</v>
      </c>
    </row>
    <row r="135" spans="1:7" x14ac:dyDescent="0.2">
      <c r="A135" s="213">
        <v>44229</v>
      </c>
      <c r="B135" s="112">
        <v>1.2009000000000001</v>
      </c>
      <c r="C135" s="108">
        <f t="shared" si="17"/>
        <v>7.8000000000000291E-3</v>
      </c>
      <c r="D135" s="109" t="str">
        <f t="shared" si="18"/>
        <v>/</v>
      </c>
      <c r="E135" s="109">
        <f ca="1">IF(表2_367162629303891213141523242526272835[[#This Row],[累计净值]]/MAX(INDIRECT("B21:B" &amp; ROW()))-1&lt;E134,表2_367162629303891213141523242526272835[[#This Row],[累计净值]]/MAX(INDIRECT("B21:B" &amp; ROW()))-1,E134)</f>
        <v>-2.3271340009537456E-2</v>
      </c>
      <c r="F135" s="110">
        <f>表2_367162629303891213141523242526272835[[#This Row],[累计净值]]</f>
        <v>1.2009000000000001</v>
      </c>
      <c r="G135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1.0771962458780759E-2</v>
      </c>
    </row>
    <row r="136" spans="1:7" x14ac:dyDescent="0.2">
      <c r="A136" s="213">
        <v>44230</v>
      </c>
      <c r="B136" s="112">
        <v>1.2060999999999999</v>
      </c>
      <c r="C136" s="108">
        <f t="shared" si="17"/>
        <v>5.1999999999998714E-3</v>
      </c>
      <c r="D136" s="109" t="str">
        <f t="shared" si="18"/>
        <v>/</v>
      </c>
      <c r="E136" s="109">
        <f ca="1">IF(表2_367162629303891213141523242526272835[[#This Row],[累计净值]]/MAX(INDIRECT("B21:B" &amp; ROW()))-1&lt;E135,表2_367162629303891213141523242526272835[[#This Row],[累计净值]]/MAX(INDIRECT("B21:B" &amp; ROW()))-1,E135)</f>
        <v>-2.3271340009537456E-2</v>
      </c>
      <c r="F136" s="110">
        <f>表2_367162629303891213141523242526272835[[#This Row],[累计净值]]</f>
        <v>1.2060999999999999</v>
      </c>
      <c r="G136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1.3849666018432382E-2</v>
      </c>
    </row>
    <row r="137" spans="1:7" x14ac:dyDescent="0.2">
      <c r="A137" s="213">
        <v>44231</v>
      </c>
      <c r="B137" s="112">
        <v>1.2039</v>
      </c>
      <c r="C137" s="108">
        <f t="shared" si="17"/>
        <v>-2.1999999999999797E-3</v>
      </c>
      <c r="D137" s="109">
        <f t="shared" si="18"/>
        <v>-2.1999999999999797E-3</v>
      </c>
      <c r="E137" s="109">
        <f ca="1">IF(表2_367162629303891213141523242526272835[[#This Row],[累计净值]]/MAX(INDIRECT("B21:B" &amp; ROW()))-1&lt;E136,表2_367162629303891213141523242526272835[[#This Row],[累计净值]]/MAX(INDIRECT("B21:B" &amp; ROW()))-1,E136)</f>
        <v>-2.3271340009537456E-2</v>
      </c>
      <c r="F137" s="110">
        <f>表2_367162629303891213141523242526272835[[#This Row],[累计净值]]</f>
        <v>1.2039</v>
      </c>
      <c r="G137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1.2547560666272051E-2</v>
      </c>
    </row>
    <row r="138" spans="1:7" x14ac:dyDescent="0.2">
      <c r="A138" s="213">
        <v>44232</v>
      </c>
      <c r="B138" s="112">
        <v>1.2030000000000001</v>
      </c>
      <c r="C138" s="108">
        <f t="shared" ref="C138:C143" si="19">IFERROR(B138-B137,0)</f>
        <v>-8.9999999999990088E-4</v>
      </c>
      <c r="D138" s="109">
        <f t="shared" ref="D138:D143" si="20">IF(C138&lt;0,C138,"/")</f>
        <v>-8.9999999999990088E-4</v>
      </c>
      <c r="E138" s="109">
        <f ca="1">IF(表2_367162629303891213141523242526272835[[#This Row],[累计净值]]/MAX(INDIRECT("B21:B" &amp; ROW()))-1&lt;E137,表2_367162629303891213141523242526272835[[#This Row],[累计净值]]/MAX(INDIRECT("B21:B" &amp; ROW()))-1,E137)</f>
        <v>-2.3271340009537456E-2</v>
      </c>
      <c r="F138" s="110">
        <f>表2_367162629303891213141523242526272835[[#This Row],[累计净值]]</f>
        <v>1.2030000000000001</v>
      </c>
      <c r="G138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1.201488120402474E-2</v>
      </c>
    </row>
    <row r="139" spans="1:7" x14ac:dyDescent="0.2">
      <c r="A139" s="213">
        <v>44235</v>
      </c>
      <c r="B139" s="112">
        <v>1.2094</v>
      </c>
      <c r="C139" s="108">
        <f t="shared" si="19"/>
        <v>6.3999999999999613E-3</v>
      </c>
      <c r="D139" s="109" t="str">
        <f t="shared" si="20"/>
        <v>/</v>
      </c>
      <c r="E139" s="109">
        <f ca="1">IF(表2_367162629303891213141523242526272835[[#This Row],[累计净值]]/MAX(INDIRECT("B21:B" &amp; ROW()))-1&lt;E138,表2_367162629303891213141523242526272835[[#This Row],[累计净值]]/MAX(INDIRECT("B21:B" &amp; ROW()))-1,E138)</f>
        <v>-2.3271340009537456E-2</v>
      </c>
      <c r="F139" s="110">
        <f>表2_367162629303891213141523242526272835[[#This Row],[累计净值]]</f>
        <v>1.2094</v>
      </c>
      <c r="G139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1.5802824046672881E-2</v>
      </c>
    </row>
    <row r="140" spans="1:7" x14ac:dyDescent="0.2">
      <c r="A140" s="213">
        <v>44236</v>
      </c>
      <c r="B140" s="112">
        <v>1.2111000000000001</v>
      </c>
      <c r="C140" s="108">
        <f t="shared" si="19"/>
        <v>1.7000000000000348E-3</v>
      </c>
      <c r="D140" s="109" t="str">
        <f t="shared" si="20"/>
        <v>/</v>
      </c>
      <c r="E140" s="109">
        <f ca="1">IF(表2_367162629303891213141523242526272835[[#This Row],[累计净值]]/MAX(INDIRECT("B21:B" &amp; ROW()))-1&lt;E139,表2_367162629303891213141523242526272835[[#This Row],[累计净值]]/MAX(INDIRECT("B21:B" &amp; ROW()))-1,E139)</f>
        <v>-2.3271340009537456E-2</v>
      </c>
      <c r="F140" s="110">
        <f>表2_367162629303891213141523242526272835[[#This Row],[累计净值]]</f>
        <v>1.2111000000000001</v>
      </c>
      <c r="G140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1.6808996364251302E-2</v>
      </c>
    </row>
    <row r="141" spans="1:7" x14ac:dyDescent="0.2">
      <c r="A141" s="213">
        <v>44237</v>
      </c>
      <c r="B141" s="112">
        <v>1.2092000000000001</v>
      </c>
      <c r="C141" s="108">
        <f t="shared" si="19"/>
        <v>-1.9000000000000128E-3</v>
      </c>
      <c r="D141" s="109">
        <f t="shared" si="20"/>
        <v>-1.9000000000000128E-3</v>
      </c>
      <c r="E141" s="109">
        <f ca="1">IF(表2_367162629303891213141523242526272835[[#This Row],[累计净值]]/MAX(INDIRECT("B21:B" &amp; ROW()))-1&lt;E140,表2_367162629303891213141523242526272835[[#This Row],[累计净值]]/MAX(INDIRECT("B21:B" &amp; ROW()))-1,E140)</f>
        <v>-2.3271340009537456E-2</v>
      </c>
      <c r="F141" s="110">
        <f>表2_367162629303891213141523242526272835[[#This Row],[累计净值]]</f>
        <v>1.2092000000000001</v>
      </c>
      <c r="G141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1.5684450832840025E-2</v>
      </c>
    </row>
    <row r="142" spans="1:7" x14ac:dyDescent="0.2">
      <c r="A142" s="213">
        <v>44245</v>
      </c>
      <c r="B142" s="112">
        <v>1.2190000000000001</v>
      </c>
      <c r="C142" s="108">
        <f t="shared" si="19"/>
        <v>9.8000000000000309E-3</v>
      </c>
      <c r="D142" s="109" t="str">
        <f t="shared" si="20"/>
        <v>/</v>
      </c>
      <c r="E142" s="109">
        <f ca="1">IF(表2_367162629303891213141523242526272835[[#This Row],[累计净值]]/MAX(INDIRECT("B21:B" &amp; ROW()))-1&lt;E141,表2_367162629303891213141523242526272835[[#This Row],[累计净值]]/MAX(INDIRECT("B21:B" &amp; ROW()))-1,E141)</f>
        <v>-2.3271340009537456E-2</v>
      </c>
      <c r="F142" s="110">
        <f>表2_367162629303891213141523242526272835[[#This Row],[累计净值]]</f>
        <v>1.2190000000000001</v>
      </c>
      <c r="G142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2.1484738310645166E-2</v>
      </c>
    </row>
    <row r="143" spans="1:7" x14ac:dyDescent="0.2">
      <c r="A143" s="213">
        <v>44246</v>
      </c>
      <c r="B143" s="215">
        <v>1.228</v>
      </c>
      <c r="C143" s="108">
        <f t="shared" si="19"/>
        <v>8.999999999999897E-3</v>
      </c>
      <c r="D143" s="109" t="str">
        <f t="shared" si="20"/>
        <v>/</v>
      </c>
      <c r="E143" s="109">
        <f ca="1">IF(表2_367162629303891213141523242526272835[[#This Row],[累计净值]]/MAX(INDIRECT("B21:B" &amp; ROW()))-1&lt;E142,表2_367162629303891213141523242526272835[[#This Row],[累计净值]]/MAX(INDIRECT("B21:B" &amp; ROW()))-1,E142)</f>
        <v>-2.3271340009537456E-2</v>
      </c>
      <c r="F143" s="110">
        <f>表2_367162629303891213141523242526272835[[#This Row],[累计净值]]</f>
        <v>1.228</v>
      </c>
      <c r="G143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2.6811532933119039E-2</v>
      </c>
    </row>
    <row r="144" spans="1:7" x14ac:dyDescent="0.2">
      <c r="A144" s="213">
        <v>44249</v>
      </c>
      <c r="B144" s="112">
        <v>1.2072000000000001</v>
      </c>
      <c r="C144" s="108">
        <f>IFERROR(B144-B143,0)</f>
        <v>-2.079999999999993E-2</v>
      </c>
      <c r="D144" s="109">
        <f>IF(C144&lt;0,C144,"/")</f>
        <v>-2.079999999999993E-2</v>
      </c>
      <c r="E144" s="109">
        <f ca="1">IF(表2_367162629303891213141523242526272835[[#This Row],[累计净值]]/MAX(INDIRECT("B21:B" &amp; ROW()))-1&lt;E143,表2_367162629303891213141523242526272835[[#This Row],[累计净值]]/MAX(INDIRECT("B21:B" &amp; ROW()))-1,E143)</f>
        <v>-2.3271340009537456E-2</v>
      </c>
      <c r="F144" s="110">
        <f>表2_367162629303891213141523242526272835[[#This Row],[累计净值]]</f>
        <v>1.2072000000000001</v>
      </c>
      <c r="G144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1.4500718694512547E-2</v>
      </c>
    </row>
    <row r="145" spans="1:7" x14ac:dyDescent="0.2">
      <c r="A145" s="224">
        <v>44250</v>
      </c>
      <c r="B145" s="112">
        <v>1.2029000000000001</v>
      </c>
      <c r="C145" s="108">
        <f t="shared" ref="C145:C146" si="21">IFERROR(B145-B144,0)</f>
        <v>-4.2999999999999705E-3</v>
      </c>
      <c r="D145" s="109">
        <f t="shared" ref="D145:D146" si="22">IF(C145&lt;0,C145,"/")</f>
        <v>-4.2999999999999705E-3</v>
      </c>
      <c r="E145" s="109">
        <f ca="1">IF(表2_367162629303891213141523242526272835[[#This Row],[累计净值]]/MAX(INDIRECT("B21:B" &amp; ROW()))-1&lt;E144,表2_367162629303891213141523242526272835[[#This Row],[累计净值]]/MAX(INDIRECT("B21:B" &amp; ROW()))-1,E144)</f>
        <v>-2.3271340009537456E-2</v>
      </c>
      <c r="F145" s="110">
        <f>表2_367162629303891213141523242526272835[[#This Row],[累计净值]]</f>
        <v>1.2029000000000001</v>
      </c>
      <c r="G145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1.1955694597108234E-2</v>
      </c>
    </row>
    <row r="146" spans="1:7" x14ac:dyDescent="0.2">
      <c r="A146" s="225">
        <v>44251</v>
      </c>
      <c r="B146" s="63">
        <v>1.1789000000000001</v>
      </c>
      <c r="C146" s="64">
        <f t="shared" si="21"/>
        <v>-2.4000000000000021E-2</v>
      </c>
      <c r="D146" s="65">
        <f t="shared" si="22"/>
        <v>-2.4000000000000021E-2</v>
      </c>
      <c r="E146" s="65">
        <f ca="1">IF(表2_367162629303891213141523242526272835[[#This Row],[累计净值]]/MAX(INDIRECT("B21:B" &amp; ROW()))-1&lt;E145,表2_367162629303891213141523242526272835[[#This Row],[累计净值]]/MAX(INDIRECT("B21:B" &amp; ROW()))-1,E145)</f>
        <v>-3.99837133550488E-2</v>
      </c>
      <c r="F146" s="66">
        <f>表2_367162629303891213141523242526272835[[#This Row],[累计净值]]</f>
        <v>1.1789000000000001</v>
      </c>
      <c r="G146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-3.212987232603437E-3</v>
      </c>
    </row>
    <row r="147" spans="1:7" x14ac:dyDescent="0.2">
      <c r="A147" s="225">
        <v>44252</v>
      </c>
      <c r="B147" s="112">
        <v>1.1880999999999999</v>
      </c>
      <c r="C147" s="108">
        <f t="shared" ref="C147:C148" si="23">IFERROR(B147-B146,0)</f>
        <v>9.1999999999998749E-3</v>
      </c>
      <c r="D147" s="109" t="str">
        <f t="shared" ref="D147:D148" si="24">IF(C147&lt;0,C147,"/")</f>
        <v>/</v>
      </c>
      <c r="E147" s="109">
        <f ca="1">IF(表2_367162629303891213141523242526272835[[#This Row],[累计净值]]/MAX(INDIRECT("B21:B" &amp; ROW()))-1&lt;E146,表2_367162629303891213141523242526272835[[#This Row],[累计净值]]/MAX(INDIRECT("B21:B" &amp; ROW()))-1,E146)</f>
        <v>-3.99837133550488E-2</v>
      </c>
      <c r="F147" s="110">
        <f>表2_367162629303891213141523242526272835[[#This Row],[累计净值]]</f>
        <v>1.1880999999999999</v>
      </c>
      <c r="G147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3.1960767734843243E-3</v>
      </c>
    </row>
    <row r="148" spans="1:7" x14ac:dyDescent="0.2">
      <c r="A148" s="225">
        <v>44253</v>
      </c>
      <c r="B148" s="112">
        <v>1.1807000000000001</v>
      </c>
      <c r="C148" s="108">
        <f t="shared" si="23"/>
        <v>-7.3999999999998511E-3</v>
      </c>
      <c r="D148" s="109">
        <f t="shared" si="24"/>
        <v>-7.3999999999998511E-3</v>
      </c>
      <c r="E148" s="109">
        <f ca="1">IF(表2_367162629303891213141523242526272835[[#This Row],[累计净值]]/MAX(INDIRECT("B21:B" &amp; ROW()))-1&lt;E147,表2_367162629303891213141523242526272835[[#This Row],[累计净值]]/MAX(INDIRECT("B21:B" &amp; ROW()))-1,E147)</f>
        <v>-3.99837133550488E-2</v>
      </c>
      <c r="F148" s="110">
        <f>表2_367162629303891213141523242526272835[[#This Row],[累计净值]]</f>
        <v>1.1807000000000001</v>
      </c>
      <c r="G148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-1.6910459118965049E-3</v>
      </c>
    </row>
    <row r="149" spans="1:7" x14ac:dyDescent="0.2">
      <c r="A149" s="225">
        <v>44256</v>
      </c>
      <c r="B149" s="112">
        <v>1.1843999999999999</v>
      </c>
      <c r="C149" s="108">
        <f t="shared" ref="C149:C150" si="25">IFERROR(B149-B148,0)</f>
        <v>3.6999999999998145E-3</v>
      </c>
      <c r="D149" s="109" t="str">
        <f t="shared" ref="D149:D150" si="26">IF(C149&lt;0,C149,"/")</f>
        <v>/</v>
      </c>
      <c r="E149" s="109">
        <f ca="1">IF(表2_367162629303891213141523242526272835[[#This Row],[累计净值]]/MAX(INDIRECT("B21:B" &amp; ROW()))-1&lt;E148,表2_367162629303891213141523242526272835[[#This Row],[累计净值]]/MAX(INDIRECT("B21:B" &amp; ROW()))-1,E148)</f>
        <v>-3.99837133550488E-2</v>
      </c>
      <c r="F149" s="110">
        <f>表2_367162629303891213141523242526272835[[#This Row],[累计净值]]</f>
        <v>1.1843999999999999</v>
      </c>
      <c r="G149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1.0061723175782689E-3</v>
      </c>
    </row>
    <row r="150" spans="1:7" x14ac:dyDescent="0.2">
      <c r="A150" s="225">
        <v>44257</v>
      </c>
      <c r="B150" s="112">
        <v>1.1930000000000001</v>
      </c>
      <c r="C150" s="108">
        <f t="shared" si="25"/>
        <v>8.6000000000001631E-3</v>
      </c>
      <c r="D150" s="109" t="str">
        <f t="shared" si="26"/>
        <v>/</v>
      </c>
      <c r="E150" s="109">
        <f ca="1">IF(表2_367162629303891213141523242526272835[[#This Row],[累计净值]]/MAX(INDIRECT("B21:B" &amp; ROW()))-1&lt;E149,表2_367162629303891213141523242526272835[[#This Row],[累计净值]]/MAX(INDIRECT("B21:B" &amp; ROW()))-1,E149)</f>
        <v>-3.99837133550488E-2</v>
      </c>
      <c r="F150" s="110">
        <f>表2_367162629303891213141523242526272835[[#This Row],[累计净值]]</f>
        <v>1.1930000000000001</v>
      </c>
      <c r="G150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6.0962205123868962E-3</v>
      </c>
    </row>
    <row r="151" spans="1:7" x14ac:dyDescent="0.2">
      <c r="A151" s="225">
        <v>44258</v>
      </c>
      <c r="B151" s="112">
        <v>1.1847000000000001</v>
      </c>
      <c r="C151" s="108">
        <f t="shared" ref="C151:C152" si="27">IFERROR(B151-B150,0)</f>
        <v>-8.2999999999999741E-3</v>
      </c>
      <c r="D151" s="109">
        <f t="shared" ref="D151:D152" si="28">IF(C151&lt;0,C151,"/")</f>
        <v>-8.2999999999999741E-3</v>
      </c>
      <c r="E151" s="109">
        <f ca="1">IF(表2_367162629303891213141523242526272835[[#This Row],[累计净值]]/MAX(INDIRECT("B21:B" &amp; ROW()))-1&lt;E150,表2_367162629303891213141523242526272835[[#This Row],[累计净值]]/MAX(INDIRECT("B21:B" &amp; ROW()))-1,E150)</f>
        <v>-3.99837133550488E-2</v>
      </c>
      <c r="F151" s="110">
        <f>表2_367162629303891213141523242526272835[[#This Row],[累计净值]]</f>
        <v>1.1847000000000001</v>
      </c>
      <c r="G151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1.1837321383276311E-3</v>
      </c>
    </row>
    <row r="152" spans="1:7" x14ac:dyDescent="0.2">
      <c r="A152" s="225">
        <v>44259</v>
      </c>
      <c r="B152" s="112">
        <v>1.1868000000000001</v>
      </c>
      <c r="C152" s="108">
        <f t="shared" si="27"/>
        <v>2.0999999999999908E-3</v>
      </c>
      <c r="D152" s="109" t="str">
        <f t="shared" si="28"/>
        <v>/</v>
      </c>
      <c r="E152" s="109">
        <f ca="1">IF(表2_367162629303891213141523242526272835[[#This Row],[累计净值]]/MAX(INDIRECT("B21:B" &amp; ROW()))-1&lt;E151,表2_367162629303891213141523242526272835[[#This Row],[累计净值]]/MAX(INDIRECT("B21:B" &amp; ROW()))-1,E151)</f>
        <v>-3.99837133550488E-2</v>
      </c>
      <c r="F152" s="110">
        <f>表2_367162629303891213141523242526272835[[#This Row],[累计净值]]</f>
        <v>1.1868000000000001</v>
      </c>
      <c r="G152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2.4266508835714571E-3</v>
      </c>
    </row>
    <row r="153" spans="1:7" x14ac:dyDescent="0.2">
      <c r="A153" s="225">
        <v>44260</v>
      </c>
      <c r="B153" s="112">
        <v>1.1853</v>
      </c>
      <c r="C153" s="108">
        <f t="shared" ref="C153:C157" si="29">IFERROR(B153-B152,0)</f>
        <v>-1.5000000000000568E-3</v>
      </c>
      <c r="D153" s="109">
        <f t="shared" ref="D153:D157" si="30">IF(C153&lt;0,C153,"/")</f>
        <v>-1.5000000000000568E-3</v>
      </c>
      <c r="E153" s="109">
        <f ca="1">IF(表2_367162629303891213141523242526272835[[#This Row],[累计净值]]/MAX(INDIRECT("B21:B" &amp; ROW()))-1&lt;E152,表2_367162629303891213141523242526272835[[#This Row],[累计净值]]/MAX(INDIRECT("B21:B" &amp; ROW()))-1,E152)</f>
        <v>-3.99837133550488E-2</v>
      </c>
      <c r="F153" s="110">
        <f>表2_367162629303891213141523242526272835[[#This Row],[累计净值]]</f>
        <v>1.1853</v>
      </c>
      <c r="G153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1.5388517798257339E-3</v>
      </c>
    </row>
    <row r="154" spans="1:7" x14ac:dyDescent="0.2">
      <c r="A154" s="225">
        <v>44263</v>
      </c>
      <c r="B154" s="112">
        <v>1.1863999999999999</v>
      </c>
      <c r="C154" s="108">
        <f t="shared" si="29"/>
        <v>1.0999999999998789E-3</v>
      </c>
      <c r="D154" s="109" t="str">
        <f t="shared" si="30"/>
        <v>/</v>
      </c>
      <c r="E154" s="109">
        <f ca="1">IF(表2_367162629303891213141523242526272835[[#This Row],[累计净值]]/MAX(INDIRECT("B21:B" &amp; ROW()))-1&lt;E153,表2_367162629303891213141523242526272835[[#This Row],[累计净值]]/MAX(INDIRECT("B21:B" &amp; ROW()))-1,E153)</f>
        <v>-3.99837133550488E-2</v>
      </c>
      <c r="F154" s="110">
        <f>表2_367162629303891213141523242526272835[[#This Row],[累计净值]]</f>
        <v>1.1863999999999999</v>
      </c>
      <c r="G154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2.1899044559058997E-3</v>
      </c>
    </row>
    <row r="155" spans="1:7" x14ac:dyDescent="0.2">
      <c r="A155" s="225">
        <v>44264</v>
      </c>
      <c r="B155" s="112">
        <v>1.1875</v>
      </c>
      <c r="C155" s="108">
        <f t="shared" si="29"/>
        <v>1.1000000000001009E-3</v>
      </c>
      <c r="D155" s="109" t="str">
        <f t="shared" si="30"/>
        <v>/</v>
      </c>
      <c r="E155" s="109">
        <f ca="1">IF(表2_367162629303891213141523242526272835[[#This Row],[累计净值]]/MAX(INDIRECT("B21:B" &amp; ROW()))-1&lt;E154,表2_367162629303891213141523242526272835[[#This Row],[累计净值]]/MAX(INDIRECT("B21:B" &amp; ROW()))-1,E154)</f>
        <v>-3.99837133550488E-2</v>
      </c>
      <c r="F155" s="110">
        <f>表2_367162629303891213141523242526272835[[#This Row],[累计净值]]</f>
        <v>1.1875</v>
      </c>
      <c r="G155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2.840957131986066E-3</v>
      </c>
    </row>
    <row r="156" spans="1:7" x14ac:dyDescent="0.2">
      <c r="A156" s="225">
        <v>44265</v>
      </c>
      <c r="B156" s="112">
        <v>1.1918</v>
      </c>
      <c r="C156" s="108">
        <f t="shared" si="29"/>
        <v>4.2999999999999705E-3</v>
      </c>
      <c r="D156" s="109" t="str">
        <f t="shared" si="30"/>
        <v>/</v>
      </c>
      <c r="E156" s="109">
        <f ca="1">IF(表2_367162629303891213141523242526272835[[#This Row],[累计净值]]/MAX(INDIRECT("B21:B" &amp; ROW()))-1&lt;E155,表2_367162629303891213141523242526272835[[#This Row],[累计净值]]/MAX(INDIRECT("B21:B" &amp; ROW()))-1,E155)</f>
        <v>-3.99837133550488E-2</v>
      </c>
      <c r="F156" s="110">
        <f>表2_367162629303891213141523242526272835[[#This Row],[累计净值]]</f>
        <v>1.1918</v>
      </c>
      <c r="G156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5.3859812293903797E-3</v>
      </c>
    </row>
    <row r="157" spans="1:7" x14ac:dyDescent="0.2">
      <c r="A157" s="225">
        <v>44266</v>
      </c>
      <c r="B157" s="112">
        <v>1.1939</v>
      </c>
      <c r="C157" s="108">
        <f t="shared" si="29"/>
        <v>2.0999999999999908E-3</v>
      </c>
      <c r="D157" s="109" t="str">
        <f t="shared" si="30"/>
        <v>/</v>
      </c>
      <c r="E157" s="109">
        <f ca="1">IF(表2_367162629303891213141523242526272835[[#This Row],[累计净值]]/MAX(INDIRECT("B21:B" &amp; ROW()))-1&lt;E156,表2_367162629303891213141523242526272835[[#This Row],[累计净值]]/MAX(INDIRECT("B21:B" &amp; ROW()))-1,E156)</f>
        <v>-3.99837133550488E-2</v>
      </c>
      <c r="F157" s="110">
        <f>表2_367162629303891213141523242526272835[[#This Row],[累计净值]]</f>
        <v>1.1939</v>
      </c>
      <c r="G157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6.6288999746342055E-3</v>
      </c>
    </row>
    <row r="158" spans="1:7" x14ac:dyDescent="0.2">
      <c r="A158" s="225">
        <v>44267</v>
      </c>
      <c r="B158" s="112">
        <v>1.1997</v>
      </c>
      <c r="C158" s="108">
        <f t="shared" ref="C158:C163" si="31">IFERROR(B158-B157,0)</f>
        <v>5.8000000000000274E-3</v>
      </c>
      <c r="D158" s="109" t="str">
        <f t="shared" ref="D158:D163" si="32">IF(C158&lt;0,C158,"/")</f>
        <v>/</v>
      </c>
      <c r="E158" s="109">
        <f ca="1">IF(表2_367162629303891213141523242526272835[[#This Row],[累计净值]]/MAX(INDIRECT("B21:B" &amp; ROW()))-1&lt;E157,表2_367162629303891213141523242526272835[[#This Row],[累计净值]]/MAX(INDIRECT("B21:B" &amp; ROW()))-1,E157)</f>
        <v>-3.99837133550488E-2</v>
      </c>
      <c r="F158" s="110">
        <f>表2_367162629303891213141523242526272835[[#This Row],[累计净值]]</f>
        <v>1.1997</v>
      </c>
      <c r="G158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1.0061723175784087E-2</v>
      </c>
    </row>
    <row r="159" spans="1:7" x14ac:dyDescent="0.2">
      <c r="A159" s="225">
        <v>44270</v>
      </c>
      <c r="B159" s="112">
        <v>1.2043999999999999</v>
      </c>
      <c r="C159" s="108">
        <f t="shared" si="31"/>
        <v>4.6999999999999265E-3</v>
      </c>
      <c r="D159" s="109" t="str">
        <f t="shared" si="32"/>
        <v>/</v>
      </c>
      <c r="E159" s="109">
        <f ca="1">IF(表2_367162629303891213141523242526272835[[#This Row],[累计净值]]/MAX(INDIRECT("B21:B" &amp; ROW()))-1&lt;E158,表2_367162629303891213141523242526272835[[#This Row],[累计净值]]/MAX(INDIRECT("B21:B" &amp; ROW()))-1,E158)</f>
        <v>-3.99837133550488E-2</v>
      </c>
      <c r="F159" s="110">
        <f>表2_367162629303891213141523242526272835[[#This Row],[累计净值]]</f>
        <v>1.2043999999999999</v>
      </c>
      <c r="G159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1.2843493700853803E-2</v>
      </c>
    </row>
    <row r="160" spans="1:7" x14ac:dyDescent="0.2">
      <c r="A160" s="225">
        <v>44271</v>
      </c>
      <c r="B160" s="112">
        <v>1.2074</v>
      </c>
      <c r="C160" s="108">
        <f t="shared" si="31"/>
        <v>3.0000000000001137E-3</v>
      </c>
      <c r="D160" s="109" t="str">
        <f t="shared" si="32"/>
        <v>/</v>
      </c>
      <c r="E160" s="109">
        <f ca="1">IF(表2_367162629303891213141523242526272835[[#This Row],[累计净值]]/MAX(INDIRECT("B21:B" &amp; ROW()))-1&lt;E159,表2_367162629303891213141523242526272835[[#This Row],[累计净值]]/MAX(INDIRECT("B21:B" &amp; ROW()))-1,E159)</f>
        <v>-3.99837133550488E-2</v>
      </c>
      <c r="F160" s="110">
        <f>表2_367162629303891213141523242526272835[[#This Row],[累计净值]]</f>
        <v>1.2074</v>
      </c>
      <c r="G160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1.4619091908345249E-2</v>
      </c>
    </row>
    <row r="161" spans="1:7" x14ac:dyDescent="0.2">
      <c r="A161" s="225">
        <v>44272</v>
      </c>
      <c r="B161" s="112">
        <v>1.2073</v>
      </c>
      <c r="C161" s="108">
        <f t="shared" si="31"/>
        <v>-9.9999999999988987E-5</v>
      </c>
      <c r="D161" s="109">
        <f t="shared" si="32"/>
        <v>-9.9999999999988987E-5</v>
      </c>
      <c r="E161" s="109">
        <f ca="1">IF(表2_367162629303891213141523242526272835[[#This Row],[累计净值]]/MAX(INDIRECT("B21:B" &amp; ROW()))-1&lt;E160,表2_367162629303891213141523242526272835[[#This Row],[累计净值]]/MAX(INDIRECT("B21:B" &amp; ROW()))-1,E160)</f>
        <v>-3.99837133550488E-2</v>
      </c>
      <c r="F161" s="110">
        <f>表2_367162629303891213141523242526272835[[#This Row],[累计净值]]</f>
        <v>1.2073</v>
      </c>
      <c r="G161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1.4559905301428899E-2</v>
      </c>
    </row>
    <row r="162" spans="1:7" x14ac:dyDescent="0.2">
      <c r="A162" s="225">
        <v>44273</v>
      </c>
      <c r="B162" s="112">
        <v>1.2097</v>
      </c>
      <c r="C162" s="108">
        <f t="shared" si="31"/>
        <v>2.3999999999999577E-3</v>
      </c>
      <c r="D162" s="109" t="str">
        <f t="shared" si="32"/>
        <v>/</v>
      </c>
      <c r="E162" s="109">
        <f ca="1">IF(表2_367162629303891213141523242526272835[[#This Row],[累计净值]]/MAX(INDIRECT("B21:B" &amp; ROW()))-1&lt;E161,表2_367162629303891213141523242526272835[[#This Row],[累计净值]]/MAX(INDIRECT("B21:B" &amp; ROW()))-1,E161)</f>
        <v>-3.99837133550488E-2</v>
      </c>
      <c r="F162" s="110">
        <f>表2_367162629303891213141523242526272835[[#This Row],[累计净值]]</f>
        <v>1.2097</v>
      </c>
      <c r="G162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1.598038386742193E-2</v>
      </c>
    </row>
    <row r="163" spans="1:7" x14ac:dyDescent="0.2">
      <c r="A163" s="225">
        <v>44274</v>
      </c>
      <c r="B163" s="112">
        <v>1.2054</v>
      </c>
      <c r="C163" s="108">
        <f t="shared" si="31"/>
        <v>-4.2999999999999705E-3</v>
      </c>
      <c r="D163" s="109">
        <f t="shared" si="32"/>
        <v>-4.2999999999999705E-3</v>
      </c>
      <c r="E163" s="109">
        <f ca="1">IF(表2_367162629303891213141523242526272835[[#This Row],[累计净值]]/MAX(INDIRECT("B21:B" &amp; ROW()))-1&lt;E162,表2_367162629303891213141523242526272835[[#This Row],[累计净值]]/MAX(INDIRECT("B21:B" &amp; ROW()))-1,E162)</f>
        <v>-3.99837133550488E-2</v>
      </c>
      <c r="F163" s="110">
        <f>表2_367162629303891213141523242526272835[[#This Row],[累计净值]]</f>
        <v>1.2054</v>
      </c>
      <c r="G163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1.3435359770017773E-2</v>
      </c>
    </row>
    <row r="164" spans="1:7" x14ac:dyDescent="0.2">
      <c r="A164" s="225">
        <v>44277</v>
      </c>
      <c r="B164" s="112">
        <v>1.2136</v>
      </c>
      <c r="C164" s="108">
        <f>IFERROR(B164-B163,0)</f>
        <v>8.1999999999999851E-3</v>
      </c>
      <c r="D164" s="109" t="str">
        <f>IF(C164&lt;0,C164,"/")</f>
        <v>/</v>
      </c>
      <c r="E164" s="109">
        <f ca="1">IF(表2_367162629303891213141523242526272835[[#This Row],[累计净值]]/MAX(INDIRECT("B21:B" &amp; ROW()))-1&lt;E163,表2_367162629303891213141523242526272835[[#This Row],[累计净值]]/MAX(INDIRECT("B21:B" &amp; ROW()))-1,E163)</f>
        <v>-3.99837133550488E-2</v>
      </c>
      <c r="F164" s="110">
        <f>表2_367162629303891213141523242526272835[[#This Row],[累计净值]]</f>
        <v>1.2136</v>
      </c>
      <c r="G164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1.8288661537160689E-2</v>
      </c>
    </row>
    <row r="165" spans="1:7" x14ac:dyDescent="0.2">
      <c r="A165" s="225">
        <v>44278</v>
      </c>
      <c r="B165" s="112">
        <v>1.2143999999999999</v>
      </c>
      <c r="C165" s="108">
        <f t="shared" ref="C165:C168" si="33">IFERROR(B165-B164,0)</f>
        <v>7.9999999999991189E-4</v>
      </c>
      <c r="D165" s="109" t="str">
        <f t="shared" ref="D165:D168" si="34">IF(C165&lt;0,C165,"/")</f>
        <v>/</v>
      </c>
      <c r="E165" s="109">
        <f ca="1">IF(表2_367162629303891213141523242526272835[[#This Row],[累计净值]]/MAX(INDIRECT("B21:B" &amp; ROW()))-1&lt;E164,表2_367162629303891213141523242526272835[[#This Row],[累计净值]]/MAX(INDIRECT("B21:B" &amp; ROW()))-1,E164)</f>
        <v>-3.99837133550488E-2</v>
      </c>
      <c r="F165" s="110">
        <f>表2_367162629303891213141523242526272835[[#This Row],[累计净值]]</f>
        <v>1.2143999999999999</v>
      </c>
      <c r="G165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1.8762154392491646E-2</v>
      </c>
    </row>
    <row r="166" spans="1:7" x14ac:dyDescent="0.2">
      <c r="A166" s="225">
        <v>44279</v>
      </c>
      <c r="B166" s="112">
        <v>1.2102999999999999</v>
      </c>
      <c r="C166" s="108">
        <f t="shared" si="33"/>
        <v>-4.0999999999999925E-3</v>
      </c>
      <c r="D166" s="109">
        <f t="shared" si="34"/>
        <v>-4.0999999999999925E-3</v>
      </c>
      <c r="E166" s="109">
        <f ca="1">IF(表2_367162629303891213141523242526272835[[#This Row],[累计净值]]/MAX(INDIRECT("B21:B" &amp; ROW()))-1&lt;E165,表2_367162629303891213141523242526272835[[#This Row],[累计净值]]/MAX(INDIRECT("B21:B" &amp; ROW()))-1,E165)</f>
        <v>-3.99837133550488E-2</v>
      </c>
      <c r="F166" s="110">
        <f>表2_367162629303891213141523242526272835[[#This Row],[累计净值]]</f>
        <v>1.2102999999999999</v>
      </c>
      <c r="G166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1.6335503508920188E-2</v>
      </c>
    </row>
    <row r="167" spans="1:7" x14ac:dyDescent="0.2">
      <c r="A167" s="225">
        <v>44280</v>
      </c>
      <c r="B167" s="112">
        <v>1.2165999999999999</v>
      </c>
      <c r="C167" s="108">
        <f t="shared" si="33"/>
        <v>6.2999999999999723E-3</v>
      </c>
      <c r="D167" s="109" t="str">
        <f t="shared" si="34"/>
        <v>/</v>
      </c>
      <c r="E167" s="109">
        <f ca="1">IF(表2_367162629303891213141523242526272835[[#This Row],[累计净值]]/MAX(INDIRECT("B21:B" &amp; ROW()))-1&lt;E166,表2_367162629303891213141523242526272835[[#This Row],[累计净值]]/MAX(INDIRECT("B21:B" &amp; ROW()))-1,E166)</f>
        <v>-3.99837133550488E-2</v>
      </c>
      <c r="F167" s="110">
        <f>表2_367162629303891213141523242526272835[[#This Row],[累计净值]]</f>
        <v>1.2165999999999999</v>
      </c>
      <c r="G167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2.006425974465198E-2</v>
      </c>
    </row>
    <row r="168" spans="1:7" x14ac:dyDescent="0.2">
      <c r="A168" s="225">
        <v>44281</v>
      </c>
      <c r="B168" s="112">
        <v>1.2206999999999999</v>
      </c>
      <c r="C168" s="108">
        <f t="shared" si="33"/>
        <v>4.0999999999999925E-3</v>
      </c>
      <c r="D168" s="109" t="str">
        <f t="shared" si="34"/>
        <v>/</v>
      </c>
      <c r="E168" s="109">
        <f ca="1">IF(表2_367162629303891213141523242526272835[[#This Row],[累计净值]]/MAX(INDIRECT("B21:B" &amp; ROW()))-1&lt;E167,表2_367162629303891213141523242526272835[[#This Row],[累计净值]]/MAX(INDIRECT("B21:B" &amp; ROW()))-1,E167)</f>
        <v>-3.99837133550488E-2</v>
      </c>
      <c r="F168" s="110">
        <f>表2_367162629303891213141523242526272835[[#This Row],[累计净值]]</f>
        <v>1.2206999999999999</v>
      </c>
      <c r="G168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2.2490910628223434E-2</v>
      </c>
    </row>
    <row r="169" spans="1:7" x14ac:dyDescent="0.2">
      <c r="A169" s="225">
        <v>44284</v>
      </c>
      <c r="B169" s="112">
        <v>1.2224999999999999</v>
      </c>
      <c r="C169" s="108">
        <f t="shared" ref="C169:C174" si="35">IFERROR(B169-B168,0)</f>
        <v>1.8000000000000238E-3</v>
      </c>
      <c r="D169" s="109" t="str">
        <f t="shared" ref="D169:D174" si="36">IF(C169&lt;0,C169,"/")</f>
        <v>/</v>
      </c>
      <c r="E169" s="109">
        <f ca="1">IF(表2_367162629303891213141523242526272835[[#This Row],[累计净值]]/MAX(INDIRECT("B21:B" &amp; ROW()))-1&lt;E168,表2_367162629303891213141523242526272835[[#This Row],[累计净值]]/MAX(INDIRECT("B21:B" &amp; ROW()))-1,E168)</f>
        <v>-3.99837133550488E-2</v>
      </c>
      <c r="F169" s="110">
        <f>表2_367162629303891213141523242526272835[[#This Row],[累计净值]]</f>
        <v>1.2224999999999999</v>
      </c>
      <c r="G169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2.3556269552718209E-2</v>
      </c>
    </row>
    <row r="170" spans="1:7" x14ac:dyDescent="0.2">
      <c r="A170" s="225">
        <v>44285</v>
      </c>
      <c r="B170" s="112">
        <v>1.2238</v>
      </c>
      <c r="C170" s="108">
        <f t="shared" si="35"/>
        <v>1.3000000000000789E-3</v>
      </c>
      <c r="D170" s="109" t="str">
        <f t="shared" si="36"/>
        <v>/</v>
      </c>
      <c r="E170" s="109">
        <f ca="1">IF(表2_367162629303891213141523242526272835[[#This Row],[累计净值]]/MAX(INDIRECT("B21:B" &amp; ROW()))-1&lt;E169,表2_367162629303891213141523242526272835[[#This Row],[累计净值]]/MAX(INDIRECT("B21:B" &amp; ROW()))-1,E169)</f>
        <v>-3.99837133550488E-2</v>
      </c>
      <c r="F170" s="110">
        <f>表2_367162629303891213141523242526272835[[#This Row],[累计净值]]</f>
        <v>1.2238</v>
      </c>
      <c r="G170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2.4325695442631232E-2</v>
      </c>
    </row>
    <row r="171" spans="1:7" x14ac:dyDescent="0.2">
      <c r="A171" s="225">
        <v>44286</v>
      </c>
      <c r="B171" s="112">
        <v>1.2269000000000001</v>
      </c>
      <c r="C171" s="108">
        <f t="shared" si="35"/>
        <v>3.1000000000001027E-3</v>
      </c>
      <c r="D171" s="109" t="str">
        <f t="shared" si="36"/>
        <v>/</v>
      </c>
      <c r="E171" s="109">
        <f ca="1">IF(表2_367162629303891213141523242526272835[[#This Row],[累计净值]]/MAX(INDIRECT("B21:B" &amp; ROW()))-1&lt;E170,表2_367162629303891213141523242526272835[[#This Row],[累计净值]]/MAX(INDIRECT("B21:B" &amp; ROW()))-1,E170)</f>
        <v>-3.99837133550488E-2</v>
      </c>
      <c r="F171" s="110">
        <f>表2_367162629303891213141523242526272835[[#This Row],[累计净值]]</f>
        <v>1.2269000000000001</v>
      </c>
      <c r="G171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2.6160480257039029E-2</v>
      </c>
    </row>
    <row r="172" spans="1:7" x14ac:dyDescent="0.2">
      <c r="A172" s="225">
        <v>44287</v>
      </c>
      <c r="B172" s="117">
        <v>1.2313000000000001</v>
      </c>
      <c r="C172" s="108">
        <f t="shared" si="35"/>
        <v>4.3999999999999595E-3</v>
      </c>
      <c r="D172" s="109" t="str">
        <f t="shared" si="36"/>
        <v>/</v>
      </c>
      <c r="E172" s="109">
        <f ca="1">IF(表2_367162629303891213141523242526272835[[#This Row],[累计净值]]/MAX(INDIRECT("B21:B" &amp; ROW()))-1&lt;E171,表2_367162629303891213141523242526272835[[#This Row],[累计净值]]/MAX(INDIRECT("B21:B" &amp; ROW()))-1,E171)</f>
        <v>-3.99837133550488E-2</v>
      </c>
      <c r="F172" s="110">
        <f>表2_367162629303891213141523242526272835[[#This Row],[累计净值]]</f>
        <v>1.2313000000000001</v>
      </c>
      <c r="G172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2.876469096135954E-2</v>
      </c>
    </row>
    <row r="173" spans="1:7" x14ac:dyDescent="0.2">
      <c r="A173" s="225">
        <v>44288</v>
      </c>
      <c r="B173" s="112">
        <v>1.2302</v>
      </c>
      <c r="C173" s="108">
        <f t="shared" si="35"/>
        <v>-1.1000000000001009E-3</v>
      </c>
      <c r="D173" s="109">
        <f t="shared" si="36"/>
        <v>-1.1000000000001009E-3</v>
      </c>
      <c r="E173" s="109">
        <f ca="1">IF(表2_367162629303891213141523242526272835[[#This Row],[累计净值]]/MAX(INDIRECT("B21:B" &amp; ROW()))-1&lt;E172,表2_367162629303891213141523242526272835[[#This Row],[累计净值]]/MAX(INDIRECT("B21:B" &amp; ROW()))-1,E172)</f>
        <v>-3.99837133550488E-2</v>
      </c>
      <c r="F173" s="110">
        <f>表2_367162629303891213141523242526272835[[#This Row],[累计净值]]</f>
        <v>1.2302</v>
      </c>
      <c r="G173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2.8113638285279373E-2</v>
      </c>
    </row>
    <row r="174" spans="1:7" x14ac:dyDescent="0.2">
      <c r="A174" s="225">
        <v>44292</v>
      </c>
      <c r="B174" s="112">
        <v>1.2316</v>
      </c>
      <c r="C174" s="108">
        <f t="shared" si="35"/>
        <v>1.4000000000000679E-3</v>
      </c>
      <c r="D174" s="109" t="str">
        <f t="shared" si="36"/>
        <v>/</v>
      </c>
      <c r="E174" s="109">
        <f ca="1">IF(表2_367162629303891213141523242526272835[[#This Row],[累计净值]]/MAX(INDIRECT("B21:B" &amp; ROW()))-1&lt;E173,表2_367162629303891213141523242526272835[[#This Row],[累计净值]]/MAX(INDIRECT("B21:B" &amp; ROW()))-1,E173)</f>
        <v>-3.99837133550488E-2</v>
      </c>
      <c r="F174" s="110">
        <f>表2_367162629303891213141523242526272835[[#This Row],[累计净值]]</f>
        <v>1.2316</v>
      </c>
      <c r="G174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2.8942250782108745E-2</v>
      </c>
    </row>
    <row r="175" spans="1:7" x14ac:dyDescent="0.2">
      <c r="A175" s="225">
        <v>44293</v>
      </c>
      <c r="B175" s="112">
        <v>1.2329000000000001</v>
      </c>
      <c r="C175" s="108">
        <f t="shared" ref="C175:C180" si="37">IFERROR(B175-B174,0)</f>
        <v>1.3000000000000789E-3</v>
      </c>
      <c r="D175" s="109" t="str">
        <f t="shared" ref="D175:D180" si="38">IF(C175&lt;0,C175,"/")</f>
        <v>/</v>
      </c>
      <c r="E175" s="109">
        <f ca="1">IF(表2_367162629303891213141523242526272835[[#This Row],[累计净值]]/MAX(INDIRECT("B21:B" &amp; ROW()))-1&lt;E174,表2_367162629303891213141523242526272835[[#This Row],[累计净值]]/MAX(INDIRECT("B21:B" &amp; ROW()))-1,E174)</f>
        <v>-3.99837133550488E-2</v>
      </c>
      <c r="F175" s="110">
        <f>表2_367162629303891213141523242526272835[[#This Row],[累计净值]]</f>
        <v>1.2329000000000001</v>
      </c>
      <c r="G175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2.9711676672021611E-2</v>
      </c>
    </row>
    <row r="176" spans="1:7" x14ac:dyDescent="0.2">
      <c r="A176" s="225">
        <v>44294</v>
      </c>
      <c r="B176" s="117">
        <v>1.2367999999999999</v>
      </c>
      <c r="C176" s="108">
        <f t="shared" si="37"/>
        <v>3.8999999999997925E-3</v>
      </c>
      <c r="D176" s="109" t="str">
        <f t="shared" si="38"/>
        <v>/</v>
      </c>
      <c r="E176" s="109">
        <f ca="1">IF(表2_367162629303891213141523242526272835[[#This Row],[累计净值]]/MAX(INDIRECT("B21:B" &amp; ROW()))-1&lt;E175,表2_367162629303891213141523242526272835[[#This Row],[累计净值]]/MAX(INDIRECT("B21:B" &amp; ROW()))-1,E175)</f>
        <v>-3.99837133550488E-2</v>
      </c>
      <c r="F176" s="110">
        <f>表2_367162629303891213141523242526272835[[#This Row],[累计净值]]</f>
        <v>1.2367999999999999</v>
      </c>
      <c r="G176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3.2019954341760214E-2</v>
      </c>
    </row>
    <row r="177" spans="1:7" x14ac:dyDescent="0.2">
      <c r="A177" s="225">
        <v>44295</v>
      </c>
      <c r="B177" s="112">
        <v>1.2331000000000001</v>
      </c>
      <c r="C177" s="108">
        <f t="shared" si="37"/>
        <v>-3.6999999999998145E-3</v>
      </c>
      <c r="D177" s="109">
        <f t="shared" si="38"/>
        <v>-3.6999999999998145E-3</v>
      </c>
      <c r="E177" s="109">
        <f ca="1">IF(表2_367162629303891213141523242526272835[[#This Row],[累计净值]]/MAX(INDIRECT("B21:B" &amp; ROW()))-1&lt;E176,表2_367162629303891213141523242526272835[[#This Row],[累计净值]]/MAX(INDIRECT("B21:B" &amp; ROW()))-1,E176)</f>
        <v>-3.99837133550488E-2</v>
      </c>
      <c r="F177" s="110">
        <f>表2_367162629303891213141523242526272835[[#This Row],[累计净值]]</f>
        <v>1.2331000000000001</v>
      </c>
      <c r="G177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2.9830049885854467E-2</v>
      </c>
    </row>
    <row r="178" spans="1:7" x14ac:dyDescent="0.2">
      <c r="A178" s="225">
        <v>44298</v>
      </c>
      <c r="B178" s="112">
        <v>1.2235</v>
      </c>
      <c r="C178" s="108">
        <f t="shared" si="37"/>
        <v>-9.6000000000000529E-3</v>
      </c>
      <c r="D178" s="109">
        <f t="shared" si="38"/>
        <v>-9.6000000000000529E-3</v>
      </c>
      <c r="E178" s="109">
        <f ca="1">IF(表2_367162629303891213141523242526272835[[#This Row],[累计净值]]/MAX(INDIRECT("B21:B" &amp; ROW()))-1&lt;E177,表2_367162629303891213141523242526272835[[#This Row],[累计净值]]/MAX(INDIRECT("B21:B" &amp; ROW()))-1,E177)</f>
        <v>-3.99837133550488E-2</v>
      </c>
      <c r="F178" s="110">
        <f>表2_367162629303891213141523242526272835[[#This Row],[累计净值]]</f>
        <v>1.2235</v>
      </c>
      <c r="G178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2.4148135621882026E-2</v>
      </c>
    </row>
    <row r="179" spans="1:7" x14ac:dyDescent="0.2">
      <c r="A179" s="225">
        <v>44299</v>
      </c>
      <c r="B179" s="112">
        <v>1.2223999999999999</v>
      </c>
      <c r="C179" s="108">
        <f t="shared" si="37"/>
        <v>-1.1000000000001009E-3</v>
      </c>
      <c r="D179" s="109">
        <f t="shared" si="38"/>
        <v>-1.1000000000001009E-3</v>
      </c>
      <c r="E179" s="109">
        <f ca="1">IF(表2_367162629303891213141523242526272835[[#This Row],[累计净值]]/MAX(INDIRECT("B21:B" &amp; ROW()))-1&lt;E178,表2_367162629303891213141523242526272835[[#This Row],[累计净值]]/MAX(INDIRECT("B21:B" &amp; ROW()))-1,E178)</f>
        <v>-3.99837133550488E-2</v>
      </c>
      <c r="F179" s="110">
        <f>表2_367162629303891213141523242526272835[[#This Row],[累计净值]]</f>
        <v>1.2223999999999999</v>
      </c>
      <c r="G179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2.3497082945801859E-2</v>
      </c>
    </row>
    <row r="180" spans="1:7" x14ac:dyDescent="0.2">
      <c r="A180" s="225">
        <v>44300</v>
      </c>
      <c r="B180" s="112">
        <v>1.2265999999999999</v>
      </c>
      <c r="C180" s="108">
        <f t="shared" si="37"/>
        <v>4.1999999999999815E-3</v>
      </c>
      <c r="D180" s="109" t="str">
        <f t="shared" si="38"/>
        <v>/</v>
      </c>
      <c r="E180" s="109">
        <f ca="1">IF(表2_367162629303891213141523242526272835[[#This Row],[累计净值]]/MAX(INDIRECT("B21:B" &amp; ROW()))-1&lt;E179,表2_367162629303891213141523242526272835[[#This Row],[累计净值]]/MAX(INDIRECT("B21:B" &amp; ROW()))-1,E179)</f>
        <v>-3.99837133550488E-2</v>
      </c>
      <c r="F180" s="110">
        <f>表2_367162629303891213141523242526272835[[#This Row],[累计净值]]</f>
        <v>1.2265999999999999</v>
      </c>
      <c r="G180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2.5982920436289667E-2</v>
      </c>
    </row>
    <row r="181" spans="1:7" x14ac:dyDescent="0.2">
      <c r="A181" s="225">
        <v>44301</v>
      </c>
      <c r="B181" s="112">
        <v>1.2249000000000001</v>
      </c>
      <c r="C181" s="108">
        <f t="shared" ref="C181:C186" si="39">IFERROR(B181-B180,0)</f>
        <v>-1.6999999999998128E-3</v>
      </c>
      <c r="D181" s="109">
        <f t="shared" ref="D181:D186" si="40">IF(C181&lt;0,C181,"/")</f>
        <v>-1.6999999999998128E-3</v>
      </c>
      <c r="E181" s="109">
        <f ca="1">IF(表2_367162629303891213141523242526272835[[#This Row],[累计净值]]/MAX(INDIRECT("B21:B" &amp; ROW()))-1&lt;E180,表2_367162629303891213141523242526272835[[#This Row],[累计净值]]/MAX(INDIRECT("B21:B" &amp; ROW()))-1,E180)</f>
        <v>-3.99837133550488E-2</v>
      </c>
      <c r="F181" s="110">
        <f>表2_367162629303891213141523242526272835[[#This Row],[累计净值]]</f>
        <v>1.2249000000000001</v>
      </c>
      <c r="G181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2.4976748118711398E-2</v>
      </c>
    </row>
    <row r="182" spans="1:7" x14ac:dyDescent="0.2">
      <c r="A182" s="225">
        <v>44302</v>
      </c>
      <c r="B182" s="112">
        <v>1.2294</v>
      </c>
      <c r="C182" s="108">
        <f t="shared" si="39"/>
        <v>4.4999999999999485E-3</v>
      </c>
      <c r="D182" s="109" t="str">
        <f t="shared" si="40"/>
        <v>/</v>
      </c>
      <c r="E182" s="109">
        <f ca="1">IF(表2_367162629303891213141523242526272835[[#This Row],[累计净值]]/MAX(INDIRECT("B21:B" &amp; ROW()))-1&lt;E181,表2_367162629303891213141523242526272835[[#This Row],[累计净值]]/MAX(INDIRECT("B21:B" &amp; ROW()))-1,E181)</f>
        <v>-3.99837133550488E-2</v>
      </c>
      <c r="F182" s="110">
        <f>表2_367162629303891213141523242526272835[[#This Row],[累计净值]]</f>
        <v>1.2294</v>
      </c>
      <c r="G182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2.7640145429948412E-2</v>
      </c>
    </row>
    <row r="183" spans="1:7" x14ac:dyDescent="0.2">
      <c r="A183" s="225">
        <v>44305</v>
      </c>
      <c r="B183" s="112">
        <v>1.2270000000000001</v>
      </c>
      <c r="C183" s="108">
        <f t="shared" si="39"/>
        <v>-2.3999999999999577E-3</v>
      </c>
      <c r="D183" s="109">
        <f t="shared" si="40"/>
        <v>-2.3999999999999577E-3</v>
      </c>
      <c r="E183" s="109">
        <f ca="1">IF(表2_367162629303891213141523242526272835[[#This Row],[累计净值]]/MAX(INDIRECT("B21:B" &amp; ROW()))-1&lt;E182,表2_367162629303891213141523242526272835[[#This Row],[累计净值]]/MAX(INDIRECT("B21:B" &amp; ROW()))-1,E182)</f>
        <v>-3.99837133550488E-2</v>
      </c>
      <c r="F183" s="110">
        <f>表2_367162629303891213141523242526272835[[#This Row],[累计净值]]</f>
        <v>1.2270000000000001</v>
      </c>
      <c r="G183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2.6219666863955382E-2</v>
      </c>
    </row>
    <row r="184" spans="1:7" x14ac:dyDescent="0.2">
      <c r="A184" s="225">
        <v>44306</v>
      </c>
      <c r="B184" s="112">
        <v>1.2287999999999999</v>
      </c>
      <c r="C184" s="108">
        <f t="shared" si="39"/>
        <v>1.7999999999998018E-3</v>
      </c>
      <c r="D184" s="109" t="str">
        <f t="shared" si="40"/>
        <v>/</v>
      </c>
      <c r="E184" s="109">
        <f ca="1">IF(表2_367162629303891213141523242526272835[[#This Row],[累计净值]]/MAX(INDIRECT("B21:B" &amp; ROW()))-1&lt;E183,表2_367162629303891213141523242526272835[[#This Row],[累计净值]]/MAX(INDIRECT("B21:B" &amp; ROW()))-1,E183)</f>
        <v>-3.99837133550488E-2</v>
      </c>
      <c r="F184" s="110">
        <f>表2_367162629303891213141523242526272835[[#This Row],[累计净值]]</f>
        <v>1.2287999999999999</v>
      </c>
      <c r="G184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2.7285025788450001E-2</v>
      </c>
    </row>
    <row r="185" spans="1:7" x14ac:dyDescent="0.2">
      <c r="A185" s="225">
        <v>44307</v>
      </c>
      <c r="B185" s="112">
        <v>1.2287999999999999</v>
      </c>
      <c r="C185" s="108">
        <f t="shared" si="39"/>
        <v>0</v>
      </c>
      <c r="D185" s="109" t="str">
        <f t="shared" si="40"/>
        <v>/</v>
      </c>
      <c r="E185" s="109">
        <f ca="1">IF(表2_367162629303891213141523242526272835[[#This Row],[累计净值]]/MAX(INDIRECT("B21:B" &amp; ROW()))-1&lt;E184,表2_367162629303891213141523242526272835[[#This Row],[累计净值]]/MAX(INDIRECT("B21:B" &amp; ROW()))-1,E184)</f>
        <v>-3.99837133550488E-2</v>
      </c>
      <c r="F185" s="110">
        <f>表2_367162629303891213141523242526272835[[#This Row],[累计净值]]</f>
        <v>1.2287999999999999</v>
      </c>
      <c r="G185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2.7285025788450001E-2</v>
      </c>
    </row>
    <row r="186" spans="1:7" x14ac:dyDescent="0.2">
      <c r="A186" s="225">
        <v>44308</v>
      </c>
      <c r="B186" s="112">
        <v>1.2293000000000001</v>
      </c>
      <c r="C186" s="108">
        <f t="shared" si="39"/>
        <v>5.0000000000016698E-4</v>
      </c>
      <c r="D186" s="109" t="str">
        <f t="shared" si="40"/>
        <v>/</v>
      </c>
      <c r="E186" s="109">
        <f ca="1">IF(表2_367162629303891213141523242526272835[[#This Row],[累计净值]]/MAX(INDIRECT("B21:B" &amp; ROW()))-1&lt;E185,表2_367162629303891213141523242526272835[[#This Row],[累计净值]]/MAX(INDIRECT("B21:B" &amp; ROW()))-1,E185)</f>
        <v>-3.99837133550488E-2</v>
      </c>
      <c r="F186" s="110">
        <f>表2_367162629303891213141523242526272835[[#This Row],[累计净值]]</f>
        <v>1.2293000000000001</v>
      </c>
      <c r="G186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2.7580958823032062E-2</v>
      </c>
    </row>
    <row r="187" spans="1:7" x14ac:dyDescent="0.2">
      <c r="A187" s="225">
        <v>44309</v>
      </c>
      <c r="B187" s="112">
        <v>1.2315</v>
      </c>
      <c r="C187" s="108">
        <f>IFERROR(B187-B186,0)</f>
        <v>2.1999999999999797E-3</v>
      </c>
      <c r="D187" s="109" t="str">
        <f>IF(C187&lt;0,C187,"/")</f>
        <v>/</v>
      </c>
      <c r="E187" s="109">
        <f ca="1">IF(表2_367162629303891213141523242526272835[[#This Row],[累计净值]]/MAX(INDIRECT("B21:B" &amp; ROW()))-1&lt;E186,表2_367162629303891213141523242526272835[[#This Row],[累计净值]]/MAX(INDIRECT("B21:B" &amp; ROW()))-1,E186)</f>
        <v>-3.99837133550488E-2</v>
      </c>
      <c r="F187" s="110">
        <f>表2_367162629303891213141523242526272835[[#This Row],[累计净值]]</f>
        <v>1.2315</v>
      </c>
      <c r="G187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2.8883064175192395E-2</v>
      </c>
    </row>
    <row r="188" spans="1:7" x14ac:dyDescent="0.2">
      <c r="A188" s="225">
        <v>44312</v>
      </c>
      <c r="B188" s="112">
        <v>1.2290000000000001</v>
      </c>
      <c r="C188" s="108">
        <f>IFERROR(B188-B187,0)</f>
        <v>-2.4999999999999467E-3</v>
      </c>
      <c r="D188" s="109">
        <f>IF(C188&lt;0,C188,"/")</f>
        <v>-2.4999999999999467E-3</v>
      </c>
      <c r="E188" s="109">
        <f ca="1">IF(表2_367162629303891213141523242526272835[[#This Row],[累计净值]]/MAX(INDIRECT("B21:B" &amp; ROW()))-1&lt;E187,表2_367162629303891213141523242526272835[[#This Row],[累计净值]]/MAX(INDIRECT("B21:B" &amp; ROW()))-1,E187)</f>
        <v>-3.99837133550488E-2</v>
      </c>
      <c r="F188" s="110">
        <f>表2_367162629303891213141523242526272835[[#This Row],[累计净值]]</f>
        <v>1.2290000000000001</v>
      </c>
      <c r="G188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2.7403399002282856E-2</v>
      </c>
    </row>
    <row r="189" spans="1:7" x14ac:dyDescent="0.2">
      <c r="A189" s="225">
        <v>44313</v>
      </c>
      <c r="B189" s="112">
        <v>1.2326999999999999</v>
      </c>
      <c r="C189" s="108">
        <f>IFERROR(B189-B188,0)</f>
        <v>3.6999999999998145E-3</v>
      </c>
      <c r="D189" s="109" t="str">
        <f>IF(C189&lt;0,C189,"/")</f>
        <v>/</v>
      </c>
      <c r="E189" s="109">
        <f ca="1">IF(表2_367162629303891213141523242526272835[[#This Row],[累计净值]]/MAX(INDIRECT("B21:B" &amp; ROW()))-1&lt;E188,表2_367162629303891213141523242526272835[[#This Row],[累计净值]]/MAX(INDIRECT("B21:B" &amp; ROW()))-1,E188)</f>
        <v>-3.99837133550488E-2</v>
      </c>
      <c r="F189" s="110">
        <f>表2_367162629303891213141523242526272835[[#This Row],[累计净值]]</f>
        <v>1.2326999999999999</v>
      </c>
      <c r="G189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2.9593303458188756E-2</v>
      </c>
    </row>
    <row r="190" spans="1:7" x14ac:dyDescent="0.2">
      <c r="A190" s="225">
        <v>44314</v>
      </c>
      <c r="B190" s="112">
        <v>1.2371000000000001</v>
      </c>
      <c r="C190" s="108">
        <f>IFERROR(B190-B189,0)</f>
        <v>4.4000000000001815E-3</v>
      </c>
      <c r="D190" s="109" t="str">
        <f>IF(C190&lt;0,C190,"/")</f>
        <v>/</v>
      </c>
      <c r="E190" s="109">
        <f ca="1">IF(表2_367162629303891213141523242526272835[[#This Row],[累计净值]]/MAX(INDIRECT("B21:B" &amp; ROW()))-1&lt;E189,表2_367162629303891213141523242526272835[[#This Row],[累计净值]]/MAX(INDIRECT("B21:B" &amp; ROW()))-1,E189)</f>
        <v>-3.99837133550488E-2</v>
      </c>
      <c r="F190" s="110">
        <f>表2_367162629303891213141523242526272835[[#This Row],[累计净值]]</f>
        <v>1.2371000000000001</v>
      </c>
      <c r="G190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3.2197514162509579E-2</v>
      </c>
    </row>
    <row r="191" spans="1:7" x14ac:dyDescent="0.2">
      <c r="A191" s="225">
        <v>44315</v>
      </c>
      <c r="B191" s="112">
        <v>1.2401</v>
      </c>
      <c r="C191" s="108">
        <f>IFERROR(B191-B190,0)</f>
        <v>2.9999999999998916E-3</v>
      </c>
      <c r="D191" s="109" t="str">
        <f>IF(C191&lt;0,C191,"/")</f>
        <v>/</v>
      </c>
      <c r="E191" s="109">
        <f ca="1">IF(表2_367162629303891213141523242526272835[[#This Row],[累计净值]]/MAX(INDIRECT("B21:B" &amp; ROW()))-1&lt;E190,表2_367162629303891213141523242526272835[[#This Row],[累计净值]]/MAX(INDIRECT("B21:B" &amp; ROW()))-1,E190)</f>
        <v>-3.99837133550488E-2</v>
      </c>
      <c r="F191" s="110">
        <f>表2_367162629303891213141523242526272835[[#This Row],[累计净值]]</f>
        <v>1.2401</v>
      </c>
      <c r="G191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3.397311237000071E-2</v>
      </c>
    </row>
    <row r="192" spans="1:7" x14ac:dyDescent="0.2">
      <c r="A192" s="225">
        <v>44316</v>
      </c>
      <c r="B192" s="112">
        <v>1.2407999999999999</v>
      </c>
      <c r="C192" s="108">
        <f t="shared" ref="C192:C193" si="41">IFERROR(B192-B191,0)</f>
        <v>6.9999999999992291E-4</v>
      </c>
      <c r="D192" s="109" t="str">
        <f t="shared" ref="D192:D193" si="42">IF(C192&lt;0,C192,"/")</f>
        <v>/</v>
      </c>
      <c r="E192" s="109">
        <f ca="1">IF(表2_367162629303891213141523242526272835[[#This Row],[累计净值]]/MAX(INDIRECT("B21:B" &amp; ROW()))-1&lt;E191,表2_367162629303891213141523242526272835[[#This Row],[累计净值]]/MAX(INDIRECT("B21:B" &amp; ROW()))-1,E191)</f>
        <v>-3.99837133550488E-2</v>
      </c>
      <c r="F192" s="110">
        <f>表2_367162629303891213141523242526272835[[#This Row],[累计净值]]</f>
        <v>1.2407999999999999</v>
      </c>
      <c r="G192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3.4387418618415322E-2</v>
      </c>
    </row>
    <row r="193" spans="1:7" x14ac:dyDescent="0.2">
      <c r="A193" s="225">
        <v>44322</v>
      </c>
      <c r="B193" s="117">
        <v>1.2421</v>
      </c>
      <c r="C193" s="108">
        <f t="shared" si="41"/>
        <v>1.3000000000000789E-3</v>
      </c>
      <c r="D193" s="109" t="str">
        <f t="shared" si="42"/>
        <v>/</v>
      </c>
      <c r="E193" s="109">
        <f ca="1">IF(表2_367162629303891213141523242526272835[[#This Row],[累计净值]]/MAX(INDIRECT("B21:B" &amp; ROW()))-1&lt;E192,表2_367162629303891213141523242526272835[[#This Row],[累计净值]]/MAX(INDIRECT("B21:B" &amp; ROW()))-1,E192)</f>
        <v>-3.99837133550488E-2</v>
      </c>
      <c r="F193" s="110">
        <f>表2_367162629303891213141523242526272835[[#This Row],[累计净值]]</f>
        <v>1.2421</v>
      </c>
      <c r="G193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3.5156844508328344E-2</v>
      </c>
    </row>
    <row r="194" spans="1:7" x14ac:dyDescent="0.2">
      <c r="A194" s="225">
        <v>44323</v>
      </c>
      <c r="B194" s="112">
        <v>1.2369000000000001</v>
      </c>
      <c r="C194" s="108">
        <f t="shared" ref="C194:C199" si="43">IFERROR(B194-B193,0)</f>
        <v>-5.1999999999998714E-3</v>
      </c>
      <c r="D194" s="109">
        <f t="shared" ref="D194:D199" si="44">IF(C194&lt;0,C194,"/")</f>
        <v>-5.1999999999998714E-3</v>
      </c>
      <c r="E194" s="109">
        <f ca="1">IF(表2_367162629303891213141523242526272835[[#This Row],[累计净值]]/MAX(INDIRECT("B21:B" &amp; ROW()))-1&lt;E193,表2_367162629303891213141523242526272835[[#This Row],[累计净值]]/MAX(INDIRECT("B21:B" &amp; ROW()))-1,E193)</f>
        <v>-3.99837133550488E-2</v>
      </c>
      <c r="F194" s="110">
        <f>表2_367162629303891213141523242526272835[[#This Row],[累计净值]]</f>
        <v>1.2369000000000001</v>
      </c>
      <c r="G194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3.207914094867672E-2</v>
      </c>
    </row>
    <row r="195" spans="1:7" x14ac:dyDescent="0.2">
      <c r="A195" s="225">
        <v>44326</v>
      </c>
      <c r="B195" s="112">
        <v>1.2406999999999999</v>
      </c>
      <c r="C195" s="108">
        <f t="shared" si="43"/>
        <v>3.7999999999998035E-3</v>
      </c>
      <c r="D195" s="109" t="str">
        <f t="shared" si="44"/>
        <v>/</v>
      </c>
      <c r="E195" s="109">
        <f ca="1">IF(表2_367162629303891213141523242526272835[[#This Row],[累计净值]]/MAX(INDIRECT("B21:B" &amp; ROW()))-1&lt;E194,表2_367162629303891213141523242526272835[[#This Row],[累计净值]]/MAX(INDIRECT("B21:B" &amp; ROW()))-1,E194)</f>
        <v>-3.99837133550488E-2</v>
      </c>
      <c r="F195" s="110">
        <f>表2_367162629303891213141523242526272835[[#This Row],[累计净值]]</f>
        <v>1.2406999999999999</v>
      </c>
      <c r="G195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3.4328232011498969E-2</v>
      </c>
    </row>
    <row r="196" spans="1:7" x14ac:dyDescent="0.2">
      <c r="A196" s="225">
        <v>44327</v>
      </c>
      <c r="B196" s="112">
        <v>1.2395</v>
      </c>
      <c r="C196" s="108">
        <f t="shared" si="43"/>
        <v>-1.1999999999998678E-3</v>
      </c>
      <c r="D196" s="109">
        <f t="shared" si="44"/>
        <v>-1.1999999999998678E-3</v>
      </c>
      <c r="E196" s="109">
        <f ca="1">IF(表2_367162629303891213141523242526272835[[#This Row],[累计净值]]/MAX(INDIRECT("B21:B" &amp; ROW()))-1&lt;E195,表2_367162629303891213141523242526272835[[#This Row],[累计净值]]/MAX(INDIRECT("B21:B" &amp; ROW()))-1,E195)</f>
        <v>-3.99837133550488E-2</v>
      </c>
      <c r="F196" s="110">
        <f>表2_367162629303891213141523242526272835[[#This Row],[累计净值]]</f>
        <v>1.2395</v>
      </c>
      <c r="G196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3.3617992728502605E-2</v>
      </c>
    </row>
    <row r="197" spans="1:7" x14ac:dyDescent="0.2">
      <c r="A197" s="225">
        <v>44328</v>
      </c>
      <c r="B197" s="112">
        <v>1.2408999999999999</v>
      </c>
      <c r="C197" s="108">
        <f t="shared" si="43"/>
        <v>1.3999999999998458E-3</v>
      </c>
      <c r="D197" s="109" t="str">
        <f t="shared" si="44"/>
        <v>/</v>
      </c>
      <c r="E197" s="109">
        <f ca="1">IF(表2_367162629303891213141523242526272835[[#This Row],[累计净值]]/MAX(INDIRECT("B21:B" &amp; ROW()))-1&lt;E196,表2_367162629303891213141523242526272835[[#This Row],[累计净值]]/MAX(INDIRECT("B21:B" &amp; ROW()))-1,E196)</f>
        <v>-3.99837133550488E-2</v>
      </c>
      <c r="F197" s="110">
        <f>表2_367162629303891213141523242526272835[[#This Row],[累计净值]]</f>
        <v>1.2408999999999999</v>
      </c>
      <c r="G197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3.4446605225331828E-2</v>
      </c>
    </row>
    <row r="198" spans="1:7" x14ac:dyDescent="0.2">
      <c r="A198" s="225">
        <v>44329</v>
      </c>
      <c r="B198" s="112">
        <v>1.2372000000000001</v>
      </c>
      <c r="C198" s="108">
        <f t="shared" si="43"/>
        <v>-3.6999999999998145E-3</v>
      </c>
      <c r="D198" s="109">
        <f t="shared" si="44"/>
        <v>-3.6999999999998145E-3</v>
      </c>
      <c r="E198" s="109">
        <f ca="1">IF(表2_367162629303891213141523242526272835[[#This Row],[累计净值]]/MAX(INDIRECT("B21:B" &amp; ROW()))-1&lt;E197,表2_367162629303891213141523242526272835[[#This Row],[累计净值]]/MAX(INDIRECT("B21:B" &amp; ROW()))-1,E197)</f>
        <v>-3.99837133550488E-2</v>
      </c>
      <c r="F198" s="110">
        <f>表2_367162629303891213141523242526272835[[#This Row],[累计净值]]</f>
        <v>1.2372000000000001</v>
      </c>
      <c r="G198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3.2256700769425925E-2</v>
      </c>
    </row>
    <row r="199" spans="1:7" x14ac:dyDescent="0.2">
      <c r="A199" s="225">
        <v>44330</v>
      </c>
      <c r="B199" s="112">
        <v>1.242</v>
      </c>
      <c r="C199" s="108">
        <f t="shared" si="43"/>
        <v>4.7999999999999154E-3</v>
      </c>
      <c r="D199" s="109" t="str">
        <f t="shared" si="44"/>
        <v>/</v>
      </c>
      <c r="E199" s="109">
        <f ca="1">IF(表2_367162629303891213141523242526272835[[#This Row],[累计净值]]/MAX(INDIRECT("B21:B" &amp; ROW()))-1&lt;E198,表2_367162629303891213141523242526272835[[#This Row],[累计净值]]/MAX(INDIRECT("B21:B" &amp; ROW()))-1,E198)</f>
        <v>-3.99837133550488E-2</v>
      </c>
      <c r="F199" s="110">
        <f>表2_367162629303891213141523242526272835[[#This Row],[累计净值]]</f>
        <v>1.242</v>
      </c>
      <c r="G199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3.5097657901411991E-2</v>
      </c>
    </row>
    <row r="200" spans="1:7" x14ac:dyDescent="0.2">
      <c r="A200" s="225">
        <v>44333</v>
      </c>
      <c r="B200" s="112">
        <v>1.2443</v>
      </c>
      <c r="C200" s="108">
        <f>IFERROR(B200-B199,0)</f>
        <v>2.2999999999999687E-3</v>
      </c>
      <c r="D200" s="109" t="str">
        <f>IF(C200&lt;0,C200,"/")</f>
        <v>/</v>
      </c>
      <c r="E200" s="109">
        <f ca="1">IF(表2_367162629303891213141523242526272835[[#This Row],[累计净值]]/MAX(INDIRECT("B21:B" &amp; ROW()))-1&lt;E199,表2_367162629303891213141523242526272835[[#This Row],[累计净值]]/MAX(INDIRECT("B21:B" &amp; ROW()))-1,E199)</f>
        <v>-3.99837133550488E-2</v>
      </c>
      <c r="F200" s="110">
        <f>表2_367162629303891213141523242526272835[[#This Row],[累计净值]]</f>
        <v>1.2443</v>
      </c>
      <c r="G200" s="20">
        <f>IF(表2_367162629303891213141523242526272835[[#This Row],[单位净值]]&gt;1.1827,0.7*(表2_367162629303891213141523242526272835[[#This Row],[累计净值]]/$B$114-1),表2_367162629303891213141523242526272835[[#This Row],[单位净值]]/$F$114-1)</f>
        <v>3.6458949860488671E-2</v>
      </c>
    </row>
  </sheetData>
  <mergeCells count="1">
    <mergeCell ref="G2:G3"/>
  </mergeCells>
  <phoneticPr fontId="24" type="noConversion"/>
  <pageMargins left="0.7" right="0.7" top="0.75" bottom="0.75" header="0.3" footer="0.3"/>
  <pageSetup paperSize="9" orientation="portrait" horizontalDpi="200" verticalDpi="200" r:id="rId1"/>
  <drawing r:id="rId2"/>
  <tableParts count="1"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K140"/>
  <sheetViews>
    <sheetView workbookViewId="0">
      <pane xSplit="1" ySplit="20" topLeftCell="B124" activePane="bottomRight" state="frozen"/>
      <selection pane="topRight" activeCell="B1" sqref="B1"/>
      <selection pane="bottomLeft" activeCell="A21" sqref="A21"/>
      <selection pane="bottomRight" activeCell="B141" sqref="B141"/>
    </sheetView>
  </sheetViews>
  <sheetFormatPr defaultColWidth="9" defaultRowHeight="14.25" x14ac:dyDescent="0.2"/>
  <cols>
    <col min="1" max="1" width="11.625" style="1" bestFit="1" customWidth="1"/>
    <col min="2" max="2" width="13" style="1" customWidth="1"/>
    <col min="3" max="4" width="13.5" style="1" bestFit="1" customWidth="1"/>
    <col min="5" max="5" width="10.75" style="1" customWidth="1"/>
    <col min="6" max="6" width="11.125" style="1" customWidth="1"/>
    <col min="7" max="7" width="18.875" style="2" customWidth="1"/>
    <col min="8" max="8" width="14.25" style="1" customWidth="1"/>
    <col min="9" max="9" width="12" style="1" bestFit="1" customWidth="1"/>
    <col min="10" max="16384" width="9" style="1"/>
  </cols>
  <sheetData>
    <row r="1" spans="1:7" ht="15" thickBot="1" x14ac:dyDescent="0.25"/>
    <row r="2" spans="1:7" ht="15" thickBot="1" x14ac:dyDescent="0.25">
      <c r="A2" s="23" t="s">
        <v>0</v>
      </c>
      <c r="B2" s="24">
        <f>COUNT(表2_367162629303891213141523242526272831[每日盈亏])</f>
        <v>120</v>
      </c>
      <c r="C2" s="27"/>
      <c r="D2" s="3" t="s">
        <v>1</v>
      </c>
      <c r="E2" s="28"/>
      <c r="F2" s="1" t="s">
        <v>2</v>
      </c>
      <c r="G2" s="394" t="s">
        <v>3</v>
      </c>
    </row>
    <row r="3" spans="1:7" x14ac:dyDescent="0.2">
      <c r="A3" s="25" t="s">
        <v>4</v>
      </c>
      <c r="B3" s="26">
        <f>COUNTIF(表2_367162629303891213141523242526272831[每日盈亏],"&gt;0")</f>
        <v>47</v>
      </c>
      <c r="C3" s="29"/>
      <c r="D3" s="30" t="s">
        <v>5</v>
      </c>
      <c r="E3" s="31">
        <f>245^0.5*(B10-0.025/365)/E10</f>
        <v>7.01267146344592E-2</v>
      </c>
      <c r="G3" s="394"/>
    </row>
    <row r="4" spans="1:7" x14ac:dyDescent="0.2">
      <c r="A4" s="25" t="s">
        <v>6</v>
      </c>
      <c r="B4" s="26">
        <f>COUNTIF(表2_367162629303891213141523242526272831[每日盈亏],"&lt;0")</f>
        <v>44</v>
      </c>
      <c r="C4" s="29"/>
      <c r="D4" s="32" t="s">
        <v>7</v>
      </c>
      <c r="E4" s="31">
        <f ca="1">-B9/E8</f>
        <v>0.16469050508822722</v>
      </c>
      <c r="G4" s="2">
        <f>LOOKUP(999^10,表2_367162629303891213141523242526272831[累计净值])</f>
        <v>1.1575</v>
      </c>
    </row>
    <row r="5" spans="1:7" x14ac:dyDescent="0.2">
      <c r="A5" s="25" t="s">
        <v>8</v>
      </c>
      <c r="B5" s="26">
        <f>B2-B3-B4</f>
        <v>29</v>
      </c>
      <c r="C5" s="29"/>
      <c r="D5" s="33" t="s">
        <v>9</v>
      </c>
      <c r="E5" s="4">
        <f>245^0.5*(B10-0.025/365)/E9</f>
        <v>6.1683808016457189E-2</v>
      </c>
    </row>
    <row r="6" spans="1:7" ht="15" thickBot="1" x14ac:dyDescent="0.25">
      <c r="A6" s="34"/>
      <c r="B6" s="35"/>
      <c r="C6" s="35"/>
      <c r="D6" s="35"/>
      <c r="E6" s="36"/>
    </row>
    <row r="7" spans="1:7" ht="15" thickBot="1" x14ac:dyDescent="0.25">
      <c r="A7" s="5" t="s">
        <v>10</v>
      </c>
      <c r="B7" s="35"/>
      <c r="C7" s="35"/>
      <c r="D7" s="3" t="s">
        <v>11</v>
      </c>
      <c r="E7" s="37"/>
    </row>
    <row r="8" spans="1:7" x14ac:dyDescent="0.2">
      <c r="A8" s="38" t="s">
        <v>12</v>
      </c>
      <c r="B8" s="39">
        <f>LOOKUP(999^10,表2_367162629303891213141523242526272831[累计净值])/$B$21-1</f>
        <v>8.0664737186070479E-2</v>
      </c>
      <c r="C8" s="40"/>
      <c r="D8" s="30" t="s">
        <v>13</v>
      </c>
      <c r="E8" s="41">
        <f ca="1">MIN(表2_367162629303891213141523242526272831[最大回撤])</f>
        <v>-1</v>
      </c>
    </row>
    <row r="9" spans="1:7" x14ac:dyDescent="0.2">
      <c r="A9" s="25" t="s">
        <v>14</v>
      </c>
      <c r="B9" s="32">
        <f>B8*245/B2</f>
        <v>0.16469050508822722</v>
      </c>
      <c r="C9" s="40"/>
      <c r="D9" s="33" t="s">
        <v>15</v>
      </c>
      <c r="E9" s="6">
        <f>STDEV(表2_367162629303891213141523242526272831[下跌幅度])</f>
        <v>0.16532207637708921</v>
      </c>
    </row>
    <row r="10" spans="1:7" x14ac:dyDescent="0.2">
      <c r="A10" s="42" t="s">
        <v>16</v>
      </c>
      <c r="B10" s="43">
        <f>AVERAGE(表2_367162629303891213141523242526272831[每日盈亏])</f>
        <v>7.2000000000000026E-4</v>
      </c>
      <c r="C10" s="44"/>
      <c r="D10" s="33" t="s">
        <v>17</v>
      </c>
      <c r="E10" s="6">
        <f>STDEV(表2_367162629303891213141523242526272831[每日盈亏])</f>
        <v>0.14541812308308893</v>
      </c>
    </row>
    <row r="11" spans="1:7" x14ac:dyDescent="0.2">
      <c r="A11" s="7" t="s">
        <v>18</v>
      </c>
      <c r="B11" s="32">
        <f>B3/B2</f>
        <v>0.39166666666666666</v>
      </c>
      <c r="C11" s="40"/>
      <c r="D11" s="32" t="s">
        <v>19</v>
      </c>
      <c r="E11" s="41">
        <f>245^0.5*E10</f>
        <v>2.2761536586195272</v>
      </c>
    </row>
    <row r="12" spans="1:7" ht="15" thickBot="1" x14ac:dyDescent="0.25">
      <c r="A12" s="45" t="s">
        <v>20</v>
      </c>
      <c r="B12" s="46">
        <f>-(SUMIF(表2_367162629303891213141523242526272831[每日盈亏],"&gt;=0")/B3)/(SUMIF(表2_367162629303891213141523242526272831[每日盈亏],"&lt;0")/B4)</f>
        <v>1.0046646715541518</v>
      </c>
      <c r="C12" s="47"/>
      <c r="D12" s="48"/>
      <c r="E12" s="49"/>
    </row>
    <row r="14" spans="1:7" ht="28.5" x14ac:dyDescent="0.2">
      <c r="A14" s="50" t="s">
        <v>21</v>
      </c>
      <c r="B14" s="50" t="s">
        <v>14</v>
      </c>
      <c r="C14" s="51" t="s">
        <v>19</v>
      </c>
      <c r="D14" s="51" t="s">
        <v>13</v>
      </c>
      <c r="E14" s="51" t="s">
        <v>5</v>
      </c>
      <c r="F14" s="51" t="s">
        <v>7</v>
      </c>
    </row>
    <row r="15" spans="1:7" x14ac:dyDescent="0.2">
      <c r="A15" s="78">
        <f>B2</f>
        <v>120</v>
      </c>
      <c r="B15" s="53">
        <f>B9</f>
        <v>0.16469050508822722</v>
      </c>
      <c r="C15" s="53">
        <f>E11</f>
        <v>2.2761536586195272</v>
      </c>
      <c r="D15" s="53">
        <f ca="1">E8</f>
        <v>-1</v>
      </c>
      <c r="E15" s="54">
        <f>E3</f>
        <v>7.01267146344592E-2</v>
      </c>
      <c r="F15" s="54">
        <f ca="1">E4</f>
        <v>0.16469050508822722</v>
      </c>
    </row>
    <row r="19" spans="1:7" x14ac:dyDescent="0.2">
      <c r="A19" s="8"/>
      <c r="B19" s="1" t="s">
        <v>22</v>
      </c>
    </row>
    <row r="20" spans="1:7" ht="15.75" x14ac:dyDescent="0.2">
      <c r="A20" s="22" t="s">
        <v>23</v>
      </c>
      <c r="B20" s="22" t="s">
        <v>24</v>
      </c>
      <c r="C20" s="22" t="s">
        <v>25</v>
      </c>
      <c r="D20" s="22" t="s">
        <v>26</v>
      </c>
      <c r="E20" s="22" t="s">
        <v>27</v>
      </c>
      <c r="F20" s="22" t="s">
        <v>28</v>
      </c>
      <c r="G20" s="22" t="s">
        <v>29</v>
      </c>
    </row>
    <row r="21" spans="1:7" x14ac:dyDescent="0.2">
      <c r="A21" s="15">
        <v>44151</v>
      </c>
      <c r="B21" s="112">
        <v>1.0710999999999999</v>
      </c>
      <c r="C21" s="11">
        <f t="shared" ref="C21:C22" si="0">IFERROR(B21-B20,0)</f>
        <v>0</v>
      </c>
      <c r="D21" s="12" t="str">
        <f t="shared" ref="D21:D27" si="1">IF(C21&lt;0,C21,"/")</f>
        <v>/</v>
      </c>
      <c r="E21" s="12">
        <f ca="1">IF(表2_367162629303891213141523242526272831[[#This Row],[累计净值]]/MAX(INDIRECT("B21:B" &amp; ROW()))-1&lt;E20,表2_367162629303891213141523242526272831[[#This Row],[累计净值]]/MAX(INDIRECT("B21:B" &amp; ROW()))-1,E20)</f>
        <v>0</v>
      </c>
      <c r="F21" s="13">
        <f>表2_367162629303891213141523242526272831[[#This Row],[累计净值]]-0.0738</f>
        <v>0.99729999999999996</v>
      </c>
      <c r="G21" s="194" t="s">
        <v>30</v>
      </c>
    </row>
    <row r="22" spans="1:7" x14ac:dyDescent="0.2">
      <c r="A22" s="15">
        <v>44152</v>
      </c>
      <c r="B22" s="112">
        <v>1.0706</v>
      </c>
      <c r="C22" s="17">
        <f t="shared" si="0"/>
        <v>-4.9999999999994493E-4</v>
      </c>
      <c r="D22" s="18">
        <f t="shared" si="1"/>
        <v>-4.9999999999994493E-4</v>
      </c>
      <c r="E22" s="18">
        <f ca="1">IF(表2_367162629303891213141523242526272831[[#This Row],[累计净值]]/MAX(INDIRECT("B21:B" &amp; ROW()))-1&lt;E21,表2_367162629303891213141523242526272831[[#This Row],[累计净值]]/MAX(INDIRECT("B21:B" &amp; ROW()))-1,E21)</f>
        <v>-4.6680982167857099E-4</v>
      </c>
      <c r="F22" s="19">
        <f>表2_367162629303891213141523242526272831[[#This Row],[累计净值]]-0.0738</f>
        <v>0.99680000000000002</v>
      </c>
      <c r="G22" s="20">
        <f>表2_367162629303891213141523242526272831[[#This Row],[累计净值]]/$B$21-1</f>
        <v>-4.6680982167857099E-4</v>
      </c>
    </row>
    <row r="23" spans="1:7" x14ac:dyDescent="0.2">
      <c r="A23" s="15">
        <v>44153</v>
      </c>
      <c r="B23" s="112">
        <v>1.0680000000000001</v>
      </c>
      <c r="C23" s="108">
        <f t="shared" ref="C23:C28" si="2">IFERROR(B23-B22,0)</f>
        <v>-2.5999999999999357E-3</v>
      </c>
      <c r="D23" s="109">
        <f t="shared" si="1"/>
        <v>-2.5999999999999357E-3</v>
      </c>
      <c r="E23" s="109">
        <f ca="1">IF(表2_367162629303891213141523242526272831[[#This Row],[累计净值]]/MAX(INDIRECT("B21:B" &amp; ROW()))-1&lt;E22,表2_367162629303891213141523242526272831[[#This Row],[累计净值]]/MAX(INDIRECT("B21:B" &amp; ROW()))-1,E22)</f>
        <v>-2.8942208944074954E-3</v>
      </c>
      <c r="F23" s="110">
        <f>表2_367162629303891213141523242526272831[[#This Row],[累计净值]]-0.0738</f>
        <v>0.99420000000000008</v>
      </c>
      <c r="G23" s="20">
        <f>表2_367162629303891213141523242526272831[[#This Row],[累计净值]]/$B$21-1</f>
        <v>-2.8942208944074954E-3</v>
      </c>
    </row>
    <row r="24" spans="1:7" x14ac:dyDescent="0.2">
      <c r="A24" s="15">
        <v>44154</v>
      </c>
      <c r="B24" s="112">
        <v>1.0648</v>
      </c>
      <c r="C24" s="108">
        <f t="shared" si="2"/>
        <v>-3.2000000000000917E-3</v>
      </c>
      <c r="D24" s="109">
        <f t="shared" si="1"/>
        <v>-3.2000000000000917E-3</v>
      </c>
      <c r="E24" s="109">
        <f ca="1">IF(表2_367162629303891213141523242526272831[[#This Row],[累计净值]]/MAX(INDIRECT("B21:B" &amp; ROW()))-1&lt;E23,表2_367162629303891213141523242526272831[[#This Row],[累计净值]]/MAX(INDIRECT("B21:B" &amp; ROW()))-1,E23)</f>
        <v>-5.8818037531509493E-3</v>
      </c>
      <c r="F24" s="110">
        <f>表2_367162629303891213141523242526272831[[#This Row],[累计净值]]-0.0738</f>
        <v>0.99099999999999999</v>
      </c>
      <c r="G24" s="20">
        <f>表2_367162629303891213141523242526272831[[#This Row],[累计净值]]/$B$21-1</f>
        <v>-5.8818037531509493E-3</v>
      </c>
    </row>
    <row r="25" spans="1:7" x14ac:dyDescent="0.2">
      <c r="A25" s="15">
        <v>44155</v>
      </c>
      <c r="B25" s="112">
        <v>1.0652999999999999</v>
      </c>
      <c r="C25" s="108">
        <f t="shared" si="2"/>
        <v>4.9999999999994493E-4</v>
      </c>
      <c r="D25" s="109" t="str">
        <f t="shared" si="1"/>
        <v>/</v>
      </c>
      <c r="E25" s="109">
        <f ca="1">IF(表2_367162629303891213141523242526272831[[#This Row],[累计净值]]/MAX(INDIRECT("B21:B" &amp; ROW()))-1&lt;E24,表2_367162629303891213141523242526272831[[#This Row],[累计净值]]/MAX(INDIRECT("B21:B" &amp; ROW()))-1,E24)</f>
        <v>-5.8818037531509493E-3</v>
      </c>
      <c r="F25" s="110">
        <f>表2_367162629303891213141523242526272831[[#This Row],[累计净值]]-0.0738</f>
        <v>0.99149999999999994</v>
      </c>
      <c r="G25" s="20">
        <f>表2_367162629303891213141523242526272831[[#This Row],[累计净值]]/$B$21-1</f>
        <v>-5.4149939314723783E-3</v>
      </c>
    </row>
    <row r="26" spans="1:7" x14ac:dyDescent="0.2">
      <c r="A26" s="15">
        <v>44158</v>
      </c>
      <c r="B26" s="112">
        <v>1.0683</v>
      </c>
      <c r="C26" s="108">
        <f t="shared" si="2"/>
        <v>3.0000000000001137E-3</v>
      </c>
      <c r="D26" s="109" t="str">
        <f t="shared" si="1"/>
        <v>/</v>
      </c>
      <c r="E26" s="109">
        <f ca="1">IF(表2_367162629303891213141523242526272831[[#This Row],[累计净值]]/MAX(INDIRECT("B21:B" &amp; ROW()))-1&lt;E25,表2_367162629303891213141523242526272831[[#This Row],[累计净值]]/MAX(INDIRECT("B21:B" &amp; ROW()))-1,E25)</f>
        <v>-5.8818037531509493E-3</v>
      </c>
      <c r="F26" s="110">
        <f>表2_367162629303891213141523242526272831[[#This Row],[累计净值]]-0.0738</f>
        <v>0.99450000000000005</v>
      </c>
      <c r="G26" s="20">
        <f>表2_367162629303891213141523242526272831[[#This Row],[累计净值]]/$B$21-1</f>
        <v>-2.6141350014003972E-3</v>
      </c>
    </row>
    <row r="27" spans="1:7" x14ac:dyDescent="0.2">
      <c r="A27" s="15">
        <v>44159</v>
      </c>
      <c r="B27" s="112">
        <v>1.0669</v>
      </c>
      <c r="C27" s="108">
        <f t="shared" si="2"/>
        <v>-1.4000000000000679E-3</v>
      </c>
      <c r="D27" s="109">
        <f t="shared" si="1"/>
        <v>-1.4000000000000679E-3</v>
      </c>
      <c r="E27" s="109">
        <f ca="1">IF(表2_367162629303891213141523242526272831[[#This Row],[累计净值]]/MAX(INDIRECT("B21:B" &amp; ROW()))-1&lt;E26,表2_367162629303891213141523242526272831[[#This Row],[累计净值]]/MAX(INDIRECT("B21:B" &amp; ROW()))-1,E26)</f>
        <v>-5.8818037531509493E-3</v>
      </c>
      <c r="F27" s="110">
        <f>表2_367162629303891213141523242526272831[[#This Row],[累计净值]]-0.0738</f>
        <v>0.99309999999999998</v>
      </c>
      <c r="G27" s="20">
        <f>表2_367162629303891213141523242526272831[[#This Row],[累计净值]]/$B$21-1</f>
        <v>-3.9212025021005958E-3</v>
      </c>
    </row>
    <row r="28" spans="1:7" x14ac:dyDescent="0.2">
      <c r="A28" s="15">
        <v>44160</v>
      </c>
      <c r="B28" s="112">
        <v>1.0668</v>
      </c>
      <c r="C28" s="108">
        <f t="shared" si="2"/>
        <v>-9.9999999999988987E-5</v>
      </c>
      <c r="D28" s="109">
        <f t="shared" ref="D28:D33" si="3">IF(C28&lt;0,C28,"/")</f>
        <v>-9.9999999999988987E-5</v>
      </c>
      <c r="E28" s="109">
        <f ca="1">IF(表2_367162629303891213141523242526272831[[#This Row],[累计净值]]/MAX(INDIRECT("B21:B" &amp; ROW()))-1&lt;E27,表2_367162629303891213141523242526272831[[#This Row],[累计净值]]/MAX(INDIRECT("B21:B" &amp; ROW()))-1,E27)</f>
        <v>-5.8818037531509493E-3</v>
      </c>
      <c r="F28" s="110">
        <f>表2_367162629303891213141523242526272831[[#This Row],[累计净值]]-0.0738</f>
        <v>0.99299999999999999</v>
      </c>
      <c r="G28" s="20">
        <f>表2_367162629303891213141523242526272831[[#This Row],[累计净值]]/$B$21-1</f>
        <v>-4.0145644664363322E-3</v>
      </c>
    </row>
    <row r="29" spans="1:7" x14ac:dyDescent="0.2">
      <c r="A29" s="15">
        <v>44161</v>
      </c>
      <c r="B29" s="112">
        <v>1.0674999999999999</v>
      </c>
      <c r="C29" s="108">
        <f t="shared" ref="C29:C34" si="4">IFERROR(B29-B28,0)</f>
        <v>6.9999999999992291E-4</v>
      </c>
      <c r="D29" s="109" t="str">
        <f t="shared" si="3"/>
        <v>/</v>
      </c>
      <c r="E29" s="109">
        <f ca="1">IF(表2_367162629303891213141523242526272831[[#This Row],[累计净值]]/MAX(INDIRECT("B21:B" &amp; ROW()))-1&lt;E28,表2_367162629303891213141523242526272831[[#This Row],[累计净值]]/MAX(INDIRECT("B21:B" &amp; ROW()))-1,E28)</f>
        <v>-5.8818037531509493E-3</v>
      </c>
      <c r="F29" s="110">
        <f>表2_367162629303891213141523242526272831[[#This Row],[累计净值]]-0.0738</f>
        <v>0.99369999999999992</v>
      </c>
      <c r="G29" s="20">
        <f>表2_367162629303891213141523242526272831[[#This Row],[累计净值]]/$B$21-1</f>
        <v>-3.3610307160862885E-3</v>
      </c>
    </row>
    <row r="30" spans="1:7" x14ac:dyDescent="0.2">
      <c r="A30" s="15">
        <v>44162</v>
      </c>
      <c r="B30" s="112">
        <v>1.0669999999999999</v>
      </c>
      <c r="C30" s="108">
        <f t="shared" si="4"/>
        <v>-4.9999999999994493E-4</v>
      </c>
      <c r="D30" s="109">
        <f t="shared" si="3"/>
        <v>-4.9999999999994493E-4</v>
      </c>
      <c r="E30" s="109">
        <f ca="1">IF(表2_367162629303891213141523242526272831[[#This Row],[累计净值]]/MAX(INDIRECT("B21:B" &amp; ROW()))-1&lt;E29,表2_367162629303891213141523242526272831[[#This Row],[累计净值]]/MAX(INDIRECT("B21:B" &amp; ROW()))-1,E29)</f>
        <v>-5.8818037531509493E-3</v>
      </c>
      <c r="F30" s="110">
        <f>表2_367162629303891213141523242526272831[[#This Row],[累计净值]]-0.0738</f>
        <v>0.99319999999999997</v>
      </c>
      <c r="G30" s="20">
        <f>表2_367162629303891213141523242526272831[[#This Row],[累计净值]]/$B$21-1</f>
        <v>-3.8278405377648594E-3</v>
      </c>
    </row>
    <row r="31" spans="1:7" x14ac:dyDescent="0.2">
      <c r="A31" s="15">
        <v>44165</v>
      </c>
      <c r="B31" s="112">
        <v>1.0644</v>
      </c>
      <c r="C31" s="108">
        <f t="shared" si="4"/>
        <v>-2.5999999999999357E-3</v>
      </c>
      <c r="D31" s="109">
        <f t="shared" si="3"/>
        <v>-2.5999999999999357E-3</v>
      </c>
      <c r="E31" s="109">
        <f ca="1">IF(表2_367162629303891213141523242526272831[[#This Row],[累计净值]]/MAX(INDIRECT("B21:B" &amp; ROW()))-1&lt;E30,表2_367162629303891213141523242526272831[[#This Row],[累计净值]]/MAX(INDIRECT("B21:B" &amp; ROW()))-1,E30)</f>
        <v>-6.2552516104937839E-3</v>
      </c>
      <c r="F31" s="110">
        <f>表2_367162629303891213141523242526272831[[#This Row],[累计净值]]-0.0738</f>
        <v>0.99060000000000004</v>
      </c>
      <c r="G31" s="20">
        <f>表2_367162629303891213141523242526272831[[#This Row],[累计净值]]/$B$21-1</f>
        <v>-6.2552516104937839E-3</v>
      </c>
    </row>
    <row r="32" spans="1:7" x14ac:dyDescent="0.2">
      <c r="A32" s="15">
        <v>44166</v>
      </c>
      <c r="B32" s="112">
        <v>1.071</v>
      </c>
      <c r="C32" s="108">
        <f t="shared" si="4"/>
        <v>6.5999999999999392E-3</v>
      </c>
      <c r="D32" s="109" t="str">
        <f t="shared" si="3"/>
        <v>/</v>
      </c>
      <c r="E32" s="109">
        <f ca="1">IF(表2_367162629303891213141523242526272831[[#This Row],[累计净值]]/MAX(INDIRECT("B21:B" &amp; ROW()))-1&lt;E31,表2_367162629303891213141523242526272831[[#This Row],[累计净值]]/MAX(INDIRECT("B21:B" &amp; ROW()))-1,E31)</f>
        <v>-6.2552516104937839E-3</v>
      </c>
      <c r="F32" s="110">
        <f>表2_367162629303891213141523242526272831[[#This Row],[累计净值]]-0.0738</f>
        <v>0.99719999999999998</v>
      </c>
      <c r="G32" s="20">
        <f>表2_367162629303891213141523242526272831[[#This Row],[累计净值]]/$B$21-1</f>
        <v>-9.3361964335736403E-5</v>
      </c>
    </row>
    <row r="33" spans="1:7" x14ac:dyDescent="0.2">
      <c r="A33" s="15">
        <v>44167</v>
      </c>
      <c r="B33" s="112">
        <v>1.0726</v>
      </c>
      <c r="C33" s="108">
        <f t="shared" si="4"/>
        <v>1.6000000000000458E-3</v>
      </c>
      <c r="D33" s="109" t="str">
        <f t="shared" si="3"/>
        <v>/</v>
      </c>
      <c r="E33" s="109">
        <f ca="1">IF(表2_367162629303891213141523242526272831[[#This Row],[累计净值]]/MAX(INDIRECT("B21:B" &amp; ROW()))-1&lt;E32,表2_367162629303891213141523242526272831[[#This Row],[累计净值]]/MAX(INDIRECT("B21:B" &amp; ROW()))-1,E32)</f>
        <v>-6.2552516104937839E-3</v>
      </c>
      <c r="F33" s="110">
        <f>表2_367162629303891213141523242526272831[[#This Row],[累计净值]]-0.0738</f>
        <v>0.99880000000000002</v>
      </c>
      <c r="G33" s="20">
        <f>表2_367162629303891213141523242526272831[[#This Row],[累计净值]]/$B$21-1</f>
        <v>1.400429465036046E-3</v>
      </c>
    </row>
    <row r="34" spans="1:7" x14ac:dyDescent="0.2">
      <c r="A34" s="15">
        <v>44168</v>
      </c>
      <c r="B34" s="112">
        <v>1.0737000000000001</v>
      </c>
      <c r="C34" s="108">
        <f t="shared" si="4"/>
        <v>1.1000000000001009E-3</v>
      </c>
      <c r="D34" s="109" t="str">
        <f t="shared" ref="D34:D39" si="5">IF(C34&lt;0,C34,"/")</f>
        <v>/</v>
      </c>
      <c r="E34" s="109">
        <f ca="1">IF(表2_367162629303891213141523242526272831[[#This Row],[累计净值]]/MAX(INDIRECT("B21:B" &amp; ROW()))-1&lt;E33,表2_367162629303891213141523242526272831[[#This Row],[累计净值]]/MAX(INDIRECT("B21:B" &amp; ROW()))-1,E33)</f>
        <v>-6.2552516104937839E-3</v>
      </c>
      <c r="F34" s="110">
        <f>表2_367162629303891213141523242526272831[[#This Row],[累计净值]]-0.0738</f>
        <v>0.99990000000000012</v>
      </c>
      <c r="G34" s="20">
        <f>表2_367162629303891213141523242526272831[[#This Row],[累计净值]]/$B$21-1</f>
        <v>2.4274110727291465E-3</v>
      </c>
    </row>
    <row r="35" spans="1:7" x14ac:dyDescent="0.2">
      <c r="A35" s="15">
        <v>44169</v>
      </c>
      <c r="B35" s="112">
        <v>1.0739000000000001</v>
      </c>
      <c r="C35" s="108">
        <f t="shared" ref="C35:C40" si="6">IFERROR(B35-B34,0)</f>
        <v>1.9999999999997797E-4</v>
      </c>
      <c r="D35" s="109" t="str">
        <f t="shared" si="5"/>
        <v>/</v>
      </c>
      <c r="E35" s="109">
        <f ca="1">IF(表2_367162629303891213141523242526272831[[#This Row],[累计净值]]/MAX(INDIRECT("B21:B" &amp; ROW()))-1&lt;E34,表2_367162629303891213141523242526272831[[#This Row],[累计净值]]/MAX(INDIRECT("B21:B" &amp; ROW()))-1,E34)</f>
        <v>-6.2552516104937839E-3</v>
      </c>
      <c r="F35" s="110">
        <f>表2_367162629303891213141523242526272831[[#This Row],[累计净值]]-0.0738</f>
        <v>1.0001</v>
      </c>
      <c r="G35" s="20">
        <f>表2_367162629303891213141523242526272831[[#This Row],[累计净值]]/$B$21-1</f>
        <v>2.6141350014006193E-3</v>
      </c>
    </row>
    <row r="36" spans="1:7" x14ac:dyDescent="0.2">
      <c r="A36" s="15">
        <v>44172</v>
      </c>
      <c r="B36" s="112">
        <v>1.0733999999999999</v>
      </c>
      <c r="C36" s="108">
        <f t="shared" si="6"/>
        <v>-5.0000000000016698E-4</v>
      </c>
      <c r="D36" s="109">
        <f t="shared" si="5"/>
        <v>-5.0000000000016698E-4</v>
      </c>
      <c r="E36" s="109">
        <f ca="1">IF(表2_367162629303891213141523242526272831[[#This Row],[累计净值]]/MAX(INDIRECT("B21:B" &amp; ROW()))-1&lt;E35,表2_367162629303891213141523242526272831[[#This Row],[累计净值]]/MAX(INDIRECT("B21:B" &amp; ROW()))-1,E35)</f>
        <v>-6.2552516104937839E-3</v>
      </c>
      <c r="F36" s="110">
        <f>表2_367162629303891213141523242526272831[[#This Row],[累计净值]]-0.0738</f>
        <v>0.99959999999999993</v>
      </c>
      <c r="G36" s="20">
        <f>表2_367162629303891213141523242526272831[[#This Row],[累计净值]]/$B$21-1</f>
        <v>2.1473251797217152E-3</v>
      </c>
    </row>
    <row r="37" spans="1:7" x14ac:dyDescent="0.2">
      <c r="A37" s="15">
        <v>44173</v>
      </c>
      <c r="B37" s="112">
        <v>1.0719000000000001</v>
      </c>
      <c r="C37" s="108">
        <f t="shared" si="6"/>
        <v>-1.4999999999998348E-3</v>
      </c>
      <c r="D37" s="109">
        <f t="shared" si="5"/>
        <v>-1.4999999999998348E-3</v>
      </c>
      <c r="E37" s="109">
        <f ca="1">IF(表2_367162629303891213141523242526272831[[#This Row],[累计净值]]/MAX(INDIRECT("B21:B" &amp; ROW()))-1&lt;E36,表2_367162629303891213141523242526272831[[#This Row],[累计净值]]/MAX(INDIRECT("B21:B" &amp; ROW()))-1,E36)</f>
        <v>-6.2552516104937839E-3</v>
      </c>
      <c r="F37" s="110">
        <f>表2_367162629303891213141523242526272831[[#This Row],[累计净值]]-0.0738</f>
        <v>0.9981000000000001</v>
      </c>
      <c r="G37" s="20">
        <f>表2_367162629303891213141523242526272831[[#This Row],[累计净值]]/$B$21-1</f>
        <v>7.4689571468589122E-4</v>
      </c>
    </row>
    <row r="38" spans="1:7" x14ac:dyDescent="0.2">
      <c r="A38" s="15">
        <v>44174</v>
      </c>
      <c r="B38" s="112">
        <v>1.0711999999999999</v>
      </c>
      <c r="C38" s="108">
        <f t="shared" si="6"/>
        <v>-7.0000000000014495E-4</v>
      </c>
      <c r="D38" s="109">
        <f t="shared" si="5"/>
        <v>-7.0000000000014495E-4</v>
      </c>
      <c r="E38" s="109">
        <f ca="1">IF(表2_367162629303891213141523242526272831[[#This Row],[累计净值]]/MAX(INDIRECT("B21:B" &amp; ROW()))-1&lt;E37,表2_367162629303891213141523242526272831[[#This Row],[累计净值]]/MAX(INDIRECT("B21:B" &amp; ROW()))-1,E37)</f>
        <v>-6.2552516104937839E-3</v>
      </c>
      <c r="F38" s="110">
        <f>表2_367162629303891213141523242526272831[[#This Row],[累计净值]]-0.0738</f>
        <v>0.99739999999999995</v>
      </c>
      <c r="G38" s="20">
        <f>表2_367162629303891213141523242526272831[[#This Row],[累计净值]]/$B$21-1</f>
        <v>9.3361964335736403E-5</v>
      </c>
    </row>
    <row r="39" spans="1:7" x14ac:dyDescent="0.2">
      <c r="A39" s="15">
        <v>44175</v>
      </c>
      <c r="B39" s="112">
        <v>1.0738000000000001</v>
      </c>
      <c r="C39" s="108">
        <f t="shared" si="6"/>
        <v>2.6000000000001577E-3</v>
      </c>
      <c r="D39" s="109" t="str">
        <f t="shared" si="5"/>
        <v>/</v>
      </c>
      <c r="E39" s="109">
        <f ca="1">IF(表2_367162629303891213141523242526272831[[#This Row],[累计净值]]/MAX(INDIRECT("B21:B" &amp; ROW()))-1&lt;E38,表2_367162629303891213141523242526272831[[#This Row],[累计净值]]/MAX(INDIRECT("B21:B" &amp; ROW()))-1,E38)</f>
        <v>-6.2552516104937839E-3</v>
      </c>
      <c r="F39" s="110">
        <f>表2_367162629303891213141523242526272831[[#This Row],[累计净值]]-0.0738</f>
        <v>1</v>
      </c>
      <c r="G39" s="20">
        <f>表2_367162629303891213141523242526272831[[#This Row],[累计净值]]/$B$21-1</f>
        <v>2.5207730370648829E-3</v>
      </c>
    </row>
    <row r="40" spans="1:7" x14ac:dyDescent="0.2">
      <c r="A40" s="15">
        <v>44176</v>
      </c>
      <c r="B40" s="112">
        <v>1.0755999999999999</v>
      </c>
      <c r="C40" s="108">
        <f t="shared" si="6"/>
        <v>1.7999999999998018E-3</v>
      </c>
      <c r="D40" s="109" t="str">
        <f t="shared" ref="D40:D45" si="7">IF(C40&lt;0,C40,"/")</f>
        <v>/</v>
      </c>
      <c r="E40" s="109">
        <f ca="1">IF(表2_367162629303891213141523242526272831[[#This Row],[累计净值]]/MAX(INDIRECT("B21:B" &amp; ROW()))-1&lt;E39,表2_367162629303891213141523242526272831[[#This Row],[累计净值]]/MAX(INDIRECT("B21:B" &amp; ROW()))-1,E39)</f>
        <v>-6.2552516104937839E-3</v>
      </c>
      <c r="F40" s="110">
        <f>表2_367162629303891213141523242526272831[[#This Row],[累计净值]]-0.0738</f>
        <v>1.0017999999999998</v>
      </c>
      <c r="G40" s="20">
        <f>表2_367162629303891213141523242526272831[[#This Row],[累计净值]]/$B$21-1</f>
        <v>4.201288395107694E-3</v>
      </c>
    </row>
    <row r="41" spans="1:7" x14ac:dyDescent="0.2">
      <c r="A41" s="15">
        <v>44179</v>
      </c>
      <c r="B41" s="112">
        <v>1.0760000000000001</v>
      </c>
      <c r="C41" s="108">
        <f t="shared" ref="C41:C47" si="8">IFERROR(B41-B40,0)</f>
        <v>4.0000000000017799E-4</v>
      </c>
      <c r="D41" s="109" t="str">
        <f t="shared" si="7"/>
        <v>/</v>
      </c>
      <c r="E41" s="109">
        <f ca="1">IF(表2_367162629303891213141523242526272831[[#This Row],[累计净值]]/MAX(INDIRECT("B21:B" &amp; ROW()))-1&lt;E40,表2_367162629303891213141523242526272831[[#This Row],[累计净值]]/MAX(INDIRECT("B21:B" &amp; ROW()))-1,E40)</f>
        <v>-6.2552516104937839E-3</v>
      </c>
      <c r="F41" s="110">
        <f>表2_367162629303891213141523242526272831[[#This Row],[累计净值]]-0.0738</f>
        <v>1.0022</v>
      </c>
      <c r="G41" s="20">
        <f>表2_367162629303891213141523242526272831[[#This Row],[累计净值]]/$B$21-1</f>
        <v>4.5747362524508617E-3</v>
      </c>
    </row>
    <row r="42" spans="1:7" x14ac:dyDescent="0.2">
      <c r="A42" s="15">
        <v>44180</v>
      </c>
      <c r="B42" s="112">
        <v>1.0745</v>
      </c>
      <c r="C42" s="108">
        <f t="shared" si="8"/>
        <v>-1.5000000000000568E-3</v>
      </c>
      <c r="D42" s="109">
        <f t="shared" si="7"/>
        <v>-1.5000000000000568E-3</v>
      </c>
      <c r="E42" s="109">
        <f ca="1">IF(表2_367162629303891213141523242526272831[[#This Row],[累计净值]]/MAX(INDIRECT("B21:B" &amp; ROW()))-1&lt;E41,表2_367162629303891213141523242526272831[[#This Row],[累计净值]]/MAX(INDIRECT("B21:B" &amp; ROW()))-1,E41)</f>
        <v>-6.2552516104937839E-3</v>
      </c>
      <c r="F42" s="110">
        <f>表2_367162629303891213141523242526272831[[#This Row],[累计净值]]-0.0738</f>
        <v>1.0006999999999999</v>
      </c>
      <c r="G42" s="20">
        <f>表2_367162629303891213141523242526272831[[#This Row],[累计净值]]/$B$21-1</f>
        <v>3.1743067874148156E-3</v>
      </c>
    </row>
    <row r="43" spans="1:7" x14ac:dyDescent="0.2">
      <c r="A43" s="15">
        <v>44181</v>
      </c>
      <c r="B43" s="113">
        <v>1.0738000000000001</v>
      </c>
      <c r="C43" s="108">
        <f t="shared" si="8"/>
        <v>-6.9999999999992291E-4</v>
      </c>
      <c r="D43" s="109">
        <f t="shared" si="7"/>
        <v>-6.9999999999992291E-4</v>
      </c>
      <c r="E43" s="109">
        <f ca="1">IF(表2_367162629303891213141523242526272831[[#This Row],[累计净值]]/MAX(INDIRECT("B21:B" &amp; ROW()))-1&lt;E42,表2_367162629303891213141523242526272831[[#This Row],[累计净值]]/MAX(INDIRECT("B21:B" &amp; ROW()))-1,E42)</f>
        <v>-6.2552516104937839E-3</v>
      </c>
      <c r="F43" s="110">
        <f>表2_367162629303891213141523242526272831[[#This Row],[累计净值]]-0.0738</f>
        <v>1</v>
      </c>
      <c r="G43" s="20">
        <f>表2_367162629303891213141523242526272831[[#This Row],[累计净值]]/$B$21-1</f>
        <v>2.5207730370648829E-3</v>
      </c>
    </row>
    <row r="44" spans="1:7" x14ac:dyDescent="0.2">
      <c r="A44" s="15">
        <v>44182</v>
      </c>
      <c r="B44" s="112">
        <v>1.0722</v>
      </c>
      <c r="C44" s="108">
        <f t="shared" si="8"/>
        <v>-1.6000000000000458E-3</v>
      </c>
      <c r="D44" s="109">
        <f t="shared" si="7"/>
        <v>-1.6000000000000458E-3</v>
      </c>
      <c r="E44" s="109">
        <f ca="1">IF(表2_367162629303891213141523242526272831[[#This Row],[累计净值]]/MAX(INDIRECT("B21:B" &amp; ROW()))-1&lt;E43,表2_367162629303891213141523242526272831[[#This Row],[累计净值]]/MAX(INDIRECT("B21:B" &amp; ROW()))-1,E43)</f>
        <v>-6.2552516104937839E-3</v>
      </c>
      <c r="F44" s="110">
        <f>表2_367162629303891213141523242526272831[[#This Row],[累计净值]]-0.0738</f>
        <v>0.99840000000000007</v>
      </c>
      <c r="G44" s="20">
        <f>表2_367162629303891213141523242526272831[[#This Row],[累计净值]]/$B$21-1</f>
        <v>1.0269816076931004E-3</v>
      </c>
    </row>
    <row r="45" spans="1:7" x14ac:dyDescent="0.2">
      <c r="A45" s="15">
        <v>44183</v>
      </c>
      <c r="B45" s="112">
        <v>1.0709</v>
      </c>
      <c r="C45" s="108">
        <f t="shared" si="8"/>
        <v>-1.3000000000000789E-3</v>
      </c>
      <c r="D45" s="109">
        <f t="shared" si="7"/>
        <v>-1.3000000000000789E-3</v>
      </c>
      <c r="E45" s="109">
        <f ca="1">IF(表2_367162629303891213141523242526272831[[#This Row],[累计净值]]/MAX(INDIRECT("B21:B" &amp; ROW()))-1&lt;E44,表2_367162629303891213141523242526272831[[#This Row],[累计净值]]/MAX(INDIRECT("B21:B" &amp; ROW()))-1,E44)</f>
        <v>-6.2552516104937839E-3</v>
      </c>
      <c r="F45" s="110">
        <f>表2_367162629303891213141523242526272831[[#This Row],[累计净值]]-0.0738</f>
        <v>0.99709999999999999</v>
      </c>
      <c r="G45" s="20">
        <f>表2_367162629303891213141523242526272831[[#This Row],[累计净值]]/$B$21-1</f>
        <v>-1.8672392867147281E-4</v>
      </c>
    </row>
    <row r="46" spans="1:7" x14ac:dyDescent="0.2">
      <c r="A46" s="15">
        <v>44186</v>
      </c>
      <c r="B46" s="112">
        <v>1.0760000000000001</v>
      </c>
      <c r="C46" s="108">
        <f t="shared" si="8"/>
        <v>5.1000000000001044E-3</v>
      </c>
      <c r="D46" s="109" t="str">
        <f t="shared" ref="D46:D51" si="9">IF(C46&lt;0,C46,"/")</f>
        <v>/</v>
      </c>
      <c r="E46" s="109">
        <f ca="1">IF(表2_367162629303891213141523242526272831[[#This Row],[累计净值]]/MAX(INDIRECT("B21:B" &amp; ROW()))-1&lt;E45,表2_367162629303891213141523242526272831[[#This Row],[累计净值]]/MAX(INDIRECT("B21:B" &amp; ROW()))-1,E45)</f>
        <v>-6.2552516104937839E-3</v>
      </c>
      <c r="F46" s="110">
        <f>表2_367162629303891213141523242526272831[[#This Row],[累计净值]]-0.0738</f>
        <v>1.0022</v>
      </c>
      <c r="G46" s="20">
        <f>表2_367162629303891213141523242526272831[[#This Row],[累计净值]]/$B$21-1</f>
        <v>4.5747362524508617E-3</v>
      </c>
    </row>
    <row r="47" spans="1:7" x14ac:dyDescent="0.2">
      <c r="A47" s="15">
        <v>44187</v>
      </c>
      <c r="B47" s="112">
        <v>1.0736000000000001</v>
      </c>
      <c r="C47" s="108">
        <f t="shared" si="8"/>
        <v>-2.3999999999999577E-3</v>
      </c>
      <c r="D47" s="109">
        <f t="shared" si="9"/>
        <v>-2.3999999999999577E-3</v>
      </c>
      <c r="E47" s="109">
        <f ca="1">IF(表2_367162629303891213141523242526272831[[#This Row],[累计净值]]/MAX(INDIRECT("B21:B" &amp; ROW()))-1&lt;E46,表2_367162629303891213141523242526272831[[#This Row],[累计净值]]/MAX(INDIRECT("B21:B" &amp; ROW()))-1,E46)</f>
        <v>-6.2552516104937839E-3</v>
      </c>
      <c r="F47" s="110">
        <f>表2_367162629303891213141523242526272831[[#This Row],[累计净值]]-0.0738</f>
        <v>0.99980000000000013</v>
      </c>
      <c r="G47" s="20">
        <f>表2_367162629303891213141523242526272831[[#This Row],[累计净值]]/$B$21-1</f>
        <v>2.3340491083934101E-3</v>
      </c>
    </row>
    <row r="48" spans="1:7" x14ac:dyDescent="0.2">
      <c r="A48" s="15">
        <v>44188</v>
      </c>
      <c r="B48" s="112">
        <v>1.0744</v>
      </c>
      <c r="C48" s="108">
        <f t="shared" ref="C48:C53" si="10">IFERROR(B48-B47,0)</f>
        <v>7.9999999999991189E-4</v>
      </c>
      <c r="D48" s="109" t="str">
        <f t="shared" si="9"/>
        <v>/</v>
      </c>
      <c r="E48" s="109">
        <f ca="1">IF(表2_367162629303891213141523242526272831[[#This Row],[累计净值]]/MAX(INDIRECT("B21:B" &amp; ROW()))-1&lt;E47,表2_367162629303891213141523242526272831[[#This Row],[累计净值]]/MAX(INDIRECT("B21:B" &amp; ROW()))-1,E47)</f>
        <v>-6.2552516104937839E-3</v>
      </c>
      <c r="F48" s="110">
        <f>表2_367162629303891213141523242526272831[[#This Row],[累计净值]]-0.0738</f>
        <v>1.0005999999999999</v>
      </c>
      <c r="G48" s="20">
        <f>表2_367162629303891213141523242526272831[[#This Row],[累计净值]]/$B$21-1</f>
        <v>3.0809448230790792E-3</v>
      </c>
    </row>
    <row r="49" spans="1:7" x14ac:dyDescent="0.2">
      <c r="A49" s="15">
        <v>44189</v>
      </c>
      <c r="B49" s="112">
        <v>1.0740000000000001</v>
      </c>
      <c r="C49" s="108">
        <f t="shared" si="10"/>
        <v>-3.9999999999995595E-4</v>
      </c>
      <c r="D49" s="109">
        <f t="shared" si="9"/>
        <v>-3.9999999999995595E-4</v>
      </c>
      <c r="E49" s="109">
        <f ca="1">IF(表2_367162629303891213141523242526272831[[#This Row],[累计净值]]/MAX(INDIRECT("B21:B" &amp; ROW()))-1&lt;E48,表2_367162629303891213141523242526272831[[#This Row],[累计净值]]/MAX(INDIRECT("B21:B" &amp; ROW()))-1,E48)</f>
        <v>-6.2552516104937839E-3</v>
      </c>
      <c r="F49" s="110">
        <f>表2_367162629303891213141523242526272831[[#This Row],[累计净值]]-0.0738</f>
        <v>1.0002</v>
      </c>
      <c r="G49" s="20">
        <f>表2_367162629303891213141523242526272831[[#This Row],[累计净值]]/$B$21-1</f>
        <v>2.7074969657363557E-3</v>
      </c>
    </row>
    <row r="50" spans="1:7" x14ac:dyDescent="0.2">
      <c r="A50" s="15">
        <v>44190</v>
      </c>
      <c r="B50" s="112">
        <v>1.0751999999999999</v>
      </c>
      <c r="C50" s="108">
        <f t="shared" si="10"/>
        <v>1.1999999999998678E-3</v>
      </c>
      <c r="D50" s="109" t="str">
        <f t="shared" si="9"/>
        <v>/</v>
      </c>
      <c r="E50" s="109">
        <f ca="1">IF(表2_367162629303891213141523242526272831[[#This Row],[累计净值]]/MAX(INDIRECT("B21:B" &amp; ROW()))-1&lt;E49,表2_367162629303891213141523242526272831[[#This Row],[累计净值]]/MAX(INDIRECT("B21:B" &amp; ROW()))-1,E49)</f>
        <v>-6.2552516104937839E-3</v>
      </c>
      <c r="F50" s="110">
        <f>表2_367162629303891213141523242526272831[[#This Row],[累计净值]]-0.0738</f>
        <v>1.0013999999999998</v>
      </c>
      <c r="G50" s="20">
        <f>表2_367162629303891213141523242526272831[[#This Row],[累计净值]]/$B$21-1</f>
        <v>3.8278405377649705E-3</v>
      </c>
    </row>
    <row r="51" spans="1:7" x14ac:dyDescent="0.2">
      <c r="A51" s="15">
        <v>44193</v>
      </c>
      <c r="B51" s="112">
        <v>1.0734999999999999</v>
      </c>
      <c r="C51" s="108">
        <f t="shared" si="10"/>
        <v>-1.7000000000000348E-3</v>
      </c>
      <c r="D51" s="109">
        <f t="shared" si="9"/>
        <v>-1.7000000000000348E-3</v>
      </c>
      <c r="E51" s="109">
        <f ca="1">IF(表2_367162629303891213141523242526272831[[#This Row],[累计净值]]/MAX(INDIRECT("B21:B" &amp; ROW()))-1&lt;E50,表2_367162629303891213141523242526272831[[#This Row],[累计净值]]/MAX(INDIRECT("B21:B" &amp; ROW()))-1,E50)</f>
        <v>-6.2552516104937839E-3</v>
      </c>
      <c r="F51" s="110">
        <f>表2_367162629303891213141523242526272831[[#This Row],[累计净值]]-0.0738</f>
        <v>0.99969999999999992</v>
      </c>
      <c r="G51" s="20">
        <f>表2_367162629303891213141523242526272831[[#This Row],[累计净值]]/$B$21-1</f>
        <v>2.2406871440574516E-3</v>
      </c>
    </row>
    <row r="52" spans="1:7" x14ac:dyDescent="0.2">
      <c r="A52" s="15">
        <v>44194</v>
      </c>
      <c r="B52" s="112">
        <v>1.0706</v>
      </c>
      <c r="C52" s="108">
        <f t="shared" si="10"/>
        <v>-2.8999999999999027E-3</v>
      </c>
      <c r="D52" s="109">
        <f t="shared" ref="D52:D57" si="11">IF(C52&lt;0,C52,"/")</f>
        <v>-2.8999999999999027E-3</v>
      </c>
      <c r="E52" s="109">
        <f ca="1">IF(表2_367162629303891213141523242526272831[[#This Row],[累计净值]]/MAX(INDIRECT("B21:B" &amp; ROW()))-1&lt;E51,表2_367162629303891213141523242526272831[[#This Row],[累计净值]]/MAX(INDIRECT("B21:B" &amp; ROW()))-1,E51)</f>
        <v>-6.2552516104937839E-3</v>
      </c>
      <c r="F52" s="110">
        <f>表2_367162629303891213141523242526272831[[#This Row],[累计净值]]-0.0738</f>
        <v>0.99680000000000002</v>
      </c>
      <c r="G52" s="20">
        <f>表2_367162629303891213141523242526272831[[#This Row],[累计净值]]/$B$21-1</f>
        <v>-4.6680982167857099E-4</v>
      </c>
    </row>
    <row r="53" spans="1:7" x14ac:dyDescent="0.2">
      <c r="A53" s="15">
        <v>44195</v>
      </c>
      <c r="B53" s="112">
        <v>1.0753999999999999</v>
      </c>
      <c r="C53" s="108">
        <f t="shared" si="10"/>
        <v>4.7999999999999154E-3</v>
      </c>
      <c r="D53" s="109" t="str">
        <f t="shared" si="11"/>
        <v>/</v>
      </c>
      <c r="E53" s="109">
        <f ca="1">IF(表2_367162629303891213141523242526272831[[#This Row],[累计净值]]/MAX(INDIRECT("B21:B" &amp; ROW()))-1&lt;E52,表2_367162629303891213141523242526272831[[#This Row],[累计净值]]/MAX(INDIRECT("B21:B" &amp; ROW()))-1,E52)</f>
        <v>-6.2552516104937839E-3</v>
      </c>
      <c r="F53" s="110">
        <f>表2_367162629303891213141523242526272831[[#This Row],[累计净值]]-0.0738</f>
        <v>1.0015999999999998</v>
      </c>
      <c r="G53" s="20">
        <f>表2_367162629303891213141523242526272831[[#This Row],[累计净值]]/$B$21-1</f>
        <v>4.0145644664364433E-3</v>
      </c>
    </row>
    <row r="54" spans="1:7" x14ac:dyDescent="0.2">
      <c r="A54" s="15">
        <v>44196</v>
      </c>
      <c r="B54" s="112">
        <v>1.0704</v>
      </c>
      <c r="C54" s="108">
        <f t="shared" ref="C54:C59" si="12">IFERROR(B54-B53,0)</f>
        <v>-4.9999999999998934E-3</v>
      </c>
      <c r="D54" s="109">
        <f t="shared" si="11"/>
        <v>-4.9999999999998934E-3</v>
      </c>
      <c r="E54" s="109">
        <f ca="1">IF(表2_367162629303891213141523242526272831[[#This Row],[累计净值]]/MAX(INDIRECT("B21:B" &amp; ROW()))-1&lt;E53,表2_367162629303891213141523242526272831[[#This Row],[累计净值]]/MAX(INDIRECT("B21:B" &amp; ROW()))-1,E53)</f>
        <v>-6.2552516104937839E-3</v>
      </c>
      <c r="F54" s="110">
        <f>表2_367162629303891213141523242526272831[[#This Row],[累计净值]]-0.0738</f>
        <v>0.99660000000000004</v>
      </c>
      <c r="G54" s="20">
        <f>表2_367162629303891213141523242526272831[[#This Row],[累计净值]]/$B$21-1</f>
        <v>-6.535337503500438E-4</v>
      </c>
    </row>
    <row r="55" spans="1:7" x14ac:dyDescent="0.2">
      <c r="A55" s="15">
        <v>44200</v>
      </c>
      <c r="B55" s="112">
        <v>1.0780000000000001</v>
      </c>
      <c r="C55" s="108">
        <f t="shared" si="12"/>
        <v>7.6000000000000512E-3</v>
      </c>
      <c r="D55" s="109" t="str">
        <f t="shared" si="11"/>
        <v>/</v>
      </c>
      <c r="E55" s="109">
        <f ca="1">IF(表2_367162629303891213141523242526272831[[#This Row],[累计净值]]/MAX(INDIRECT("B21:B" &amp; ROW()))-1&lt;E54,表2_367162629303891213141523242526272831[[#This Row],[累计净值]]/MAX(INDIRECT("B21:B" &amp; ROW()))-1,E54)</f>
        <v>-6.2552516104937839E-3</v>
      </c>
      <c r="F55" s="110">
        <f>表2_367162629303891213141523242526272831[[#This Row],[累计净值]]-0.0738</f>
        <v>1.0042</v>
      </c>
      <c r="G55" s="20">
        <f>表2_367162629303891213141523242526272831[[#This Row],[累计净值]]/$B$21-1</f>
        <v>6.4419755391653677E-3</v>
      </c>
    </row>
    <row r="56" spans="1:7" x14ac:dyDescent="0.2">
      <c r="A56" s="15">
        <v>44201</v>
      </c>
      <c r="B56" s="112">
        <v>1.0804</v>
      </c>
      <c r="C56" s="108">
        <f t="shared" si="12"/>
        <v>2.3999999999999577E-3</v>
      </c>
      <c r="D56" s="109" t="str">
        <f t="shared" si="11"/>
        <v>/</v>
      </c>
      <c r="E56" s="109">
        <f ca="1">IF(表2_367162629303891213141523242526272831[[#This Row],[累计净值]]/MAX(INDIRECT("B21:B" &amp; ROW()))-1&lt;E55,表2_367162629303891213141523242526272831[[#This Row],[累计净值]]/MAX(INDIRECT("B21:B" &amp; ROW()))-1,E55)</f>
        <v>-6.2552516104937839E-3</v>
      </c>
      <c r="F56" s="110">
        <f>表2_367162629303891213141523242526272831[[#This Row],[累计净值]]-0.0738</f>
        <v>1.0065999999999999</v>
      </c>
      <c r="G56" s="20">
        <f>表2_367162629303891213141523242526272831[[#This Row],[累计净值]]/$B$21-1</f>
        <v>8.6826626832230414E-3</v>
      </c>
    </row>
    <row r="57" spans="1:7" x14ac:dyDescent="0.2">
      <c r="A57" s="15">
        <v>44202</v>
      </c>
      <c r="B57" s="112">
        <v>1.0824</v>
      </c>
      <c r="C57" s="108">
        <f t="shared" si="12"/>
        <v>2.0000000000000018E-3</v>
      </c>
      <c r="D57" s="109" t="str">
        <f t="shared" si="11"/>
        <v>/</v>
      </c>
      <c r="E57" s="109">
        <f ca="1">IF(表2_367162629303891213141523242526272831[[#This Row],[累计净值]]/MAX(INDIRECT("B21:B" &amp; ROW()))-1&lt;E56,表2_367162629303891213141523242526272831[[#This Row],[累计净值]]/MAX(INDIRECT("B21:B" &amp; ROW()))-1,E56)</f>
        <v>-6.2552516104937839E-3</v>
      </c>
      <c r="F57" s="110">
        <f>表2_367162629303891213141523242526272831[[#This Row],[累计净值]]-0.0738</f>
        <v>1.0085999999999999</v>
      </c>
      <c r="G57" s="20">
        <f>表2_367162629303891213141523242526272831[[#This Row],[累计净值]]/$B$21-1</f>
        <v>1.0549901969937547E-2</v>
      </c>
    </row>
    <row r="58" spans="1:7" x14ac:dyDescent="0.2">
      <c r="A58" s="15">
        <v>44203</v>
      </c>
      <c r="B58" s="112">
        <v>1.0934999999999999</v>
      </c>
      <c r="C58" s="108">
        <f t="shared" si="12"/>
        <v>1.1099999999999888E-2</v>
      </c>
      <c r="D58" s="109" t="str">
        <f>IF(C58&lt;0,C58,"/")</f>
        <v>/</v>
      </c>
      <c r="E58" s="109">
        <f ca="1">IF(表2_367162629303891213141523242526272831[[#This Row],[累计净值]]/MAX(INDIRECT("B21:B" &amp; ROW()))-1&lt;E57,表2_367162629303891213141523242526272831[[#This Row],[累计净值]]/MAX(INDIRECT("B21:B" &amp; ROW()))-1,E57)</f>
        <v>-6.2552516104937839E-3</v>
      </c>
      <c r="F58" s="110">
        <f>表2_367162629303891213141523242526272831[[#This Row],[累计净值]]-0.0738</f>
        <v>1.0196999999999998</v>
      </c>
      <c r="G58" s="20">
        <f>表2_367162629303891213141523242526272831[[#This Row],[累计净值]]/$B$21-1</f>
        <v>2.09130800112034E-2</v>
      </c>
    </row>
    <row r="59" spans="1:7" x14ac:dyDescent="0.2">
      <c r="A59" s="15">
        <v>44204</v>
      </c>
      <c r="B59" s="112">
        <v>1.0996999999999999</v>
      </c>
      <c r="C59" s="108">
        <f t="shared" si="12"/>
        <v>6.1999999999999833E-3</v>
      </c>
      <c r="D59" s="109" t="str">
        <f>IF(C59&lt;0,C59,"/")</f>
        <v>/</v>
      </c>
      <c r="E59" s="109">
        <f ca="1">IF(表2_367162629303891213141523242526272831[[#This Row],[累计净值]]/MAX(INDIRECT("B21:B" &amp; ROW()))-1&lt;E58,表2_367162629303891213141523242526272831[[#This Row],[累计净值]]/MAX(INDIRECT("B21:B" &amp; ROW()))-1,E58)</f>
        <v>-6.2552516104937839E-3</v>
      </c>
      <c r="F59" s="110">
        <f>表2_367162629303891213141523242526272831[[#This Row],[累计净值]]-0.0738</f>
        <v>1.0258999999999998</v>
      </c>
      <c r="G59" s="20">
        <f>表2_367162629303891213141523242526272831[[#This Row],[累计净值]]/$B$21-1</f>
        <v>2.6701521800018613E-2</v>
      </c>
    </row>
    <row r="60" spans="1:7" x14ac:dyDescent="0.2">
      <c r="A60" s="15">
        <v>44207</v>
      </c>
      <c r="B60" s="112">
        <v>1.0960000000000001</v>
      </c>
      <c r="C60" s="108">
        <f>IFERROR(B60-B59,0)</f>
        <v>-3.6999999999998145E-3</v>
      </c>
      <c r="D60" s="109">
        <f>IF(C60&lt;0,C60,"/")</f>
        <v>-3.6999999999998145E-3</v>
      </c>
      <c r="E60" s="109">
        <f ca="1">IF(表2_367162629303891213141523242526272831[[#This Row],[累计净值]]/MAX(INDIRECT("B21:B" &amp; ROW()))-1&lt;E59,表2_367162629303891213141523242526272831[[#This Row],[累计净值]]/MAX(INDIRECT("B21:B" &amp; ROW()))-1,E59)</f>
        <v>-6.2552516104937839E-3</v>
      </c>
      <c r="F60" s="110">
        <f>表2_367162629303891213141523242526272831[[#This Row],[累计净值]]-0.0738</f>
        <v>1.0222</v>
      </c>
      <c r="G60" s="20">
        <f>表2_367162629303891213141523242526272831[[#This Row],[累计净值]]/$B$21-1</f>
        <v>2.324712911959681E-2</v>
      </c>
    </row>
    <row r="61" spans="1:7" x14ac:dyDescent="0.2">
      <c r="A61" s="15">
        <v>44208</v>
      </c>
      <c r="B61" s="112">
        <v>1.0994999999999999</v>
      </c>
      <c r="C61" s="108">
        <f>IFERROR(B61-B60,0)</f>
        <v>3.4999999999998366E-3</v>
      </c>
      <c r="D61" s="109" t="str">
        <f>IF(C61&lt;0,C61,"/")</f>
        <v>/</v>
      </c>
      <c r="E61" s="109">
        <f ca="1">IF(表2_367162629303891213141523242526272831[[#This Row],[累计净值]]/MAX(INDIRECT("B21:B" &amp; ROW()))-1&lt;E60,表2_367162629303891213141523242526272831[[#This Row],[累计净值]]/MAX(INDIRECT("B21:B" &amp; ROW()))-1,E60)</f>
        <v>-6.2552516104937839E-3</v>
      </c>
      <c r="F61" s="110">
        <f>表2_367162629303891213141523242526272831[[#This Row],[累计净值]]-0.0738</f>
        <v>1.0256999999999998</v>
      </c>
      <c r="G61" s="20">
        <f>表2_367162629303891213141523242526272831[[#This Row],[累计净值]]/$B$21-1</f>
        <v>2.651479787134714E-2</v>
      </c>
    </row>
    <row r="62" spans="1:7" x14ac:dyDescent="0.2">
      <c r="A62" s="15">
        <v>44209</v>
      </c>
      <c r="B62" s="112">
        <v>1.0985</v>
      </c>
      <c r="C62" s="108">
        <f>IFERROR(B62-B61,0)</f>
        <v>-9.9999999999988987E-4</v>
      </c>
      <c r="D62" s="109">
        <f>IF(C62&lt;0,C62,"/")</f>
        <v>-9.9999999999988987E-4</v>
      </c>
      <c r="E62" s="109">
        <f ca="1">IF(表2_367162629303891213141523242526272831[[#This Row],[累计净值]]/MAX(INDIRECT("B21:B" &amp; ROW()))-1&lt;E61,表2_367162629303891213141523242526272831[[#This Row],[累计净值]]/MAX(INDIRECT("B21:B" &amp; ROW()))-1,E61)</f>
        <v>-6.2552516104937839E-3</v>
      </c>
      <c r="F62" s="110">
        <f>表2_367162629303891213141523242526272831[[#This Row],[累计净值]]-0.0738</f>
        <v>1.0246999999999999</v>
      </c>
      <c r="G62" s="20">
        <f>表2_367162629303891213141523242526272831[[#This Row],[累计净值]]/$B$21-1</f>
        <v>2.5581178227989998E-2</v>
      </c>
    </row>
    <row r="63" spans="1:7" x14ac:dyDescent="0.2">
      <c r="A63" s="15">
        <v>44210</v>
      </c>
      <c r="B63" s="112"/>
      <c r="C63" s="108">
        <f t="shared" ref="C63:C92" si="13">IFERROR(B63-B62,0)</f>
        <v>-1.0985</v>
      </c>
      <c r="D63" s="109">
        <f t="shared" ref="D63:D92" si="14">IF(C63&lt;0,C63,"/")</f>
        <v>-1.0985</v>
      </c>
      <c r="E63" s="109">
        <f ca="1">IF(表2_367162629303891213141523242526272831[[#This Row],[累计净值]]/MAX(INDIRECT("B21:B" &amp; ROW()))-1&lt;E62,表2_367162629303891213141523242526272831[[#This Row],[累计净值]]/MAX(INDIRECT("B21:B" &amp; ROW()))-1,E62)</f>
        <v>-1</v>
      </c>
      <c r="F63" s="110">
        <f>表2_367162629303891213141523242526272831[[#This Row],[累计净值]]-0.0738</f>
        <v>-7.3800000000000004E-2</v>
      </c>
      <c r="G63" s="118"/>
    </row>
    <row r="64" spans="1:7" x14ac:dyDescent="0.2">
      <c r="A64" s="15">
        <v>44211</v>
      </c>
      <c r="B64" s="112"/>
      <c r="C64" s="108">
        <f t="shared" si="13"/>
        <v>0</v>
      </c>
      <c r="D64" s="109" t="str">
        <f t="shared" si="14"/>
        <v>/</v>
      </c>
      <c r="E64" s="109">
        <f ca="1">IF(表2_367162629303891213141523242526272831[[#This Row],[累计净值]]/MAX(INDIRECT("B21:B" &amp; ROW()))-1&lt;E63,表2_367162629303891213141523242526272831[[#This Row],[累计净值]]/MAX(INDIRECT("B21:B" &amp; ROW()))-1,E63)</f>
        <v>-1</v>
      </c>
      <c r="F64" s="110">
        <f>表2_367162629303891213141523242526272831[[#This Row],[累计净值]]-0.0738</f>
        <v>-7.3800000000000004E-2</v>
      </c>
      <c r="G64" s="118"/>
    </row>
    <row r="65" spans="1:7" x14ac:dyDescent="0.2">
      <c r="A65" s="15">
        <v>44214</v>
      </c>
      <c r="B65" s="112"/>
      <c r="C65" s="108">
        <f t="shared" si="13"/>
        <v>0</v>
      </c>
      <c r="D65" s="109" t="str">
        <f t="shared" si="14"/>
        <v>/</v>
      </c>
      <c r="E65" s="109">
        <f ca="1">IF(表2_367162629303891213141523242526272831[[#This Row],[累计净值]]/MAX(INDIRECT("B21:B" &amp; ROW()))-1&lt;E64,表2_367162629303891213141523242526272831[[#This Row],[累计净值]]/MAX(INDIRECT("B21:B" &amp; ROW()))-1,E64)</f>
        <v>-1</v>
      </c>
      <c r="F65" s="110">
        <f>表2_367162629303891213141523242526272831[[#This Row],[累计净值]]-0.0738</f>
        <v>-7.3800000000000004E-2</v>
      </c>
      <c r="G65" s="118"/>
    </row>
    <row r="66" spans="1:7" x14ac:dyDescent="0.2">
      <c r="A66" s="15">
        <v>44215</v>
      </c>
      <c r="B66" s="112"/>
      <c r="C66" s="108">
        <f t="shared" si="13"/>
        <v>0</v>
      </c>
      <c r="D66" s="109" t="str">
        <f t="shared" si="14"/>
        <v>/</v>
      </c>
      <c r="E66" s="109">
        <f ca="1">IF(表2_367162629303891213141523242526272831[[#This Row],[累计净值]]/MAX(INDIRECT("B21:B" &amp; ROW()))-1&lt;E65,表2_367162629303891213141523242526272831[[#This Row],[累计净值]]/MAX(INDIRECT("B21:B" &amp; ROW()))-1,E65)</f>
        <v>-1</v>
      </c>
      <c r="F66" s="110">
        <f>表2_367162629303891213141523242526272831[[#This Row],[累计净值]]-0.0738</f>
        <v>-7.3800000000000004E-2</v>
      </c>
      <c r="G66" s="118"/>
    </row>
    <row r="67" spans="1:7" x14ac:dyDescent="0.2">
      <c r="A67" s="15">
        <v>44216</v>
      </c>
      <c r="B67" s="112"/>
      <c r="C67" s="108">
        <f t="shared" si="13"/>
        <v>0</v>
      </c>
      <c r="D67" s="109" t="str">
        <f t="shared" si="14"/>
        <v>/</v>
      </c>
      <c r="E67" s="109">
        <f ca="1">IF(表2_367162629303891213141523242526272831[[#This Row],[累计净值]]/MAX(INDIRECT("B21:B" &amp; ROW()))-1&lt;E66,表2_367162629303891213141523242526272831[[#This Row],[累计净值]]/MAX(INDIRECT("B21:B" &amp; ROW()))-1,E66)</f>
        <v>-1</v>
      </c>
      <c r="F67" s="110">
        <f>表2_367162629303891213141523242526272831[[#This Row],[累计净值]]-0.0738</f>
        <v>-7.3800000000000004E-2</v>
      </c>
      <c r="G67" s="118"/>
    </row>
    <row r="68" spans="1:7" x14ac:dyDescent="0.2">
      <c r="A68" s="15">
        <v>44217</v>
      </c>
      <c r="B68" s="112"/>
      <c r="C68" s="108">
        <f t="shared" si="13"/>
        <v>0</v>
      </c>
      <c r="D68" s="109" t="str">
        <f t="shared" si="14"/>
        <v>/</v>
      </c>
      <c r="E68" s="109">
        <f ca="1">IF(表2_367162629303891213141523242526272831[[#This Row],[累计净值]]/MAX(INDIRECT("B21:B" &amp; ROW()))-1&lt;E67,表2_367162629303891213141523242526272831[[#This Row],[累计净值]]/MAX(INDIRECT("B21:B" &amp; ROW()))-1,E67)</f>
        <v>-1</v>
      </c>
      <c r="F68" s="110">
        <f>表2_367162629303891213141523242526272831[[#This Row],[累计净值]]-0.0738</f>
        <v>-7.3800000000000004E-2</v>
      </c>
      <c r="G68" s="118"/>
    </row>
    <row r="69" spans="1:7" x14ac:dyDescent="0.2">
      <c r="A69" s="15">
        <v>44218</v>
      </c>
      <c r="B69" s="112"/>
      <c r="C69" s="108">
        <f t="shared" si="13"/>
        <v>0</v>
      </c>
      <c r="D69" s="109" t="str">
        <f t="shared" si="14"/>
        <v>/</v>
      </c>
      <c r="E69" s="109">
        <f ca="1">IF(表2_367162629303891213141523242526272831[[#This Row],[累计净值]]/MAX(INDIRECT("B21:B" &amp; ROW()))-1&lt;E68,表2_367162629303891213141523242526272831[[#This Row],[累计净值]]/MAX(INDIRECT("B21:B" &amp; ROW()))-1,E68)</f>
        <v>-1</v>
      </c>
      <c r="F69" s="110">
        <f>表2_367162629303891213141523242526272831[[#This Row],[累计净值]]-0.0738</f>
        <v>-7.3800000000000004E-2</v>
      </c>
      <c r="G69" s="118"/>
    </row>
    <row r="70" spans="1:7" x14ac:dyDescent="0.2">
      <c r="A70" s="15">
        <v>44221</v>
      </c>
      <c r="B70" s="112"/>
      <c r="C70" s="108">
        <f t="shared" si="13"/>
        <v>0</v>
      </c>
      <c r="D70" s="109" t="str">
        <f t="shared" si="14"/>
        <v>/</v>
      </c>
      <c r="E70" s="109">
        <f ca="1">IF(表2_367162629303891213141523242526272831[[#This Row],[累计净值]]/MAX(INDIRECT("B21:B" &amp; ROW()))-1&lt;E69,表2_367162629303891213141523242526272831[[#This Row],[累计净值]]/MAX(INDIRECT("B21:B" &amp; ROW()))-1,E69)</f>
        <v>-1</v>
      </c>
      <c r="F70" s="110">
        <f>表2_367162629303891213141523242526272831[[#This Row],[累计净值]]-0.0738</f>
        <v>-7.3800000000000004E-2</v>
      </c>
      <c r="G70" s="118"/>
    </row>
    <row r="71" spans="1:7" x14ac:dyDescent="0.2">
      <c r="A71" s="15">
        <v>44222</v>
      </c>
      <c r="B71" s="112"/>
      <c r="C71" s="108">
        <f t="shared" si="13"/>
        <v>0</v>
      </c>
      <c r="D71" s="109" t="str">
        <f t="shared" si="14"/>
        <v>/</v>
      </c>
      <c r="E71" s="109">
        <f ca="1">IF(表2_367162629303891213141523242526272831[[#This Row],[累计净值]]/MAX(INDIRECT("B21:B" &amp; ROW()))-1&lt;E70,表2_367162629303891213141523242526272831[[#This Row],[累计净值]]/MAX(INDIRECT("B21:B" &amp; ROW()))-1,E70)</f>
        <v>-1</v>
      </c>
      <c r="F71" s="110">
        <f>表2_367162629303891213141523242526272831[[#This Row],[累计净值]]-0.0738</f>
        <v>-7.3800000000000004E-2</v>
      </c>
      <c r="G71" s="118"/>
    </row>
    <row r="72" spans="1:7" x14ac:dyDescent="0.2">
      <c r="A72" s="15">
        <v>44223</v>
      </c>
      <c r="B72" s="112"/>
      <c r="C72" s="108">
        <f t="shared" si="13"/>
        <v>0</v>
      </c>
      <c r="D72" s="109" t="str">
        <f t="shared" si="14"/>
        <v>/</v>
      </c>
      <c r="E72" s="109">
        <f ca="1">IF(表2_367162629303891213141523242526272831[[#This Row],[累计净值]]/MAX(INDIRECT("B21:B" &amp; ROW()))-1&lt;E71,表2_367162629303891213141523242526272831[[#This Row],[累计净值]]/MAX(INDIRECT("B21:B" &amp; ROW()))-1,E71)</f>
        <v>-1</v>
      </c>
      <c r="F72" s="110">
        <f>表2_367162629303891213141523242526272831[[#This Row],[累计净值]]-0.0738</f>
        <v>-7.3800000000000004E-2</v>
      </c>
      <c r="G72" s="118"/>
    </row>
    <row r="73" spans="1:7" x14ac:dyDescent="0.2">
      <c r="A73" s="15">
        <v>44224</v>
      </c>
      <c r="B73" s="112"/>
      <c r="C73" s="108">
        <f t="shared" si="13"/>
        <v>0</v>
      </c>
      <c r="D73" s="109" t="str">
        <f t="shared" si="14"/>
        <v>/</v>
      </c>
      <c r="E73" s="109">
        <f ca="1">IF(表2_367162629303891213141523242526272831[[#This Row],[累计净值]]/MAX(INDIRECT("B21:B" &amp; ROW()))-1&lt;E72,表2_367162629303891213141523242526272831[[#This Row],[累计净值]]/MAX(INDIRECT("B21:B" &amp; ROW()))-1,E72)</f>
        <v>-1</v>
      </c>
      <c r="F73" s="110">
        <f>表2_367162629303891213141523242526272831[[#This Row],[累计净值]]-0.0738</f>
        <v>-7.3800000000000004E-2</v>
      </c>
      <c r="G73" s="118"/>
    </row>
    <row r="74" spans="1:7" x14ac:dyDescent="0.2">
      <c r="A74" s="15">
        <v>44225</v>
      </c>
      <c r="B74" s="112"/>
      <c r="C74" s="108">
        <f t="shared" si="13"/>
        <v>0</v>
      </c>
      <c r="D74" s="109" t="str">
        <f t="shared" si="14"/>
        <v>/</v>
      </c>
      <c r="E74" s="109">
        <f ca="1">IF(表2_367162629303891213141523242526272831[[#This Row],[累计净值]]/MAX(INDIRECT("B21:B" &amp; ROW()))-1&lt;E73,表2_367162629303891213141523242526272831[[#This Row],[累计净值]]/MAX(INDIRECT("B21:B" &amp; ROW()))-1,E73)</f>
        <v>-1</v>
      </c>
      <c r="F74" s="110">
        <f>表2_367162629303891213141523242526272831[[#This Row],[累计净值]]-0.0738</f>
        <v>-7.3800000000000004E-2</v>
      </c>
      <c r="G74" s="118"/>
    </row>
    <row r="75" spans="1:7" x14ac:dyDescent="0.2">
      <c r="A75" s="15">
        <v>44228</v>
      </c>
      <c r="B75" s="112"/>
      <c r="C75" s="108">
        <f t="shared" si="13"/>
        <v>0</v>
      </c>
      <c r="D75" s="109" t="str">
        <f t="shared" si="14"/>
        <v>/</v>
      </c>
      <c r="E75" s="109">
        <f ca="1">IF(表2_367162629303891213141523242526272831[[#This Row],[累计净值]]/MAX(INDIRECT("B21:B" &amp; ROW()))-1&lt;E74,表2_367162629303891213141523242526272831[[#This Row],[累计净值]]/MAX(INDIRECT("B21:B" &amp; ROW()))-1,E74)</f>
        <v>-1</v>
      </c>
      <c r="F75" s="110">
        <f>表2_367162629303891213141523242526272831[[#This Row],[累计净值]]-0.0738</f>
        <v>-7.3800000000000004E-2</v>
      </c>
      <c r="G75" s="118"/>
    </row>
    <row r="76" spans="1:7" x14ac:dyDescent="0.2">
      <c r="A76" s="15">
        <v>44229</v>
      </c>
      <c r="B76" s="112"/>
      <c r="C76" s="108">
        <f t="shared" si="13"/>
        <v>0</v>
      </c>
      <c r="D76" s="109" t="str">
        <f t="shared" si="14"/>
        <v>/</v>
      </c>
      <c r="E76" s="109">
        <f ca="1">IF(表2_367162629303891213141523242526272831[[#This Row],[累计净值]]/MAX(INDIRECT("B21:B" &amp; ROW()))-1&lt;E75,表2_367162629303891213141523242526272831[[#This Row],[累计净值]]/MAX(INDIRECT("B21:B" &amp; ROW()))-1,E75)</f>
        <v>-1</v>
      </c>
      <c r="F76" s="110">
        <f>表2_367162629303891213141523242526272831[[#This Row],[累计净值]]-0.0738</f>
        <v>-7.3800000000000004E-2</v>
      </c>
      <c r="G76" s="118"/>
    </row>
    <row r="77" spans="1:7" x14ac:dyDescent="0.2">
      <c r="A77" s="15">
        <v>44230</v>
      </c>
      <c r="B77" s="112"/>
      <c r="C77" s="108">
        <f t="shared" si="13"/>
        <v>0</v>
      </c>
      <c r="D77" s="109" t="str">
        <f t="shared" si="14"/>
        <v>/</v>
      </c>
      <c r="E77" s="109">
        <f ca="1">IF(表2_367162629303891213141523242526272831[[#This Row],[累计净值]]/MAX(INDIRECT("B21:B" &amp; ROW()))-1&lt;E76,表2_367162629303891213141523242526272831[[#This Row],[累计净值]]/MAX(INDIRECT("B21:B" &amp; ROW()))-1,E76)</f>
        <v>-1</v>
      </c>
      <c r="F77" s="110">
        <f>表2_367162629303891213141523242526272831[[#This Row],[累计净值]]-0.0738</f>
        <v>-7.3800000000000004E-2</v>
      </c>
      <c r="G77" s="118"/>
    </row>
    <row r="78" spans="1:7" x14ac:dyDescent="0.2">
      <c r="A78" s="15">
        <v>44231</v>
      </c>
      <c r="B78" s="112"/>
      <c r="C78" s="108">
        <f t="shared" si="13"/>
        <v>0</v>
      </c>
      <c r="D78" s="109" t="str">
        <f t="shared" si="14"/>
        <v>/</v>
      </c>
      <c r="E78" s="109">
        <f ca="1">IF(表2_367162629303891213141523242526272831[[#This Row],[累计净值]]/MAX(INDIRECT("B21:B" &amp; ROW()))-1&lt;E77,表2_367162629303891213141523242526272831[[#This Row],[累计净值]]/MAX(INDIRECT("B21:B" &amp; ROW()))-1,E77)</f>
        <v>-1</v>
      </c>
      <c r="F78" s="110">
        <f>表2_367162629303891213141523242526272831[[#This Row],[累计净值]]-0.0738</f>
        <v>-7.3800000000000004E-2</v>
      </c>
      <c r="G78" s="118"/>
    </row>
    <row r="79" spans="1:7" x14ac:dyDescent="0.2">
      <c r="A79" s="15">
        <v>44232</v>
      </c>
      <c r="B79" s="112"/>
      <c r="C79" s="108">
        <f t="shared" si="13"/>
        <v>0</v>
      </c>
      <c r="D79" s="109" t="str">
        <f t="shared" si="14"/>
        <v>/</v>
      </c>
      <c r="E79" s="109">
        <f ca="1">IF(表2_367162629303891213141523242526272831[[#This Row],[累计净值]]/MAX(INDIRECT("B21:B" &amp; ROW()))-1&lt;E78,表2_367162629303891213141523242526272831[[#This Row],[累计净值]]/MAX(INDIRECT("B21:B" &amp; ROW()))-1,E78)</f>
        <v>-1</v>
      </c>
      <c r="F79" s="110">
        <f>表2_367162629303891213141523242526272831[[#This Row],[累计净值]]-0.0738</f>
        <v>-7.3800000000000004E-2</v>
      </c>
      <c r="G79" s="118"/>
    </row>
    <row r="80" spans="1:7" x14ac:dyDescent="0.2">
      <c r="A80" s="15">
        <v>44235</v>
      </c>
      <c r="B80" s="112"/>
      <c r="C80" s="108">
        <f t="shared" si="13"/>
        <v>0</v>
      </c>
      <c r="D80" s="109" t="str">
        <f t="shared" si="14"/>
        <v>/</v>
      </c>
      <c r="E80" s="109">
        <f ca="1">IF(表2_367162629303891213141523242526272831[[#This Row],[累计净值]]/MAX(INDIRECT("B21:B" &amp; ROW()))-1&lt;E79,表2_367162629303891213141523242526272831[[#This Row],[累计净值]]/MAX(INDIRECT("B21:B" &amp; ROW()))-1,E79)</f>
        <v>-1</v>
      </c>
      <c r="F80" s="110">
        <f>表2_367162629303891213141523242526272831[[#This Row],[累计净值]]-0.0738</f>
        <v>-7.3800000000000004E-2</v>
      </c>
      <c r="G80" s="118"/>
    </row>
    <row r="81" spans="1:7" x14ac:dyDescent="0.2">
      <c r="A81" s="15">
        <v>44236</v>
      </c>
      <c r="B81" s="112"/>
      <c r="C81" s="108">
        <f t="shared" si="13"/>
        <v>0</v>
      </c>
      <c r="D81" s="109" t="str">
        <f t="shared" si="14"/>
        <v>/</v>
      </c>
      <c r="E81" s="109">
        <f ca="1">IF(表2_367162629303891213141523242526272831[[#This Row],[累计净值]]/MAX(INDIRECT("B21:B" &amp; ROW()))-1&lt;E80,表2_367162629303891213141523242526272831[[#This Row],[累计净值]]/MAX(INDIRECT("B21:B" &amp; ROW()))-1,E80)</f>
        <v>-1</v>
      </c>
      <c r="F81" s="110">
        <f>表2_367162629303891213141523242526272831[[#This Row],[累计净值]]-0.0738</f>
        <v>-7.3800000000000004E-2</v>
      </c>
      <c r="G81" s="118"/>
    </row>
    <row r="82" spans="1:7" x14ac:dyDescent="0.2">
      <c r="A82" s="15">
        <v>44237</v>
      </c>
      <c r="B82" s="112"/>
      <c r="C82" s="108">
        <f t="shared" si="13"/>
        <v>0</v>
      </c>
      <c r="D82" s="109" t="str">
        <f t="shared" si="14"/>
        <v>/</v>
      </c>
      <c r="E82" s="109">
        <f ca="1">IF(表2_367162629303891213141523242526272831[[#This Row],[累计净值]]/MAX(INDIRECT("B21:B" &amp; ROW()))-1&lt;E81,表2_367162629303891213141523242526272831[[#This Row],[累计净值]]/MAX(INDIRECT("B21:B" &amp; ROW()))-1,E81)</f>
        <v>-1</v>
      </c>
      <c r="F82" s="110">
        <f>表2_367162629303891213141523242526272831[[#This Row],[累计净值]]-0.0738</f>
        <v>-7.3800000000000004E-2</v>
      </c>
      <c r="G82" s="118"/>
    </row>
    <row r="83" spans="1:7" x14ac:dyDescent="0.2">
      <c r="A83" s="15">
        <v>44245</v>
      </c>
      <c r="B83" s="112"/>
      <c r="C83" s="108">
        <f t="shared" si="13"/>
        <v>0</v>
      </c>
      <c r="D83" s="109" t="str">
        <f t="shared" si="14"/>
        <v>/</v>
      </c>
      <c r="E83" s="109">
        <f ca="1">IF(表2_367162629303891213141523242526272831[[#This Row],[累计净值]]/MAX(INDIRECT("B21:B" &amp; ROW()))-1&lt;E82,表2_367162629303891213141523242526272831[[#This Row],[累计净值]]/MAX(INDIRECT("B21:B" &amp; ROW()))-1,E82)</f>
        <v>-1</v>
      </c>
      <c r="F83" s="110">
        <f>表2_367162629303891213141523242526272831[[#This Row],[累计净值]]-0.0738</f>
        <v>-7.3800000000000004E-2</v>
      </c>
      <c r="G83" s="118"/>
    </row>
    <row r="84" spans="1:7" x14ac:dyDescent="0.2">
      <c r="A84" s="15">
        <v>44246</v>
      </c>
      <c r="B84" s="112"/>
      <c r="C84" s="108">
        <f t="shared" si="13"/>
        <v>0</v>
      </c>
      <c r="D84" s="109" t="str">
        <f t="shared" si="14"/>
        <v>/</v>
      </c>
      <c r="E84" s="109">
        <f ca="1">IF(表2_367162629303891213141523242526272831[[#This Row],[累计净值]]/MAX(INDIRECT("B21:B" &amp; ROW()))-1&lt;E83,表2_367162629303891213141523242526272831[[#This Row],[累计净值]]/MAX(INDIRECT("B21:B" &amp; ROW()))-1,E83)</f>
        <v>-1</v>
      </c>
      <c r="F84" s="110">
        <f>表2_367162629303891213141523242526272831[[#This Row],[累计净值]]-0.0738</f>
        <v>-7.3800000000000004E-2</v>
      </c>
      <c r="G84" s="118"/>
    </row>
    <row r="85" spans="1:7" x14ac:dyDescent="0.2">
      <c r="A85" s="15">
        <v>44249</v>
      </c>
      <c r="B85" s="112"/>
      <c r="C85" s="108">
        <f t="shared" si="13"/>
        <v>0</v>
      </c>
      <c r="D85" s="109" t="str">
        <f t="shared" si="14"/>
        <v>/</v>
      </c>
      <c r="E85" s="109">
        <f ca="1">IF(表2_367162629303891213141523242526272831[[#This Row],[累计净值]]/MAX(INDIRECT("B21:B" &amp; ROW()))-1&lt;E84,表2_367162629303891213141523242526272831[[#This Row],[累计净值]]/MAX(INDIRECT("B21:B" &amp; ROW()))-1,E84)</f>
        <v>-1</v>
      </c>
      <c r="F85" s="110">
        <f>表2_367162629303891213141523242526272831[[#This Row],[累计净值]]-0.0738</f>
        <v>-7.3800000000000004E-2</v>
      </c>
      <c r="G85" s="118"/>
    </row>
    <row r="86" spans="1:7" x14ac:dyDescent="0.2">
      <c r="A86" s="15">
        <v>44250</v>
      </c>
      <c r="B86" s="112"/>
      <c r="C86" s="108">
        <f t="shared" si="13"/>
        <v>0</v>
      </c>
      <c r="D86" s="109" t="str">
        <f t="shared" si="14"/>
        <v>/</v>
      </c>
      <c r="E86" s="109">
        <f ca="1">IF(表2_367162629303891213141523242526272831[[#This Row],[累计净值]]/MAX(INDIRECT("B21:B" &amp; ROW()))-1&lt;E85,表2_367162629303891213141523242526272831[[#This Row],[累计净值]]/MAX(INDIRECT("B21:B" &amp; ROW()))-1,E85)</f>
        <v>-1</v>
      </c>
      <c r="F86" s="110">
        <f>表2_367162629303891213141523242526272831[[#This Row],[累计净值]]-0.0738</f>
        <v>-7.3800000000000004E-2</v>
      </c>
      <c r="G86" s="118"/>
    </row>
    <row r="87" spans="1:7" x14ac:dyDescent="0.2">
      <c r="A87" s="15">
        <v>44251</v>
      </c>
      <c r="B87" s="112"/>
      <c r="C87" s="108">
        <f t="shared" si="13"/>
        <v>0</v>
      </c>
      <c r="D87" s="109" t="str">
        <f t="shared" si="14"/>
        <v>/</v>
      </c>
      <c r="E87" s="109">
        <f ca="1">IF(表2_367162629303891213141523242526272831[[#This Row],[累计净值]]/MAX(INDIRECT("B21:B" &amp; ROW()))-1&lt;E86,表2_367162629303891213141523242526272831[[#This Row],[累计净值]]/MAX(INDIRECT("B21:B" &amp; ROW()))-1,E86)</f>
        <v>-1</v>
      </c>
      <c r="F87" s="110">
        <f>表2_367162629303891213141523242526272831[[#This Row],[累计净值]]-0.0738</f>
        <v>-7.3800000000000004E-2</v>
      </c>
      <c r="G87" s="118"/>
    </row>
    <row r="88" spans="1:7" x14ac:dyDescent="0.2">
      <c r="A88" s="15">
        <v>44252</v>
      </c>
      <c r="B88" s="112"/>
      <c r="C88" s="108">
        <f t="shared" si="13"/>
        <v>0</v>
      </c>
      <c r="D88" s="109" t="str">
        <f t="shared" si="14"/>
        <v>/</v>
      </c>
      <c r="E88" s="109">
        <f ca="1">IF(表2_367162629303891213141523242526272831[[#This Row],[累计净值]]/MAX(INDIRECT("B21:B" &amp; ROW()))-1&lt;E87,表2_367162629303891213141523242526272831[[#This Row],[累计净值]]/MAX(INDIRECT("B21:B" &amp; ROW()))-1,E87)</f>
        <v>-1</v>
      </c>
      <c r="F88" s="110">
        <f>表2_367162629303891213141523242526272831[[#This Row],[累计净值]]-0.0738</f>
        <v>-7.3800000000000004E-2</v>
      </c>
      <c r="G88" s="118"/>
    </row>
    <row r="89" spans="1:7" x14ac:dyDescent="0.2">
      <c r="A89" s="15">
        <v>44253</v>
      </c>
      <c r="B89" s="112"/>
      <c r="C89" s="108">
        <f t="shared" si="13"/>
        <v>0</v>
      </c>
      <c r="D89" s="109" t="str">
        <f t="shared" si="14"/>
        <v>/</v>
      </c>
      <c r="E89" s="109">
        <f ca="1">IF(表2_367162629303891213141523242526272831[[#This Row],[累计净值]]/MAX(INDIRECT("B21:B" &amp; ROW()))-1&lt;E88,表2_367162629303891213141523242526272831[[#This Row],[累计净值]]/MAX(INDIRECT("B21:B" &amp; ROW()))-1,E88)</f>
        <v>-1</v>
      </c>
      <c r="F89" s="110">
        <f>表2_367162629303891213141523242526272831[[#This Row],[累计净值]]-0.0738</f>
        <v>-7.3800000000000004E-2</v>
      </c>
      <c r="G89" s="118"/>
    </row>
    <row r="90" spans="1:7" x14ac:dyDescent="0.2">
      <c r="A90" s="15">
        <v>44256</v>
      </c>
      <c r="B90" s="112">
        <v>1.1440999999999999</v>
      </c>
      <c r="C90" s="108">
        <f t="shared" si="13"/>
        <v>1.1440999999999999</v>
      </c>
      <c r="D90" s="109" t="str">
        <f t="shared" si="14"/>
        <v>/</v>
      </c>
      <c r="E90" s="109">
        <f ca="1">IF(表2_367162629303891213141523242526272831[[#This Row],[累计净值]]/MAX(INDIRECT("B21:B" &amp; ROW()))-1&lt;E89,表2_367162629303891213141523242526272831[[#This Row],[累计净值]]/MAX(INDIRECT("B21:B" &amp; ROW()))-1,E89)</f>
        <v>-1</v>
      </c>
      <c r="F90" s="110">
        <f>表2_367162629303891213141523242526272831[[#This Row],[累计净值]]-0.0738</f>
        <v>1.0702999999999998</v>
      </c>
      <c r="G90" s="118"/>
    </row>
    <row r="91" spans="1:7" x14ac:dyDescent="0.2">
      <c r="A91" s="15">
        <v>44257</v>
      </c>
      <c r="B91" s="112">
        <v>1.1440999999999999</v>
      </c>
      <c r="C91" s="108">
        <f t="shared" si="13"/>
        <v>0</v>
      </c>
      <c r="D91" s="109" t="str">
        <f t="shared" si="14"/>
        <v>/</v>
      </c>
      <c r="E91" s="109">
        <f ca="1">IF(表2_367162629303891213141523242526272831[[#This Row],[累计净值]]/MAX(INDIRECT("B21:B" &amp; ROW()))-1&lt;E90,表2_367162629303891213141523242526272831[[#This Row],[累计净值]]/MAX(INDIRECT("B21:B" &amp; ROW()))-1,E90)</f>
        <v>-1</v>
      </c>
      <c r="F91" s="110">
        <f>表2_367162629303891213141523242526272831[[#This Row],[累计净值]]-0.0738</f>
        <v>1.0702999999999998</v>
      </c>
      <c r="G91" s="118"/>
    </row>
    <row r="92" spans="1:7" x14ac:dyDescent="0.2">
      <c r="A92" s="15">
        <v>44258</v>
      </c>
      <c r="B92" s="63">
        <v>1.1468</v>
      </c>
      <c r="C92" s="64">
        <f t="shared" si="13"/>
        <v>2.7000000000001467E-3</v>
      </c>
      <c r="D92" s="65" t="str">
        <f t="shared" si="14"/>
        <v>/</v>
      </c>
      <c r="E92" s="65">
        <f ca="1">IF(表2_367162629303891213141523242526272831[[#This Row],[累计净值]]/MAX(INDIRECT("B21:B" &amp; ROW()))-1&lt;E91,表2_367162629303891213141523242526272831[[#This Row],[累计净值]]/MAX(INDIRECT("B21:B" &amp; ROW()))-1,E91)</f>
        <v>-1</v>
      </c>
      <c r="F92" s="66">
        <f>表2_367162629303891213141523242526272831[[#This Row],[累计净值]]-0.0738</f>
        <v>1.073</v>
      </c>
      <c r="G92" s="229"/>
    </row>
    <row r="93" spans="1:7" x14ac:dyDescent="0.2">
      <c r="A93" s="15">
        <v>44259</v>
      </c>
      <c r="B93" s="112">
        <v>1.1520999999999999</v>
      </c>
      <c r="C93" s="108">
        <f t="shared" ref="C93:C99" si="15">IFERROR(B93-B92,0)</f>
        <v>5.2999999999998604E-3</v>
      </c>
      <c r="D93" s="109" t="str">
        <f t="shared" ref="D93:D99" si="16">IF(C93&lt;0,C93,"/")</f>
        <v>/</v>
      </c>
      <c r="E93" s="109">
        <f ca="1">IF(表2_367162629303891213141523242526272831[[#This Row],[累计净值]]/MAX(INDIRECT("B21:B" &amp; ROW()))-1&lt;E92,表2_367162629303891213141523242526272831[[#This Row],[累计净值]]/MAX(INDIRECT("B21:B" &amp; ROW()))-1,E92)</f>
        <v>-1</v>
      </c>
      <c r="F93" s="110">
        <f>表2_367162629303891213141523242526272831[[#This Row],[累计净值]]-0.0738</f>
        <v>1.0782999999999998</v>
      </c>
      <c r="G93" s="118"/>
    </row>
    <row r="94" spans="1:7" x14ac:dyDescent="0.2">
      <c r="A94" s="15">
        <v>44260</v>
      </c>
      <c r="B94" s="112">
        <v>1.1545000000000001</v>
      </c>
      <c r="C94" s="108">
        <f t="shared" si="15"/>
        <v>2.4000000000001798E-3</v>
      </c>
      <c r="D94" s="109" t="str">
        <f t="shared" si="16"/>
        <v>/</v>
      </c>
      <c r="E94" s="109">
        <f ca="1">IF(表2_367162629303891213141523242526272831[[#This Row],[累计净值]]/MAX(INDIRECT("B21:B" &amp; ROW()))-1&lt;E93,表2_367162629303891213141523242526272831[[#This Row],[累计净值]]/MAX(INDIRECT("B21:B" &amp; ROW()))-1,E93)</f>
        <v>-1</v>
      </c>
      <c r="F94" s="110">
        <f>表2_367162629303891213141523242526272831[[#This Row],[累计净值]]-0.0738</f>
        <v>1.0807</v>
      </c>
      <c r="G94" s="118"/>
    </row>
    <row r="95" spans="1:7" x14ac:dyDescent="0.2">
      <c r="A95" s="15">
        <v>44263</v>
      </c>
      <c r="B95" s="112">
        <v>1.1600999999999999</v>
      </c>
      <c r="C95" s="108">
        <f t="shared" si="15"/>
        <v>5.5999999999998273E-3</v>
      </c>
      <c r="D95" s="109" t="str">
        <f t="shared" si="16"/>
        <v>/</v>
      </c>
      <c r="E95" s="109">
        <f ca="1">IF(表2_367162629303891213141523242526272831[[#This Row],[累计净值]]/MAX(INDIRECT("B21:B" &amp; ROW()))-1&lt;E94,表2_367162629303891213141523242526272831[[#This Row],[累计净值]]/MAX(INDIRECT("B21:B" &amp; ROW()))-1,E94)</f>
        <v>-1</v>
      </c>
      <c r="F95" s="110">
        <f>表2_367162629303891213141523242526272831[[#This Row],[累计净值]]-0.0738</f>
        <v>1.0862999999999998</v>
      </c>
      <c r="G95" s="118"/>
    </row>
    <row r="96" spans="1:7" x14ac:dyDescent="0.2">
      <c r="A96" s="15">
        <v>44264</v>
      </c>
      <c r="B96" s="112">
        <v>1.1567000000000001</v>
      </c>
      <c r="C96" s="108">
        <f t="shared" si="15"/>
        <v>-3.3999999999998476E-3</v>
      </c>
      <c r="D96" s="109">
        <f t="shared" si="16"/>
        <v>-3.3999999999998476E-3</v>
      </c>
      <c r="E96" s="109">
        <f ca="1">IF(表2_367162629303891213141523242526272831[[#This Row],[累计净值]]/MAX(INDIRECT("B21:B" &amp; ROW()))-1&lt;E95,表2_367162629303891213141523242526272831[[#This Row],[累计净值]]/MAX(INDIRECT("B21:B" &amp; ROW()))-1,E95)</f>
        <v>-1</v>
      </c>
      <c r="F96" s="110">
        <f>表2_367162629303891213141523242526272831[[#This Row],[累计净值]]-0.0738</f>
        <v>1.0829</v>
      </c>
      <c r="G96" s="118"/>
    </row>
    <row r="97" spans="1:11" x14ac:dyDescent="0.2">
      <c r="A97" s="15">
        <v>44265</v>
      </c>
      <c r="B97" s="112">
        <v>1.1545000000000001</v>
      </c>
      <c r="C97" s="108">
        <f t="shared" si="15"/>
        <v>-2.1999999999999797E-3</v>
      </c>
      <c r="D97" s="109">
        <f t="shared" si="16"/>
        <v>-2.1999999999999797E-3</v>
      </c>
      <c r="E97" s="109">
        <f ca="1">IF(表2_367162629303891213141523242526272831[[#This Row],[累计净值]]/MAX(INDIRECT("B21:B" &amp; ROW()))-1&lt;E96,表2_367162629303891213141523242526272831[[#This Row],[累计净值]]/MAX(INDIRECT("B21:B" &amp; ROW()))-1,E96)</f>
        <v>-1</v>
      </c>
      <c r="F97" s="110">
        <f>表2_367162629303891213141523242526272831[[#This Row],[累计净值]]-0.0738</f>
        <v>1.0807</v>
      </c>
      <c r="G97" s="118"/>
    </row>
    <row r="98" spans="1:11" x14ac:dyDescent="0.2">
      <c r="A98" s="15">
        <v>44266</v>
      </c>
      <c r="B98" s="112">
        <v>1.1563000000000001</v>
      </c>
      <c r="C98" s="108">
        <f t="shared" si="15"/>
        <v>1.8000000000000238E-3</v>
      </c>
      <c r="D98" s="109" t="str">
        <f t="shared" si="16"/>
        <v>/</v>
      </c>
      <c r="E98" s="109">
        <f ca="1">IF(表2_367162629303891213141523242526272831[[#This Row],[累计净值]]/MAX(INDIRECT("B21:B" &amp; ROW()))-1&lt;E97,表2_367162629303891213141523242526272831[[#This Row],[累计净值]]/MAX(INDIRECT("B21:B" &amp; ROW()))-1,E97)</f>
        <v>-1</v>
      </c>
      <c r="F98" s="110">
        <f>表2_367162629303891213141523242526272831[[#This Row],[累计净值]]-0.0738</f>
        <v>1.0825</v>
      </c>
      <c r="G98" s="118"/>
    </row>
    <row r="99" spans="1:11" x14ac:dyDescent="0.2">
      <c r="A99" s="15">
        <v>44267</v>
      </c>
      <c r="B99" s="112">
        <v>1.1559999999999999</v>
      </c>
      <c r="C99" s="108">
        <f t="shared" si="15"/>
        <v>-3.00000000000189E-4</v>
      </c>
      <c r="D99" s="109">
        <f t="shared" si="16"/>
        <v>-3.00000000000189E-4</v>
      </c>
      <c r="E99" s="109">
        <f ca="1">IF(表2_367162629303891213141523242526272831[[#This Row],[累计净值]]/MAX(INDIRECT("B21:B" &amp; ROW()))-1&lt;E98,表2_367162629303891213141523242526272831[[#This Row],[累计净值]]/MAX(INDIRECT("B21:B" &amp; ROW()))-1,E98)</f>
        <v>-1</v>
      </c>
      <c r="F99" s="110">
        <f>表2_367162629303891213141523242526272831[[#This Row],[累计净值]]-0.0738</f>
        <v>1.0821999999999998</v>
      </c>
      <c r="G99" s="118"/>
    </row>
    <row r="100" spans="1:11" x14ac:dyDescent="0.2">
      <c r="A100" s="15">
        <v>44270</v>
      </c>
      <c r="B100" s="112">
        <v>1.1529</v>
      </c>
      <c r="C100" s="108">
        <f t="shared" ref="C100:C103" si="17">IFERROR(B100-B99,0)</f>
        <v>-3.0999999999998806E-3</v>
      </c>
      <c r="D100" s="109">
        <f t="shared" ref="D100:D103" si="18">IF(C100&lt;0,C100,"/")</f>
        <v>-3.0999999999998806E-3</v>
      </c>
      <c r="E100" s="109">
        <f ca="1">IF(表2_367162629303891213141523242526272831[[#This Row],[累计净值]]/MAX(INDIRECT("B21:B" &amp; ROW()))-1&lt;E99,表2_367162629303891213141523242526272831[[#This Row],[累计净值]]/MAX(INDIRECT("B21:B" &amp; ROW()))-1,E99)</f>
        <v>-1</v>
      </c>
      <c r="F100" s="110">
        <f>表2_367162629303891213141523242526272831[[#This Row],[累计净值]]-0.0738</f>
        <v>1.0790999999999999</v>
      </c>
      <c r="G100" s="118"/>
      <c r="K100" s="277"/>
    </row>
    <row r="101" spans="1:11" x14ac:dyDescent="0.2">
      <c r="A101" s="15">
        <v>44271</v>
      </c>
      <c r="B101" s="112">
        <v>1.1532</v>
      </c>
      <c r="C101" s="108">
        <f t="shared" si="17"/>
        <v>2.9999999999996696E-4</v>
      </c>
      <c r="D101" s="109" t="str">
        <f t="shared" si="18"/>
        <v>/</v>
      </c>
      <c r="E101" s="109">
        <f ca="1">IF(表2_367162629303891213141523242526272831[[#This Row],[累计净值]]/MAX(INDIRECT("B21:B" &amp; ROW()))-1&lt;E100,表2_367162629303891213141523242526272831[[#This Row],[累计净值]]/MAX(INDIRECT("B21:B" &amp; ROW()))-1,E100)</f>
        <v>-1</v>
      </c>
      <c r="F101" s="110">
        <f>表2_367162629303891213141523242526272831[[#This Row],[累计净值]]-0.0738</f>
        <v>1.0793999999999999</v>
      </c>
      <c r="G101" s="118"/>
    </row>
    <row r="102" spans="1:11" x14ac:dyDescent="0.2">
      <c r="A102" s="15">
        <v>44272</v>
      </c>
      <c r="B102" s="112">
        <v>1.1547000000000001</v>
      </c>
      <c r="C102" s="108">
        <f t="shared" si="17"/>
        <v>1.5000000000000568E-3</v>
      </c>
      <c r="D102" s="109" t="str">
        <f t="shared" si="18"/>
        <v>/</v>
      </c>
      <c r="E102" s="109">
        <f ca="1">IF(表2_367162629303891213141523242526272831[[#This Row],[累计净值]]/MAX(INDIRECT("B21:B" &amp; ROW()))-1&lt;E101,表2_367162629303891213141523242526272831[[#This Row],[累计净值]]/MAX(INDIRECT("B21:B" &amp; ROW()))-1,E101)</f>
        <v>-1</v>
      </c>
      <c r="F102" s="110">
        <f>表2_367162629303891213141523242526272831[[#This Row],[累计净值]]-0.0738</f>
        <v>1.0809</v>
      </c>
      <c r="G102" s="118"/>
    </row>
    <row r="103" spans="1:11" x14ac:dyDescent="0.2">
      <c r="A103" s="15">
        <v>44273</v>
      </c>
      <c r="B103" s="112">
        <v>1.1544000000000001</v>
      </c>
      <c r="C103" s="108">
        <f t="shared" si="17"/>
        <v>-2.9999999999996696E-4</v>
      </c>
      <c r="D103" s="109">
        <f t="shared" si="18"/>
        <v>-2.9999999999996696E-4</v>
      </c>
      <c r="E103" s="109">
        <f ca="1">IF(表2_367162629303891213141523242526272831[[#This Row],[累计净值]]/MAX(INDIRECT("B21:B" &amp; ROW()))-1&lt;E102,表2_367162629303891213141523242526272831[[#This Row],[累计净值]]/MAX(INDIRECT("B21:B" &amp; ROW()))-1,E102)</f>
        <v>-1</v>
      </c>
      <c r="F103" s="110">
        <f>表2_367162629303891213141523242526272831[[#This Row],[累计净值]]-0.0738</f>
        <v>1.0806</v>
      </c>
      <c r="G103" s="118"/>
    </row>
    <row r="104" spans="1:11" x14ac:dyDescent="0.2">
      <c r="A104" s="15">
        <v>44274</v>
      </c>
      <c r="B104" s="112">
        <v>1.1581999999999999</v>
      </c>
      <c r="C104" s="108">
        <f t="shared" ref="C104:C107" si="19">IFERROR(B104-B103,0)</f>
        <v>3.7999999999998035E-3</v>
      </c>
      <c r="D104" s="109" t="str">
        <f t="shared" ref="D104:D107" si="20">IF(C104&lt;0,C104,"/")</f>
        <v>/</v>
      </c>
      <c r="E104" s="109">
        <f ca="1">IF(表2_367162629303891213141523242526272831[[#This Row],[累计净值]]/MAX(INDIRECT("B21:B" &amp; ROW()))-1&lt;E103,表2_367162629303891213141523242526272831[[#This Row],[累计净值]]/MAX(INDIRECT("B21:B" &amp; ROW()))-1,E103)</f>
        <v>-1</v>
      </c>
      <c r="F104" s="110">
        <f>表2_367162629303891213141523242526272831[[#This Row],[累计净值]]-0.0738</f>
        <v>1.0843999999999998</v>
      </c>
      <c r="G104" s="118"/>
    </row>
    <row r="105" spans="1:11" x14ac:dyDescent="0.2">
      <c r="A105" s="15">
        <v>44277</v>
      </c>
      <c r="B105" s="112">
        <v>1.1525000000000001</v>
      </c>
      <c r="C105" s="108">
        <f t="shared" si="19"/>
        <v>-5.6999999999998163E-3</v>
      </c>
      <c r="D105" s="109">
        <f t="shared" si="20"/>
        <v>-5.6999999999998163E-3</v>
      </c>
      <c r="E105" s="109">
        <f ca="1">IF(表2_367162629303891213141523242526272831[[#This Row],[累计净值]]/MAX(INDIRECT("B21:B" &amp; ROW()))-1&lt;E104,表2_367162629303891213141523242526272831[[#This Row],[累计净值]]/MAX(INDIRECT("B21:B" &amp; ROW()))-1,E104)</f>
        <v>-1</v>
      </c>
      <c r="F105" s="110">
        <f>表2_367162629303891213141523242526272831[[#This Row],[累计净值]]-0.0738</f>
        <v>1.0787</v>
      </c>
      <c r="G105" s="118"/>
    </row>
    <row r="106" spans="1:11" x14ac:dyDescent="0.2">
      <c r="A106" s="15">
        <v>44278</v>
      </c>
      <c r="B106" s="112">
        <v>1.1488</v>
      </c>
      <c r="C106" s="108">
        <f t="shared" si="19"/>
        <v>-3.7000000000000366E-3</v>
      </c>
      <c r="D106" s="109">
        <f t="shared" si="20"/>
        <v>-3.7000000000000366E-3</v>
      </c>
      <c r="E106" s="109">
        <f ca="1">IF(表2_367162629303891213141523242526272831[[#This Row],[累计净值]]/MAX(INDIRECT("B21:B" &amp; ROW()))-1&lt;E105,表2_367162629303891213141523242526272831[[#This Row],[累计净值]]/MAX(INDIRECT("B21:B" &amp; ROW()))-1,E105)</f>
        <v>-1</v>
      </c>
      <c r="F106" s="110">
        <f>表2_367162629303891213141523242526272831[[#This Row],[累计净值]]-0.0738</f>
        <v>1.075</v>
      </c>
      <c r="G106" s="118"/>
    </row>
    <row r="107" spans="1:11" x14ac:dyDescent="0.2">
      <c r="A107" s="15">
        <v>44279</v>
      </c>
      <c r="B107" s="112">
        <v>1.153</v>
      </c>
      <c r="C107" s="108">
        <f t="shared" si="19"/>
        <v>4.1999999999999815E-3</v>
      </c>
      <c r="D107" s="109" t="str">
        <f t="shared" si="20"/>
        <v>/</v>
      </c>
      <c r="E107" s="109">
        <f ca="1">IF(表2_367162629303891213141523242526272831[[#This Row],[累计净值]]/MAX(INDIRECT("B21:B" &amp; ROW()))-1&lt;E106,表2_367162629303891213141523242526272831[[#This Row],[累计净值]]/MAX(INDIRECT("B21:B" &amp; ROW()))-1,E106)</f>
        <v>-1</v>
      </c>
      <c r="F107" s="110">
        <f>表2_367162629303891213141523242526272831[[#This Row],[累计净值]]-0.0738</f>
        <v>1.0791999999999999</v>
      </c>
      <c r="G107" s="118"/>
    </row>
    <row r="108" spans="1:11" x14ac:dyDescent="0.2">
      <c r="A108" s="15">
        <v>44280</v>
      </c>
      <c r="B108" s="112">
        <v>1.1494</v>
      </c>
      <c r="C108" s="108">
        <f t="shared" ref="C108:C113" si="21">IFERROR(B108-B107,0)</f>
        <v>-3.6000000000000476E-3</v>
      </c>
      <c r="D108" s="109">
        <f t="shared" ref="D108:D113" si="22">IF(C108&lt;0,C108,"/")</f>
        <v>-3.6000000000000476E-3</v>
      </c>
      <c r="E108" s="109">
        <f ca="1">IF(表2_367162629303891213141523242526272831[[#This Row],[累计净值]]/MAX(INDIRECT("B21:B" &amp; ROW()))-1&lt;E107,表2_367162629303891213141523242526272831[[#This Row],[累计净值]]/MAX(INDIRECT("B21:B" &amp; ROW()))-1,E107)</f>
        <v>-1</v>
      </c>
      <c r="F108" s="110">
        <f>表2_367162629303891213141523242526272831[[#This Row],[累计净值]]-0.0738</f>
        <v>1.0755999999999999</v>
      </c>
      <c r="G108" s="118"/>
    </row>
    <row r="109" spans="1:11" x14ac:dyDescent="0.2">
      <c r="A109" s="15">
        <v>44281</v>
      </c>
      <c r="B109" s="112">
        <v>1.149</v>
      </c>
      <c r="C109" s="108">
        <f t="shared" si="21"/>
        <v>-3.9999999999995595E-4</v>
      </c>
      <c r="D109" s="109">
        <f t="shared" si="22"/>
        <v>-3.9999999999995595E-4</v>
      </c>
      <c r="E109" s="109">
        <f ca="1">IF(表2_367162629303891213141523242526272831[[#This Row],[累计净值]]/MAX(INDIRECT("B21:B" &amp; ROW()))-1&lt;E108,表2_367162629303891213141523242526272831[[#This Row],[累计净值]]/MAX(INDIRECT("B21:B" &amp; ROW()))-1,E108)</f>
        <v>-1</v>
      </c>
      <c r="F109" s="110">
        <f>表2_367162629303891213141523242526272831[[#This Row],[累计净值]]-0.0738</f>
        <v>1.0751999999999999</v>
      </c>
      <c r="G109" s="118"/>
    </row>
    <row r="110" spans="1:11" x14ac:dyDescent="0.2">
      <c r="A110" s="15">
        <v>44284</v>
      </c>
      <c r="B110" s="112">
        <v>1.1448</v>
      </c>
      <c r="C110" s="108">
        <f t="shared" si="21"/>
        <v>-4.1999999999999815E-3</v>
      </c>
      <c r="D110" s="109">
        <f t="shared" si="22"/>
        <v>-4.1999999999999815E-3</v>
      </c>
      <c r="E110" s="109">
        <f ca="1">IF(表2_367162629303891213141523242526272831[[#This Row],[累计净值]]/MAX(INDIRECT("B21:B" &amp; ROW()))-1&lt;E109,表2_367162629303891213141523242526272831[[#This Row],[累计净值]]/MAX(INDIRECT("B21:B" &amp; ROW()))-1,E109)</f>
        <v>-1</v>
      </c>
      <c r="F110" s="110">
        <f>表2_367162629303891213141523242526272831[[#This Row],[累计净值]]-0.0738</f>
        <v>1.071</v>
      </c>
      <c r="G110" s="118"/>
    </row>
    <row r="111" spans="1:11" x14ac:dyDescent="0.2">
      <c r="A111" s="15">
        <v>44285</v>
      </c>
      <c r="B111" s="112">
        <v>1.1463000000000001</v>
      </c>
      <c r="C111" s="108">
        <f t="shared" si="21"/>
        <v>1.5000000000000568E-3</v>
      </c>
      <c r="D111" s="109" t="str">
        <f t="shared" si="22"/>
        <v>/</v>
      </c>
      <c r="E111" s="109">
        <f ca="1">IF(表2_367162629303891213141523242526272831[[#This Row],[累计净值]]/MAX(INDIRECT("B21:B" &amp; ROW()))-1&lt;E110,表2_367162629303891213141523242526272831[[#This Row],[累计净值]]/MAX(INDIRECT("B21:B" &amp; ROW()))-1,E110)</f>
        <v>-1</v>
      </c>
      <c r="F111" s="110">
        <f>表2_367162629303891213141523242526272831[[#This Row],[累计净值]]-0.0738</f>
        <v>1.0725</v>
      </c>
      <c r="G111" s="118"/>
    </row>
    <row r="112" spans="1:11" x14ac:dyDescent="0.2">
      <c r="A112" s="15">
        <v>44286</v>
      </c>
      <c r="B112" s="112">
        <v>1.1446000000000001</v>
      </c>
      <c r="C112" s="108">
        <f t="shared" si="21"/>
        <v>-1.7000000000000348E-3</v>
      </c>
      <c r="D112" s="109">
        <f t="shared" si="22"/>
        <v>-1.7000000000000348E-3</v>
      </c>
      <c r="E112" s="109">
        <f ca="1">IF(表2_367162629303891213141523242526272831[[#This Row],[累计净值]]/MAX(INDIRECT("B21:B" &amp; ROW()))-1&lt;E111,表2_367162629303891213141523242526272831[[#This Row],[累计净值]]/MAX(INDIRECT("B21:B" &amp; ROW()))-1,E111)</f>
        <v>-1</v>
      </c>
      <c r="F112" s="110">
        <f>表2_367162629303891213141523242526272831[[#This Row],[累计净值]]-0.0738</f>
        <v>1.0708</v>
      </c>
      <c r="G112" s="118"/>
    </row>
    <row r="113" spans="1:7" x14ac:dyDescent="0.2">
      <c r="A113" s="15">
        <v>44287</v>
      </c>
      <c r="B113" s="112">
        <v>1.1480999999999999</v>
      </c>
      <c r="C113" s="108">
        <f t="shared" si="21"/>
        <v>3.4999999999998366E-3</v>
      </c>
      <c r="D113" s="109" t="str">
        <f t="shared" si="22"/>
        <v>/</v>
      </c>
      <c r="E113" s="109">
        <f ca="1">IF(表2_367162629303891213141523242526272831[[#This Row],[累计净值]]/MAX(INDIRECT("B21:B" &amp; ROW()))-1&lt;E112,表2_367162629303891213141523242526272831[[#This Row],[累计净值]]/MAX(INDIRECT("B21:B" &amp; ROW()))-1,E112)</f>
        <v>-1</v>
      </c>
      <c r="F113" s="110">
        <f>表2_367162629303891213141523242526272831[[#This Row],[累计净值]]-0.0738</f>
        <v>1.0742999999999998</v>
      </c>
      <c r="G113" s="118"/>
    </row>
    <row r="114" spans="1:7" x14ac:dyDescent="0.2">
      <c r="A114" s="15">
        <v>44288</v>
      </c>
      <c r="B114" s="112">
        <v>1.1503000000000001</v>
      </c>
      <c r="C114" s="108">
        <f t="shared" ref="C114:C119" si="23">IFERROR(B114-B113,0)</f>
        <v>2.2000000000002018E-3</v>
      </c>
      <c r="D114" s="109" t="str">
        <f t="shared" ref="D114:D119" si="24">IF(C114&lt;0,C114,"/")</f>
        <v>/</v>
      </c>
      <c r="E114" s="109">
        <f ca="1">IF(表2_367162629303891213141523242526272831[[#This Row],[累计净值]]/MAX(INDIRECT("B21:B" &amp; ROW()))-1&lt;E113,表2_367162629303891213141523242526272831[[#This Row],[累计净值]]/MAX(INDIRECT("B21:B" &amp; ROW()))-1,E113)</f>
        <v>-1</v>
      </c>
      <c r="F114" s="110">
        <f>表2_367162629303891213141523242526272831[[#This Row],[累计净值]]-0.0738</f>
        <v>1.0765</v>
      </c>
      <c r="G114" s="118"/>
    </row>
    <row r="115" spans="1:7" x14ac:dyDescent="0.2">
      <c r="A115" s="15">
        <v>44292</v>
      </c>
      <c r="B115" s="112">
        <v>1.1474</v>
      </c>
      <c r="C115" s="108">
        <f t="shared" si="23"/>
        <v>-2.9000000000001247E-3</v>
      </c>
      <c r="D115" s="109">
        <f t="shared" si="24"/>
        <v>-2.9000000000001247E-3</v>
      </c>
      <c r="E115" s="109">
        <f ca="1">IF(表2_367162629303891213141523242526272831[[#This Row],[累计净值]]/MAX(INDIRECT("B21:B" &amp; ROW()))-1&lt;E114,表2_367162629303891213141523242526272831[[#This Row],[累计净值]]/MAX(INDIRECT("B21:B" &amp; ROW()))-1,E114)</f>
        <v>-1</v>
      </c>
      <c r="F115" s="110">
        <f>表2_367162629303891213141523242526272831[[#This Row],[累计净值]]-0.0738</f>
        <v>1.0735999999999999</v>
      </c>
      <c r="G115" s="118"/>
    </row>
    <row r="116" spans="1:7" x14ac:dyDescent="0.2">
      <c r="A116" s="15">
        <v>44293</v>
      </c>
      <c r="B116" s="112">
        <v>1.1488</v>
      </c>
      <c r="C116" s="108">
        <f t="shared" si="23"/>
        <v>1.4000000000000679E-3</v>
      </c>
      <c r="D116" s="109" t="str">
        <f t="shared" si="24"/>
        <v>/</v>
      </c>
      <c r="E116" s="109">
        <f ca="1">IF(表2_367162629303891213141523242526272831[[#This Row],[累计净值]]/MAX(INDIRECT("B21:B" &amp; ROW()))-1&lt;E115,表2_367162629303891213141523242526272831[[#This Row],[累计净值]]/MAX(INDIRECT("B21:B" &amp; ROW()))-1,E115)</f>
        <v>-1</v>
      </c>
      <c r="F116" s="110">
        <f>表2_367162629303891213141523242526272831[[#This Row],[累计净值]]-0.0738</f>
        <v>1.075</v>
      </c>
      <c r="G116" s="118"/>
    </row>
    <row r="117" spans="1:7" x14ac:dyDescent="0.2">
      <c r="A117" s="15">
        <v>44294</v>
      </c>
      <c r="B117" s="112">
        <v>1.1507000000000001</v>
      </c>
      <c r="C117" s="108">
        <f t="shared" si="23"/>
        <v>1.9000000000000128E-3</v>
      </c>
      <c r="D117" s="109" t="str">
        <f t="shared" si="24"/>
        <v>/</v>
      </c>
      <c r="E117" s="109">
        <f ca="1">IF(表2_367162629303891213141523242526272831[[#This Row],[累计净值]]/MAX(INDIRECT("B21:B" &amp; ROW()))-1&lt;E116,表2_367162629303891213141523242526272831[[#This Row],[累计净值]]/MAX(INDIRECT("B21:B" &amp; ROW()))-1,E116)</f>
        <v>-1</v>
      </c>
      <c r="F117" s="110">
        <f>表2_367162629303891213141523242526272831[[#This Row],[累计净值]]-0.0738</f>
        <v>1.0769</v>
      </c>
      <c r="G117" s="118"/>
    </row>
    <row r="118" spans="1:7" x14ac:dyDescent="0.2">
      <c r="A118" s="15">
        <v>44295</v>
      </c>
      <c r="B118" s="112">
        <v>1.1512</v>
      </c>
      <c r="C118" s="108">
        <f t="shared" si="23"/>
        <v>4.9999999999994493E-4</v>
      </c>
      <c r="D118" s="109" t="str">
        <f t="shared" si="24"/>
        <v>/</v>
      </c>
      <c r="E118" s="109">
        <f ca="1">IF(表2_367162629303891213141523242526272831[[#This Row],[累计净值]]/MAX(INDIRECT("B21:B" &amp; ROW()))-1&lt;E117,表2_367162629303891213141523242526272831[[#This Row],[累计净值]]/MAX(INDIRECT("B21:B" &amp; ROW()))-1,E117)</f>
        <v>-1</v>
      </c>
      <c r="F118" s="110">
        <f>表2_367162629303891213141523242526272831[[#This Row],[累计净值]]-0.0738</f>
        <v>1.0773999999999999</v>
      </c>
      <c r="G118" s="118"/>
    </row>
    <row r="119" spans="1:7" x14ac:dyDescent="0.2">
      <c r="A119" s="15">
        <v>44298</v>
      </c>
      <c r="B119" s="112">
        <v>1.1501999999999999</v>
      </c>
      <c r="C119" s="108">
        <f t="shared" si="23"/>
        <v>-1.0000000000001119E-3</v>
      </c>
      <c r="D119" s="109">
        <f t="shared" si="24"/>
        <v>-1.0000000000001119E-3</v>
      </c>
      <c r="E119" s="109">
        <f ca="1">IF(表2_367162629303891213141523242526272831[[#This Row],[累计净值]]/MAX(INDIRECT("B21:B" &amp; ROW()))-1&lt;E118,表2_367162629303891213141523242526272831[[#This Row],[累计净值]]/MAX(INDIRECT("B21:B" &amp; ROW()))-1,E118)</f>
        <v>-1</v>
      </c>
      <c r="F119" s="110">
        <f>表2_367162629303891213141523242526272831[[#This Row],[累计净值]]-0.0738</f>
        <v>1.0763999999999998</v>
      </c>
      <c r="G119" s="118"/>
    </row>
    <row r="120" spans="1:7" x14ac:dyDescent="0.2">
      <c r="A120" s="15">
        <v>44299</v>
      </c>
      <c r="B120" s="112">
        <v>1.1500999999999999</v>
      </c>
      <c r="C120" s="108">
        <f t="shared" ref="C120:C126" si="25">IFERROR(B120-B119,0)</f>
        <v>-9.9999999999988987E-5</v>
      </c>
      <c r="D120" s="109">
        <f t="shared" ref="D120:D126" si="26">IF(C120&lt;0,C120,"/")</f>
        <v>-9.9999999999988987E-5</v>
      </c>
      <c r="E120" s="109">
        <f ca="1">IF(表2_367162629303891213141523242526272831[[#This Row],[累计净值]]/MAX(INDIRECT("B21:B" &amp; ROW()))-1&lt;E119,表2_367162629303891213141523242526272831[[#This Row],[累计净值]]/MAX(INDIRECT("B21:B" &amp; ROW()))-1,E119)</f>
        <v>-1</v>
      </c>
      <c r="F120" s="110">
        <f>表2_367162629303891213141523242526272831[[#This Row],[累计净值]]-0.0738</f>
        <v>1.0762999999999998</v>
      </c>
      <c r="G120" s="118"/>
    </row>
    <row r="121" spans="1:7" x14ac:dyDescent="0.2">
      <c r="A121" s="15">
        <v>44300</v>
      </c>
      <c r="B121" s="112">
        <v>1.1507000000000001</v>
      </c>
      <c r="C121" s="108">
        <f t="shared" si="25"/>
        <v>6.0000000000015596E-4</v>
      </c>
      <c r="D121" s="109" t="str">
        <f t="shared" si="26"/>
        <v>/</v>
      </c>
      <c r="E121" s="109">
        <f ca="1">IF(表2_367162629303891213141523242526272831[[#This Row],[累计净值]]/MAX(INDIRECT("B21:B" &amp; ROW()))-1&lt;E120,表2_367162629303891213141523242526272831[[#This Row],[累计净值]]/MAX(INDIRECT("B21:B" &amp; ROW()))-1,E120)</f>
        <v>-1</v>
      </c>
      <c r="F121" s="110">
        <f>表2_367162629303891213141523242526272831[[#This Row],[累计净值]]-0.0738</f>
        <v>1.0769</v>
      </c>
      <c r="G121" s="118"/>
    </row>
    <row r="122" spans="1:7" x14ac:dyDescent="0.2">
      <c r="A122" s="15">
        <v>44301</v>
      </c>
      <c r="B122" s="112">
        <v>1.149</v>
      </c>
      <c r="C122" s="108">
        <f t="shared" si="25"/>
        <v>-1.7000000000000348E-3</v>
      </c>
      <c r="D122" s="109">
        <f t="shared" si="26"/>
        <v>-1.7000000000000348E-3</v>
      </c>
      <c r="E122" s="109">
        <f ca="1">IF(表2_367162629303891213141523242526272831[[#This Row],[累计净值]]/MAX(INDIRECT("B21:B" &amp; ROW()))-1&lt;E121,表2_367162629303891213141523242526272831[[#This Row],[累计净值]]/MAX(INDIRECT("B21:B" &amp; ROW()))-1,E121)</f>
        <v>-1</v>
      </c>
      <c r="F122" s="110">
        <f>表2_367162629303891213141523242526272831[[#This Row],[累计净值]]-0.0738</f>
        <v>1.0751999999999999</v>
      </c>
      <c r="G122" s="118"/>
    </row>
    <row r="123" spans="1:7" x14ac:dyDescent="0.2">
      <c r="A123" s="15">
        <v>44302</v>
      </c>
      <c r="B123" s="112">
        <v>1.1475</v>
      </c>
      <c r="C123" s="108">
        <f t="shared" si="25"/>
        <v>-1.5000000000000568E-3</v>
      </c>
      <c r="D123" s="109">
        <f t="shared" si="26"/>
        <v>-1.5000000000000568E-3</v>
      </c>
      <c r="E123" s="109">
        <f ca="1">IF(表2_367162629303891213141523242526272831[[#This Row],[累计净值]]/MAX(INDIRECT("B21:B" &amp; ROW()))-1&lt;E122,表2_367162629303891213141523242526272831[[#This Row],[累计净值]]/MAX(INDIRECT("B21:B" &amp; ROW()))-1,E122)</f>
        <v>-1</v>
      </c>
      <c r="F123" s="110">
        <f>表2_367162629303891213141523242526272831[[#This Row],[累计净值]]-0.0738</f>
        <v>1.0736999999999999</v>
      </c>
      <c r="G123" s="118"/>
    </row>
    <row r="124" spans="1:7" x14ac:dyDescent="0.2">
      <c r="A124" s="15">
        <v>44305</v>
      </c>
      <c r="B124" s="112">
        <v>1.1536</v>
      </c>
      <c r="C124" s="108">
        <f t="shared" si="25"/>
        <v>6.0999999999999943E-3</v>
      </c>
      <c r="D124" s="109" t="str">
        <f t="shared" si="26"/>
        <v>/</v>
      </c>
      <c r="E124" s="109">
        <f ca="1">IF(表2_367162629303891213141523242526272831[[#This Row],[累计净值]]/MAX(INDIRECT("B21:B" &amp; ROW()))-1&lt;E123,表2_367162629303891213141523242526272831[[#This Row],[累计净值]]/MAX(INDIRECT("B21:B" &amp; ROW()))-1,E123)</f>
        <v>-1</v>
      </c>
      <c r="F124" s="110">
        <f>表2_367162629303891213141523242526272831[[#This Row],[累计净值]]-0.0738</f>
        <v>1.0797999999999999</v>
      </c>
      <c r="G124" s="118"/>
    </row>
    <row r="125" spans="1:7" x14ac:dyDescent="0.2">
      <c r="A125" s="15">
        <v>44306</v>
      </c>
      <c r="B125" s="112">
        <v>1.1535</v>
      </c>
      <c r="C125" s="108">
        <f t="shared" si="25"/>
        <v>-9.9999999999988987E-5</v>
      </c>
      <c r="D125" s="109">
        <f t="shared" si="26"/>
        <v>-9.9999999999988987E-5</v>
      </c>
      <c r="E125" s="109">
        <f ca="1">IF(表2_367162629303891213141523242526272831[[#This Row],[累计净值]]/MAX(INDIRECT("B21:B" &amp; ROW()))-1&lt;E124,表2_367162629303891213141523242526272831[[#This Row],[累计净值]]/MAX(INDIRECT("B21:B" &amp; ROW()))-1,E124)</f>
        <v>-1</v>
      </c>
      <c r="F125" s="110">
        <f>表2_367162629303891213141523242526272831[[#This Row],[累计净值]]-0.0738</f>
        <v>1.0796999999999999</v>
      </c>
      <c r="G125" s="118"/>
    </row>
    <row r="126" spans="1:7" x14ac:dyDescent="0.2">
      <c r="A126" s="15">
        <v>44307</v>
      </c>
      <c r="B126" s="112">
        <v>1.1539999999999999</v>
      </c>
      <c r="C126" s="108">
        <f t="shared" si="25"/>
        <v>4.9999999999994493E-4</v>
      </c>
      <c r="D126" s="109" t="str">
        <f t="shared" si="26"/>
        <v>/</v>
      </c>
      <c r="E126" s="109">
        <f ca="1">IF(表2_367162629303891213141523242526272831[[#This Row],[累计净值]]/MAX(INDIRECT("B21:B" &amp; ROW()))-1&lt;E125,表2_367162629303891213141523242526272831[[#This Row],[累计净值]]/MAX(INDIRECT("B21:B" &amp; ROW()))-1,E125)</f>
        <v>-1</v>
      </c>
      <c r="F126" s="110">
        <f>表2_367162629303891213141523242526272831[[#This Row],[累计净值]]-0.0738</f>
        <v>1.0801999999999998</v>
      </c>
      <c r="G126" s="118"/>
    </row>
    <row r="127" spans="1:7" x14ac:dyDescent="0.2">
      <c r="A127" s="15">
        <v>44308</v>
      </c>
      <c r="B127" s="112">
        <v>1.1534</v>
      </c>
      <c r="C127" s="108">
        <f>IFERROR(B127-B126,0)</f>
        <v>-5.9999999999993392E-4</v>
      </c>
      <c r="D127" s="109">
        <f>IF(C127&lt;0,C127,"/")</f>
        <v>-5.9999999999993392E-4</v>
      </c>
      <c r="E127" s="109">
        <f ca="1">IF(表2_367162629303891213141523242526272831[[#This Row],[累计净值]]/MAX(INDIRECT("B21:B" &amp; ROW()))-1&lt;E126,表2_367162629303891213141523242526272831[[#This Row],[累计净值]]/MAX(INDIRECT("B21:B" &amp; ROW()))-1,E126)</f>
        <v>-1</v>
      </c>
      <c r="F127" s="110">
        <f>表2_367162629303891213141523242526272831[[#This Row],[累计净值]]-0.0738</f>
        <v>1.0795999999999999</v>
      </c>
      <c r="G127" s="118"/>
    </row>
    <row r="128" spans="1:7" x14ac:dyDescent="0.2">
      <c r="A128" s="15">
        <v>44309</v>
      </c>
      <c r="B128" s="112">
        <v>1.1541999999999999</v>
      </c>
      <c r="C128" s="108">
        <f t="shared" ref="C128:C129" si="27">IFERROR(B128-B127,0)</f>
        <v>7.9999999999991189E-4</v>
      </c>
      <c r="D128" s="109" t="str">
        <f t="shared" ref="D128:D129" si="28">IF(C128&lt;0,C128,"/")</f>
        <v>/</v>
      </c>
      <c r="E128" s="109">
        <f ca="1">IF(表2_367162629303891213141523242526272831[[#This Row],[累计净值]]/MAX(INDIRECT("B21:B" &amp; ROW()))-1&lt;E127,表2_367162629303891213141523242526272831[[#This Row],[累计净值]]/MAX(INDIRECT("B21:B" &amp; ROW()))-1,E127)</f>
        <v>-1</v>
      </c>
      <c r="F128" s="110">
        <f>表2_367162629303891213141523242526272831[[#This Row],[累计净值]]-0.0738</f>
        <v>1.0803999999999998</v>
      </c>
      <c r="G128" s="118"/>
    </row>
    <row r="129" spans="1:7" x14ac:dyDescent="0.2">
      <c r="A129" s="15">
        <v>44312</v>
      </c>
      <c r="B129" s="112">
        <v>1.1525000000000001</v>
      </c>
      <c r="C129" s="108">
        <f t="shared" si="27"/>
        <v>-1.6999999999998128E-3</v>
      </c>
      <c r="D129" s="109">
        <f t="shared" si="28"/>
        <v>-1.6999999999998128E-3</v>
      </c>
      <c r="E129" s="109">
        <f ca="1">IF(表2_367162629303891213141523242526272831[[#This Row],[累计净值]]/MAX(INDIRECT("B21:B" &amp; ROW()))-1&lt;E128,表2_367162629303891213141523242526272831[[#This Row],[累计净值]]/MAX(INDIRECT("B21:B" &amp; ROW()))-1,E128)</f>
        <v>-1</v>
      </c>
      <c r="F129" s="110">
        <f>表2_367162629303891213141523242526272831[[#This Row],[累计净值]]-0.0738</f>
        <v>1.0787</v>
      </c>
      <c r="G129" s="118"/>
    </row>
    <row r="130" spans="1:7" x14ac:dyDescent="0.2">
      <c r="A130" s="15">
        <v>44313</v>
      </c>
      <c r="B130" s="112">
        <v>1.1529</v>
      </c>
      <c r="C130" s="108">
        <f>IFERROR(B130-B129,0)</f>
        <v>3.9999999999995595E-4</v>
      </c>
      <c r="D130" s="109" t="str">
        <f>IF(C130&lt;0,C130,"/")</f>
        <v>/</v>
      </c>
      <c r="E130" s="109">
        <f ca="1">IF(表2_367162629303891213141523242526272831[[#This Row],[累计净值]]/MAX(INDIRECT("B21:B" &amp; ROW()))-1&lt;E129,表2_367162629303891213141523242526272831[[#This Row],[累计净值]]/MAX(INDIRECT("B21:B" &amp; ROW()))-1,E129)</f>
        <v>-1</v>
      </c>
      <c r="F130" s="110">
        <f>表2_367162629303891213141523242526272831[[#This Row],[累计净值]]-0.0738</f>
        <v>1.0790999999999999</v>
      </c>
      <c r="G130" s="118"/>
    </row>
    <row r="131" spans="1:7" x14ac:dyDescent="0.2">
      <c r="A131" s="15">
        <v>44314</v>
      </c>
      <c r="B131" s="112">
        <v>1.1532</v>
      </c>
      <c r="C131" s="108">
        <f>IFERROR(B131-B130,0)</f>
        <v>2.9999999999996696E-4</v>
      </c>
      <c r="D131" s="109" t="str">
        <f>IF(C131&lt;0,C131,"/")</f>
        <v>/</v>
      </c>
      <c r="E131" s="109">
        <f ca="1">IF(表2_367162629303891213141523242526272831[[#This Row],[累计净值]]/MAX(INDIRECT("B21:B" &amp; ROW()))-1&lt;E130,表2_367162629303891213141523242526272831[[#This Row],[累计净值]]/MAX(INDIRECT("B21:B" &amp; ROW()))-1,E130)</f>
        <v>-1</v>
      </c>
      <c r="F131" s="110">
        <f>表2_367162629303891213141523242526272831[[#This Row],[累计净值]]-0.0738</f>
        <v>1.0793999999999999</v>
      </c>
      <c r="G131" s="118"/>
    </row>
    <row r="132" spans="1:7" x14ac:dyDescent="0.2">
      <c r="A132" s="15">
        <v>44315</v>
      </c>
      <c r="B132" s="112">
        <v>1.1558999999999999</v>
      </c>
      <c r="C132" s="108">
        <f t="shared" ref="C132:C134" si="29">IFERROR(B132-B131,0)</f>
        <v>2.6999999999999247E-3</v>
      </c>
      <c r="D132" s="109" t="str">
        <f t="shared" ref="D132:D134" si="30">IF(C132&lt;0,C132,"/")</f>
        <v>/</v>
      </c>
      <c r="E132" s="109">
        <f ca="1">IF(表2_367162629303891213141523242526272831[[#This Row],[累计净值]]/MAX(INDIRECT("B21:B" &amp; ROW()))-1&lt;E131,表2_367162629303891213141523242526272831[[#This Row],[累计净值]]/MAX(INDIRECT("B21:B" &amp; ROW()))-1,E131)</f>
        <v>-1</v>
      </c>
      <c r="F132" s="110">
        <f>表2_367162629303891213141523242526272831[[#This Row],[累计净值]]-0.0738</f>
        <v>1.0820999999999998</v>
      </c>
      <c r="G132" s="118"/>
    </row>
    <row r="133" spans="1:7" x14ac:dyDescent="0.2">
      <c r="A133" s="15">
        <v>44316</v>
      </c>
      <c r="B133" s="112">
        <v>1.1565000000000001</v>
      </c>
      <c r="C133" s="108">
        <f t="shared" si="29"/>
        <v>6.0000000000015596E-4</v>
      </c>
      <c r="D133" s="109" t="str">
        <f t="shared" si="30"/>
        <v>/</v>
      </c>
      <c r="E133" s="109">
        <f ca="1">IF(表2_367162629303891213141523242526272831[[#This Row],[累计净值]]/MAX(INDIRECT("B21:B" &amp; ROW()))-1&lt;E132,表2_367162629303891213141523242526272831[[#This Row],[累计净值]]/MAX(INDIRECT("B21:B" &amp; ROW()))-1,E132)</f>
        <v>-1</v>
      </c>
      <c r="F133" s="110">
        <f>表2_367162629303891213141523242526272831[[#This Row],[累计净值]]-0.0738</f>
        <v>1.0827</v>
      </c>
      <c r="G133" s="118"/>
    </row>
    <row r="134" spans="1:7" x14ac:dyDescent="0.2">
      <c r="A134" s="15">
        <v>44322</v>
      </c>
      <c r="B134" s="112">
        <v>1.1534</v>
      </c>
      <c r="C134" s="108">
        <f t="shared" si="29"/>
        <v>-3.1000000000001027E-3</v>
      </c>
      <c r="D134" s="109">
        <f t="shared" si="30"/>
        <v>-3.1000000000001027E-3</v>
      </c>
      <c r="E134" s="109">
        <f ca="1">IF(表2_367162629303891213141523242526272831[[#This Row],[累计净值]]/MAX(INDIRECT("B21:B" &amp; ROW()))-1&lt;E133,表2_367162629303891213141523242526272831[[#This Row],[累计净值]]/MAX(INDIRECT("B21:B" &amp; ROW()))-1,E133)</f>
        <v>-1</v>
      </c>
      <c r="F134" s="110">
        <f>表2_367162629303891213141523242526272831[[#This Row],[累计净值]]-0.0738</f>
        <v>1.0795999999999999</v>
      </c>
      <c r="G134" s="118"/>
    </row>
    <row r="135" spans="1:7" x14ac:dyDescent="0.2">
      <c r="A135" s="15">
        <v>44323</v>
      </c>
      <c r="B135" s="112">
        <v>1.1534</v>
      </c>
      <c r="C135" s="108">
        <f t="shared" ref="C135:C140" si="31">IFERROR(B135-B134,0)</f>
        <v>0</v>
      </c>
      <c r="D135" s="109" t="str">
        <f t="shared" ref="D135:D140" si="32">IF(C135&lt;0,C135,"/")</f>
        <v>/</v>
      </c>
      <c r="E135" s="109">
        <f ca="1">IF(表2_367162629303891213141523242526272831[[#This Row],[累计净值]]/MAX(INDIRECT("B21:B" &amp; ROW()))-1&lt;E134,表2_367162629303891213141523242526272831[[#This Row],[累计净值]]/MAX(INDIRECT("B21:B" &amp; ROW()))-1,E134)</f>
        <v>-1</v>
      </c>
      <c r="F135" s="110">
        <f>表2_367162629303891213141523242526272831[[#This Row],[累计净值]]-0.0738</f>
        <v>1.0795999999999999</v>
      </c>
      <c r="G135" s="118"/>
    </row>
    <row r="136" spans="1:7" x14ac:dyDescent="0.2">
      <c r="A136" s="15">
        <v>44326</v>
      </c>
      <c r="B136" s="112">
        <v>1.1513</v>
      </c>
      <c r="C136" s="108">
        <f t="shared" si="31"/>
        <v>-2.0999999999999908E-3</v>
      </c>
      <c r="D136" s="109">
        <f t="shared" si="32"/>
        <v>-2.0999999999999908E-3</v>
      </c>
      <c r="E136" s="109">
        <f ca="1">IF(表2_367162629303891213141523242526272831[[#This Row],[累计净值]]/MAX(INDIRECT("B21:B" &amp; ROW()))-1&lt;E135,表2_367162629303891213141523242526272831[[#This Row],[累计净值]]/MAX(INDIRECT("B21:B" &amp; ROW()))-1,E135)</f>
        <v>-1</v>
      </c>
      <c r="F136" s="110">
        <f>表2_367162629303891213141523242526272831[[#This Row],[累计净值]]-0.0738</f>
        <v>1.0774999999999999</v>
      </c>
      <c r="G136" s="118"/>
    </row>
    <row r="137" spans="1:7" x14ac:dyDescent="0.2">
      <c r="A137" s="15">
        <v>44327</v>
      </c>
      <c r="B137" s="112">
        <v>1.1528</v>
      </c>
      <c r="C137" s="108">
        <f t="shared" si="31"/>
        <v>1.5000000000000568E-3</v>
      </c>
      <c r="D137" s="109" t="str">
        <f t="shared" si="32"/>
        <v>/</v>
      </c>
      <c r="E137" s="109">
        <f ca="1">IF(表2_367162629303891213141523242526272831[[#This Row],[累计净值]]/MAX(INDIRECT("B21:B" &amp; ROW()))-1&lt;E136,表2_367162629303891213141523242526272831[[#This Row],[累计净值]]/MAX(INDIRECT("B21:B" &amp; ROW()))-1,E136)</f>
        <v>-1</v>
      </c>
      <c r="F137" s="110">
        <f>表2_367162629303891213141523242526272831[[#This Row],[累计净值]]-0.0738</f>
        <v>1.079</v>
      </c>
      <c r="G137" s="118"/>
    </row>
    <row r="138" spans="1:7" x14ac:dyDescent="0.2">
      <c r="A138" s="15">
        <v>44328</v>
      </c>
      <c r="B138" s="112">
        <v>1.1553</v>
      </c>
      <c r="C138" s="108">
        <f t="shared" si="31"/>
        <v>2.4999999999999467E-3</v>
      </c>
      <c r="D138" s="109" t="str">
        <f t="shared" si="32"/>
        <v>/</v>
      </c>
      <c r="E138" s="109">
        <f ca="1">IF(表2_367162629303891213141523242526272831[[#This Row],[累计净值]]/MAX(INDIRECT("B21:B" &amp; ROW()))-1&lt;E137,表2_367162629303891213141523242526272831[[#This Row],[累计净值]]/MAX(INDIRECT("B21:B" &amp; ROW()))-1,E137)</f>
        <v>-1</v>
      </c>
      <c r="F138" s="110">
        <f>表2_367162629303891213141523242526272831[[#This Row],[累计净值]]-0.0738</f>
        <v>1.0814999999999999</v>
      </c>
      <c r="G138" s="118"/>
    </row>
    <row r="139" spans="1:7" x14ac:dyDescent="0.2">
      <c r="A139" s="15">
        <v>44329</v>
      </c>
      <c r="B139" s="112">
        <v>1.1520999999999999</v>
      </c>
      <c r="C139" s="108">
        <f t="shared" si="31"/>
        <v>-3.2000000000000917E-3</v>
      </c>
      <c r="D139" s="109">
        <f t="shared" si="32"/>
        <v>-3.2000000000000917E-3</v>
      </c>
      <c r="E139" s="109">
        <f ca="1">IF(表2_367162629303891213141523242526272831[[#This Row],[累计净值]]/MAX(INDIRECT("B21:B" &amp; ROW()))-1&lt;E138,表2_367162629303891213141523242526272831[[#This Row],[累计净值]]/MAX(INDIRECT("B21:B" &amp; ROW()))-1,E138)</f>
        <v>-1</v>
      </c>
      <c r="F139" s="110">
        <f>表2_367162629303891213141523242526272831[[#This Row],[累计净值]]-0.0738</f>
        <v>1.0782999999999998</v>
      </c>
      <c r="G139" s="118"/>
    </row>
    <row r="140" spans="1:7" x14ac:dyDescent="0.2">
      <c r="A140" s="15">
        <v>44330</v>
      </c>
      <c r="B140" s="112">
        <v>1.1575</v>
      </c>
      <c r="C140" s="108">
        <f t="shared" si="31"/>
        <v>5.4000000000000714E-3</v>
      </c>
      <c r="D140" s="109" t="str">
        <f t="shared" si="32"/>
        <v>/</v>
      </c>
      <c r="E140" s="109">
        <f ca="1">IF(表2_367162629303891213141523242526272831[[#This Row],[累计净值]]/MAX(INDIRECT("B21:B" &amp; ROW()))-1&lt;E139,表2_367162629303891213141523242526272831[[#This Row],[累计净值]]/MAX(INDIRECT("B21:B" &amp; ROW()))-1,E139)</f>
        <v>-1</v>
      </c>
      <c r="F140" s="110">
        <f>表2_367162629303891213141523242526272831[[#This Row],[累计净值]]-0.0738</f>
        <v>1.0836999999999999</v>
      </c>
      <c r="G140" s="118"/>
    </row>
  </sheetData>
  <mergeCells count="1">
    <mergeCell ref="G2:G3"/>
  </mergeCells>
  <phoneticPr fontId="24" type="noConversion"/>
  <pageMargins left="0.7" right="0.7" top="0.75" bottom="0.75" header="0.3" footer="0.3"/>
  <pageSetup paperSize="9" orientation="portrait" horizontalDpi="200" verticalDpi="200" r:id="rId1"/>
  <drawing r:id="rId2"/>
  <tableParts count="1"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G81"/>
  <sheetViews>
    <sheetView topLeftCell="A7" workbookViewId="0">
      <pane xSplit="1" ySplit="14" topLeftCell="B59" activePane="bottomRight" state="frozen"/>
      <selection activeCell="A7" sqref="A7"/>
      <selection pane="topRight" activeCell="B7" sqref="B7"/>
      <selection pane="bottomLeft" activeCell="A21" sqref="A21"/>
      <selection pane="bottomRight" activeCell="G80" sqref="G80:G81"/>
    </sheetView>
  </sheetViews>
  <sheetFormatPr defaultColWidth="9" defaultRowHeight="14.25" x14ac:dyDescent="0.2"/>
  <cols>
    <col min="1" max="1" width="11.625" style="1" bestFit="1" customWidth="1"/>
    <col min="2" max="2" width="13" style="1" customWidth="1"/>
    <col min="3" max="4" width="13.5" style="1" bestFit="1" customWidth="1"/>
    <col min="5" max="5" width="10.75" style="1" customWidth="1"/>
    <col min="6" max="6" width="11.125" style="1" customWidth="1"/>
    <col min="7" max="7" width="18.875" style="2" customWidth="1"/>
    <col min="8" max="8" width="14.25" style="1" customWidth="1"/>
    <col min="9" max="9" width="12" style="1" bestFit="1" customWidth="1"/>
    <col min="10" max="16384" width="9" style="1"/>
  </cols>
  <sheetData>
    <row r="1" spans="1:7" ht="15" thickBot="1" x14ac:dyDescent="0.25"/>
    <row r="2" spans="1:7" ht="15" thickBot="1" x14ac:dyDescent="0.25">
      <c r="A2" s="23" t="s">
        <v>0</v>
      </c>
      <c r="B2" s="24">
        <f>COUNT(表2_367162629303891213141523242526272838[每日盈亏])</f>
        <v>61</v>
      </c>
      <c r="C2" s="27"/>
      <c r="D2" s="3" t="s">
        <v>1</v>
      </c>
      <c r="E2" s="28"/>
      <c r="F2" s="1" t="s">
        <v>2</v>
      </c>
      <c r="G2" s="394" t="s">
        <v>3</v>
      </c>
    </row>
    <row r="3" spans="1:7" x14ac:dyDescent="0.2">
      <c r="A3" s="25" t="s">
        <v>4</v>
      </c>
      <c r="B3" s="26">
        <f>COUNTIF(表2_367162629303891213141523242526272838[每日盈亏],"&gt;0")</f>
        <v>32</v>
      </c>
      <c r="C3" s="29"/>
      <c r="D3" s="30" t="s">
        <v>5</v>
      </c>
      <c r="E3" s="31">
        <f>245^0.5*(B10-0.025/365)/E10</f>
        <v>2.024771537878443</v>
      </c>
      <c r="G3" s="394"/>
    </row>
    <row r="4" spans="1:7" x14ac:dyDescent="0.2">
      <c r="A4" s="25" t="s">
        <v>6</v>
      </c>
      <c r="B4" s="26">
        <f>COUNTIF(表2_367162629303891213141523242526272838[每日盈亏],"&lt;0")</f>
        <v>19</v>
      </c>
      <c r="C4" s="29"/>
      <c r="D4" s="32" t="s">
        <v>7</v>
      </c>
      <c r="E4" s="31">
        <f ca="1">-B9/E8</f>
        <v>1.1103071652529521</v>
      </c>
      <c r="G4" s="2">
        <f>LOOKUP(999^10,表2_367162629303891213141523242526272838[累计净值])</f>
        <v>1.109</v>
      </c>
    </row>
    <row r="5" spans="1:7" x14ac:dyDescent="0.2">
      <c r="A5" s="25" t="s">
        <v>8</v>
      </c>
      <c r="B5" s="26">
        <f>B2-B3-B4</f>
        <v>10</v>
      </c>
      <c r="C5" s="29"/>
      <c r="D5" s="33" t="s">
        <v>9</v>
      </c>
      <c r="E5" s="4">
        <f>245^0.5*(B10-0.025/365)/E9</f>
        <v>2.6770434863456694</v>
      </c>
    </row>
    <row r="6" spans="1:7" ht="15" thickBot="1" x14ac:dyDescent="0.25">
      <c r="A6" s="34"/>
      <c r="B6" s="35"/>
      <c r="C6" s="35"/>
      <c r="D6" s="35"/>
      <c r="E6" s="36"/>
    </row>
    <row r="7" spans="1:7" ht="15" thickBot="1" x14ac:dyDescent="0.25">
      <c r="A7" s="5" t="s">
        <v>10</v>
      </c>
      <c r="B7" s="35"/>
      <c r="C7" s="35"/>
      <c r="D7" s="3" t="s">
        <v>11</v>
      </c>
      <c r="E7" s="37"/>
    </row>
    <row r="8" spans="1:7" x14ac:dyDescent="0.2">
      <c r="A8" s="38" t="s">
        <v>12</v>
      </c>
      <c r="B8" s="39">
        <f>LOOKUP(999^10,表2_367162629303891213141523242526272838[累计净值])/$B$21-1</f>
        <v>2.0239190432382648E-2</v>
      </c>
      <c r="C8" s="40"/>
      <c r="D8" s="30" t="s">
        <v>13</v>
      </c>
      <c r="E8" s="41">
        <f ca="1">MIN(表2_367162629303891213141523242526272838[最大回撤])</f>
        <v>-7.3212669683257903E-2</v>
      </c>
    </row>
    <row r="9" spans="1:7" x14ac:dyDescent="0.2">
      <c r="A9" s="25" t="s">
        <v>14</v>
      </c>
      <c r="B9" s="32">
        <f>B8*245/B2</f>
        <v>8.1288551736618836E-2</v>
      </c>
      <c r="C9" s="40"/>
      <c r="D9" s="33" t="s">
        <v>15</v>
      </c>
      <c r="E9" s="6">
        <f>STDEV(表2_367162629303891213141523242526272838[下跌幅度])</f>
        <v>1.7082531003837892E-3</v>
      </c>
    </row>
    <row r="10" spans="1:7" x14ac:dyDescent="0.2">
      <c r="A10" s="42" t="s">
        <v>16</v>
      </c>
      <c r="B10" s="43">
        <f>AVERAGE(表2_367162629303891213141523242526272838[每日盈亏])</f>
        <v>3.6065573770491835E-4</v>
      </c>
      <c r="C10" s="44"/>
      <c r="D10" s="33" t="s">
        <v>17</v>
      </c>
      <c r="E10" s="6">
        <f>STDEV(表2_367162629303891213141523242526272838[每日盈亏])</f>
        <v>2.2585599164456258E-3</v>
      </c>
    </row>
    <row r="11" spans="1:7" x14ac:dyDescent="0.2">
      <c r="A11" s="7" t="s">
        <v>18</v>
      </c>
      <c r="B11" s="32">
        <f>B3/B2</f>
        <v>0.52459016393442626</v>
      </c>
      <c r="C11" s="40"/>
      <c r="D11" s="32" t="s">
        <v>19</v>
      </c>
      <c r="E11" s="41">
        <f>245^0.5*E10</f>
        <v>3.5352054531000654E-2</v>
      </c>
    </row>
    <row r="12" spans="1:7" ht="15" thickBot="1" x14ac:dyDescent="0.25">
      <c r="A12" s="45" t="s">
        <v>20</v>
      </c>
      <c r="B12" s="46">
        <f>-(SUMIF(表2_367162629303891213141523242526272838[每日盈亏],"&gt;=0")/B3)/(SUMIF(表2_367162629303891213141523242526272838[每日盈亏],"&lt;0")/B4)</f>
        <v>0.91234756097561065</v>
      </c>
      <c r="C12" s="47"/>
      <c r="D12" s="48"/>
      <c r="E12" s="49"/>
    </row>
    <row r="14" spans="1:7" ht="28.5" x14ac:dyDescent="0.2">
      <c r="A14" s="50" t="s">
        <v>21</v>
      </c>
      <c r="B14" s="50" t="s">
        <v>14</v>
      </c>
      <c r="C14" s="51" t="s">
        <v>19</v>
      </c>
      <c r="D14" s="51" t="s">
        <v>13</v>
      </c>
      <c r="E14" s="51" t="s">
        <v>5</v>
      </c>
      <c r="F14" s="51" t="s">
        <v>7</v>
      </c>
    </row>
    <row r="15" spans="1:7" x14ac:dyDescent="0.2">
      <c r="A15" s="78">
        <f>B2</f>
        <v>61</v>
      </c>
      <c r="B15" s="53">
        <f>B9</f>
        <v>8.1288551736618836E-2</v>
      </c>
      <c r="C15" s="53">
        <f>E11</f>
        <v>3.5352054531000654E-2</v>
      </c>
      <c r="D15" s="53">
        <f ca="1">E8</f>
        <v>-7.3212669683257903E-2</v>
      </c>
      <c r="E15" s="54">
        <f>E3</f>
        <v>2.024771537878443</v>
      </c>
      <c r="F15" s="54">
        <f ca="1">E4</f>
        <v>1.1103071652529521</v>
      </c>
    </row>
    <row r="19" spans="1:7" x14ac:dyDescent="0.2">
      <c r="A19" s="8"/>
      <c r="B19" s="1" t="s">
        <v>22</v>
      </c>
    </row>
    <row r="20" spans="1:7" ht="15.75" x14ac:dyDescent="0.2">
      <c r="A20" s="22" t="s">
        <v>23</v>
      </c>
      <c r="B20" s="22" t="s">
        <v>24</v>
      </c>
      <c r="C20" s="22" t="s">
        <v>25</v>
      </c>
      <c r="D20" s="22" t="s">
        <v>26</v>
      </c>
      <c r="E20" s="22" t="s">
        <v>27</v>
      </c>
      <c r="F20" s="22" t="s">
        <v>28</v>
      </c>
      <c r="G20" s="22" t="s">
        <v>29</v>
      </c>
    </row>
    <row r="21" spans="1:7" x14ac:dyDescent="0.2">
      <c r="A21" s="15">
        <v>44236</v>
      </c>
      <c r="B21" s="16">
        <v>1.087</v>
      </c>
      <c r="C21" s="11">
        <f t="shared" ref="C21" si="0">IFERROR(B21-B20,0)</f>
        <v>0</v>
      </c>
      <c r="D21" s="12" t="str">
        <f>IF(C21&lt;0,C21,"/")</f>
        <v>/</v>
      </c>
      <c r="E21" s="12">
        <v>0</v>
      </c>
      <c r="F21" s="13">
        <f>表2_367162629303891213141523242526272838[[#This Row],[累计净值]]</f>
        <v>1.087</v>
      </c>
      <c r="G21" s="194" t="s">
        <v>30</v>
      </c>
    </row>
    <row r="22" spans="1:7" x14ac:dyDescent="0.2">
      <c r="A22" s="15">
        <v>44237</v>
      </c>
      <c r="B22" s="112">
        <v>1.0860000000000001</v>
      </c>
      <c r="C22" s="108">
        <f>IFERROR(B22-B21,0)</f>
        <v>-9.9999999999988987E-4</v>
      </c>
      <c r="D22" s="109">
        <f t="shared" ref="D22:D33" si="1">IF(C22&lt;0,C22,"/")</f>
        <v>-9.9999999999988987E-4</v>
      </c>
      <c r="E22" s="109">
        <f ca="1">IF(B21/MAX(INDIRECT("B21:B" &amp; ROW()))-1&lt;E21,B21/MAX(INDIRECT("B21:B" &amp; ROW()))-1,E21)</f>
        <v>0</v>
      </c>
      <c r="F22" s="110">
        <f>表2_367162629303891213141523242526272838[[#This Row],[累计净值]]</f>
        <v>1.0860000000000001</v>
      </c>
      <c r="G22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-9.1996320147180732E-4</v>
      </c>
    </row>
    <row r="23" spans="1:7" x14ac:dyDescent="0.2">
      <c r="A23" s="15">
        <v>44245</v>
      </c>
      <c r="B23" s="112">
        <v>1.087</v>
      </c>
      <c r="C23" s="108">
        <f t="shared" ref="C23:C33" si="2">IFERROR(B23-B22,0)</f>
        <v>9.9999999999988987E-4</v>
      </c>
      <c r="D23" s="109" t="str">
        <f t="shared" si="1"/>
        <v>/</v>
      </c>
      <c r="E23" s="109">
        <f t="shared" ref="E23:E41" ca="1" si="3">IF(B22/MAX(INDIRECT("B21:B" &amp; ROW()))-1&lt;E22,B22/MAX(INDIRECT("B21:B" &amp; ROW()))-1,E22)</f>
        <v>-9.1996320147180732E-4</v>
      </c>
      <c r="F23" s="110">
        <f>表2_367162629303891213141523242526272838[[#This Row],[累计净值]]</f>
        <v>1.087</v>
      </c>
      <c r="G23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0</v>
      </c>
    </row>
    <row r="24" spans="1:7" x14ac:dyDescent="0.2">
      <c r="A24" s="15">
        <v>44246</v>
      </c>
      <c r="B24" s="112">
        <v>1.087</v>
      </c>
      <c r="C24" s="108">
        <f t="shared" si="2"/>
        <v>0</v>
      </c>
      <c r="D24" s="109" t="str">
        <f t="shared" si="1"/>
        <v>/</v>
      </c>
      <c r="E24" s="109">
        <f t="shared" ca="1" si="3"/>
        <v>-9.1996320147180732E-4</v>
      </c>
      <c r="F24" s="110">
        <f>表2_367162629303891213141523242526272838[[#This Row],[累计净值]]</f>
        <v>1.087</v>
      </c>
      <c r="G24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0</v>
      </c>
    </row>
    <row r="25" spans="1:7" x14ac:dyDescent="0.2">
      <c r="A25" s="15">
        <v>44249</v>
      </c>
      <c r="B25" s="112">
        <v>1.0860000000000001</v>
      </c>
      <c r="C25" s="108">
        <f t="shared" si="2"/>
        <v>-9.9999999999988987E-4</v>
      </c>
      <c r="D25" s="109">
        <f t="shared" si="1"/>
        <v>-9.9999999999988987E-4</v>
      </c>
      <c r="E25" s="109">
        <f t="shared" ca="1" si="3"/>
        <v>-9.1996320147180732E-4</v>
      </c>
      <c r="F25" s="110">
        <f>表2_367162629303891213141523242526272838[[#This Row],[累计净值]]</f>
        <v>1.0860000000000001</v>
      </c>
      <c r="G25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-9.1996320147180732E-4</v>
      </c>
    </row>
    <row r="26" spans="1:7" x14ac:dyDescent="0.2">
      <c r="A26" s="15">
        <v>44250</v>
      </c>
      <c r="B26" s="112">
        <v>1.093</v>
      </c>
      <c r="C26" s="108">
        <f t="shared" si="2"/>
        <v>6.9999999999998952E-3</v>
      </c>
      <c r="D26" s="109" t="str">
        <f t="shared" si="1"/>
        <v>/</v>
      </c>
      <c r="E26" s="109">
        <f t="shared" ca="1" si="3"/>
        <v>-6.4043915827994846E-3</v>
      </c>
      <c r="F26" s="110">
        <f>表2_367162629303891213141523242526272838[[#This Row],[累计净值]]</f>
        <v>1.093</v>
      </c>
      <c r="G26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3.8638454461822121E-3</v>
      </c>
    </row>
    <row r="27" spans="1:7" x14ac:dyDescent="0.2">
      <c r="A27" s="15">
        <v>44251</v>
      </c>
      <c r="B27" s="112">
        <v>1.0940000000000001</v>
      </c>
      <c r="C27" s="108">
        <f t="shared" si="2"/>
        <v>1.0000000000001119E-3</v>
      </c>
      <c r="D27" s="109" t="str">
        <f t="shared" si="1"/>
        <v>/</v>
      </c>
      <c r="E27" s="109">
        <f t="shared" ca="1" si="3"/>
        <v>-6.4043915827994846E-3</v>
      </c>
      <c r="F27" s="110">
        <f>表2_367162629303891213141523242526272838[[#This Row],[累计净值]]</f>
        <v>1.0940000000000001</v>
      </c>
      <c r="G27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4.5078196872126329E-3</v>
      </c>
    </row>
    <row r="28" spans="1:7" x14ac:dyDescent="0.2">
      <c r="A28" s="15">
        <v>44252</v>
      </c>
      <c r="B28" s="112">
        <v>1.0920000000000001</v>
      </c>
      <c r="C28" s="108">
        <f t="shared" si="2"/>
        <v>-2.0000000000000018E-3</v>
      </c>
      <c r="D28" s="109">
        <f t="shared" si="1"/>
        <v>-2.0000000000000018E-3</v>
      </c>
      <c r="E28" s="109">
        <f t="shared" ca="1" si="3"/>
        <v>-6.4043915827994846E-3</v>
      </c>
      <c r="F28" s="110">
        <f>表2_367162629303891213141523242526272838[[#This Row],[累计净值]]</f>
        <v>1.0920000000000001</v>
      </c>
      <c r="G28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3.2198712051517918E-3</v>
      </c>
    </row>
    <row r="29" spans="1:7" x14ac:dyDescent="0.2">
      <c r="A29" s="15">
        <v>44253</v>
      </c>
      <c r="B29" s="112">
        <v>1.093</v>
      </c>
      <c r="C29" s="108">
        <f t="shared" si="2"/>
        <v>9.9999999999988987E-4</v>
      </c>
      <c r="D29" s="109" t="str">
        <f t="shared" si="1"/>
        <v>/</v>
      </c>
      <c r="E29" s="109">
        <f t="shared" ca="1" si="3"/>
        <v>-6.4043915827994846E-3</v>
      </c>
      <c r="F29" s="110">
        <f>表2_367162629303891213141523242526272838[[#This Row],[累计净值]]</f>
        <v>1.093</v>
      </c>
      <c r="G29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3.8638454461822121E-3</v>
      </c>
    </row>
    <row r="30" spans="1:7" x14ac:dyDescent="0.2">
      <c r="A30" s="15">
        <v>44255</v>
      </c>
      <c r="B30" s="227">
        <v>1.093</v>
      </c>
      <c r="C30" s="108">
        <f t="shared" si="2"/>
        <v>0</v>
      </c>
      <c r="D30" s="109" t="str">
        <f t="shared" si="1"/>
        <v>/</v>
      </c>
      <c r="E30" s="109">
        <f t="shared" ca="1" si="3"/>
        <v>-6.4043915827994846E-3</v>
      </c>
      <c r="F30" s="110">
        <f>表2_367162629303891213141523242526272838[[#This Row],[累计净值]]</f>
        <v>1.093</v>
      </c>
      <c r="G30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3.8638454461822121E-3</v>
      </c>
    </row>
    <row r="31" spans="1:7" x14ac:dyDescent="0.2">
      <c r="A31" s="15">
        <v>44256</v>
      </c>
      <c r="B31" s="227">
        <v>1.0940000000000001</v>
      </c>
      <c r="C31" s="108">
        <f t="shared" si="2"/>
        <v>1.0000000000001119E-3</v>
      </c>
      <c r="D31" s="109" t="str">
        <f t="shared" si="1"/>
        <v>/</v>
      </c>
      <c r="E31" s="109">
        <f t="shared" ca="1" si="3"/>
        <v>-6.4043915827994846E-3</v>
      </c>
      <c r="F31" s="110">
        <f>表2_367162629303891213141523242526272838[[#This Row],[累计净值]]</f>
        <v>1.0940000000000001</v>
      </c>
      <c r="G31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4.5078196872126329E-3</v>
      </c>
    </row>
    <row r="32" spans="1:7" x14ac:dyDescent="0.2">
      <c r="A32" s="15">
        <v>44257</v>
      </c>
      <c r="B32" s="112">
        <v>1.095</v>
      </c>
      <c r="C32" s="108">
        <f t="shared" si="2"/>
        <v>9.9999999999988987E-4</v>
      </c>
      <c r="D32" s="109" t="str">
        <f t="shared" si="1"/>
        <v>/</v>
      </c>
      <c r="E32" s="109">
        <f t="shared" ca="1" si="3"/>
        <v>-6.4043915827994846E-3</v>
      </c>
      <c r="F32" s="110">
        <f>表2_367162629303891213141523242526272838[[#This Row],[累计净值]]</f>
        <v>1.095</v>
      </c>
      <c r="G32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5.1517939282428975E-3</v>
      </c>
    </row>
    <row r="33" spans="1:7" x14ac:dyDescent="0.2">
      <c r="A33" s="15">
        <v>44258</v>
      </c>
      <c r="B33" s="112">
        <v>1.0940000000000001</v>
      </c>
      <c r="C33" s="108">
        <f t="shared" si="2"/>
        <v>-9.9999999999988987E-4</v>
      </c>
      <c r="D33" s="109">
        <f t="shared" si="1"/>
        <v>-9.9999999999988987E-4</v>
      </c>
      <c r="E33" s="109">
        <f t="shared" ca="1" si="3"/>
        <v>-6.4043915827994846E-3</v>
      </c>
      <c r="F33" s="110">
        <f>表2_367162629303891213141523242526272838[[#This Row],[累计净值]]</f>
        <v>1.0940000000000001</v>
      </c>
      <c r="G33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4.5078196872126329E-3</v>
      </c>
    </row>
    <row r="34" spans="1:7" x14ac:dyDescent="0.2">
      <c r="A34" s="15">
        <v>44259</v>
      </c>
      <c r="B34" s="112">
        <v>1.0960000000000001</v>
      </c>
      <c r="C34" s="108">
        <f t="shared" ref="C34:C35" si="4">IFERROR(B34-B33,0)</f>
        <v>2.0000000000000018E-3</v>
      </c>
      <c r="D34" s="109" t="str">
        <f t="shared" ref="D34:D35" si="5">IF(C34&lt;0,C34,"/")</f>
        <v>/</v>
      </c>
      <c r="E34" s="109">
        <f t="shared" ca="1" si="3"/>
        <v>-6.4043915827994846E-3</v>
      </c>
      <c r="F34" s="110">
        <f>表2_367162629303891213141523242526272838[[#This Row],[累计净值]]</f>
        <v>1.0960000000000001</v>
      </c>
      <c r="G34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5.7957681692733182E-3</v>
      </c>
    </row>
    <row r="35" spans="1:7" x14ac:dyDescent="0.2">
      <c r="A35" s="15">
        <v>44260</v>
      </c>
      <c r="B35" s="112">
        <v>1.095</v>
      </c>
      <c r="C35" s="108">
        <f t="shared" si="4"/>
        <v>-1.0000000000001119E-3</v>
      </c>
      <c r="D35" s="109">
        <f t="shared" si="5"/>
        <v>-1.0000000000001119E-3</v>
      </c>
      <c r="E35" s="109">
        <f t="shared" ca="1" si="3"/>
        <v>-6.4043915827994846E-3</v>
      </c>
      <c r="F35" s="110">
        <f>表2_367162629303891213141523242526272838[[#This Row],[累计净值]]</f>
        <v>1.095</v>
      </c>
      <c r="G35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5.1517939282428975E-3</v>
      </c>
    </row>
    <row r="36" spans="1:7" x14ac:dyDescent="0.2">
      <c r="A36" s="15">
        <v>44263</v>
      </c>
      <c r="B36" s="112">
        <v>1.0960000000000001</v>
      </c>
      <c r="C36" s="108">
        <f t="shared" ref="C36:C41" si="6">IFERROR(B36-B35,0)</f>
        <v>1.0000000000001119E-3</v>
      </c>
      <c r="D36" s="109" t="str">
        <f t="shared" ref="D36:D41" si="7">IF(C36&lt;0,C36,"/")</f>
        <v>/</v>
      </c>
      <c r="E36" s="109">
        <f t="shared" ca="1" si="3"/>
        <v>-6.4043915827994846E-3</v>
      </c>
      <c r="F36" s="110">
        <f>表2_367162629303891213141523242526272838[[#This Row],[累计净值]]</f>
        <v>1.0960000000000001</v>
      </c>
      <c r="G36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5.7957681692733182E-3</v>
      </c>
    </row>
    <row r="37" spans="1:7" x14ac:dyDescent="0.2">
      <c r="A37" s="15">
        <v>44264</v>
      </c>
      <c r="B37" s="112">
        <v>1.0980000000000001</v>
      </c>
      <c r="C37" s="108">
        <f t="shared" si="6"/>
        <v>2.0000000000000018E-3</v>
      </c>
      <c r="D37" s="109" t="str">
        <f t="shared" si="7"/>
        <v>/</v>
      </c>
      <c r="E37" s="109">
        <f t="shared" ca="1" si="3"/>
        <v>-6.4043915827994846E-3</v>
      </c>
      <c r="F37" s="110">
        <f>表2_367162629303891213141523242526272838[[#This Row],[累计净值]]</f>
        <v>1.0980000000000001</v>
      </c>
      <c r="G37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7.0837166513340035E-3</v>
      </c>
    </row>
    <row r="38" spans="1:7" x14ac:dyDescent="0.2">
      <c r="A38" s="15">
        <v>44265</v>
      </c>
      <c r="B38" s="112">
        <v>1.0980000000000001</v>
      </c>
      <c r="C38" s="108">
        <f t="shared" si="6"/>
        <v>0</v>
      </c>
      <c r="D38" s="109" t="str">
        <f t="shared" si="7"/>
        <v>/</v>
      </c>
      <c r="E38" s="109">
        <f t="shared" ca="1" si="3"/>
        <v>-6.4043915827994846E-3</v>
      </c>
      <c r="F38" s="110">
        <f>表2_367162629303891213141523242526272838[[#This Row],[累计净值]]</f>
        <v>1.0980000000000001</v>
      </c>
      <c r="G38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7.0837166513340035E-3</v>
      </c>
    </row>
    <row r="39" spans="1:7" x14ac:dyDescent="0.2">
      <c r="A39" s="15">
        <v>44266</v>
      </c>
      <c r="B39" s="112">
        <v>1.099</v>
      </c>
      <c r="C39" s="108">
        <f t="shared" si="6"/>
        <v>9.9999999999988987E-4</v>
      </c>
      <c r="D39" s="109" t="str">
        <f t="shared" si="7"/>
        <v>/</v>
      </c>
      <c r="E39" s="109">
        <f t="shared" ca="1" si="3"/>
        <v>-6.4043915827994846E-3</v>
      </c>
      <c r="F39" s="110">
        <f>表2_367162629303891213141523242526272838[[#This Row],[累计净值]]</f>
        <v>1.099</v>
      </c>
      <c r="G39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7.727690892364269E-3</v>
      </c>
    </row>
    <row r="40" spans="1:7" x14ac:dyDescent="0.2">
      <c r="A40" s="15">
        <v>44267</v>
      </c>
      <c r="B40" s="112">
        <v>1.101</v>
      </c>
      <c r="C40" s="108">
        <f t="shared" si="6"/>
        <v>2.0000000000000018E-3</v>
      </c>
      <c r="D40" s="109" t="str">
        <f t="shared" si="7"/>
        <v>/</v>
      </c>
      <c r="E40" s="109">
        <f t="shared" ca="1" si="3"/>
        <v>-6.4043915827994846E-3</v>
      </c>
      <c r="F40" s="110">
        <f>表2_367162629303891213141523242526272838[[#This Row],[累计净值]]</f>
        <v>1.101</v>
      </c>
      <c r="G40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9.0156393744249552E-3</v>
      </c>
    </row>
    <row r="41" spans="1:7" x14ac:dyDescent="0.2">
      <c r="A41" s="15">
        <v>44270</v>
      </c>
      <c r="B41" s="112">
        <v>1.1040000000000001</v>
      </c>
      <c r="C41" s="108">
        <f t="shared" si="6"/>
        <v>3.0000000000001137E-3</v>
      </c>
      <c r="D41" s="109" t="str">
        <f t="shared" si="7"/>
        <v>/</v>
      </c>
      <c r="E41" s="109">
        <f t="shared" ca="1" si="3"/>
        <v>-6.4043915827994846E-3</v>
      </c>
      <c r="F41" s="110">
        <f>表2_367162629303891213141523242526272838[[#This Row],[累计净值]]</f>
        <v>1.1040000000000001</v>
      </c>
      <c r="G41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1.0947562097516217E-2</v>
      </c>
    </row>
    <row r="42" spans="1:7" x14ac:dyDescent="0.2">
      <c r="A42" s="15">
        <v>44271</v>
      </c>
      <c r="B42" s="112">
        <v>1.103</v>
      </c>
      <c r="C42" s="108">
        <f t="shared" ref="C42:C49" si="8">IFERROR(B42-B41,0)</f>
        <v>-1.0000000000001119E-3</v>
      </c>
      <c r="D42" s="109">
        <f t="shared" ref="D42:D49" si="9">IF(C42&lt;0,C42,"/")</f>
        <v>-1.0000000000001119E-3</v>
      </c>
      <c r="E42" s="109">
        <f t="shared" ref="E42:E49" ca="1" si="10">IF(B41/MAX(INDIRECT("B21:B" &amp; ROW()))-1&lt;E41,B41/MAX(INDIRECT("B21:B" &amp; ROW()))-1,E41)</f>
        <v>-6.4043915827994846E-3</v>
      </c>
      <c r="F42" s="110">
        <f>表2_367162629303891213141523242526272838[[#This Row],[累计净值]]</f>
        <v>1.103</v>
      </c>
      <c r="G42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1.0303587856485795E-2</v>
      </c>
    </row>
    <row r="43" spans="1:7" x14ac:dyDescent="0.2">
      <c r="A43" s="15">
        <v>44272</v>
      </c>
      <c r="B43" s="112">
        <v>1.105</v>
      </c>
      <c r="C43" s="108">
        <f t="shared" si="8"/>
        <v>2.0000000000000018E-3</v>
      </c>
      <c r="D43" s="109" t="str">
        <f t="shared" si="9"/>
        <v>/</v>
      </c>
      <c r="E43" s="109">
        <f t="shared" ca="1" si="10"/>
        <v>-6.4043915827994846E-3</v>
      </c>
      <c r="F43" s="110">
        <f>表2_367162629303891213141523242526272838[[#This Row],[累计净值]]</f>
        <v>1.105</v>
      </c>
      <c r="G43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1.1591536338546482E-2</v>
      </c>
    </row>
    <row r="44" spans="1:7" x14ac:dyDescent="0.2">
      <c r="A44" s="15">
        <v>44273</v>
      </c>
      <c r="B44" s="112">
        <v>1.1040000000000001</v>
      </c>
      <c r="C44" s="108">
        <f t="shared" si="8"/>
        <v>-9.9999999999988987E-4</v>
      </c>
      <c r="D44" s="109">
        <f t="shared" si="9"/>
        <v>-9.9999999999988987E-4</v>
      </c>
      <c r="E44" s="109">
        <f t="shared" ca="1" si="10"/>
        <v>-6.4043915827994846E-3</v>
      </c>
      <c r="F44" s="110">
        <f>表2_367162629303891213141523242526272838[[#This Row],[累计净值]]</f>
        <v>1.1040000000000001</v>
      </c>
      <c r="G44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1.0947562097516217E-2</v>
      </c>
    </row>
    <row r="45" spans="1:7" x14ac:dyDescent="0.2">
      <c r="A45" s="15">
        <v>44274</v>
      </c>
      <c r="B45" s="112">
        <v>1.1020000000000001</v>
      </c>
      <c r="C45" s="108">
        <f t="shared" si="8"/>
        <v>-2.0000000000000018E-3</v>
      </c>
      <c r="D45" s="109">
        <f t="shared" si="9"/>
        <v>-2.0000000000000018E-3</v>
      </c>
      <c r="E45" s="109">
        <f t="shared" ca="1" si="10"/>
        <v>-6.4043915827994846E-3</v>
      </c>
      <c r="F45" s="110">
        <f>表2_367162629303891213141523242526272838[[#This Row],[累计净值]]</f>
        <v>1.1020000000000001</v>
      </c>
      <c r="G45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9.6596136154555312E-3</v>
      </c>
    </row>
    <row r="46" spans="1:7" x14ac:dyDescent="0.2">
      <c r="A46" s="15">
        <v>44277</v>
      </c>
      <c r="B46" s="112">
        <v>1.1000000000000001</v>
      </c>
      <c r="C46" s="108">
        <f t="shared" si="8"/>
        <v>-2.0000000000000018E-3</v>
      </c>
      <c r="D46" s="109">
        <f t="shared" si="9"/>
        <v>-2.0000000000000018E-3</v>
      </c>
      <c r="E46" s="109">
        <f t="shared" ca="1" si="10"/>
        <v>-6.4043915827994846E-3</v>
      </c>
      <c r="F46" s="110">
        <f>表2_367162629303891213141523242526272838[[#This Row],[累计净值]]</f>
        <v>1.1000000000000001</v>
      </c>
      <c r="G46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8.3716651333946897E-3</v>
      </c>
    </row>
    <row r="47" spans="1:7" x14ac:dyDescent="0.2">
      <c r="A47" s="15">
        <v>44278</v>
      </c>
      <c r="B47" s="112">
        <v>1.0960000000000001</v>
      </c>
      <c r="C47" s="108">
        <f t="shared" si="8"/>
        <v>-4.0000000000000036E-3</v>
      </c>
      <c r="D47" s="109">
        <f t="shared" si="9"/>
        <v>-4.0000000000000036E-3</v>
      </c>
      <c r="E47" s="109">
        <f t="shared" ca="1" si="10"/>
        <v>-6.4043915827994846E-3</v>
      </c>
      <c r="F47" s="110">
        <f>表2_367162629303891213141523242526272838[[#This Row],[累计净值]]</f>
        <v>1.0960000000000001</v>
      </c>
      <c r="G47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5.7957681692733182E-3</v>
      </c>
    </row>
    <row r="48" spans="1:7" x14ac:dyDescent="0.2">
      <c r="A48" s="15">
        <v>44279</v>
      </c>
      <c r="B48" s="112">
        <v>1.095</v>
      </c>
      <c r="C48" s="108">
        <f t="shared" si="8"/>
        <v>-1.0000000000001119E-3</v>
      </c>
      <c r="D48" s="109">
        <f t="shared" si="9"/>
        <v>-1.0000000000001119E-3</v>
      </c>
      <c r="E48" s="109">
        <f t="shared" ca="1" si="10"/>
        <v>-8.1447963800903578E-3</v>
      </c>
      <c r="F48" s="110">
        <f>表2_367162629303891213141523242526272838[[#This Row],[累计净值]]</f>
        <v>1.095</v>
      </c>
      <c r="G48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5.1517939282428975E-3</v>
      </c>
    </row>
    <row r="49" spans="1:7" x14ac:dyDescent="0.2">
      <c r="A49" s="15">
        <v>44280</v>
      </c>
      <c r="B49" s="112">
        <v>1.0980000000000001</v>
      </c>
      <c r="C49" s="108">
        <f t="shared" si="8"/>
        <v>3.0000000000001137E-3</v>
      </c>
      <c r="D49" s="109" t="str">
        <f t="shared" si="9"/>
        <v>/</v>
      </c>
      <c r="E49" s="109">
        <f t="shared" ca="1" si="10"/>
        <v>-9.0497737556560764E-3</v>
      </c>
      <c r="F49" s="110">
        <f>表2_367162629303891213141523242526272838[[#This Row],[累计净值]]</f>
        <v>1.0980000000000001</v>
      </c>
      <c r="G49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7.0837166513340035E-3</v>
      </c>
    </row>
    <row r="50" spans="1:7" x14ac:dyDescent="0.2">
      <c r="A50" s="15">
        <v>44281</v>
      </c>
      <c r="B50" s="112">
        <v>1.099</v>
      </c>
      <c r="C50" s="108">
        <f t="shared" ref="C50" si="11">IFERROR(B50-B49,0)</f>
        <v>9.9999999999988987E-4</v>
      </c>
      <c r="D50" s="109" t="str">
        <f t="shared" ref="D50" si="12">IF(C50&lt;0,C50,"/")</f>
        <v>/</v>
      </c>
      <c r="E50" s="109">
        <f ca="1">IF(表2_367162629303891213141523242526272835[[#This Row],[累计净值]]/MAX(INDIRECT("B21:B" &amp; ROW()))-1&lt;E49,表2_367162629303891213141523242526272835[[#This Row],[累计净值]]/MAX(INDIRECT("B21:B" &amp; ROW()))-1,E49)</f>
        <v>-6.9954751131221626E-2</v>
      </c>
      <c r="F50" s="110">
        <f>表2_367162629303891213141523242526272838[[#This Row],[累计净值]]</f>
        <v>1.099</v>
      </c>
      <c r="G50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7.727690892364269E-3</v>
      </c>
    </row>
    <row r="51" spans="1:7" x14ac:dyDescent="0.2">
      <c r="A51" s="15">
        <v>44284</v>
      </c>
      <c r="B51" s="112">
        <v>1.1020000000000001</v>
      </c>
      <c r="C51" s="108">
        <f t="shared" ref="C51:C57" si="13">IFERROR(B51-B50,0)</f>
        <v>3.0000000000001137E-3</v>
      </c>
      <c r="D51" s="109" t="str">
        <f t="shared" ref="D51:D57" si="14">IF(C51&lt;0,C51,"/")</f>
        <v>/</v>
      </c>
      <c r="E51" s="109">
        <f ca="1">IF(表2_367162629303891213141523242526272835[[#This Row],[累计净值]]/MAX(INDIRECT("B21:B" &amp; ROW()))-1&lt;E50,表2_367162629303891213141523242526272835[[#This Row],[累计净值]]/MAX(INDIRECT("B21:B" &amp; ROW()))-1,E50)</f>
        <v>-6.9954751131221626E-2</v>
      </c>
      <c r="F51" s="110">
        <f>表2_367162629303891213141523242526272838[[#This Row],[累计净值]]</f>
        <v>1.1020000000000001</v>
      </c>
      <c r="G51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9.6596136154555312E-3</v>
      </c>
    </row>
    <row r="52" spans="1:7" x14ac:dyDescent="0.2">
      <c r="A52" s="15">
        <v>44285</v>
      </c>
      <c r="B52" s="112">
        <v>1.105</v>
      </c>
      <c r="C52" s="108">
        <f t="shared" si="13"/>
        <v>2.9999999999998916E-3</v>
      </c>
      <c r="D52" s="109" t="str">
        <f t="shared" si="14"/>
        <v>/</v>
      </c>
      <c r="E52" s="109">
        <f ca="1">IF(表2_367162629303891213141523242526272835[[#This Row],[累计净值]]/MAX(INDIRECT("B21:B" &amp; ROW()))-1&lt;E51,表2_367162629303891213141523242526272835[[#This Row],[累计净值]]/MAX(INDIRECT("B21:B" &amp; ROW()))-1,E51)</f>
        <v>-6.9954751131221626E-2</v>
      </c>
      <c r="F52" s="110">
        <f>表2_367162629303891213141523242526272838[[#This Row],[累计净值]]</f>
        <v>1.105</v>
      </c>
      <c r="G52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1.1591536338546482E-2</v>
      </c>
    </row>
    <row r="53" spans="1:7" x14ac:dyDescent="0.2">
      <c r="A53" s="15">
        <v>44286</v>
      </c>
      <c r="B53" s="112">
        <v>1.1040000000000001</v>
      </c>
      <c r="C53" s="108">
        <f t="shared" si="13"/>
        <v>-9.9999999999988987E-4</v>
      </c>
      <c r="D53" s="109">
        <f t="shared" si="14"/>
        <v>-9.9999999999988987E-4</v>
      </c>
      <c r="E53" s="109">
        <f ca="1">IF(表2_367162629303891213141523242526272835[[#This Row],[累计净值]]/MAX(INDIRECT("B21:B" &amp; ROW()))-1&lt;E52,表2_367162629303891213141523242526272835[[#This Row],[累计净值]]/MAX(INDIRECT("B21:B" &amp; ROW()))-1,E52)</f>
        <v>-7.3212669683257903E-2</v>
      </c>
      <c r="F53" s="110">
        <f>表2_367162629303891213141523242526272838[[#This Row],[累计净值]]</f>
        <v>1.1040000000000001</v>
      </c>
      <c r="G53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1.0947562097516217E-2</v>
      </c>
    </row>
    <row r="54" spans="1:7" x14ac:dyDescent="0.2">
      <c r="A54" s="15">
        <v>44287</v>
      </c>
      <c r="B54" s="112">
        <v>1.1080000000000001</v>
      </c>
      <c r="C54" s="108">
        <f t="shared" si="13"/>
        <v>4.0000000000000036E-3</v>
      </c>
      <c r="D54" s="109" t="str">
        <f t="shared" si="14"/>
        <v>/</v>
      </c>
      <c r="E54" s="109">
        <f ca="1">IF(表2_367162629303891213141523242526272835[[#This Row],[累计净值]]/MAX(INDIRECT("B21:B" &amp; ROW()))-1&lt;E53,表2_367162629303891213141523242526272835[[#This Row],[累计净值]]/MAX(INDIRECT("B21:B" &amp; ROW()))-1,E53)</f>
        <v>-7.3212669683257903E-2</v>
      </c>
      <c r="F54" s="110">
        <f>表2_367162629303891213141523242526272838[[#This Row],[累计净值]]</f>
        <v>1.1080000000000001</v>
      </c>
      <c r="G54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1.3523459061637587E-2</v>
      </c>
    </row>
    <row r="55" spans="1:7" x14ac:dyDescent="0.2">
      <c r="A55" s="15">
        <v>44288</v>
      </c>
      <c r="B55" s="112">
        <v>1.1100000000000001</v>
      </c>
      <c r="C55" s="108">
        <f t="shared" si="13"/>
        <v>2.0000000000000018E-3</v>
      </c>
      <c r="D55" s="109" t="str">
        <f t="shared" si="14"/>
        <v>/</v>
      </c>
      <c r="E55" s="109">
        <f ca="1">IF(表2_367162629303891213141523242526272835[[#This Row],[累计净值]]/MAX(INDIRECT("B21:B" &amp; ROW()))-1&lt;E54,表2_367162629303891213141523242526272835[[#This Row],[累计净值]]/MAX(INDIRECT("B21:B" &amp; ROW()))-1,E54)</f>
        <v>-7.3212669683257903E-2</v>
      </c>
      <c r="F55" s="110">
        <f>表2_367162629303891213141523242526272838[[#This Row],[累计净值]]</f>
        <v>1.1100000000000001</v>
      </c>
      <c r="G55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1.4811407543698273E-2</v>
      </c>
    </row>
    <row r="56" spans="1:7" x14ac:dyDescent="0.2">
      <c r="A56" s="15">
        <v>44292</v>
      </c>
      <c r="B56" s="112">
        <v>1.107</v>
      </c>
      <c r="C56" s="108">
        <f t="shared" si="13"/>
        <v>-3.0000000000001137E-3</v>
      </c>
      <c r="D56" s="109">
        <f t="shared" si="14"/>
        <v>-3.0000000000001137E-3</v>
      </c>
      <c r="E56" s="109">
        <f ca="1">IF(表2_367162629303891213141523242526272835[[#This Row],[累计净值]]/MAX(INDIRECT("B21:B" &amp; ROW()))-1&lt;E55,表2_367162629303891213141523242526272835[[#This Row],[累计净值]]/MAX(INDIRECT("B21:B" &amp; ROW()))-1,E55)</f>
        <v>-7.3212669683257903E-2</v>
      </c>
      <c r="F56" s="110">
        <f>表2_367162629303891213141523242526272838[[#This Row],[累计净值]]</f>
        <v>1.107</v>
      </c>
      <c r="G56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1.2879484820607167E-2</v>
      </c>
    </row>
    <row r="57" spans="1:7" x14ac:dyDescent="0.2">
      <c r="A57" s="15">
        <v>44293</v>
      </c>
      <c r="B57" s="112">
        <v>1.1020000000000001</v>
      </c>
      <c r="C57" s="108">
        <f t="shared" si="13"/>
        <v>-4.9999999999998934E-3</v>
      </c>
      <c r="D57" s="109">
        <f t="shared" si="14"/>
        <v>-4.9999999999998934E-3</v>
      </c>
      <c r="E57" s="109">
        <f ca="1">IF(表2_367162629303891213141523242526272835[[#This Row],[累计净值]]/MAX(INDIRECT("B21:B" &amp; ROW()))-1&lt;E56,表2_367162629303891213141523242526272835[[#This Row],[累计净值]]/MAX(INDIRECT("B21:B" &amp; ROW()))-1,E56)</f>
        <v>-7.3212669683257903E-2</v>
      </c>
      <c r="F57" s="110">
        <f>表2_367162629303891213141523242526272838[[#This Row],[累计净值]]</f>
        <v>1.1020000000000001</v>
      </c>
      <c r="G57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9.6596136154555312E-3</v>
      </c>
    </row>
    <row r="58" spans="1:7" x14ac:dyDescent="0.2">
      <c r="A58" s="15">
        <v>44294</v>
      </c>
      <c r="B58" s="112">
        <v>1.105</v>
      </c>
      <c r="C58" s="108">
        <f t="shared" ref="C58:C64" si="15">IFERROR(B58-B57,0)</f>
        <v>2.9999999999998916E-3</v>
      </c>
      <c r="D58" s="109" t="str">
        <f t="shared" ref="D58:D64" si="16">IF(C58&lt;0,C58,"/")</f>
        <v>/</v>
      </c>
      <c r="E58" s="109">
        <f ca="1">IF(表2_367162629303891213141523242526272835[[#This Row],[累计净值]]/MAX(INDIRECT("B21:B" &amp; ROW()))-1&lt;E57,表2_367162629303891213141523242526272835[[#This Row],[累计净值]]/MAX(INDIRECT("B21:B" &amp; ROW()))-1,E57)</f>
        <v>-7.3212669683257903E-2</v>
      </c>
      <c r="F58" s="110">
        <f>表2_367162629303891213141523242526272838[[#This Row],[累计净值]]</f>
        <v>1.105</v>
      </c>
      <c r="G58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1.1591536338546482E-2</v>
      </c>
    </row>
    <row r="59" spans="1:7" x14ac:dyDescent="0.2">
      <c r="A59" s="15">
        <v>44295</v>
      </c>
      <c r="B59" s="112">
        <v>1.1060000000000001</v>
      </c>
      <c r="C59" s="108">
        <f t="shared" si="15"/>
        <v>1.0000000000001119E-3</v>
      </c>
      <c r="D59" s="109" t="str">
        <f t="shared" si="16"/>
        <v>/</v>
      </c>
      <c r="E59" s="109">
        <f ca="1">IF(表2_367162629303891213141523242526272835[[#This Row],[累计净值]]/MAX(INDIRECT("B21:B" &amp; ROW()))-1&lt;E58,表2_367162629303891213141523242526272835[[#This Row],[累计净值]]/MAX(INDIRECT("B21:B" &amp; ROW()))-1,E58)</f>
        <v>-7.3212669683257903E-2</v>
      </c>
      <c r="F59" s="110">
        <f>表2_367162629303891213141523242526272838[[#This Row],[累计净值]]</f>
        <v>1.1060000000000001</v>
      </c>
      <c r="G59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1.2235510579576902E-2</v>
      </c>
    </row>
    <row r="60" spans="1:7" x14ac:dyDescent="0.2">
      <c r="A60" s="15">
        <v>44298</v>
      </c>
      <c r="B60" s="112">
        <v>1.1080000000000001</v>
      </c>
      <c r="C60" s="108">
        <f t="shared" si="15"/>
        <v>2.0000000000000018E-3</v>
      </c>
      <c r="D60" s="109" t="str">
        <f t="shared" si="16"/>
        <v>/</v>
      </c>
      <c r="E60" s="109">
        <f ca="1">IF(表2_367162629303891213141523242526272835[[#This Row],[累计净值]]/MAX(INDIRECT("B21:B" &amp; ROW()))-1&lt;E59,表2_367162629303891213141523242526272835[[#This Row],[累计净值]]/MAX(INDIRECT("B21:B" &amp; ROW()))-1,E59)</f>
        <v>-7.3212669683257903E-2</v>
      </c>
      <c r="F60" s="110">
        <f>表2_367162629303891213141523242526272838[[#This Row],[累计净值]]</f>
        <v>1.1080000000000001</v>
      </c>
      <c r="G60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1.3523459061637587E-2</v>
      </c>
    </row>
    <row r="61" spans="1:7" x14ac:dyDescent="0.2">
      <c r="A61" s="15">
        <v>44299</v>
      </c>
      <c r="B61" s="112">
        <v>1.1040000000000001</v>
      </c>
      <c r="C61" s="108">
        <f t="shared" si="15"/>
        <v>-4.0000000000000036E-3</v>
      </c>
      <c r="D61" s="109">
        <f t="shared" si="16"/>
        <v>-4.0000000000000036E-3</v>
      </c>
      <c r="E61" s="109">
        <f ca="1">IF(表2_367162629303891213141523242526272835[[#This Row],[累计净值]]/MAX(INDIRECT("B21:B" &amp; ROW()))-1&lt;E60,表2_367162629303891213141523242526272835[[#This Row],[累计净值]]/MAX(INDIRECT("B21:B" &amp; ROW()))-1,E60)</f>
        <v>-7.3212669683257903E-2</v>
      </c>
      <c r="F61" s="110">
        <f>表2_367162629303891213141523242526272838[[#This Row],[累计净值]]</f>
        <v>1.1040000000000001</v>
      </c>
      <c r="G61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1.0947562097516217E-2</v>
      </c>
    </row>
    <row r="62" spans="1:7" x14ac:dyDescent="0.2">
      <c r="A62" s="15">
        <v>44300</v>
      </c>
      <c r="B62" s="112">
        <v>1.097</v>
      </c>
      <c r="C62" s="108">
        <f t="shared" si="15"/>
        <v>-7.0000000000001172E-3</v>
      </c>
      <c r="D62" s="109">
        <f t="shared" si="16"/>
        <v>-7.0000000000001172E-3</v>
      </c>
      <c r="E62" s="109">
        <f ca="1">IF(表2_367162629303891213141523242526272835[[#This Row],[累计净值]]/MAX(INDIRECT("B21:B" &amp; ROW()))-1&lt;E61,表2_367162629303891213141523242526272835[[#This Row],[累计净值]]/MAX(INDIRECT("B21:B" &amp; ROW()))-1,E61)</f>
        <v>-7.3212669683257903E-2</v>
      </c>
      <c r="F62" s="110">
        <f>表2_367162629303891213141523242526272838[[#This Row],[累计净值]]</f>
        <v>1.097</v>
      </c>
      <c r="G62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6.4397424103035837E-3</v>
      </c>
    </row>
    <row r="63" spans="1:7" x14ac:dyDescent="0.2">
      <c r="A63" s="15">
        <v>44301</v>
      </c>
      <c r="B63" s="112">
        <v>1.0960000000000001</v>
      </c>
      <c r="C63" s="108">
        <f t="shared" si="15"/>
        <v>-9.9999999999988987E-4</v>
      </c>
      <c r="D63" s="109">
        <f t="shared" si="16"/>
        <v>-9.9999999999988987E-4</v>
      </c>
      <c r="E63" s="109">
        <f ca="1">IF(表2_367162629303891213141523242526272835[[#This Row],[累计净值]]/MAX(INDIRECT("B21:B" &amp; ROW()))-1&lt;E62,表2_367162629303891213141523242526272835[[#This Row],[累计净值]]/MAX(INDIRECT("B21:B" &amp; ROW()))-1,E62)</f>
        <v>-7.3212669683257903E-2</v>
      </c>
      <c r="F63" s="110">
        <f>表2_367162629303891213141523242526272838[[#This Row],[累计净值]]</f>
        <v>1.0960000000000001</v>
      </c>
      <c r="G63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5.7957681692733182E-3</v>
      </c>
    </row>
    <row r="64" spans="1:7" x14ac:dyDescent="0.2">
      <c r="A64" s="15">
        <v>44302</v>
      </c>
      <c r="B64" s="112">
        <v>1.097</v>
      </c>
      <c r="C64" s="108">
        <f t="shared" si="15"/>
        <v>9.9999999999988987E-4</v>
      </c>
      <c r="D64" s="109" t="str">
        <f t="shared" si="16"/>
        <v>/</v>
      </c>
      <c r="E64" s="109">
        <f ca="1">IF(表2_367162629303891213141523242526272835[[#This Row],[累计净值]]/MAX(INDIRECT("B21:B" &amp; ROW()))-1&lt;E63,表2_367162629303891213141523242526272835[[#This Row],[累计净值]]/MAX(INDIRECT("B21:B" &amp; ROW()))-1,E63)</f>
        <v>-7.3212669683257903E-2</v>
      </c>
      <c r="F64" s="110">
        <f>表2_367162629303891213141523242526272838[[#This Row],[累计净值]]</f>
        <v>1.097</v>
      </c>
      <c r="G64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6.4397424103035837E-3</v>
      </c>
    </row>
    <row r="65" spans="1:7" x14ac:dyDescent="0.2">
      <c r="A65" s="15">
        <v>44305</v>
      </c>
      <c r="B65" s="112">
        <v>1.1000000000000001</v>
      </c>
      <c r="C65" s="108">
        <f>IFERROR(B65-B64,0)</f>
        <v>3.0000000000001137E-3</v>
      </c>
      <c r="D65" s="109" t="str">
        <f>IF(C65&lt;0,C65,"/")</f>
        <v>/</v>
      </c>
      <c r="E65" s="109">
        <f ca="1">IF(表2_367162629303891213141523242526272835[[#This Row],[累计净值]]/MAX(INDIRECT("B21:B" &amp; ROW()))-1&lt;E64,表2_367162629303891213141523242526272835[[#This Row],[累计净值]]/MAX(INDIRECT("B21:B" &amp; ROW()))-1,E64)</f>
        <v>-7.3212669683257903E-2</v>
      </c>
      <c r="F65" s="110">
        <f>表2_367162629303891213141523242526272838[[#This Row],[累计净值]]</f>
        <v>1.1000000000000001</v>
      </c>
      <c r="G65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8.3716651333946897E-3</v>
      </c>
    </row>
    <row r="66" spans="1:7" x14ac:dyDescent="0.2">
      <c r="A66" s="15">
        <v>44306</v>
      </c>
      <c r="B66" s="112">
        <v>1.101</v>
      </c>
      <c r="C66" s="108">
        <f>IFERROR(B66-B65,0)</f>
        <v>9.9999999999988987E-4</v>
      </c>
      <c r="D66" s="109" t="str">
        <f>IF(C66&lt;0,C66,"/")</f>
        <v>/</v>
      </c>
      <c r="E66" s="109">
        <f ca="1">IF(表2_367162629303891213141523242526272835[[#This Row],[累计净值]]/MAX(INDIRECT("B21:B" &amp; ROW()))-1&lt;E65,表2_367162629303891213141523242526272835[[#This Row],[累计净值]]/MAX(INDIRECT("B21:B" &amp; ROW()))-1,E65)</f>
        <v>-7.3212669683257903E-2</v>
      </c>
      <c r="F66" s="110">
        <f>表2_367162629303891213141523242526272838[[#This Row],[累计净值]]</f>
        <v>1.101</v>
      </c>
      <c r="G66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9.0156393744249552E-3</v>
      </c>
    </row>
    <row r="67" spans="1:7" x14ac:dyDescent="0.2">
      <c r="A67" s="15">
        <v>44307</v>
      </c>
      <c r="B67" s="112">
        <v>1.101</v>
      </c>
      <c r="C67" s="108">
        <f>IFERROR(B67-B66,0)</f>
        <v>0</v>
      </c>
      <c r="D67" s="109" t="str">
        <f>IF(C67&lt;0,C67,"/")</f>
        <v>/</v>
      </c>
      <c r="E67" s="109">
        <f ca="1">IF(表2_367162629303891213141523242526272835[[#This Row],[累计净值]]/MAX(INDIRECT("B21:B" &amp; ROW()))-1&lt;E66,表2_367162629303891213141523242526272835[[#This Row],[累计净值]]/MAX(INDIRECT("B21:B" &amp; ROW()))-1,E66)</f>
        <v>-7.3212669683257903E-2</v>
      </c>
      <c r="F67" s="110">
        <f>表2_367162629303891213141523242526272838[[#This Row],[累计净值]]</f>
        <v>1.101</v>
      </c>
      <c r="G67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9.0156393744249552E-3</v>
      </c>
    </row>
    <row r="68" spans="1:7" x14ac:dyDescent="0.2">
      <c r="A68" s="15">
        <v>44308</v>
      </c>
      <c r="B68" s="112">
        <v>1.101</v>
      </c>
      <c r="C68" s="108">
        <f>IFERROR(B68-B67,0)</f>
        <v>0</v>
      </c>
      <c r="D68" s="109" t="str">
        <f>IF(C68&lt;0,C68,"/")</f>
        <v>/</v>
      </c>
      <c r="E68" s="109">
        <f ca="1">IF(表2_367162629303891213141523242526272835[[#This Row],[累计净值]]/MAX(INDIRECT("B21:B" &amp; ROW()))-1&lt;E67,表2_367162629303891213141523242526272835[[#This Row],[累计净值]]/MAX(INDIRECT("B21:B" &amp; ROW()))-1,E67)</f>
        <v>-7.3212669683257903E-2</v>
      </c>
      <c r="F68" s="110">
        <f>表2_367162629303891213141523242526272838[[#This Row],[累计净值]]</f>
        <v>1.101</v>
      </c>
      <c r="G68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9.0156393744249552E-3</v>
      </c>
    </row>
    <row r="69" spans="1:7" x14ac:dyDescent="0.2">
      <c r="A69" s="15">
        <v>44309</v>
      </c>
      <c r="B69" s="112">
        <v>1.1020000000000001</v>
      </c>
      <c r="C69" s="108">
        <f t="shared" ref="C69:C70" si="17">IFERROR(B69-B68,0)</f>
        <v>1.0000000000001119E-3</v>
      </c>
      <c r="D69" s="109" t="str">
        <f t="shared" ref="D69:D70" si="18">IF(C69&lt;0,C69,"/")</f>
        <v>/</v>
      </c>
      <c r="E69" s="109">
        <f ca="1">IF(表2_367162629303891213141523242526272835[[#This Row],[累计净值]]/MAX(INDIRECT("B21:B" &amp; ROW()))-1&lt;E68,表2_367162629303891213141523242526272835[[#This Row],[累计净值]]/MAX(INDIRECT("B21:B" &amp; ROW()))-1,E68)</f>
        <v>-7.3212669683257903E-2</v>
      </c>
      <c r="F69" s="110">
        <f>表2_367162629303891213141523242526272838[[#This Row],[累计净值]]</f>
        <v>1.1020000000000001</v>
      </c>
      <c r="G69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9.6596136154555312E-3</v>
      </c>
    </row>
    <row r="70" spans="1:7" x14ac:dyDescent="0.2">
      <c r="A70" s="15">
        <v>44312</v>
      </c>
      <c r="B70" s="112">
        <v>1.1040000000000001</v>
      </c>
      <c r="C70" s="108">
        <f t="shared" si="17"/>
        <v>2.0000000000000018E-3</v>
      </c>
      <c r="D70" s="109" t="str">
        <f t="shared" si="18"/>
        <v>/</v>
      </c>
      <c r="E70" s="109">
        <f ca="1">IF(表2_367162629303891213141523242526272835[[#This Row],[累计净值]]/MAX(INDIRECT("B21:B" &amp; ROW()))-1&lt;E69,表2_367162629303891213141523242526272835[[#This Row],[累计净值]]/MAX(INDIRECT("B21:B" &amp; ROW()))-1,E69)</f>
        <v>-7.3212669683257903E-2</v>
      </c>
      <c r="F70" s="110">
        <f>表2_367162629303891213141523242526272838[[#This Row],[累计净值]]</f>
        <v>1.1040000000000001</v>
      </c>
      <c r="G70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1.0947562097516217E-2</v>
      </c>
    </row>
    <row r="71" spans="1:7" x14ac:dyDescent="0.2">
      <c r="A71" s="15">
        <v>44313</v>
      </c>
      <c r="B71" s="112">
        <v>1.1040000000000001</v>
      </c>
      <c r="C71" s="108">
        <f t="shared" ref="C71:C72" si="19">IFERROR(B71-B70,0)</f>
        <v>0</v>
      </c>
      <c r="D71" s="109" t="str">
        <f t="shared" ref="D71:D72" si="20">IF(C71&lt;0,C71,"/")</f>
        <v>/</v>
      </c>
      <c r="E71" s="109">
        <f ca="1">IF(表2_367162629303891213141523242526272835[[#This Row],[累计净值]]/MAX(INDIRECT("B21:B" &amp; ROW()))-1&lt;E70,表2_367162629303891213141523242526272835[[#This Row],[累计净值]]/MAX(INDIRECT("B21:B" &amp; ROW()))-1,E70)</f>
        <v>-7.3212669683257903E-2</v>
      </c>
      <c r="F71" s="110">
        <f>表2_367162629303891213141523242526272838[[#This Row],[累计净值]]</f>
        <v>1.1040000000000001</v>
      </c>
      <c r="G71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1.0947562097516217E-2</v>
      </c>
    </row>
    <row r="72" spans="1:7" x14ac:dyDescent="0.2">
      <c r="A72" s="15">
        <v>44314</v>
      </c>
      <c r="B72" s="112">
        <v>1.103</v>
      </c>
      <c r="C72" s="108">
        <f t="shared" si="19"/>
        <v>-1.0000000000001119E-3</v>
      </c>
      <c r="D72" s="109">
        <f t="shared" si="20"/>
        <v>-1.0000000000001119E-3</v>
      </c>
      <c r="E72" s="109">
        <f ca="1">IF(表2_367162629303891213141523242526272835[[#This Row],[累计净值]]/MAX(INDIRECT("B21:B" &amp; ROW()))-1&lt;E71,表2_367162629303891213141523242526272835[[#This Row],[累计净值]]/MAX(INDIRECT("B21:B" &amp; ROW()))-1,E71)</f>
        <v>-7.3212669683257903E-2</v>
      </c>
      <c r="F72" s="110">
        <f>表2_367162629303891213141523242526272838[[#This Row],[累计净值]]</f>
        <v>1.103</v>
      </c>
      <c r="G72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1.0303587856485795E-2</v>
      </c>
    </row>
    <row r="73" spans="1:7" x14ac:dyDescent="0.2">
      <c r="A73" s="15">
        <v>44315</v>
      </c>
      <c r="B73" s="112">
        <v>1.1040000000000001</v>
      </c>
      <c r="C73" s="108">
        <f>IFERROR(B73-B72,0)</f>
        <v>1.0000000000001119E-3</v>
      </c>
      <c r="D73" s="109" t="str">
        <f>IF(C73&lt;0,C73,"/")</f>
        <v>/</v>
      </c>
      <c r="E73" s="109">
        <f ca="1">IF(表2_367162629303891213141523242526272835[[#This Row],[累计净值]]/MAX(INDIRECT("B21:B" &amp; ROW()))-1&lt;E72,表2_367162629303891213141523242526272835[[#This Row],[累计净值]]/MAX(INDIRECT("B21:B" &amp; ROW()))-1,E72)</f>
        <v>-7.3212669683257903E-2</v>
      </c>
      <c r="F73" s="110">
        <f>表2_367162629303891213141523242526272838[[#This Row],[累计净值]]</f>
        <v>1.1040000000000001</v>
      </c>
      <c r="G73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1.0947562097516217E-2</v>
      </c>
    </row>
    <row r="74" spans="1:7" x14ac:dyDescent="0.2">
      <c r="A74" s="15">
        <v>44316</v>
      </c>
      <c r="B74" s="112">
        <v>1.1020000000000001</v>
      </c>
      <c r="C74" s="108">
        <f t="shared" ref="C74:C75" si="21">IFERROR(B74-B73,0)</f>
        <v>-2.0000000000000018E-3</v>
      </c>
      <c r="D74" s="109">
        <f t="shared" ref="D74:D75" si="22">IF(C74&lt;0,C74,"/")</f>
        <v>-2.0000000000000018E-3</v>
      </c>
      <c r="E74" s="109">
        <f ca="1">IF(表2_367162629303891213141523242526272835[[#This Row],[累计净值]]/MAX(INDIRECT("B21:B" &amp; ROW()))-1&lt;E73,表2_367162629303891213141523242526272835[[#This Row],[累计净值]]/MAX(INDIRECT("B21:B" &amp; ROW()))-1,E73)</f>
        <v>-7.3212669683257903E-2</v>
      </c>
      <c r="F74" s="110">
        <f>表2_367162629303891213141523242526272838[[#This Row],[累计净值]]</f>
        <v>1.1020000000000001</v>
      </c>
      <c r="G74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9.6596136154555312E-3</v>
      </c>
    </row>
    <row r="75" spans="1:7" x14ac:dyDescent="0.2">
      <c r="A75" s="15">
        <v>44322</v>
      </c>
      <c r="B75" s="112">
        <v>1.1020000000000001</v>
      </c>
      <c r="C75" s="108">
        <f t="shared" si="21"/>
        <v>0</v>
      </c>
      <c r="D75" s="109" t="str">
        <f t="shared" si="22"/>
        <v>/</v>
      </c>
      <c r="E75" s="109">
        <f ca="1">IF(表2_367162629303891213141523242526272835[[#This Row],[累计净值]]/MAX(INDIRECT("B21:B" &amp; ROW()))-1&lt;E74,表2_367162629303891213141523242526272835[[#This Row],[累计净值]]/MAX(INDIRECT("B21:B" &amp; ROW()))-1,E74)</f>
        <v>-7.3212669683257903E-2</v>
      </c>
      <c r="F75" s="110">
        <f>表2_367162629303891213141523242526272838[[#This Row],[累计净值]]</f>
        <v>1.1020000000000001</v>
      </c>
      <c r="G75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9.6596136154555312E-3</v>
      </c>
    </row>
    <row r="76" spans="1:7" x14ac:dyDescent="0.2">
      <c r="A76" s="15">
        <v>44323</v>
      </c>
      <c r="B76" s="112">
        <v>1.1020000000000001</v>
      </c>
      <c r="C76" s="108">
        <f t="shared" ref="C76:C81" si="23">IFERROR(B76-B75,0)</f>
        <v>0</v>
      </c>
      <c r="D76" s="109" t="str">
        <f t="shared" ref="D76:D81" si="24">IF(C76&lt;0,C76,"/")</f>
        <v>/</v>
      </c>
      <c r="E76" s="109">
        <f ca="1">IF(表2_367162629303891213141523242526272835[[#This Row],[累计净值]]/MAX(INDIRECT("B21:B" &amp; ROW()))-1&lt;E75,表2_367162629303891213141523242526272835[[#This Row],[累计净值]]/MAX(INDIRECT("B21:B" &amp; ROW()))-1,E75)</f>
        <v>-7.3212669683257903E-2</v>
      </c>
      <c r="F76" s="110">
        <f>表2_367162629303891213141523242526272838[[#This Row],[累计净值]]</f>
        <v>1.1020000000000001</v>
      </c>
      <c r="G76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9.6596136154555312E-3</v>
      </c>
    </row>
    <row r="77" spans="1:7" x14ac:dyDescent="0.2">
      <c r="A77" s="15">
        <v>44326</v>
      </c>
      <c r="B77" s="112">
        <v>1.1040000000000001</v>
      </c>
      <c r="C77" s="108">
        <f t="shared" si="23"/>
        <v>2.0000000000000018E-3</v>
      </c>
      <c r="D77" s="109" t="str">
        <f t="shared" si="24"/>
        <v>/</v>
      </c>
      <c r="E77" s="109">
        <f ca="1">IF(表2_367162629303891213141523242526272835[[#This Row],[累计净值]]/MAX(INDIRECT("B21:B" &amp; ROW()))-1&lt;E76,表2_367162629303891213141523242526272835[[#This Row],[累计净值]]/MAX(INDIRECT("B21:B" &amp; ROW()))-1,E76)</f>
        <v>-7.3212669683257903E-2</v>
      </c>
      <c r="F77" s="110">
        <f>表2_367162629303891213141523242526272838[[#This Row],[累计净值]]</f>
        <v>1.1040000000000001</v>
      </c>
      <c r="G77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1.0947562097516217E-2</v>
      </c>
    </row>
    <row r="78" spans="1:7" x14ac:dyDescent="0.2">
      <c r="A78" s="15">
        <v>44327</v>
      </c>
      <c r="B78" s="112">
        <v>1.1040000000000001</v>
      </c>
      <c r="C78" s="108">
        <f t="shared" si="23"/>
        <v>0</v>
      </c>
      <c r="D78" s="109" t="str">
        <f t="shared" si="24"/>
        <v>/</v>
      </c>
      <c r="E78" s="109">
        <f ca="1">IF(表2_367162629303891213141523242526272835[[#This Row],[累计净值]]/MAX(INDIRECT("B21:B" &amp; ROW()))-1&lt;E77,表2_367162629303891213141523242526272835[[#This Row],[累计净值]]/MAX(INDIRECT("B21:B" &amp; ROW()))-1,E77)</f>
        <v>-7.3212669683257903E-2</v>
      </c>
      <c r="F78" s="110">
        <f>表2_367162629303891213141523242526272838[[#This Row],[累计净值]]</f>
        <v>1.1040000000000001</v>
      </c>
      <c r="G78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1.0947562097516217E-2</v>
      </c>
    </row>
    <row r="79" spans="1:7" x14ac:dyDescent="0.2">
      <c r="A79" s="15">
        <v>44328</v>
      </c>
      <c r="B79" s="112">
        <v>1.1060000000000001</v>
      </c>
      <c r="C79" s="108">
        <f t="shared" si="23"/>
        <v>2.0000000000000018E-3</v>
      </c>
      <c r="D79" s="109" t="str">
        <f t="shared" si="24"/>
        <v>/</v>
      </c>
      <c r="E79" s="109">
        <f ca="1">IF(表2_367162629303891213141523242526272835[[#This Row],[累计净值]]/MAX(INDIRECT("B21:B" &amp; ROW()))-1&lt;E78,表2_367162629303891213141523242526272835[[#This Row],[累计净值]]/MAX(INDIRECT("B21:B" &amp; ROW()))-1,E78)</f>
        <v>-7.3212669683257903E-2</v>
      </c>
      <c r="F79" s="110">
        <f>表2_367162629303891213141523242526272838[[#This Row],[累计净值]]</f>
        <v>1.1060000000000001</v>
      </c>
      <c r="G79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1.2235510579576902E-2</v>
      </c>
    </row>
    <row r="80" spans="1:7" x14ac:dyDescent="0.2">
      <c r="A80" s="15">
        <v>44329</v>
      </c>
      <c r="B80" s="112">
        <v>1.107</v>
      </c>
      <c r="C80" s="108">
        <f t="shared" si="23"/>
        <v>9.9999999999988987E-4</v>
      </c>
      <c r="D80" s="109" t="str">
        <f t="shared" si="24"/>
        <v>/</v>
      </c>
      <c r="E80" s="109">
        <f ca="1">IF(表2_367162629303891213141523242526272835[[#This Row],[累计净值]]/MAX(INDIRECT("B21:B" &amp; ROW()))-1&lt;E79,表2_367162629303891213141523242526272835[[#This Row],[累计净值]]/MAX(INDIRECT("B21:B" &amp; ROW()))-1,E79)</f>
        <v>-7.3212669683257903E-2</v>
      </c>
      <c r="F80" s="110">
        <f>表2_367162629303891213141523242526272838[[#This Row],[累计净值]]</f>
        <v>1.107</v>
      </c>
      <c r="G80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1.2879484820607167E-2</v>
      </c>
    </row>
    <row r="81" spans="1:7" x14ac:dyDescent="0.2">
      <c r="A81" s="15">
        <v>44330</v>
      </c>
      <c r="B81" s="112">
        <v>1.109</v>
      </c>
      <c r="C81" s="108">
        <f t="shared" si="23"/>
        <v>2.0000000000000018E-3</v>
      </c>
      <c r="D81" s="109" t="str">
        <f t="shared" si="24"/>
        <v>/</v>
      </c>
      <c r="E81" s="109">
        <f ca="1">IF(表2_367162629303891213141523242526272835[[#This Row],[累计净值]]/MAX(INDIRECT("B21:B" &amp; ROW()))-1&lt;E80,表2_367162629303891213141523242526272835[[#This Row],[累计净值]]/MAX(INDIRECT("B21:B" &amp; ROW()))-1,E80)</f>
        <v>-7.3212669683257903E-2</v>
      </c>
      <c r="F81" s="110">
        <f>表2_367162629303891213141523242526272838[[#This Row],[累计净值]]</f>
        <v>1.109</v>
      </c>
      <c r="G81" s="20">
        <f>IF(表2_367162629303891213141523242526272838[[#This Row],[累计净值]]&gt;$B$21,0.7*(表2_367162629303891213141523242526272838[[#This Row],[累计净值]]/$B$21-1),表2_367162629303891213141523242526272838[[#This Row],[累计净值]]/$B$21-1)</f>
        <v>1.4167433302667853E-2</v>
      </c>
    </row>
  </sheetData>
  <mergeCells count="1">
    <mergeCell ref="G2:G3"/>
  </mergeCells>
  <phoneticPr fontId="24" type="noConversion"/>
  <pageMargins left="0.7" right="0.7" top="0.75" bottom="0.75" header="0.3" footer="0.3"/>
  <drawing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J76"/>
  <sheetViews>
    <sheetView workbookViewId="0">
      <pane xSplit="1" ySplit="20" topLeftCell="B60" activePane="bottomRight" state="frozen"/>
      <selection pane="topRight" activeCell="B1" sqref="B1"/>
      <selection pane="bottomLeft" activeCell="A21" sqref="A21"/>
      <selection pane="bottomRight" activeCell="I74" sqref="I74"/>
    </sheetView>
  </sheetViews>
  <sheetFormatPr defaultColWidth="9" defaultRowHeight="14.25" x14ac:dyDescent="0.2"/>
  <cols>
    <col min="1" max="1" width="11.625" style="230" bestFit="1" customWidth="1"/>
    <col min="2" max="2" width="13" style="230" customWidth="1"/>
    <col min="3" max="4" width="13.5" style="230" bestFit="1" customWidth="1"/>
    <col min="5" max="5" width="10.75" style="230" customWidth="1"/>
    <col min="6" max="6" width="11.125" style="230" customWidth="1"/>
    <col min="7" max="7" width="18.875" style="231" customWidth="1"/>
    <col min="8" max="8" width="12" style="230" bestFit="1" customWidth="1"/>
    <col min="9" max="16384" width="9" style="230"/>
  </cols>
  <sheetData>
    <row r="1" spans="1:7" ht="15" thickBot="1" x14ac:dyDescent="0.25"/>
    <row r="2" spans="1:7" ht="15" thickBot="1" x14ac:dyDescent="0.25">
      <c r="A2" s="232" t="s">
        <v>0</v>
      </c>
      <c r="B2" s="233">
        <f>COUNT(表2_36716262930389121314151831323334[每日盈亏])</f>
        <v>56</v>
      </c>
      <c r="C2" s="234"/>
      <c r="D2" s="235" t="s">
        <v>1</v>
      </c>
      <c r="E2" s="236"/>
      <c r="F2" s="230" t="s">
        <v>2</v>
      </c>
      <c r="G2" s="396" t="s">
        <v>3</v>
      </c>
    </row>
    <row r="3" spans="1:7" x14ac:dyDescent="0.2">
      <c r="A3" s="237" t="s">
        <v>4</v>
      </c>
      <c r="B3" s="238">
        <f>COUNTIF(表2_36716262930389121314151831323334[每日盈亏],"&gt;0")</f>
        <v>26</v>
      </c>
      <c r="C3" s="239"/>
      <c r="D3" s="240" t="s">
        <v>5</v>
      </c>
      <c r="E3" s="241">
        <f>245^0.5*(B10-0.025/365)/E10</f>
        <v>-4.0215530898632036E-2</v>
      </c>
      <c r="G3" s="396"/>
    </row>
    <row r="4" spans="1:7" x14ac:dyDescent="0.2">
      <c r="A4" s="237" t="s">
        <v>52</v>
      </c>
      <c r="B4" s="238">
        <f>COUNTIF(表2_36716262930389121314151831323334[每日盈亏],"&lt;0")</f>
        <v>22</v>
      </c>
      <c r="C4" s="239"/>
      <c r="D4" s="242" t="s">
        <v>7</v>
      </c>
      <c r="E4" s="241">
        <f ca="1">-B9/E8</f>
        <v>0.50829599817754501</v>
      </c>
      <c r="G4" s="231">
        <f>LOOKUP(999^10,表2_36716262930389121314151831323334[累计净值])</f>
        <v>1.016</v>
      </c>
    </row>
    <row r="5" spans="1:7" x14ac:dyDescent="0.2">
      <c r="A5" s="237" t="s">
        <v>53</v>
      </c>
      <c r="B5" s="238">
        <f>B2-B3-B4</f>
        <v>8</v>
      </c>
      <c r="C5" s="239"/>
      <c r="D5" s="243" t="s">
        <v>54</v>
      </c>
      <c r="E5" s="244">
        <f>245^0.5*(B10-0.025/365)/E9</f>
        <v>-6.1461656825783903E-2</v>
      </c>
    </row>
    <row r="6" spans="1:7" ht="15" thickBot="1" x14ac:dyDescent="0.25">
      <c r="A6" s="245"/>
      <c r="B6" s="246"/>
      <c r="C6" s="246"/>
      <c r="D6" s="246"/>
      <c r="E6" s="247"/>
    </row>
    <row r="7" spans="1:7" ht="15" thickBot="1" x14ac:dyDescent="0.25">
      <c r="A7" s="248" t="s">
        <v>10</v>
      </c>
      <c r="B7" s="246"/>
      <c r="C7" s="246"/>
      <c r="D7" s="235" t="s">
        <v>11</v>
      </c>
      <c r="E7" s="249"/>
    </row>
    <row r="8" spans="1:7" x14ac:dyDescent="0.2">
      <c r="A8" s="250" t="s">
        <v>55</v>
      </c>
      <c r="B8" s="251">
        <f>LOOKUP(999^10,表2_36716262930389121314151831323334[累计净值])/B21-1</f>
        <v>2.9615004935834577E-3</v>
      </c>
      <c r="C8" s="252"/>
      <c r="D8" s="240" t="s">
        <v>13</v>
      </c>
      <c r="E8" s="253">
        <f ca="1">MIN(表2_36716262930389121314151831323334[最大回撤])</f>
        <v>-2.5490196078431393E-2</v>
      </c>
    </row>
    <row r="9" spans="1:7" x14ac:dyDescent="0.2">
      <c r="A9" s="237" t="s">
        <v>56</v>
      </c>
      <c r="B9" s="242">
        <f>B8*245/B2</f>
        <v>1.2956564659427627E-2</v>
      </c>
      <c r="C9" s="252"/>
      <c r="D9" s="243" t="s">
        <v>57</v>
      </c>
      <c r="E9" s="254">
        <f>STDEV(表2_36716262930389121314151831323334[下跌幅度])</f>
        <v>2.5668948769190739E-3</v>
      </c>
    </row>
    <row r="10" spans="1:7" x14ac:dyDescent="0.2">
      <c r="A10" s="255" t="s">
        <v>58</v>
      </c>
      <c r="B10" s="256">
        <f>AVERAGE(表2_36716262930389121314151831323334[每日盈亏])</f>
        <v>5.8413875455851873E-5</v>
      </c>
      <c r="C10" s="257"/>
      <c r="D10" s="243" t="s">
        <v>59</v>
      </c>
      <c r="E10" s="254">
        <f>STDEV(表2_36716262930389121314151831323334[每日盈亏])</f>
        <v>3.923002096645937E-3</v>
      </c>
    </row>
    <row r="11" spans="1:7" x14ac:dyDescent="0.2">
      <c r="A11" s="258" t="s">
        <v>60</v>
      </c>
      <c r="B11" s="242">
        <f>B3/B2</f>
        <v>0.4642857142857143</v>
      </c>
      <c r="C11" s="252"/>
      <c r="D11" s="242" t="s">
        <v>61</v>
      </c>
      <c r="E11" s="253">
        <f>245^0.5*E10</f>
        <v>6.140469554782161E-2</v>
      </c>
    </row>
    <row r="12" spans="1:7" ht="15" thickBot="1" x14ac:dyDescent="0.25">
      <c r="A12" s="259" t="s">
        <v>20</v>
      </c>
      <c r="B12" s="260">
        <f>-(SUMIF(表2_36716262930389121314151831323334[每日盈亏],"&gt;=0")/B3)/(SUMIF(表2_36716262930389121314151831323334[每日盈亏],"&lt;0")/B4)</f>
        <v>0.88094396541515685</v>
      </c>
      <c r="C12" s="261"/>
      <c r="D12" s="262"/>
      <c r="E12" s="263"/>
    </row>
    <row r="14" spans="1:7" ht="28.5" x14ac:dyDescent="0.2">
      <c r="A14" s="264" t="s">
        <v>21</v>
      </c>
      <c r="B14" s="264" t="s">
        <v>14</v>
      </c>
      <c r="C14" s="265" t="s">
        <v>19</v>
      </c>
      <c r="D14" s="265" t="s">
        <v>62</v>
      </c>
      <c r="E14" s="265" t="s">
        <v>5</v>
      </c>
      <c r="F14" s="265" t="s">
        <v>7</v>
      </c>
    </row>
    <row r="15" spans="1:7" x14ac:dyDescent="0.2">
      <c r="A15" s="266">
        <f>B2</f>
        <v>56</v>
      </c>
      <c r="B15" s="267">
        <f>B9</f>
        <v>1.2956564659427627E-2</v>
      </c>
      <c r="C15" s="267">
        <f>E11</f>
        <v>6.140469554782161E-2</v>
      </c>
      <c r="D15" s="267">
        <f ca="1">E8</f>
        <v>-2.5490196078431393E-2</v>
      </c>
      <c r="E15" s="268">
        <f>E3</f>
        <v>-4.0215530898632036E-2</v>
      </c>
      <c r="F15" s="268">
        <f ca="1">E4</f>
        <v>0.50829599817754501</v>
      </c>
    </row>
    <row r="19" spans="1:7" x14ac:dyDescent="0.2">
      <c r="A19" s="269"/>
      <c r="B19" s="230" t="s">
        <v>63</v>
      </c>
    </row>
    <row r="20" spans="1:7" ht="15.75" x14ac:dyDescent="0.2">
      <c r="A20" s="270" t="s">
        <v>64</v>
      </c>
      <c r="B20" s="270" t="s">
        <v>24</v>
      </c>
      <c r="C20" s="270" t="s">
        <v>25</v>
      </c>
      <c r="D20" s="270" t="s">
        <v>26</v>
      </c>
      <c r="E20" s="270" t="s">
        <v>27</v>
      </c>
      <c r="F20" s="270" t="s">
        <v>65</v>
      </c>
      <c r="G20" s="270" t="s">
        <v>66</v>
      </c>
    </row>
    <row r="21" spans="1:7" x14ac:dyDescent="0.2">
      <c r="A21" s="271">
        <v>44251</v>
      </c>
      <c r="B21" s="272">
        <v>1.0129999999999999</v>
      </c>
      <c r="C21" s="273">
        <f>IFERROR(B21-#REF!,0)</f>
        <v>0</v>
      </c>
      <c r="D21" s="274" t="str">
        <f t="shared" ref="D21:D23" si="0">IF(C21&lt;0,C21,"/")</f>
        <v>/</v>
      </c>
      <c r="E21" s="274">
        <f ca="1">IF(表2_36716262930389121314151831323334[[#This Row],[累计净值]]/MAX(INDIRECT("B21:B" &amp; ROW()))-1&lt;E20,表2_36716262930389121314151831323334[[#This Row],[累计净值]]/MAX(INDIRECT("B21:B" &amp; ROW()))-1,E20)</f>
        <v>0</v>
      </c>
      <c r="F21" s="275">
        <f>表2_36716262930389121314151831323334[[#This Row],[累计净值]]</f>
        <v>1.0129999999999999</v>
      </c>
      <c r="G21" s="276" t="s">
        <v>30</v>
      </c>
    </row>
    <row r="22" spans="1:7" x14ac:dyDescent="0.2">
      <c r="A22" s="271">
        <v>44252</v>
      </c>
      <c r="B22" s="272">
        <v>1.02</v>
      </c>
      <c r="C22" s="273">
        <f>IFERROR(B22/B21-1,0)</f>
        <v>6.9101678183614013E-3</v>
      </c>
      <c r="D22" s="274" t="str">
        <f t="shared" si="0"/>
        <v>/</v>
      </c>
      <c r="E22" s="274">
        <f ca="1">IF(表2_36716262930389121314151831323334[[#This Row],[累计净值]]/MAX(INDIRECT("B21:B" &amp; ROW()))-1&lt;E21,表2_36716262930389121314151831323334[[#This Row],[累计净值]]/MAX(INDIRECT("B21:B" &amp; ROW()))-1,E21)</f>
        <v>0</v>
      </c>
      <c r="F22" s="275">
        <f>表2_36716262930389121314151831323334[[#This Row],[累计净值]]</f>
        <v>1.02</v>
      </c>
      <c r="G22" s="274">
        <f>IF(表2_36716262930389121314151831323334[[#This Row],[累计净值]]&gt;B$21,0.8*(表2_36716262930389121314151831323334[[#This Row],[累计净值]]-B$21)/B$21,(表2_36716262930389121314151831323334[[#This Row],[累计净值]]-B$21)/B$21)</f>
        <v>5.5281342546891366E-3</v>
      </c>
    </row>
    <row r="23" spans="1:7" x14ac:dyDescent="0.2">
      <c r="A23" s="271">
        <v>44253</v>
      </c>
      <c r="B23" s="272">
        <v>1.01</v>
      </c>
      <c r="C23" s="273">
        <f t="shared" ref="C23" si="1">IFERROR(B23/B22-1,0)</f>
        <v>-9.8039215686274161E-3</v>
      </c>
      <c r="D23" s="274">
        <f t="shared" si="0"/>
        <v>-9.8039215686274161E-3</v>
      </c>
      <c r="E23" s="274">
        <f ca="1">IF(表2_36716262930389121314151831323334[[#This Row],[累计净值]]/MAX(INDIRECT("B21:B" &amp; ROW()))-1&lt;E22,表2_36716262930389121314151831323334[[#This Row],[累计净值]]/MAX(INDIRECT("B21:B" &amp; ROW()))-1,E22)</f>
        <v>-9.8039215686274161E-3</v>
      </c>
      <c r="F23" s="275">
        <f>表2_36716262930389121314151831323334[[#This Row],[累计净值]]</f>
        <v>1.01</v>
      </c>
      <c r="G23" s="274">
        <f>IF(表2_36716262930389121314151831323334[[#This Row],[累计净值]]&gt;B$21,0.8*(表2_36716262930389121314151831323334[[#This Row],[累计净值]]-B$21)/B$21,(表2_36716262930389121314151831323334[[#This Row],[累计净值]]-B$21)/B$21)</f>
        <v>-2.9615004935833089E-3</v>
      </c>
    </row>
    <row r="24" spans="1:7" x14ac:dyDescent="0.2">
      <c r="A24" s="271">
        <v>44256</v>
      </c>
      <c r="B24" s="272">
        <v>1.004</v>
      </c>
      <c r="C24" s="273">
        <f t="shared" ref="C24:C38" si="2">IFERROR(B24/B23-1,0)</f>
        <v>-5.9405940594059459E-3</v>
      </c>
      <c r="D24" s="274">
        <f t="shared" ref="D24:D38" si="3">IF(C24&lt;0,C24,"/")</f>
        <v>-5.9405940594059459E-3</v>
      </c>
      <c r="E24" s="274">
        <f ca="1">IF(表2_36716262930389121314151831323334[[#This Row],[累计净值]]/MAX(INDIRECT("B21:B" &amp; ROW()))-1&lt;E23,表2_36716262930389121314151831323334[[#This Row],[累计净值]]/MAX(INDIRECT("B21:B" &amp; ROW()))-1,E23)</f>
        <v>-1.5686274509803977E-2</v>
      </c>
      <c r="F24" s="275">
        <f>表2_36716262930389121314151831323334[[#This Row],[累计净值]]</f>
        <v>1.004</v>
      </c>
      <c r="G24" s="274">
        <f>IF(表2_36716262930389121314151831323334[[#This Row],[累计净值]]&gt;B$21,0.8*(表2_36716262930389121314151831323334[[#This Row],[累计净值]]-B$21)/B$21,(表2_36716262930389121314151831323334[[#This Row],[累计净值]]-B$21)/B$21)</f>
        <v>-8.8845014807501458E-3</v>
      </c>
    </row>
    <row r="25" spans="1:7" x14ac:dyDescent="0.2">
      <c r="A25" s="271">
        <v>44257</v>
      </c>
      <c r="B25" s="272">
        <v>1.0069999999999999</v>
      </c>
      <c r="C25" s="273">
        <f t="shared" si="2"/>
        <v>2.9880478087649376E-3</v>
      </c>
      <c r="D25" s="274" t="str">
        <f t="shared" si="3"/>
        <v>/</v>
      </c>
      <c r="E25" s="274">
        <f ca="1">IF(表2_36716262930389121314151831323334[[#This Row],[累计净值]]/MAX(INDIRECT("B21:B" &amp; ROW()))-1&lt;E24,表2_36716262930389121314151831323334[[#This Row],[累计净值]]/MAX(INDIRECT("B21:B" &amp; ROW()))-1,E24)</f>
        <v>-1.5686274509803977E-2</v>
      </c>
      <c r="F25" s="275">
        <f>表2_36716262930389121314151831323334[[#This Row],[累计净值]]</f>
        <v>1.0069999999999999</v>
      </c>
      <c r="G25" s="274">
        <f>IF(表2_36716262930389121314151831323334[[#This Row],[累计净值]]&gt;B$21,0.8*(表2_36716262930389121314151831323334[[#This Row],[累计净值]]-B$21)/B$21,(表2_36716262930389121314151831323334[[#This Row],[累计净值]]-B$21)/B$21)</f>
        <v>-5.9230009871668373E-3</v>
      </c>
    </row>
    <row r="26" spans="1:7" x14ac:dyDescent="0.2">
      <c r="A26" s="271">
        <v>44258</v>
      </c>
      <c r="B26" s="272">
        <v>1.016</v>
      </c>
      <c r="C26" s="273">
        <f t="shared" si="2"/>
        <v>8.9374379344588917E-3</v>
      </c>
      <c r="D26" s="274" t="str">
        <f t="shared" si="3"/>
        <v>/</v>
      </c>
      <c r="E26" s="274">
        <f ca="1">IF(表2_36716262930389121314151831323334[[#This Row],[累计净值]]/MAX(INDIRECT("B21:B" &amp; ROW()))-1&lt;E25,表2_36716262930389121314151831323334[[#This Row],[累计净值]]/MAX(INDIRECT("B21:B" &amp; ROW()))-1,E25)</f>
        <v>-1.5686274509803977E-2</v>
      </c>
      <c r="F26" s="275">
        <f>表2_36716262930389121314151831323334[[#This Row],[累计净值]]</f>
        <v>1.016</v>
      </c>
      <c r="G26" s="274">
        <f>IF(表2_36716262930389121314151831323334[[#This Row],[累计净值]]&gt;B$21,0.8*(表2_36716262930389121314151831323334[[#This Row],[累计净值]]-B$21)/B$21,(表2_36716262930389121314151831323334[[#This Row],[累计净值]]-B$21)/B$21)</f>
        <v>2.369200394866823E-3</v>
      </c>
    </row>
    <row r="27" spans="1:7" x14ac:dyDescent="0.2">
      <c r="A27" s="271">
        <v>44259</v>
      </c>
      <c r="B27" s="272">
        <v>1.012</v>
      </c>
      <c r="C27" s="273">
        <f t="shared" si="2"/>
        <v>-3.937007874015741E-3</v>
      </c>
      <c r="D27" s="274">
        <f t="shared" si="3"/>
        <v>-3.937007874015741E-3</v>
      </c>
      <c r="E27" s="274">
        <f ca="1">IF(表2_36716262930389121314151831323334[[#This Row],[累计净值]]/MAX(INDIRECT("B21:B" &amp; ROW()))-1&lt;E26,表2_36716262930389121314151831323334[[#This Row],[累计净值]]/MAX(INDIRECT("B21:B" &amp; ROW()))-1,E26)</f>
        <v>-1.5686274509803977E-2</v>
      </c>
      <c r="F27" s="275">
        <f>表2_36716262930389121314151831323334[[#This Row],[累计净值]]</f>
        <v>1.012</v>
      </c>
      <c r="G27" s="274">
        <f>IF(表2_36716262930389121314151831323334[[#This Row],[累计净值]]&gt;B$21,0.8*(表2_36716262930389121314151831323334[[#This Row],[累计净值]]-B$21)/B$21,(表2_36716262930389121314151831323334[[#This Row],[累计净值]]-B$21)/B$21)</f>
        <v>-9.8716683119436316E-4</v>
      </c>
    </row>
    <row r="28" spans="1:7" x14ac:dyDescent="0.2">
      <c r="A28" s="271">
        <v>44260</v>
      </c>
      <c r="B28" s="272">
        <v>1.0089999999999999</v>
      </c>
      <c r="C28" s="273">
        <f t="shared" si="2"/>
        <v>-2.9644268774704496E-3</v>
      </c>
      <c r="D28" s="274">
        <f t="shared" si="3"/>
        <v>-2.9644268774704496E-3</v>
      </c>
      <c r="E28" s="274">
        <f ca="1">IF(表2_36716262930389121314151831323334[[#This Row],[累计净值]]/MAX(INDIRECT("B21:B" &amp; ROW()))-1&lt;E27,表2_36716262930389121314151831323334[[#This Row],[累计净值]]/MAX(INDIRECT("B21:B" &amp; ROW()))-1,E27)</f>
        <v>-1.5686274509803977E-2</v>
      </c>
      <c r="F28" s="275">
        <f>表2_36716262930389121314151831323334[[#This Row],[累计净值]]</f>
        <v>1.0089999999999999</v>
      </c>
      <c r="G28" s="274">
        <f>IF(表2_36716262930389121314151831323334[[#This Row],[累计净值]]&gt;B$21,0.8*(表2_36716262930389121314151831323334[[#This Row],[累计净值]]-B$21)/B$21,(表2_36716262930389121314151831323334[[#This Row],[累计净值]]-B$21)/B$21)</f>
        <v>-3.9486673247778915E-3</v>
      </c>
    </row>
    <row r="29" spans="1:7" x14ac:dyDescent="0.2">
      <c r="A29" s="271">
        <v>44263</v>
      </c>
      <c r="B29" s="272">
        <v>1.0049999999999999</v>
      </c>
      <c r="C29" s="273">
        <f t="shared" si="2"/>
        <v>-3.964321110009883E-3</v>
      </c>
      <c r="D29" s="274">
        <f t="shared" si="3"/>
        <v>-3.964321110009883E-3</v>
      </c>
      <c r="E29" s="274">
        <f ca="1">IF(表2_36716262930389121314151831323334[[#This Row],[累计净值]]/MAX(INDIRECT("B21:B" &amp; ROW()))-1&lt;E28,表2_36716262930389121314151831323334[[#This Row],[累计净值]]/MAX(INDIRECT("B21:B" &amp; ROW()))-1,E28)</f>
        <v>-1.5686274509803977E-2</v>
      </c>
      <c r="F29" s="275">
        <f>表2_36716262930389121314151831323334[[#This Row],[累计净值]]</f>
        <v>1.0049999999999999</v>
      </c>
      <c r="G29" s="274">
        <f>IF(表2_36716262930389121314151831323334[[#This Row],[累计净值]]&gt;B$21,0.8*(表2_36716262930389121314151831323334[[#This Row],[累计净值]]-B$21)/B$21,(表2_36716262930389121314151831323334[[#This Row],[累计净值]]-B$21)/B$21)</f>
        <v>-7.8973346495557831E-3</v>
      </c>
    </row>
    <row r="30" spans="1:7" x14ac:dyDescent="0.2">
      <c r="A30" s="271">
        <v>44264</v>
      </c>
      <c r="B30" s="272">
        <v>1.002</v>
      </c>
      <c r="C30" s="273">
        <f t="shared" si="2"/>
        <v>-2.9850746268655914E-3</v>
      </c>
      <c r="D30" s="274">
        <f t="shared" si="3"/>
        <v>-2.9850746268655914E-3</v>
      </c>
      <c r="E30" s="274">
        <f ca="1">IF(表2_36716262930389121314151831323334[[#This Row],[累计净值]]/MAX(INDIRECT("B21:B" &amp; ROW()))-1&lt;E29,表2_36716262930389121314151831323334[[#This Row],[累计净值]]/MAX(INDIRECT("B21:B" &amp; ROW()))-1,E29)</f>
        <v>-1.764705882352946E-2</v>
      </c>
      <c r="F30" s="275">
        <f>表2_36716262930389121314151831323334[[#This Row],[累计净值]]</f>
        <v>1.002</v>
      </c>
      <c r="G30" s="274">
        <f>IF(表2_36716262930389121314151831323334[[#This Row],[累计净值]]&gt;B$21,0.8*(表2_36716262930389121314151831323334[[#This Row],[累计净值]]-B$21)/B$21,(表2_36716262930389121314151831323334[[#This Row],[累计净值]]-B$21)/B$21)</f>
        <v>-1.0858835143139092E-2</v>
      </c>
    </row>
    <row r="31" spans="1:7" x14ac:dyDescent="0.2">
      <c r="A31" s="271">
        <v>44265</v>
      </c>
      <c r="B31" s="272">
        <v>1.002</v>
      </c>
      <c r="C31" s="273">
        <f t="shared" si="2"/>
        <v>0</v>
      </c>
      <c r="D31" s="274" t="str">
        <f t="shared" si="3"/>
        <v>/</v>
      </c>
      <c r="E31" s="274">
        <f ca="1">IF(表2_36716262930389121314151831323334[[#This Row],[累计净值]]/MAX(INDIRECT("B21:B" &amp; ROW()))-1&lt;E30,表2_36716262930389121314151831323334[[#This Row],[累计净值]]/MAX(INDIRECT("B21:B" &amp; ROW()))-1,E30)</f>
        <v>-1.764705882352946E-2</v>
      </c>
      <c r="F31" s="275">
        <f>表2_36716262930389121314151831323334[[#This Row],[累计净值]]</f>
        <v>1.002</v>
      </c>
      <c r="G31" s="274">
        <f>IF(表2_36716262930389121314151831323334[[#This Row],[累计净值]]&gt;B$21,0.8*(表2_36716262930389121314151831323334[[#This Row],[累计净值]]-B$21)/B$21,(表2_36716262930389121314151831323334[[#This Row],[累计净值]]-B$21)/B$21)</f>
        <v>-1.0858835143139092E-2</v>
      </c>
    </row>
    <row r="32" spans="1:7" x14ac:dyDescent="0.2">
      <c r="A32" s="271">
        <v>44266</v>
      </c>
      <c r="B32" s="272">
        <v>1</v>
      </c>
      <c r="C32" s="273">
        <f t="shared" si="2"/>
        <v>-1.9960079840319889E-3</v>
      </c>
      <c r="D32" s="274">
        <f t="shared" si="3"/>
        <v>-1.9960079840319889E-3</v>
      </c>
      <c r="E32" s="274">
        <f ca="1">IF(表2_36716262930389121314151831323334[[#This Row],[累计净值]]/MAX(INDIRECT("B21:B" &amp; ROW()))-1&lt;E31,表2_36716262930389121314151831323334[[#This Row],[累计净值]]/MAX(INDIRECT("B21:B" &amp; ROW()))-1,E31)</f>
        <v>-1.9607843137254943E-2</v>
      </c>
      <c r="F32" s="275">
        <f>表2_36716262930389121314151831323334[[#This Row],[累计净值]]</f>
        <v>1</v>
      </c>
      <c r="G32" s="274">
        <f>IF(表2_36716262930389121314151831323334[[#This Row],[累计净值]]&gt;B$21,0.8*(表2_36716262930389121314151831323334[[#This Row],[累计净值]]-B$21)/B$21,(表2_36716262930389121314151831323334[[#This Row],[累计净值]]-B$21)/B$21)</f>
        <v>-1.2833168805528037E-2</v>
      </c>
    </row>
    <row r="33" spans="1:9" x14ac:dyDescent="0.2">
      <c r="A33" s="271">
        <v>44267</v>
      </c>
      <c r="B33" s="272">
        <v>1.004</v>
      </c>
      <c r="C33" s="273">
        <f t="shared" si="2"/>
        <v>4.0000000000000036E-3</v>
      </c>
      <c r="D33" s="274" t="str">
        <f t="shared" si="3"/>
        <v>/</v>
      </c>
      <c r="E33" s="274">
        <f ca="1">IF(表2_36716262930389121314151831323334[[#This Row],[累计净值]]/MAX(INDIRECT("B21:B" &amp; ROW()))-1&lt;E32,表2_36716262930389121314151831323334[[#This Row],[累计净值]]/MAX(INDIRECT("B21:B" &amp; ROW()))-1,E32)</f>
        <v>-1.9607843137254943E-2</v>
      </c>
      <c r="F33" s="275">
        <f>表2_36716262930389121314151831323334[[#This Row],[累计净值]]</f>
        <v>1.004</v>
      </c>
      <c r="G33" s="274">
        <f>IF(表2_36716262930389121314151831323334[[#This Row],[累计净值]]&gt;B$21,0.8*(表2_36716262930389121314151831323334[[#This Row],[累计净值]]-B$21)/B$21,(表2_36716262930389121314151831323334[[#This Row],[累计净值]]-B$21)/B$21)</f>
        <v>-8.8845014807501458E-3</v>
      </c>
    </row>
    <row r="34" spans="1:9" x14ac:dyDescent="0.2">
      <c r="A34" s="271">
        <v>44270</v>
      </c>
      <c r="B34" s="272">
        <v>1</v>
      </c>
      <c r="C34" s="273">
        <f t="shared" si="2"/>
        <v>-3.9840637450199168E-3</v>
      </c>
      <c r="D34" s="274">
        <f t="shared" si="3"/>
        <v>-3.9840637450199168E-3</v>
      </c>
      <c r="E34" s="274">
        <f ca="1">IF(表2_36716262930389121314151831323334[[#This Row],[累计净值]]/MAX(INDIRECT("B21:B" &amp; ROW()))-1&lt;E33,表2_36716262930389121314151831323334[[#This Row],[累计净值]]/MAX(INDIRECT("B21:B" &amp; ROW()))-1,E33)</f>
        <v>-1.9607843137254943E-2</v>
      </c>
      <c r="F34" s="275">
        <f>表2_36716262930389121314151831323334[[#This Row],[累计净值]]</f>
        <v>1</v>
      </c>
      <c r="G34" s="274">
        <f>IF(表2_36716262930389121314151831323334[[#This Row],[累计净值]]&gt;B$21,0.8*(表2_36716262930389121314151831323334[[#This Row],[累计净值]]-B$21)/B$21,(表2_36716262930389121314151831323334[[#This Row],[累计净值]]-B$21)/B$21)</f>
        <v>-1.2833168805528037E-2</v>
      </c>
    </row>
    <row r="35" spans="1:9" x14ac:dyDescent="0.2">
      <c r="A35" s="271">
        <v>44271</v>
      </c>
      <c r="B35" s="272">
        <v>1.004</v>
      </c>
      <c r="C35" s="273">
        <f t="shared" si="2"/>
        <v>4.0000000000000036E-3</v>
      </c>
      <c r="D35" s="274" t="str">
        <f t="shared" si="3"/>
        <v>/</v>
      </c>
      <c r="E35" s="274">
        <f ca="1">IF(表2_36716262930389121314151831323334[[#This Row],[累计净值]]/MAX(INDIRECT("B21:B" &amp; ROW()))-1&lt;E34,表2_36716262930389121314151831323334[[#This Row],[累计净值]]/MAX(INDIRECT("B21:B" &amp; ROW()))-1,E34)</f>
        <v>-1.9607843137254943E-2</v>
      </c>
      <c r="F35" s="275">
        <f>表2_36716262930389121314151831323334[[#This Row],[累计净值]]</f>
        <v>1.004</v>
      </c>
      <c r="G35" s="274">
        <f>IF(表2_36716262930389121314151831323334[[#This Row],[累计净值]]&gt;B$21,0.8*(表2_36716262930389121314151831323334[[#This Row],[累计净值]]-B$21)/B$21,(表2_36716262930389121314151831323334[[#This Row],[累计净值]]-B$21)/B$21)</f>
        <v>-8.8845014807501458E-3</v>
      </c>
    </row>
    <row r="36" spans="1:9" x14ac:dyDescent="0.2">
      <c r="A36" s="271">
        <v>44272</v>
      </c>
      <c r="B36" s="272">
        <v>1.0049999999999999</v>
      </c>
      <c r="C36" s="273">
        <f t="shared" si="2"/>
        <v>9.960159362549792E-4</v>
      </c>
      <c r="D36" s="274" t="str">
        <f t="shared" si="3"/>
        <v>/</v>
      </c>
      <c r="E36" s="274">
        <f ca="1">IF(表2_36716262930389121314151831323334[[#This Row],[累计净值]]/MAX(INDIRECT("B21:B" &amp; ROW()))-1&lt;E35,表2_36716262930389121314151831323334[[#This Row],[累计净值]]/MAX(INDIRECT("B21:B" &amp; ROW()))-1,E35)</f>
        <v>-1.9607843137254943E-2</v>
      </c>
      <c r="F36" s="275">
        <f>表2_36716262930389121314151831323334[[#This Row],[累计净值]]</f>
        <v>1.0049999999999999</v>
      </c>
      <c r="G36" s="274">
        <f>IF(表2_36716262930389121314151831323334[[#This Row],[累计净值]]&gt;B$21,0.8*(表2_36716262930389121314151831323334[[#This Row],[累计净值]]-B$21)/B$21,(表2_36716262930389121314151831323334[[#This Row],[累计净值]]-B$21)/B$21)</f>
        <v>-7.8973346495557831E-3</v>
      </c>
    </row>
    <row r="37" spans="1:9" x14ac:dyDescent="0.2">
      <c r="A37" s="271">
        <v>44273</v>
      </c>
      <c r="B37" s="272">
        <v>1.0049999999999999</v>
      </c>
      <c r="C37" s="273">
        <f t="shared" si="2"/>
        <v>0</v>
      </c>
      <c r="D37" s="274" t="str">
        <f t="shared" si="3"/>
        <v>/</v>
      </c>
      <c r="E37" s="274">
        <f ca="1">IF(表2_36716262930389121314151831323334[[#This Row],[累计净值]]/MAX(INDIRECT("B21:B" &amp; ROW()))-1&lt;E36,表2_36716262930389121314151831323334[[#This Row],[累计净值]]/MAX(INDIRECT("B21:B" &amp; ROW()))-1,E36)</f>
        <v>-1.9607843137254943E-2</v>
      </c>
      <c r="F37" s="275">
        <f>表2_36716262930389121314151831323334[[#This Row],[累计净值]]</f>
        <v>1.0049999999999999</v>
      </c>
      <c r="G37" s="274">
        <f>IF(表2_36716262930389121314151831323334[[#This Row],[累计净值]]&gt;B$21,0.8*(表2_36716262930389121314151831323334[[#This Row],[累计净值]]-B$21)/B$21,(表2_36716262930389121314151831323334[[#This Row],[累计净值]]-B$21)/B$21)</f>
        <v>-7.8973346495557831E-3</v>
      </c>
    </row>
    <row r="38" spans="1:9" x14ac:dyDescent="0.2">
      <c r="A38" s="271">
        <v>44274</v>
      </c>
      <c r="B38" s="272">
        <v>1.002</v>
      </c>
      <c r="C38" s="273">
        <f t="shared" si="2"/>
        <v>-2.9850746268655914E-3</v>
      </c>
      <c r="D38" s="274">
        <f t="shared" si="3"/>
        <v>-2.9850746268655914E-3</v>
      </c>
      <c r="E38" s="274">
        <f ca="1">IF(表2_36716262930389121314151831323334[[#This Row],[累计净值]]/MAX(INDIRECT("B21:B" &amp; ROW()))-1&lt;E37,表2_36716262930389121314151831323334[[#This Row],[累计净值]]/MAX(INDIRECT("B21:B" &amp; ROW()))-1,E37)</f>
        <v>-1.9607843137254943E-2</v>
      </c>
      <c r="F38" s="275">
        <f>表2_36716262930389121314151831323334[[#This Row],[累计净值]]</f>
        <v>1.002</v>
      </c>
      <c r="G38" s="274">
        <f>IF(表2_36716262930389121314151831323334[[#This Row],[累计净值]]&gt;B$21,0.8*(表2_36716262930389121314151831323334[[#This Row],[累计净值]]-B$21)/B$21,(表2_36716262930389121314151831323334[[#This Row],[累计净值]]-B$21)/B$21)</f>
        <v>-1.0858835143139092E-2</v>
      </c>
    </row>
    <row r="39" spans="1:9" x14ac:dyDescent="0.2">
      <c r="A39" s="271">
        <v>44277</v>
      </c>
      <c r="B39" s="272">
        <v>0.997</v>
      </c>
      <c r="C39" s="273">
        <f>IFERROR(B39-B38,0)</f>
        <v>-5.0000000000000044E-3</v>
      </c>
      <c r="D39" s="274">
        <f>IF(C39&lt;0,C39,"/")</f>
        <v>-5.0000000000000044E-3</v>
      </c>
      <c r="E39" s="274">
        <f ca="1">IF(表2_36716262930389121314151831323334[[#This Row],[累计净值]]/MAX(INDIRECT("B21:B" &amp; ROW()))-1&lt;E38,表2_36716262930389121314151831323334[[#This Row],[累计净值]]/MAX(INDIRECT("B21:B" &amp; ROW()))-1,E38)</f>
        <v>-2.2549019607843168E-2</v>
      </c>
      <c r="F39" s="110">
        <f>表2_36716262930389121314151831323334[[#This Row],[累计净值]]</f>
        <v>0.997</v>
      </c>
      <c r="G39" s="274">
        <f>IF(表2_36716262930389121314151831323334[[#This Row],[累计净值]]&gt;B$21,0.8*(表2_36716262930389121314151831323334[[#This Row],[累计净值]]-B$21)/B$21,(表2_36716262930389121314151831323334[[#This Row],[累计净值]]-B$21)/B$21)</f>
        <v>-1.5794669299111455E-2</v>
      </c>
    </row>
    <row r="40" spans="1:9" x14ac:dyDescent="0.2">
      <c r="A40" s="271">
        <v>44278</v>
      </c>
      <c r="B40" s="272">
        <v>0.995</v>
      </c>
      <c r="C40" s="273">
        <f t="shared" ref="C40:C43" si="4">IFERROR(B40-B39,0)</f>
        <v>-2.0000000000000018E-3</v>
      </c>
      <c r="D40" s="274">
        <f t="shared" ref="D40:D43" si="5">IF(C40&lt;0,C40,"/")</f>
        <v>-2.0000000000000018E-3</v>
      </c>
      <c r="E40" s="274">
        <f ca="1">IF(表2_36716262930389121314151831323334[[#This Row],[累计净值]]/MAX(INDIRECT("B21:B" &amp; ROW()))-1&lt;E39,表2_36716262930389121314151831323334[[#This Row],[累计净值]]/MAX(INDIRECT("B21:B" &amp; ROW()))-1,E39)</f>
        <v>-2.4509803921568651E-2</v>
      </c>
      <c r="F40" s="110">
        <f>表2_36716262930389121314151831323334[[#This Row],[累计净值]]</f>
        <v>0.995</v>
      </c>
      <c r="G40" s="274">
        <f>IF(表2_36716262930389121314151831323334[[#This Row],[累计净值]]&gt;B$21,0.8*(表2_36716262930389121314151831323334[[#This Row],[累计净值]]-B$21)/B$21,(表2_36716262930389121314151831323334[[#This Row],[累计净值]]-B$21)/B$21)</f>
        <v>-1.7769002961500403E-2</v>
      </c>
    </row>
    <row r="41" spans="1:9" x14ac:dyDescent="0.2">
      <c r="A41" s="271">
        <v>44279</v>
      </c>
      <c r="B41" s="272">
        <v>0.99399999999999999</v>
      </c>
      <c r="C41" s="273">
        <f t="shared" si="4"/>
        <v>-1.0000000000000009E-3</v>
      </c>
      <c r="D41" s="274">
        <f t="shared" si="5"/>
        <v>-1.0000000000000009E-3</v>
      </c>
      <c r="E41" s="274">
        <f ca="1">IF(表2_36716262930389121314151831323334[[#This Row],[累计净值]]/MAX(INDIRECT("B21:B" &amp; ROW()))-1&lt;E40,表2_36716262930389121314151831323334[[#This Row],[累计净值]]/MAX(INDIRECT("B21:B" &amp; ROW()))-1,E40)</f>
        <v>-2.5490196078431393E-2</v>
      </c>
      <c r="F41" s="110">
        <f>表2_36716262930389121314151831323334[[#This Row],[累计净值]]</f>
        <v>0.99399999999999999</v>
      </c>
      <c r="G41" s="274">
        <f>IF(表2_36716262930389121314151831323334[[#This Row],[累计净值]]&gt;B$21,0.8*(表2_36716262930389121314151831323334[[#This Row],[累计净值]]-B$21)/B$21,(表2_36716262930389121314151831323334[[#This Row],[累计净值]]-B$21)/B$21)</f>
        <v>-1.8756169792694875E-2</v>
      </c>
    </row>
    <row r="42" spans="1:9" x14ac:dyDescent="0.2">
      <c r="A42" s="271">
        <v>44280</v>
      </c>
      <c r="B42" s="272">
        <v>0.995</v>
      </c>
      <c r="C42" s="273">
        <f t="shared" si="4"/>
        <v>1.0000000000000009E-3</v>
      </c>
      <c r="D42" s="274" t="str">
        <f t="shared" si="5"/>
        <v>/</v>
      </c>
      <c r="E42" s="274">
        <f ca="1">IF(表2_36716262930389121314151831323334[[#This Row],[累计净值]]/MAX(INDIRECT("B21:B" &amp; ROW()))-1&lt;E41,表2_36716262930389121314151831323334[[#This Row],[累计净值]]/MAX(INDIRECT("B21:B" &amp; ROW()))-1,E41)</f>
        <v>-2.5490196078431393E-2</v>
      </c>
      <c r="F42" s="110">
        <f>表2_36716262930389121314151831323334[[#This Row],[累计净值]]</f>
        <v>0.995</v>
      </c>
      <c r="G42" s="274">
        <f>IF(表2_36716262930389121314151831323334[[#This Row],[累计净值]]&gt;B$21,0.8*(表2_36716262930389121314151831323334[[#This Row],[累计净值]]-B$21)/B$21,(表2_36716262930389121314151831323334[[#This Row],[累计净值]]-B$21)/B$21)</f>
        <v>-1.7769002961500403E-2</v>
      </c>
    </row>
    <row r="43" spans="1:9" x14ac:dyDescent="0.2">
      <c r="A43" s="271">
        <v>44281</v>
      </c>
      <c r="B43" s="272">
        <v>0.997</v>
      </c>
      <c r="C43" s="273">
        <f t="shared" si="4"/>
        <v>2.0000000000000018E-3</v>
      </c>
      <c r="D43" s="274" t="str">
        <f t="shared" si="5"/>
        <v>/</v>
      </c>
      <c r="E43" s="274">
        <f ca="1">IF(表2_36716262930389121314151831323334[[#This Row],[累计净值]]/MAX(INDIRECT("B21:B" &amp; ROW()))-1&lt;E42,表2_36716262930389121314151831323334[[#This Row],[累计净值]]/MAX(INDIRECT("B21:B" &amp; ROW()))-1,E42)</f>
        <v>-2.5490196078431393E-2</v>
      </c>
      <c r="F43" s="110">
        <f>表2_36716262930389121314151831323334[[#This Row],[累计净值]]</f>
        <v>0.997</v>
      </c>
      <c r="G43" s="274">
        <f>IF(表2_36716262930389121314151831323334[[#This Row],[累计净值]]&gt;B$21,0.8*(表2_36716262930389121314151831323334[[#This Row],[累计净值]]-B$21)/B$21,(表2_36716262930389121314151831323334[[#This Row],[累计净值]]-B$21)/B$21)</f>
        <v>-1.5794669299111455E-2</v>
      </c>
    </row>
    <row r="44" spans="1:9" x14ac:dyDescent="0.2">
      <c r="A44" s="271">
        <v>44284</v>
      </c>
      <c r="B44" s="272">
        <v>0.999</v>
      </c>
      <c r="C44" s="273">
        <f t="shared" ref="C44:C50" si="6">IFERROR(B44-B43,0)</f>
        <v>2.0000000000000018E-3</v>
      </c>
      <c r="D44" s="274" t="str">
        <f t="shared" ref="D44:D50" si="7">IF(C44&lt;0,C44,"/")</f>
        <v>/</v>
      </c>
      <c r="E44" s="274">
        <f ca="1">IF(表2_36716262930389121314151831323334[[#This Row],[累计净值]]/MAX(INDIRECT("B21:B" &amp; ROW()))-1&lt;E43,表2_36716262930389121314151831323334[[#This Row],[累计净值]]/MAX(INDIRECT("B21:B" &amp; ROW()))-1,E43)</f>
        <v>-2.5490196078431393E-2</v>
      </c>
      <c r="F44" s="110">
        <f>表2_36716262930389121314151831323334[[#This Row],[累计净值]]</f>
        <v>0.999</v>
      </c>
      <c r="G44" s="274">
        <f>IF(表2_36716262930389121314151831323334[[#This Row],[累计净值]]&gt;B$21,0.8*(表2_36716262930389121314151831323334[[#This Row],[累计净值]]-B$21)/B$21,(表2_36716262930389121314151831323334[[#This Row],[累计净值]]-B$21)/B$21)</f>
        <v>-1.3820335636722509E-2</v>
      </c>
    </row>
    <row r="45" spans="1:9" x14ac:dyDescent="0.2">
      <c r="A45" s="271">
        <v>44285</v>
      </c>
      <c r="B45" s="272">
        <v>0.997</v>
      </c>
      <c r="C45" s="273">
        <f t="shared" si="6"/>
        <v>-2.0000000000000018E-3</v>
      </c>
      <c r="D45" s="274">
        <f t="shared" si="7"/>
        <v>-2.0000000000000018E-3</v>
      </c>
      <c r="E45" s="274">
        <f ca="1">IF(表2_36716262930389121314151831323334[[#This Row],[累计净值]]/MAX(INDIRECT("B21:B" &amp; ROW()))-1&lt;E44,表2_36716262930389121314151831323334[[#This Row],[累计净值]]/MAX(INDIRECT("B21:B" &amp; ROW()))-1,E44)</f>
        <v>-2.5490196078431393E-2</v>
      </c>
      <c r="F45" s="110">
        <f>表2_36716262930389121314151831323334[[#This Row],[累计净值]]</f>
        <v>0.997</v>
      </c>
      <c r="G45" s="274">
        <f>IF(表2_36716262930389121314151831323334[[#This Row],[累计净值]]&gt;B$21,0.8*(表2_36716262930389121314151831323334[[#This Row],[累计净值]]-B$21)/B$21,(表2_36716262930389121314151831323334[[#This Row],[累计净值]]-B$21)/B$21)</f>
        <v>-1.5794669299111455E-2</v>
      </c>
    </row>
    <row r="46" spans="1:9" x14ac:dyDescent="0.2">
      <c r="A46" s="271">
        <v>44286</v>
      </c>
      <c r="B46" s="272">
        <v>0.997</v>
      </c>
      <c r="C46" s="273">
        <f t="shared" si="6"/>
        <v>0</v>
      </c>
      <c r="D46" s="274" t="str">
        <f t="shared" si="7"/>
        <v>/</v>
      </c>
      <c r="E46" s="274">
        <f ca="1">IF(表2_36716262930389121314151831323334[[#This Row],[累计净值]]/MAX(INDIRECT("B21:B" &amp; ROW()))-1&lt;E45,表2_36716262930389121314151831323334[[#This Row],[累计净值]]/MAX(INDIRECT("B21:B" &amp; ROW()))-1,E45)</f>
        <v>-2.5490196078431393E-2</v>
      </c>
      <c r="F46" s="110">
        <f>表2_36716262930389121314151831323334[[#This Row],[累计净值]]</f>
        <v>0.997</v>
      </c>
      <c r="G46" s="274">
        <f>IF(表2_36716262930389121314151831323334[[#This Row],[累计净值]]&gt;B$21,0.8*(表2_36716262930389121314151831323334[[#This Row],[累计净值]]-B$21)/B$21,(表2_36716262930389121314151831323334[[#This Row],[累计净值]]-B$21)/B$21)</f>
        <v>-1.5794669299111455E-2</v>
      </c>
    </row>
    <row r="47" spans="1:9" x14ac:dyDescent="0.2">
      <c r="A47" s="271">
        <v>44287</v>
      </c>
      <c r="B47" s="272">
        <v>0.999</v>
      </c>
      <c r="C47" s="273">
        <f t="shared" si="6"/>
        <v>2.0000000000000018E-3</v>
      </c>
      <c r="D47" s="274" t="str">
        <f t="shared" si="7"/>
        <v>/</v>
      </c>
      <c r="E47" s="274">
        <f ca="1">IF(表2_36716262930389121314151831323334[[#This Row],[累计净值]]/MAX(INDIRECT("B21:B" &amp; ROW()))-1&lt;E46,表2_36716262930389121314151831323334[[#This Row],[累计净值]]/MAX(INDIRECT("B21:B" &amp; ROW()))-1,E46)</f>
        <v>-2.5490196078431393E-2</v>
      </c>
      <c r="F47" s="110">
        <f>表2_36716262930389121314151831323334[[#This Row],[累计净值]]</f>
        <v>0.999</v>
      </c>
      <c r="G47" s="274">
        <f>IF(表2_36716262930389121314151831323334[[#This Row],[累计净值]]&gt;B$21,0.8*(表2_36716262930389121314151831323334[[#This Row],[累计净值]]-B$21)/B$21,(表2_36716262930389121314151831323334[[#This Row],[累计净值]]-B$21)/B$21)</f>
        <v>-1.3820335636722509E-2</v>
      </c>
      <c r="I47" s="283" t="s">
        <v>67</v>
      </c>
    </row>
    <row r="48" spans="1:9" x14ac:dyDescent="0.2">
      <c r="A48" s="271">
        <v>44288</v>
      </c>
      <c r="B48" s="272">
        <v>1</v>
      </c>
      <c r="C48" s="273">
        <f t="shared" si="6"/>
        <v>1.0000000000000009E-3</v>
      </c>
      <c r="D48" s="274" t="str">
        <f t="shared" si="7"/>
        <v>/</v>
      </c>
      <c r="E48" s="274">
        <f ca="1">IF(表2_36716262930389121314151831323334[[#This Row],[累计净值]]/MAX(INDIRECT("B21:B" &amp; ROW()))-1&lt;E47,表2_36716262930389121314151831323334[[#This Row],[累计净值]]/MAX(INDIRECT("B21:B" &amp; ROW()))-1,E47)</f>
        <v>-2.5490196078431393E-2</v>
      </c>
      <c r="F48" s="110">
        <f>表2_36716262930389121314151831323334[[#This Row],[累计净值]]</f>
        <v>1</v>
      </c>
      <c r="G48" s="274">
        <f>IF(表2_36716262930389121314151831323334[[#This Row],[累计净值]]&gt;B$21,0.8*(表2_36716262930389121314151831323334[[#This Row],[累计净值]]-B$21)/B$21,(表2_36716262930389121314151831323334[[#This Row],[累计净值]]-B$21)/B$21)</f>
        <v>-1.2833168805528037E-2</v>
      </c>
    </row>
    <row r="49" spans="1:7" x14ac:dyDescent="0.2">
      <c r="A49" s="271">
        <v>44292</v>
      </c>
      <c r="B49" s="272">
        <v>0.999</v>
      </c>
      <c r="C49" s="273">
        <f t="shared" si="6"/>
        <v>-1.0000000000000009E-3</v>
      </c>
      <c r="D49" s="274">
        <f t="shared" si="7"/>
        <v>-1.0000000000000009E-3</v>
      </c>
      <c r="E49" s="274">
        <f ca="1">IF(表2_36716262930389121314151831323334[[#This Row],[累计净值]]/MAX(INDIRECT("B21:B" &amp; ROW()))-1&lt;E48,表2_36716262930389121314151831323334[[#This Row],[累计净值]]/MAX(INDIRECT("B21:B" &amp; ROW()))-1,E48)</f>
        <v>-2.5490196078431393E-2</v>
      </c>
      <c r="F49" s="110">
        <f>表2_36716262930389121314151831323334[[#This Row],[累计净值]]</f>
        <v>0.999</v>
      </c>
      <c r="G49" s="274">
        <f>IF(表2_36716262930389121314151831323334[[#This Row],[累计净值]]&gt;B$21,0.8*(表2_36716262930389121314151831323334[[#This Row],[累计净值]]-B$21)/B$21,(表2_36716262930389121314151831323334[[#This Row],[累计净值]]-B$21)/B$21)</f>
        <v>-1.3820335636722509E-2</v>
      </c>
    </row>
    <row r="50" spans="1:7" x14ac:dyDescent="0.2">
      <c r="A50" s="271">
        <v>44293</v>
      </c>
      <c r="B50" s="272">
        <v>0.998</v>
      </c>
      <c r="C50" s="273">
        <f t="shared" si="6"/>
        <v>-1.0000000000000009E-3</v>
      </c>
      <c r="D50" s="274">
        <f t="shared" si="7"/>
        <v>-1.0000000000000009E-3</v>
      </c>
      <c r="E50" s="274">
        <f ca="1">IF(表2_36716262930389121314151831323334[[#This Row],[累计净值]]/MAX(INDIRECT("B21:B" &amp; ROW()))-1&lt;E49,表2_36716262930389121314151831323334[[#This Row],[累计净值]]/MAX(INDIRECT("B21:B" &amp; ROW()))-1,E49)</f>
        <v>-2.5490196078431393E-2</v>
      </c>
      <c r="F50" s="110">
        <f>表2_36716262930389121314151831323334[[#This Row],[累计净值]]</f>
        <v>0.998</v>
      </c>
      <c r="G50" s="274">
        <f>IF(表2_36716262930389121314151831323334[[#This Row],[累计净值]]&gt;B$21,0.8*(表2_36716262930389121314151831323334[[#This Row],[累计净值]]-B$21)/B$21,(表2_36716262930389121314151831323334[[#This Row],[累计净值]]-B$21)/B$21)</f>
        <v>-1.4807502467916983E-2</v>
      </c>
    </row>
    <row r="51" spans="1:7" x14ac:dyDescent="0.2">
      <c r="A51" s="271">
        <v>44294</v>
      </c>
      <c r="B51" s="272">
        <v>0.999</v>
      </c>
      <c r="C51" s="273">
        <f t="shared" ref="C51:C56" si="8">IFERROR(B51-B50,0)</f>
        <v>1.0000000000000009E-3</v>
      </c>
      <c r="D51" s="274" t="str">
        <f t="shared" ref="D51:D56" si="9">IF(C51&lt;0,C51,"/")</f>
        <v>/</v>
      </c>
      <c r="E51" s="274">
        <f ca="1">IF(表2_36716262930389121314151831323334[[#This Row],[累计净值]]/MAX(INDIRECT("B21:B" &amp; ROW()))-1&lt;E50,表2_36716262930389121314151831323334[[#This Row],[累计净值]]/MAX(INDIRECT("B21:B" &amp; ROW()))-1,E50)</f>
        <v>-2.5490196078431393E-2</v>
      </c>
      <c r="F51" s="110">
        <f>表2_36716262930389121314151831323334[[#This Row],[累计净值]]</f>
        <v>0.999</v>
      </c>
      <c r="G51" s="274">
        <f>IF(表2_36716262930389121314151831323334[[#This Row],[累计净值]]&gt;B$21,0.8*(表2_36716262930389121314151831323334[[#This Row],[累计净值]]-B$21)/B$21,(表2_36716262930389121314151831323334[[#This Row],[累计净值]]-B$21)/B$21)</f>
        <v>-1.3820335636722509E-2</v>
      </c>
    </row>
    <row r="52" spans="1:7" x14ac:dyDescent="0.2">
      <c r="A52" s="271">
        <v>44295</v>
      </c>
      <c r="B52" s="272">
        <v>1</v>
      </c>
      <c r="C52" s="273">
        <f t="shared" si="8"/>
        <v>1.0000000000000009E-3</v>
      </c>
      <c r="D52" s="274" t="str">
        <f t="shared" si="9"/>
        <v>/</v>
      </c>
      <c r="E52" s="274">
        <f ca="1">IF(表2_36716262930389121314151831323334[[#This Row],[累计净值]]/MAX(INDIRECT("B21:B" &amp; ROW()))-1&lt;E51,表2_36716262930389121314151831323334[[#This Row],[累计净值]]/MAX(INDIRECT("B21:B" &amp; ROW()))-1,E51)</f>
        <v>-2.5490196078431393E-2</v>
      </c>
      <c r="F52" s="110">
        <f>表2_36716262930389121314151831323334[[#This Row],[累计净值]]</f>
        <v>1</v>
      </c>
      <c r="G52" s="274">
        <f>IF(表2_36716262930389121314151831323334[[#This Row],[累计净值]]&gt;B$21,0.8*(表2_36716262930389121314151831323334[[#This Row],[累计净值]]-B$21)/B$21,(表2_36716262930389121314151831323334[[#This Row],[累计净值]]-B$21)/B$21)</f>
        <v>-1.2833168805528037E-2</v>
      </c>
    </row>
    <row r="53" spans="1:7" x14ac:dyDescent="0.2">
      <c r="A53" s="271">
        <v>44298</v>
      </c>
      <c r="B53" s="272">
        <v>1.0009999999999999</v>
      </c>
      <c r="C53" s="273">
        <f t="shared" si="8"/>
        <v>9.9999999999988987E-4</v>
      </c>
      <c r="D53" s="274" t="str">
        <f t="shared" si="9"/>
        <v>/</v>
      </c>
      <c r="E53" s="274">
        <f ca="1">IF(表2_36716262930389121314151831323334[[#This Row],[累计净值]]/MAX(INDIRECT("B21:B" &amp; ROW()))-1&lt;E52,表2_36716262930389121314151831323334[[#This Row],[累计净值]]/MAX(INDIRECT("B21:B" &amp; ROW()))-1,E52)</f>
        <v>-2.5490196078431393E-2</v>
      </c>
      <c r="F53" s="110">
        <f>表2_36716262930389121314151831323334[[#This Row],[累计净值]]</f>
        <v>1.0009999999999999</v>
      </c>
      <c r="G53" s="274">
        <f>IF(表2_36716262930389121314151831323334[[#This Row],[累计净值]]&gt;B$21,0.8*(表2_36716262930389121314151831323334[[#This Row],[累计净值]]-B$21)/B$21,(表2_36716262930389121314151831323334[[#This Row],[累计净值]]-B$21)/B$21)</f>
        <v>-1.1846001974333675E-2</v>
      </c>
    </row>
    <row r="54" spans="1:7" x14ac:dyDescent="0.2">
      <c r="A54" s="271">
        <v>44299</v>
      </c>
      <c r="B54" s="272">
        <v>0.996</v>
      </c>
      <c r="C54" s="273">
        <f t="shared" si="8"/>
        <v>-4.9999999999998934E-3</v>
      </c>
      <c r="D54" s="274">
        <f t="shared" si="9"/>
        <v>-4.9999999999998934E-3</v>
      </c>
      <c r="E54" s="274">
        <f ca="1">IF(表2_36716262930389121314151831323334[[#This Row],[累计净值]]/MAX(INDIRECT("B21:B" &amp; ROW()))-1&lt;E53,表2_36716262930389121314151831323334[[#This Row],[累计净值]]/MAX(INDIRECT("B21:B" &amp; ROW()))-1,E53)</f>
        <v>-2.5490196078431393E-2</v>
      </c>
      <c r="F54" s="110">
        <f>表2_36716262930389121314151831323334[[#This Row],[累计净值]]</f>
        <v>0.996</v>
      </c>
      <c r="G54" s="274">
        <f>IF(表2_36716262930389121314151831323334[[#This Row],[累计净值]]&gt;B$21,0.8*(表2_36716262930389121314151831323334[[#This Row],[累计净值]]-B$21)/B$21,(表2_36716262930389121314151831323334[[#This Row],[累计净值]]-B$21)/B$21)</f>
        <v>-1.6781836130305927E-2</v>
      </c>
    </row>
    <row r="55" spans="1:7" x14ac:dyDescent="0.2">
      <c r="A55" s="271">
        <v>44300</v>
      </c>
      <c r="B55" s="272">
        <v>0.996</v>
      </c>
      <c r="C55" s="273">
        <f t="shared" si="8"/>
        <v>0</v>
      </c>
      <c r="D55" s="274" t="str">
        <f t="shared" si="9"/>
        <v>/</v>
      </c>
      <c r="E55" s="274">
        <f ca="1">IF(表2_36716262930389121314151831323334[[#This Row],[累计净值]]/MAX(INDIRECT("B21:B" &amp; ROW()))-1&lt;E54,表2_36716262930389121314151831323334[[#This Row],[累计净值]]/MAX(INDIRECT("B21:B" &amp; ROW()))-1,E54)</f>
        <v>-2.5490196078431393E-2</v>
      </c>
      <c r="F55" s="110">
        <f>表2_36716262930389121314151831323334[[#This Row],[累计净值]]</f>
        <v>0.996</v>
      </c>
      <c r="G55" s="274">
        <f>IF(表2_36716262930389121314151831323334[[#This Row],[累计净值]]&gt;B$21,0.8*(表2_36716262930389121314151831323334[[#This Row],[累计净值]]-B$21)/B$21,(表2_36716262930389121314151831323334[[#This Row],[累计净值]]-B$21)/B$21)</f>
        <v>-1.6781836130305927E-2</v>
      </c>
    </row>
    <row r="56" spans="1:7" x14ac:dyDescent="0.2">
      <c r="A56" s="271">
        <v>44301</v>
      </c>
      <c r="B56" s="272">
        <v>0.999</v>
      </c>
      <c r="C56" s="273">
        <f t="shared" si="8"/>
        <v>3.0000000000000027E-3</v>
      </c>
      <c r="D56" s="274" t="str">
        <f t="shared" si="9"/>
        <v>/</v>
      </c>
      <c r="E56" s="274">
        <f ca="1">IF(表2_36716262930389121314151831323334[[#This Row],[累计净值]]/MAX(INDIRECT("B21:B" &amp; ROW()))-1&lt;E55,表2_36716262930389121314151831323334[[#This Row],[累计净值]]/MAX(INDIRECT("B21:B" &amp; ROW()))-1,E55)</f>
        <v>-2.5490196078431393E-2</v>
      </c>
      <c r="F56" s="110">
        <f>表2_36716262930389121314151831323334[[#This Row],[累计净值]]</f>
        <v>0.999</v>
      </c>
      <c r="G56" s="274">
        <f>IF(表2_36716262930389121314151831323334[[#This Row],[累计净值]]&gt;B$21,0.8*(表2_36716262930389121314151831323334[[#This Row],[累计净值]]-B$21)/B$21,(表2_36716262930389121314151831323334[[#This Row],[累计净值]]-B$21)/B$21)</f>
        <v>-1.3820335636722509E-2</v>
      </c>
    </row>
    <row r="57" spans="1:7" x14ac:dyDescent="0.2">
      <c r="A57" s="271">
        <v>44302</v>
      </c>
      <c r="B57" s="272">
        <v>1.004</v>
      </c>
      <c r="C57" s="273">
        <f t="shared" ref="C57:C63" si="10">IFERROR(B57-B56,0)</f>
        <v>5.0000000000000044E-3</v>
      </c>
      <c r="D57" s="274" t="str">
        <f t="shared" ref="D57:D63" si="11">IF(C57&lt;0,C57,"/")</f>
        <v>/</v>
      </c>
      <c r="E57" s="274">
        <f ca="1">IF(表2_36716262930389121314151831323334[[#This Row],[累计净值]]/MAX(INDIRECT("B21:B" &amp; ROW()))-1&lt;E56,表2_36716262930389121314151831323334[[#This Row],[累计净值]]/MAX(INDIRECT("B21:B" &amp; ROW()))-1,E56)</f>
        <v>-2.5490196078431393E-2</v>
      </c>
      <c r="F57" s="110">
        <f>表2_36716262930389121314151831323334[[#This Row],[累计净值]]</f>
        <v>1.004</v>
      </c>
      <c r="G57" s="274">
        <f>IF(表2_36716262930389121314151831323334[[#This Row],[累计净值]]&gt;B$21,0.8*(表2_36716262930389121314151831323334[[#This Row],[累计净值]]-B$21)/B$21,(表2_36716262930389121314151831323334[[#This Row],[累计净值]]-B$21)/B$21)</f>
        <v>-8.8845014807501458E-3</v>
      </c>
    </row>
    <row r="58" spans="1:7" x14ac:dyDescent="0.2">
      <c r="A58" s="271">
        <v>44305</v>
      </c>
      <c r="B58" s="272">
        <v>1.0069999999999999</v>
      </c>
      <c r="C58" s="273">
        <f t="shared" si="10"/>
        <v>2.9999999999998916E-3</v>
      </c>
      <c r="D58" s="274" t="str">
        <f t="shared" si="11"/>
        <v>/</v>
      </c>
      <c r="E58" s="274">
        <f ca="1">IF(表2_36716262930389121314151831323334[[#This Row],[累计净值]]/MAX(INDIRECT("B21:B" &amp; ROW()))-1&lt;E57,表2_36716262930389121314151831323334[[#This Row],[累计净值]]/MAX(INDIRECT("B21:B" &amp; ROW()))-1,E57)</f>
        <v>-2.5490196078431393E-2</v>
      </c>
      <c r="F58" s="110">
        <f>表2_36716262930389121314151831323334[[#This Row],[累计净值]]</f>
        <v>1.0069999999999999</v>
      </c>
      <c r="G58" s="274">
        <f>IF(表2_36716262930389121314151831323334[[#This Row],[累计净值]]&gt;B$21,0.8*(表2_36716262930389121314151831323334[[#This Row],[累计净值]]-B$21)/B$21,(表2_36716262930389121314151831323334[[#This Row],[累计净值]]-B$21)/B$21)</f>
        <v>-5.9230009871668373E-3</v>
      </c>
    </row>
    <row r="59" spans="1:7" x14ac:dyDescent="0.2">
      <c r="A59" s="271">
        <v>44306</v>
      </c>
      <c r="B59" s="272">
        <v>1.0089999999999999</v>
      </c>
      <c r="C59" s="273">
        <f t="shared" si="10"/>
        <v>2.0000000000000018E-3</v>
      </c>
      <c r="D59" s="274" t="str">
        <f t="shared" si="11"/>
        <v>/</v>
      </c>
      <c r="E59" s="274">
        <f ca="1">IF(表2_36716262930389121314151831323334[[#This Row],[累计净值]]/MAX(INDIRECT("B21:B" &amp; ROW()))-1&lt;E58,表2_36716262930389121314151831323334[[#This Row],[累计净值]]/MAX(INDIRECT("B21:B" &amp; ROW()))-1,E58)</f>
        <v>-2.5490196078431393E-2</v>
      </c>
      <c r="F59" s="110">
        <f>表2_36716262930389121314151831323334[[#This Row],[累计净值]]</f>
        <v>1.0089999999999999</v>
      </c>
      <c r="G59" s="274">
        <f>IF(表2_36716262930389121314151831323334[[#This Row],[累计净值]]&gt;B$21,0.8*(表2_36716262930389121314151831323334[[#This Row],[累计净值]]-B$21)/B$21,(表2_36716262930389121314151831323334[[#This Row],[累计净值]]-B$21)/B$21)</f>
        <v>-3.9486673247778915E-3</v>
      </c>
    </row>
    <row r="60" spans="1:7" x14ac:dyDescent="0.2">
      <c r="A60" s="271">
        <v>44307</v>
      </c>
      <c r="B60" s="272">
        <v>1.0089999999999999</v>
      </c>
      <c r="C60" s="273">
        <f t="shared" si="10"/>
        <v>0</v>
      </c>
      <c r="D60" s="274" t="str">
        <f t="shared" si="11"/>
        <v>/</v>
      </c>
      <c r="E60" s="274">
        <f ca="1">IF(表2_36716262930389121314151831323334[[#This Row],[累计净值]]/MAX(INDIRECT("B21:B" &amp; ROW()))-1&lt;E59,表2_36716262930389121314151831323334[[#This Row],[累计净值]]/MAX(INDIRECT("B21:B" &amp; ROW()))-1,E59)</f>
        <v>-2.5490196078431393E-2</v>
      </c>
      <c r="F60" s="110">
        <f>表2_36716262930389121314151831323334[[#This Row],[累计净值]]</f>
        <v>1.0089999999999999</v>
      </c>
      <c r="G60" s="274">
        <f>IF(表2_36716262930389121314151831323334[[#This Row],[累计净值]]&gt;B$21,0.8*(表2_36716262930389121314151831323334[[#This Row],[累计净值]]-B$21)/B$21,(表2_36716262930389121314151831323334[[#This Row],[累计净值]]-B$21)/B$21)</f>
        <v>-3.9486673247778915E-3</v>
      </c>
    </row>
    <row r="61" spans="1:7" x14ac:dyDescent="0.2">
      <c r="A61" s="271">
        <v>44308</v>
      </c>
      <c r="B61" s="272">
        <v>1.006</v>
      </c>
      <c r="C61" s="273">
        <f t="shared" si="10"/>
        <v>-2.9999999999998916E-3</v>
      </c>
      <c r="D61" s="274">
        <f t="shared" si="11"/>
        <v>-2.9999999999998916E-3</v>
      </c>
      <c r="E61" s="274">
        <f ca="1">IF(表2_36716262930389121314151831323334[[#This Row],[累计净值]]/MAX(INDIRECT("B21:B" &amp; ROW()))-1&lt;E60,表2_36716262930389121314151831323334[[#This Row],[累计净值]]/MAX(INDIRECT("B21:B" &amp; ROW()))-1,E60)</f>
        <v>-2.5490196078431393E-2</v>
      </c>
      <c r="F61" s="110">
        <f>表2_36716262930389121314151831323334[[#This Row],[累计净值]]</f>
        <v>1.006</v>
      </c>
      <c r="G61" s="274">
        <f>IF(表2_36716262930389121314151831323334[[#This Row],[累计净值]]&gt;B$21,0.8*(表2_36716262930389121314151831323334[[#This Row],[累计净值]]-B$21)/B$21,(表2_36716262930389121314151831323334[[#This Row],[累计净值]]-B$21)/B$21)</f>
        <v>-6.9101678183612E-3</v>
      </c>
    </row>
    <row r="62" spans="1:7" x14ac:dyDescent="0.2">
      <c r="A62" s="271">
        <v>44309</v>
      </c>
      <c r="B62" s="272">
        <v>1.008</v>
      </c>
      <c r="C62" s="273">
        <f t="shared" si="10"/>
        <v>2.0000000000000018E-3</v>
      </c>
      <c r="D62" s="274" t="str">
        <f t="shared" si="11"/>
        <v>/</v>
      </c>
      <c r="E62" s="274">
        <f ca="1">IF(表2_36716262930389121314151831323334[[#This Row],[累计净值]]/MAX(INDIRECT("B21:B" &amp; ROW()))-1&lt;E61,表2_36716262930389121314151831323334[[#This Row],[累计净值]]/MAX(INDIRECT("B21:B" &amp; ROW()))-1,E61)</f>
        <v>-2.5490196078431393E-2</v>
      </c>
      <c r="F62" s="110">
        <f>表2_36716262930389121314151831323334[[#This Row],[累计净值]]</f>
        <v>1.008</v>
      </c>
      <c r="G62" s="274">
        <f>IF(表2_36716262930389121314151831323334[[#This Row],[累计净值]]&gt;B$21,0.8*(表2_36716262930389121314151831323334[[#This Row],[累计净值]]-B$21)/B$21,(表2_36716262930389121314151831323334[[#This Row],[累计净值]]-B$21)/B$21)</f>
        <v>-4.9358341559722543E-3</v>
      </c>
    </row>
    <row r="63" spans="1:7" x14ac:dyDescent="0.2">
      <c r="A63" s="271">
        <v>44312</v>
      </c>
      <c r="B63" s="272">
        <v>1.0069999999999999</v>
      </c>
      <c r="C63" s="273">
        <f t="shared" si="10"/>
        <v>-1.0000000000001119E-3</v>
      </c>
      <c r="D63" s="274">
        <f t="shared" si="11"/>
        <v>-1.0000000000001119E-3</v>
      </c>
      <c r="E63" s="274">
        <f ca="1">IF(表2_36716262930389121314151831323334[[#This Row],[累计净值]]/MAX(INDIRECT("B21:B" &amp; ROW()))-1&lt;E62,表2_36716262930389121314151831323334[[#This Row],[累计净值]]/MAX(INDIRECT("B21:B" &amp; ROW()))-1,E62)</f>
        <v>-2.5490196078431393E-2</v>
      </c>
      <c r="F63" s="110">
        <f>表2_36716262930389121314151831323334[[#This Row],[累计净值]]</f>
        <v>1.0069999999999999</v>
      </c>
      <c r="G63" s="274">
        <f>IF(表2_36716262930389121314151831323334[[#This Row],[累计净值]]&gt;B$21,0.8*(表2_36716262930389121314151831323334[[#This Row],[累计净值]]-B$21)/B$21,(表2_36716262930389121314151831323334[[#This Row],[累计净值]]-B$21)/B$21)</f>
        <v>-5.9230009871668373E-3</v>
      </c>
    </row>
    <row r="64" spans="1:7" x14ac:dyDescent="0.2">
      <c r="A64" s="271">
        <v>44313</v>
      </c>
      <c r="B64" s="272">
        <v>1.0069999999999999</v>
      </c>
      <c r="C64" s="273">
        <f>IFERROR(B64-B63,0)</f>
        <v>0</v>
      </c>
      <c r="D64" s="274" t="str">
        <f>IF(C64&lt;0,C64,"/")</f>
        <v>/</v>
      </c>
      <c r="E64" s="274">
        <f ca="1">IF(表2_36716262930389121314151831323334[[#This Row],[累计净值]]/MAX(INDIRECT("B21:B" &amp; ROW()))-1&lt;E63,表2_36716262930389121314151831323334[[#This Row],[累计净值]]/MAX(INDIRECT("B21:B" &amp; ROW()))-1,E63)</f>
        <v>-2.5490196078431393E-2</v>
      </c>
      <c r="F64" s="110">
        <f>表2_36716262930389121314151831323334[[#This Row],[累计净值]]</f>
        <v>1.0069999999999999</v>
      </c>
      <c r="G64" s="274">
        <f>IF(表2_36716262930389121314151831323334[[#This Row],[累计净值]]&gt;B$21,0.8*(表2_36716262930389121314151831323334[[#This Row],[累计净值]]-B$21)/B$21,(表2_36716262930389121314151831323334[[#This Row],[累计净值]]-B$21)/B$21)</f>
        <v>-5.9230009871668373E-3</v>
      </c>
    </row>
    <row r="65" spans="1:10" x14ac:dyDescent="0.2">
      <c r="A65" s="271">
        <v>44314</v>
      </c>
      <c r="B65" s="272">
        <v>1.008</v>
      </c>
      <c r="C65" s="273">
        <f>IFERROR(B65-B64,0)</f>
        <v>1.0000000000001119E-3</v>
      </c>
      <c r="D65" s="274" t="str">
        <f>IF(C65&lt;0,C65,"/")</f>
        <v>/</v>
      </c>
      <c r="E65" s="274">
        <f ca="1">IF(表2_36716262930389121314151831323334[[#This Row],[累计净值]]/MAX(INDIRECT("B21:B" &amp; ROW()))-1&lt;E64,表2_36716262930389121314151831323334[[#This Row],[累计净值]]/MAX(INDIRECT("B21:B" &amp; ROW()))-1,E64)</f>
        <v>-2.5490196078431393E-2</v>
      </c>
      <c r="F65" s="110">
        <f>表2_36716262930389121314151831323334[[#This Row],[累计净值]]</f>
        <v>1.008</v>
      </c>
      <c r="G65" s="274">
        <f>IF(表2_36716262930389121314151831323334[[#This Row],[累计净值]]&gt;B$21,0.8*(表2_36716262930389121314151831323334[[#This Row],[累计净值]]-B$21)/B$21,(表2_36716262930389121314151831323334[[#This Row],[累计净值]]-B$21)/B$21)</f>
        <v>-4.9358341559722543E-3</v>
      </c>
    </row>
    <row r="66" spans="1:10" x14ac:dyDescent="0.2">
      <c r="A66" s="271">
        <v>44315</v>
      </c>
      <c r="B66" s="272">
        <v>1.01</v>
      </c>
      <c r="C66" s="273">
        <f>IFERROR(B66-B65,0)</f>
        <v>2.0000000000000018E-3</v>
      </c>
      <c r="D66" s="274" t="str">
        <f>IF(C66&lt;0,C66,"/")</f>
        <v>/</v>
      </c>
      <c r="E66" s="274">
        <f ca="1">IF(表2_36716262930389121314151831323334[[#This Row],[累计净值]]/MAX(INDIRECT("B21:B" &amp; ROW()))-1&lt;E65,表2_36716262930389121314151831323334[[#This Row],[累计净值]]/MAX(INDIRECT("B21:B" &amp; ROW()))-1,E65)</f>
        <v>-2.5490196078431393E-2</v>
      </c>
      <c r="F66" s="110">
        <f>表2_36716262930389121314151831323334[[#This Row],[累计净值]]</f>
        <v>1.01</v>
      </c>
      <c r="G66" s="274">
        <f>IF(表2_36716262930389121314151831323334[[#This Row],[累计净值]]&gt;B$21,0.8*(表2_36716262930389121314151831323334[[#This Row],[累计净值]]-B$21)/B$21,(表2_36716262930389121314151831323334[[#This Row],[累计净值]]-B$21)/B$21)</f>
        <v>-2.9615004935833089E-3</v>
      </c>
    </row>
    <row r="67" spans="1:10" x14ac:dyDescent="0.2">
      <c r="A67" s="271">
        <v>44316</v>
      </c>
      <c r="B67" s="272">
        <v>1.0089999999999999</v>
      </c>
      <c r="C67" s="273">
        <f t="shared" ref="C67:C68" si="12">IFERROR(B67-B66,0)</f>
        <v>-1.0000000000001119E-3</v>
      </c>
      <c r="D67" s="274">
        <f t="shared" ref="D67:D68" si="13">IF(C67&lt;0,C67,"/")</f>
        <v>-1.0000000000001119E-3</v>
      </c>
      <c r="E67" s="274">
        <f ca="1">IF(表2_36716262930389121314151831323334[[#This Row],[累计净值]]/MAX(INDIRECT("B21:B" &amp; ROW()))-1&lt;E66,表2_36716262930389121314151831323334[[#This Row],[累计净值]]/MAX(INDIRECT("B21:B" &amp; ROW()))-1,E66)</f>
        <v>-2.5490196078431393E-2</v>
      </c>
      <c r="F67" s="110">
        <f>表2_36716262930389121314151831323334[[#This Row],[累计净值]]</f>
        <v>1.0089999999999999</v>
      </c>
      <c r="G67" s="274">
        <f>IF(表2_36716262930389121314151831323334[[#This Row],[累计净值]]&gt;B$21,0.8*(表2_36716262930389121314151831323334[[#This Row],[累计净值]]-B$21)/B$21,(表2_36716262930389121314151831323334[[#This Row],[累计净值]]-B$21)/B$21)</f>
        <v>-3.9486673247778915E-3</v>
      </c>
    </row>
    <row r="68" spans="1:10" x14ac:dyDescent="0.2">
      <c r="A68" s="271">
        <v>44322</v>
      </c>
      <c r="B68" s="272">
        <v>1.016</v>
      </c>
      <c r="C68" s="273">
        <f t="shared" si="12"/>
        <v>7.0000000000001172E-3</v>
      </c>
      <c r="D68" s="274" t="str">
        <f t="shared" si="13"/>
        <v>/</v>
      </c>
      <c r="E68" s="274">
        <f ca="1">IF(表2_36716262930389121314151831323334[[#This Row],[累计净值]]/MAX(INDIRECT("B21:B" &amp; ROW()))-1&lt;E67,表2_36716262930389121314151831323334[[#This Row],[累计净值]]/MAX(INDIRECT("B21:B" &amp; ROW()))-1,E67)</f>
        <v>-2.5490196078431393E-2</v>
      </c>
      <c r="F68" s="110">
        <f>表2_36716262930389121314151831323334[[#This Row],[累计净值]]</f>
        <v>1.016</v>
      </c>
      <c r="G68" s="274">
        <f>IF(表2_36716262930389121314151831323334[[#This Row],[累计净值]]&gt;B$21,0.8*(表2_36716262930389121314151831323334[[#This Row],[累计净值]]-B$21)/B$21,(表2_36716262930389121314151831323334[[#This Row],[累计净值]]-B$21)/B$21)</f>
        <v>2.369200394866823E-3</v>
      </c>
    </row>
    <row r="69" spans="1:10" x14ac:dyDescent="0.2">
      <c r="A69" s="271">
        <v>44323</v>
      </c>
      <c r="B69" s="272">
        <v>1.0129999999999999</v>
      </c>
      <c r="C69" s="273">
        <f t="shared" ref="C69:C74" si="14">IFERROR(B69-B68,0)</f>
        <v>-3.0000000000001137E-3</v>
      </c>
      <c r="D69" s="274">
        <f t="shared" ref="D69:D74" si="15">IF(C69&lt;0,C69,"/")</f>
        <v>-3.0000000000001137E-3</v>
      </c>
      <c r="E69" s="274">
        <f ca="1">IF(表2_36716262930389121314151831323334[[#This Row],[累计净值]]/MAX(INDIRECT("B21:B" &amp; ROW()))-1&lt;E68,表2_36716262930389121314151831323334[[#This Row],[累计净值]]/MAX(INDIRECT("B21:B" &amp; ROW()))-1,E68)</f>
        <v>-2.5490196078431393E-2</v>
      </c>
      <c r="F69" s="110">
        <f>表2_36716262930389121314151831323334[[#This Row],[累计净值]]</f>
        <v>1.0129999999999999</v>
      </c>
      <c r="G69" s="274">
        <f>IF(表2_36716262930389121314151831323334[[#This Row],[累计净值]]&gt;B$21,0.8*(表2_36716262930389121314151831323334[[#This Row],[累计净值]]-B$21)/B$21,(表2_36716262930389121314151831323334[[#This Row],[累计净值]]-B$21)/B$21)</f>
        <v>0</v>
      </c>
    </row>
    <row r="70" spans="1:10" x14ac:dyDescent="0.2">
      <c r="A70" s="271">
        <v>44326</v>
      </c>
      <c r="B70" s="272">
        <v>1.016</v>
      </c>
      <c r="C70" s="273">
        <f t="shared" si="14"/>
        <v>3.0000000000001137E-3</v>
      </c>
      <c r="D70" s="274" t="str">
        <f t="shared" si="15"/>
        <v>/</v>
      </c>
      <c r="E70" s="274">
        <f ca="1">IF(表2_36716262930389121314151831323334[[#This Row],[累计净值]]/MAX(INDIRECT("B21:B" &amp; ROW()))-1&lt;E69,表2_36716262930389121314151831323334[[#This Row],[累计净值]]/MAX(INDIRECT("B21:B" &amp; ROW()))-1,E69)</f>
        <v>-2.5490196078431393E-2</v>
      </c>
      <c r="F70" s="110">
        <f>表2_36716262930389121314151831323334[[#This Row],[累计净值]]</f>
        <v>1.016</v>
      </c>
      <c r="G70" s="274">
        <f>IF(表2_36716262930389121314151831323334[[#This Row],[累计净值]]&gt;B$21,0.8*(表2_36716262930389121314151831323334[[#This Row],[累计净值]]-B$21)/B$21,(表2_36716262930389121314151831323334[[#This Row],[累计净值]]-B$21)/B$21)</f>
        <v>2.369200394866823E-3</v>
      </c>
      <c r="J70" s="393" t="s">
        <v>112</v>
      </c>
    </row>
    <row r="71" spans="1:10" x14ac:dyDescent="0.2">
      <c r="A71" s="271">
        <v>44327</v>
      </c>
      <c r="B71" s="272">
        <v>1.006</v>
      </c>
      <c r="C71" s="273">
        <f t="shared" si="14"/>
        <v>-1.0000000000000009E-2</v>
      </c>
      <c r="D71" s="274">
        <f t="shared" si="15"/>
        <v>-1.0000000000000009E-2</v>
      </c>
      <c r="E71" s="274">
        <f ca="1">IF(表2_36716262930389121314151831323334[[#This Row],[累计净值]]/MAX(INDIRECT("B21:B" &amp; ROW()))-1&lt;E70,表2_36716262930389121314151831323334[[#This Row],[累计净值]]/MAX(INDIRECT("B21:B" &amp; ROW()))-1,E70)</f>
        <v>-2.5490196078431393E-2</v>
      </c>
      <c r="F71" s="110">
        <f>表2_36716262930389121314151831323334[[#This Row],[累计净值]]</f>
        <v>1.006</v>
      </c>
      <c r="G71" s="274">
        <f>IF(表2_36716262930389121314151831323334[[#This Row],[累计净值]]&gt;B$21,0.8*(表2_36716262930389121314151831323334[[#This Row],[累计净值]]-B$21)/B$21,(表2_36716262930389121314151831323334[[#This Row],[累计净值]]-B$21)/B$21)</f>
        <v>-6.9101678183612E-3</v>
      </c>
    </row>
    <row r="72" spans="1:10" x14ac:dyDescent="0.2">
      <c r="A72" s="271">
        <v>44328</v>
      </c>
      <c r="B72" s="272">
        <v>1.006</v>
      </c>
      <c r="C72" s="273">
        <f t="shared" si="14"/>
        <v>0</v>
      </c>
      <c r="D72" s="274" t="str">
        <f t="shared" si="15"/>
        <v>/</v>
      </c>
      <c r="E72" s="274">
        <f ca="1">IF(表2_36716262930389121314151831323334[[#This Row],[累计净值]]/MAX(INDIRECT("B21:B" &amp; ROW()))-1&lt;E71,表2_36716262930389121314151831323334[[#This Row],[累计净值]]/MAX(INDIRECT("B21:B" &amp; ROW()))-1,E71)</f>
        <v>-2.5490196078431393E-2</v>
      </c>
      <c r="F72" s="110">
        <f>表2_36716262930389121314151831323334[[#This Row],[累计净值]]</f>
        <v>1.006</v>
      </c>
      <c r="G72" s="274">
        <f>IF(表2_36716262930389121314151831323334[[#This Row],[累计净值]]&gt;B$21,0.8*(表2_36716262930389121314151831323334[[#This Row],[累计净值]]-B$21)/B$21,(表2_36716262930389121314151831323334[[#This Row],[累计净值]]-B$21)/B$21)</f>
        <v>-6.9101678183612E-3</v>
      </c>
    </row>
    <row r="73" spans="1:10" x14ac:dyDescent="0.2">
      <c r="A73" s="271">
        <v>44329</v>
      </c>
      <c r="B73" s="272">
        <v>1</v>
      </c>
      <c r="C73" s="273">
        <f t="shared" si="14"/>
        <v>-6.0000000000000053E-3</v>
      </c>
      <c r="D73" s="274">
        <f t="shared" si="15"/>
        <v>-6.0000000000000053E-3</v>
      </c>
      <c r="E73" s="274">
        <f ca="1">IF(表2_36716262930389121314151831323334[[#This Row],[累计净值]]/MAX(INDIRECT("B21:B" &amp; ROW()))-1&lt;E72,表2_36716262930389121314151831323334[[#This Row],[累计净值]]/MAX(INDIRECT("B21:B" &amp; ROW()))-1,E72)</f>
        <v>-2.5490196078431393E-2</v>
      </c>
      <c r="F73" s="110">
        <f>表2_36716262930389121314151831323334[[#This Row],[累计净值]]</f>
        <v>1</v>
      </c>
      <c r="G73" s="274">
        <f>IF(表2_36716262930389121314151831323334[[#This Row],[累计净值]]&gt;B$21,0.8*(表2_36716262930389121314151831323334[[#This Row],[累计净值]]-B$21)/B$21,(表2_36716262930389121314151831323334[[#This Row],[累计净值]]-B$21)/B$21)</f>
        <v>-1.2833168805528037E-2</v>
      </c>
    </row>
    <row r="74" spans="1:10" x14ac:dyDescent="0.2">
      <c r="A74" s="271">
        <v>44330</v>
      </c>
      <c r="B74" s="272">
        <v>1.002</v>
      </c>
      <c r="C74" s="273">
        <f t="shared" si="14"/>
        <v>2.0000000000000018E-3</v>
      </c>
      <c r="D74" s="274" t="str">
        <f t="shared" si="15"/>
        <v>/</v>
      </c>
      <c r="E74" s="274">
        <f ca="1">IF(表2_36716262930389121314151831323334[[#This Row],[累计净值]]/MAX(INDIRECT("B21:B" &amp; ROW()))-1&lt;E73,表2_36716262930389121314151831323334[[#This Row],[累计净值]]/MAX(INDIRECT("B21:B" &amp; ROW()))-1,E73)</f>
        <v>-2.5490196078431393E-2</v>
      </c>
      <c r="F74" s="110">
        <f>表2_36716262930389121314151831323334[[#This Row],[累计净值]]</f>
        <v>1.002</v>
      </c>
      <c r="G74" s="274">
        <f>IF(表2_36716262930389121314151831323334[[#This Row],[累计净值]]&gt;B$21,0.8*(表2_36716262930389121314151831323334[[#This Row],[累计净值]]-B$21)/B$21,(表2_36716262930389121314151831323334[[#This Row],[累计净值]]-B$21)/B$21)</f>
        <v>-1.0858835143139092E-2</v>
      </c>
    </row>
    <row r="75" spans="1:10" x14ac:dyDescent="0.2">
      <c r="A75" s="271">
        <v>44333</v>
      </c>
      <c r="B75" s="272">
        <v>1.012</v>
      </c>
      <c r="C75" s="273">
        <f>IFERROR(B75-B74,0)</f>
        <v>1.0000000000000009E-2</v>
      </c>
      <c r="D75" s="274" t="str">
        <f>IF(C75&lt;0,C75,"/")</f>
        <v>/</v>
      </c>
      <c r="E75" s="274">
        <f ca="1">IF(表2_36716262930389121314151831323334[[#This Row],[累计净值]]/MAX(INDIRECT("B21:B" &amp; ROW()))-1&lt;E74,表2_36716262930389121314151831323334[[#This Row],[累计净值]]/MAX(INDIRECT("B21:B" &amp; ROW()))-1,E74)</f>
        <v>-2.5490196078431393E-2</v>
      </c>
      <c r="F75" s="110">
        <f>表2_36716262930389121314151831323334[[#This Row],[累计净值]]</f>
        <v>1.012</v>
      </c>
      <c r="G75" s="274">
        <f>IF(表2_36716262930389121314151831323334[[#This Row],[累计净值]]&gt;B$21,0.8*(表2_36716262930389121314151831323334[[#This Row],[累计净值]]-B$21)/B$21,(表2_36716262930389121314151831323334[[#This Row],[累计净值]]-B$21)/B$21)</f>
        <v>-9.8716683119436316E-4</v>
      </c>
    </row>
    <row r="76" spans="1:10" x14ac:dyDescent="0.2">
      <c r="A76" s="271">
        <v>44334</v>
      </c>
      <c r="B76" s="272">
        <v>1.016</v>
      </c>
      <c r="C76" s="273">
        <f>IFERROR(B76-B75,0)</f>
        <v>4.0000000000000036E-3</v>
      </c>
      <c r="D76" s="274" t="str">
        <f>IF(C76&lt;0,C76,"/")</f>
        <v>/</v>
      </c>
      <c r="E76" s="274">
        <f ca="1">IF(表2_36716262930389121314151831323334[[#This Row],[累计净值]]/MAX(INDIRECT("B21:B" &amp; ROW()))-1&lt;E75,表2_36716262930389121314151831323334[[#This Row],[累计净值]]/MAX(INDIRECT("B21:B" &amp; ROW()))-1,E75)</f>
        <v>-2.5490196078431393E-2</v>
      </c>
      <c r="F76" s="110">
        <f>表2_36716262930389121314151831323334[[#This Row],[累计净值]]</f>
        <v>1.016</v>
      </c>
      <c r="G76" s="274">
        <f>IF(表2_36716262930389121314151831323334[[#This Row],[累计净值]]&gt;B$21,0.8*(表2_36716262930389121314151831323334[[#This Row],[累计净值]]-B$21)/B$21,(表2_36716262930389121314151831323334[[#This Row],[累计净值]]-B$21)/B$21)</f>
        <v>2.369200394866823E-3</v>
      </c>
    </row>
  </sheetData>
  <mergeCells count="1">
    <mergeCell ref="G2:G3"/>
  </mergeCells>
  <phoneticPr fontId="24" type="noConversion"/>
  <pageMargins left="0.7" right="0.7" top="0.75" bottom="0.75" header="0.3" footer="0.3"/>
  <pageSetup paperSize="9" orientation="portrait" horizontalDpi="200" verticalDpi="200" r:id="rId1"/>
  <drawing r:id="rId2"/>
  <tableParts count="1">
    <tablePart r:id="rId3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G77"/>
  <sheetViews>
    <sheetView topLeftCell="A43" workbookViewId="0">
      <selection activeCell="B78" sqref="B78"/>
    </sheetView>
  </sheetViews>
  <sheetFormatPr defaultColWidth="9" defaultRowHeight="14.25" x14ac:dyDescent="0.2"/>
  <cols>
    <col min="1" max="1" width="11.625" style="1" bestFit="1" customWidth="1"/>
    <col min="2" max="2" width="13" style="1" customWidth="1"/>
    <col min="3" max="4" width="13.5" style="1" bestFit="1" customWidth="1"/>
    <col min="5" max="5" width="10.75" style="1" customWidth="1"/>
    <col min="6" max="6" width="11.125" style="1" customWidth="1"/>
    <col min="7" max="7" width="18.875" style="2" customWidth="1"/>
    <col min="8" max="8" width="14.25" style="1" customWidth="1"/>
    <col min="9" max="9" width="12" style="1" bestFit="1" customWidth="1"/>
    <col min="10" max="16384" width="9" style="1"/>
  </cols>
  <sheetData>
    <row r="1" spans="1:7" ht="15" thickBot="1" x14ac:dyDescent="0.25"/>
    <row r="2" spans="1:7" ht="15" thickBot="1" x14ac:dyDescent="0.25">
      <c r="A2" s="23" t="s">
        <v>0</v>
      </c>
      <c r="B2" s="24">
        <f>COUNT(表2_36716262930389121314152324252627283839[每日盈亏])</f>
        <v>57</v>
      </c>
      <c r="C2" s="27"/>
      <c r="D2" s="3" t="s">
        <v>1</v>
      </c>
      <c r="E2" s="28"/>
      <c r="F2" s="1" t="s">
        <v>2</v>
      </c>
      <c r="G2" s="394" t="s">
        <v>3</v>
      </c>
    </row>
    <row r="3" spans="1:7" x14ac:dyDescent="0.2">
      <c r="A3" s="25" t="s">
        <v>4</v>
      </c>
      <c r="B3" s="26">
        <f>COUNTIF(表2_36716262930389121314152324252627283839[每日盈亏],"&gt;0")</f>
        <v>26</v>
      </c>
      <c r="C3" s="29"/>
      <c r="D3" s="30" t="s">
        <v>5</v>
      </c>
      <c r="E3" s="31">
        <f>245^0.5*(B10-0.025/365)/E10</f>
        <v>1.4918541290365577</v>
      </c>
      <c r="G3" s="394"/>
    </row>
    <row r="4" spans="1:7" x14ac:dyDescent="0.2">
      <c r="A4" s="25" t="s">
        <v>6</v>
      </c>
      <c r="B4" s="26">
        <f>COUNTIF(表2_36716262930389121314152324252627283839[每日盈亏],"&lt;0")</f>
        <v>19</v>
      </c>
      <c r="C4" s="29"/>
      <c r="D4" s="32" t="s">
        <v>7</v>
      </c>
      <c r="E4" s="31">
        <f ca="1">-B9/E8</f>
        <v>20.768500163961317</v>
      </c>
      <c r="G4" s="2">
        <f>LOOKUP(999^10,表2_36716262930389121314152324252627283839[累计净值])</f>
        <v>1.0515000000000001</v>
      </c>
    </row>
    <row r="5" spans="1:7" x14ac:dyDescent="0.2">
      <c r="A5" s="25" t="s">
        <v>8</v>
      </c>
      <c r="B5" s="26">
        <f>B2-B3-B4</f>
        <v>12</v>
      </c>
      <c r="C5" s="29"/>
      <c r="D5" s="33" t="s">
        <v>9</v>
      </c>
      <c r="E5" s="4">
        <f>245^0.5*(B10-0.025/365)/E9</f>
        <v>1.868761540350981</v>
      </c>
    </row>
    <row r="6" spans="1:7" ht="15" thickBot="1" x14ac:dyDescent="0.25">
      <c r="A6" s="34"/>
      <c r="B6" s="35"/>
      <c r="C6" s="35"/>
      <c r="D6" s="35"/>
      <c r="E6" s="36"/>
    </row>
    <row r="7" spans="1:7" ht="15" thickBot="1" x14ac:dyDescent="0.25">
      <c r="A7" s="5" t="s">
        <v>10</v>
      </c>
      <c r="B7" s="35"/>
      <c r="C7" s="35"/>
      <c r="D7" s="3" t="s">
        <v>11</v>
      </c>
      <c r="E7" s="37"/>
    </row>
    <row r="8" spans="1:7" x14ac:dyDescent="0.2">
      <c r="A8" s="38" t="s">
        <v>12</v>
      </c>
      <c r="B8" s="39">
        <f>LOOKUP(999^10,表2_36716262930389121314152324252627283839[累计净值])/$B$21-1</f>
        <v>5.1500000000000101E-2</v>
      </c>
      <c r="C8" s="40"/>
      <c r="D8" s="30" t="s">
        <v>13</v>
      </c>
      <c r="E8" s="41">
        <f ca="1">MIN(表2_36716262930389121314152324252627283839[最大回撤])</f>
        <v>-1.0658432114752481E-2</v>
      </c>
    </row>
    <row r="9" spans="1:7" x14ac:dyDescent="0.2">
      <c r="A9" s="25" t="s">
        <v>14</v>
      </c>
      <c r="B9" s="32">
        <f>B8*245/B2</f>
        <v>0.22135964912280745</v>
      </c>
      <c r="C9" s="40"/>
      <c r="D9" s="33" t="s">
        <v>15</v>
      </c>
      <c r="E9" s="6">
        <f>STDEV(表2_36716262930389121314152324252627283839[下跌幅度])</f>
        <v>6.9939698337273502E-3</v>
      </c>
    </row>
    <row r="10" spans="1:7" x14ac:dyDescent="0.2">
      <c r="A10" s="42" t="s">
        <v>16</v>
      </c>
      <c r="B10" s="43">
        <f>AVERAGE(表2_36716262930389121314152324252627283839[每日盈亏])</f>
        <v>9.0350877192982629E-4</v>
      </c>
      <c r="C10" s="44"/>
      <c r="D10" s="33" t="s">
        <v>17</v>
      </c>
      <c r="E10" s="6">
        <f>STDEV(表2_36716262930389121314152324252627283839[每日盈亏])</f>
        <v>8.7609516140061822E-3</v>
      </c>
    </row>
    <row r="11" spans="1:7" x14ac:dyDescent="0.2">
      <c r="A11" s="7" t="s">
        <v>18</v>
      </c>
      <c r="B11" s="32">
        <f>B3/B2</f>
        <v>0.45614035087719296</v>
      </c>
      <c r="C11" s="40"/>
      <c r="D11" s="32" t="s">
        <v>19</v>
      </c>
      <c r="E11" s="41">
        <f>245^0.5*E10</f>
        <v>0.13713058349553026</v>
      </c>
    </row>
    <row r="12" spans="1:7" ht="15" thickBot="1" x14ac:dyDescent="0.25">
      <c r="A12" s="45" t="s">
        <v>20</v>
      </c>
      <c r="B12" s="46">
        <f>-(SUMIF(表2_36716262930389121314152324252627283839[每日盈亏],"&gt;=0")/B3)/(SUMIF(表2_36716262930389121314152324252627283839[每日盈亏],"&lt;0")/B4)</f>
        <v>1.0369906740940114</v>
      </c>
      <c r="C12" s="47"/>
      <c r="D12" s="48"/>
      <c r="E12" s="49"/>
    </row>
    <row r="14" spans="1:7" ht="28.5" x14ac:dyDescent="0.2">
      <c r="A14" s="50" t="s">
        <v>21</v>
      </c>
      <c r="B14" s="50" t="s">
        <v>14</v>
      </c>
      <c r="C14" s="51" t="s">
        <v>19</v>
      </c>
      <c r="D14" s="51" t="s">
        <v>13</v>
      </c>
      <c r="E14" s="51" t="s">
        <v>5</v>
      </c>
      <c r="F14" s="51" t="s">
        <v>7</v>
      </c>
    </row>
    <row r="15" spans="1:7" x14ac:dyDescent="0.2">
      <c r="A15" s="78">
        <f>B2</f>
        <v>57</v>
      </c>
      <c r="B15" s="53">
        <f>B9</f>
        <v>0.22135964912280745</v>
      </c>
      <c r="C15" s="53">
        <f>E11</f>
        <v>0.13713058349553026</v>
      </c>
      <c r="D15" s="53">
        <f ca="1">E8</f>
        <v>-1.0658432114752481E-2</v>
      </c>
      <c r="E15" s="54">
        <f>E3</f>
        <v>1.4918541290365577</v>
      </c>
      <c r="F15" s="54">
        <f ca="1">E4</f>
        <v>20.768500163961317</v>
      </c>
    </row>
    <row r="19" spans="1:7" x14ac:dyDescent="0.2">
      <c r="A19" s="8"/>
      <c r="B19" s="1" t="s">
        <v>22</v>
      </c>
    </row>
    <row r="20" spans="1:7" ht="15.75" x14ac:dyDescent="0.2">
      <c r="A20" s="22" t="s">
        <v>23</v>
      </c>
      <c r="B20" s="22" t="s">
        <v>24</v>
      </c>
      <c r="C20" s="22" t="s">
        <v>25</v>
      </c>
      <c r="D20" s="22" t="s">
        <v>26</v>
      </c>
      <c r="E20" s="22" t="s">
        <v>27</v>
      </c>
      <c r="F20" s="22" t="s">
        <v>28</v>
      </c>
      <c r="G20" s="22" t="s">
        <v>29</v>
      </c>
    </row>
    <row r="21" spans="1:7" x14ac:dyDescent="0.2">
      <c r="A21" s="15">
        <v>44249</v>
      </c>
      <c r="B21" s="16">
        <v>1</v>
      </c>
      <c r="C21" s="11">
        <f t="shared" ref="C21" si="0">IFERROR(B21-B20,0)</f>
        <v>0</v>
      </c>
      <c r="D21" s="12" t="str">
        <f>IF(C21&lt;0,C21,"/")</f>
        <v>/</v>
      </c>
      <c r="E21" s="12">
        <v>0</v>
      </c>
      <c r="F21" s="13">
        <f>表2_36716262930389121314152324252627283839[[#This Row],[累计净值]]</f>
        <v>1</v>
      </c>
      <c r="G21" s="194" t="s">
        <v>30</v>
      </c>
    </row>
    <row r="22" spans="1:7" x14ac:dyDescent="0.2">
      <c r="A22" s="15">
        <v>44250</v>
      </c>
      <c r="B22" s="112">
        <v>1</v>
      </c>
      <c r="C22" s="108">
        <f>IFERROR(B22-B21,0)</f>
        <v>0</v>
      </c>
      <c r="D22" s="109" t="str">
        <f t="shared" ref="D22:D25" si="1">IF(C22&lt;0,C22,"/")</f>
        <v>/</v>
      </c>
      <c r="E22" s="109">
        <f ca="1">IF(B21/MAX(INDIRECT("B21:B" &amp; ROW()))-1&lt;E21,B21/MAX(INDIRECT("B21:B" &amp; ROW()))-1,E21)</f>
        <v>0</v>
      </c>
      <c r="F22" s="110">
        <f>表2_36716262930389121314152324252627283839[[#This Row],[累计净值]]</f>
        <v>1</v>
      </c>
      <c r="G22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0</v>
      </c>
    </row>
    <row r="23" spans="1:7" x14ac:dyDescent="0.2">
      <c r="A23" s="15">
        <v>44251</v>
      </c>
      <c r="B23" s="112">
        <v>1</v>
      </c>
      <c r="C23" s="108">
        <f t="shared" ref="C23:C25" si="2">IFERROR(B23-B22,0)</f>
        <v>0</v>
      </c>
      <c r="D23" s="109" t="str">
        <f t="shared" si="1"/>
        <v>/</v>
      </c>
      <c r="E23" s="109">
        <f t="shared" ref="E23:E25" ca="1" si="3">IF(B22/MAX(INDIRECT("B21:B" &amp; ROW()))-1&lt;E22,B22/MAX(INDIRECT("B21:B" &amp; ROW()))-1,E22)</f>
        <v>0</v>
      </c>
      <c r="F23" s="110">
        <f>表2_36716262930389121314152324252627283839[[#This Row],[累计净值]]</f>
        <v>1</v>
      </c>
      <c r="G23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0</v>
      </c>
    </row>
    <row r="24" spans="1:7" x14ac:dyDescent="0.2">
      <c r="A24" s="15">
        <v>44252</v>
      </c>
      <c r="B24" s="112">
        <v>1</v>
      </c>
      <c r="C24" s="108">
        <f t="shared" si="2"/>
        <v>0</v>
      </c>
      <c r="D24" s="109" t="str">
        <f t="shared" si="1"/>
        <v>/</v>
      </c>
      <c r="E24" s="109">
        <f t="shared" ca="1" si="3"/>
        <v>0</v>
      </c>
      <c r="F24" s="110">
        <f>表2_36716262930389121314152324252627283839[[#This Row],[累计净值]]</f>
        <v>1</v>
      </c>
      <c r="G24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0</v>
      </c>
    </row>
    <row r="25" spans="1:7" x14ac:dyDescent="0.2">
      <c r="A25" s="15">
        <v>44253</v>
      </c>
      <c r="B25" s="112">
        <v>1</v>
      </c>
      <c r="C25" s="108">
        <f t="shared" si="2"/>
        <v>0</v>
      </c>
      <c r="D25" s="109" t="str">
        <f t="shared" si="1"/>
        <v>/</v>
      </c>
      <c r="E25" s="109">
        <f t="shared" ca="1" si="3"/>
        <v>0</v>
      </c>
      <c r="F25" s="110">
        <f>表2_36716262930389121314152324252627283839[[#This Row],[累计净值]]</f>
        <v>1</v>
      </c>
      <c r="G25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0</v>
      </c>
    </row>
    <row r="26" spans="1:7" x14ac:dyDescent="0.2">
      <c r="A26" s="15">
        <v>44256</v>
      </c>
      <c r="B26" s="112">
        <v>1</v>
      </c>
      <c r="C26" s="108">
        <f t="shared" ref="C26:C28" si="4">IFERROR(B26-B25,0)</f>
        <v>0</v>
      </c>
      <c r="D26" s="109" t="str">
        <f t="shared" ref="D26:D28" si="5">IF(C26&lt;0,C26,"/")</f>
        <v>/</v>
      </c>
      <c r="E26" s="109">
        <f t="shared" ref="E26:E28" ca="1" si="6">IF(B25/MAX(INDIRECT("B21:B" &amp; ROW()))-1&lt;E25,B25/MAX(INDIRECT("B21:B" &amp; ROW()))-1,E25)</f>
        <v>0</v>
      </c>
      <c r="F26" s="110">
        <f>表2_36716262930389121314152324252627283839[[#This Row],[累计净值]]</f>
        <v>1</v>
      </c>
      <c r="G26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0</v>
      </c>
    </row>
    <row r="27" spans="1:7" x14ac:dyDescent="0.2">
      <c r="A27" s="15">
        <v>44257</v>
      </c>
      <c r="B27" s="112">
        <v>1</v>
      </c>
      <c r="C27" s="108">
        <f t="shared" si="4"/>
        <v>0</v>
      </c>
      <c r="D27" s="109" t="str">
        <f t="shared" si="5"/>
        <v>/</v>
      </c>
      <c r="E27" s="109">
        <f t="shared" ca="1" si="6"/>
        <v>0</v>
      </c>
      <c r="F27" s="110">
        <f>表2_36716262930389121314152324252627283839[[#This Row],[累计净值]]</f>
        <v>1</v>
      </c>
      <c r="G27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0</v>
      </c>
    </row>
    <row r="28" spans="1:7" x14ac:dyDescent="0.2">
      <c r="A28" s="15">
        <v>44258</v>
      </c>
      <c r="B28" s="112">
        <v>1</v>
      </c>
      <c r="C28" s="108">
        <f t="shared" si="4"/>
        <v>0</v>
      </c>
      <c r="D28" s="109" t="str">
        <f t="shared" si="5"/>
        <v>/</v>
      </c>
      <c r="E28" s="109">
        <f t="shared" ca="1" si="6"/>
        <v>0</v>
      </c>
      <c r="F28" s="110">
        <f>表2_36716262930389121314152324252627283839[[#This Row],[累计净值]]</f>
        <v>1</v>
      </c>
      <c r="G28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0</v>
      </c>
    </row>
    <row r="29" spans="1:7" x14ac:dyDescent="0.2">
      <c r="A29" s="15">
        <v>44259</v>
      </c>
      <c r="B29" s="227">
        <v>0.99929999999999997</v>
      </c>
      <c r="C29" s="108">
        <f t="shared" ref="C29:C30" si="7">IFERROR(B29-B28,0)</f>
        <v>-7.0000000000003393E-4</v>
      </c>
      <c r="D29" s="109">
        <f t="shared" ref="D29:D30" si="8">IF(C29&lt;0,C29,"/")</f>
        <v>-7.0000000000003393E-4</v>
      </c>
      <c r="E29" s="109">
        <f t="shared" ref="E29:E30" ca="1" si="9">IF(B28/MAX(INDIRECT("B21:B" &amp; ROW()))-1&lt;E28,B28/MAX(INDIRECT("B21:B" &amp; ROW()))-1,E28)</f>
        <v>0</v>
      </c>
      <c r="F29" s="110">
        <f>表2_36716262930389121314152324252627283839[[#This Row],[累计净值]]</f>
        <v>0.99929999999999997</v>
      </c>
      <c r="G29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-7.0000000000003393E-4</v>
      </c>
    </row>
    <row r="30" spans="1:7" x14ac:dyDescent="0.2">
      <c r="A30" s="15">
        <v>44260</v>
      </c>
      <c r="B30" s="227">
        <v>0.99929999999999997</v>
      </c>
      <c r="C30" s="108">
        <f t="shared" si="7"/>
        <v>0</v>
      </c>
      <c r="D30" s="109" t="str">
        <f t="shared" si="8"/>
        <v>/</v>
      </c>
      <c r="E30" s="109">
        <f t="shared" ca="1" si="9"/>
        <v>-7.0000000000003393E-4</v>
      </c>
      <c r="F30" s="110">
        <f>表2_36716262930389121314152324252627283839[[#This Row],[累计净值]]</f>
        <v>0.99929999999999997</v>
      </c>
      <c r="G30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-7.0000000000003393E-4</v>
      </c>
    </row>
    <row r="31" spans="1:7" x14ac:dyDescent="0.2">
      <c r="A31" s="15">
        <v>44263</v>
      </c>
      <c r="B31" s="112">
        <v>0.99919999999999998</v>
      </c>
      <c r="C31" s="108">
        <f>IFERROR(B31-B30,0)</f>
        <v>-9.9999999999988987E-5</v>
      </c>
      <c r="D31" s="109">
        <f>IF(C31&lt;0,C31,"/")</f>
        <v>-9.9999999999988987E-5</v>
      </c>
      <c r="E31" s="109">
        <f ca="1">IF(表2_367162629303891213141523242526272835[[#This Row],[累计净值]]/MAX(INDIRECT("B21:B" &amp; ROW()))-1&lt;E30,表2_367162629303891213141523242526272835[[#This Row],[累计净值]]/MAX(INDIRECT("B21:B" &amp; ROW()))-1,E30)</f>
        <v>-7.0000000000003393E-4</v>
      </c>
      <c r="F31" s="110">
        <f>表2_36716262930389121314152324252627283839[[#This Row],[累计净值]]</f>
        <v>0.99919999999999998</v>
      </c>
      <c r="G31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-8.0000000000002292E-4</v>
      </c>
    </row>
    <row r="32" spans="1:7" x14ac:dyDescent="0.2">
      <c r="A32" s="15">
        <v>44264</v>
      </c>
      <c r="B32" s="112">
        <v>0.99919999999999998</v>
      </c>
      <c r="C32" s="108">
        <f t="shared" ref="C32:C34" si="10">IFERROR(B32-B31,0)</f>
        <v>0</v>
      </c>
      <c r="D32" s="109" t="str">
        <f t="shared" ref="D32:D34" si="11">IF(C32&lt;0,C32,"/")</f>
        <v>/</v>
      </c>
      <c r="E32" s="109">
        <f ca="1">IF(表2_367162629303891213141523242526272835[[#This Row],[累计净值]]/MAX(INDIRECT("B21:B" &amp; ROW()))-1&lt;E31,表2_367162629303891213141523242526272835[[#This Row],[累计净值]]/MAX(INDIRECT("B21:B" &amp; ROW()))-1,E31)</f>
        <v>-7.0000000000003393E-4</v>
      </c>
      <c r="F32" s="110">
        <f>表2_36716262930389121314152324252627283839[[#This Row],[累计净值]]</f>
        <v>0.99919999999999998</v>
      </c>
      <c r="G32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-8.0000000000002292E-4</v>
      </c>
    </row>
    <row r="33" spans="1:7" x14ac:dyDescent="0.2">
      <c r="A33" s="15">
        <v>44265</v>
      </c>
      <c r="B33" s="112">
        <v>0.99909999999999999</v>
      </c>
      <c r="C33" s="108">
        <f t="shared" si="10"/>
        <v>-9.9999999999988987E-5</v>
      </c>
      <c r="D33" s="109">
        <f t="shared" si="11"/>
        <v>-9.9999999999988987E-5</v>
      </c>
      <c r="E33" s="109">
        <f ca="1">IF(表2_367162629303891213141523242526272835[[#This Row],[累计净值]]/MAX(INDIRECT("B21:B" &amp; ROW()))-1&lt;E32,表2_367162629303891213141523242526272835[[#This Row],[累计净值]]/MAX(INDIRECT("B21:B" &amp; ROW()))-1,E32)</f>
        <v>-7.0000000000003393E-4</v>
      </c>
      <c r="F33" s="110">
        <f>表2_36716262930389121314152324252627283839[[#This Row],[累计净值]]</f>
        <v>0.99909999999999999</v>
      </c>
      <c r="G33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-9.000000000000119E-4</v>
      </c>
    </row>
    <row r="34" spans="1:7" x14ac:dyDescent="0.2">
      <c r="A34" s="15">
        <v>44266</v>
      </c>
      <c r="B34" s="112">
        <v>0.99909999999999999</v>
      </c>
      <c r="C34" s="108">
        <f t="shared" si="10"/>
        <v>0</v>
      </c>
      <c r="D34" s="109" t="str">
        <f t="shared" si="11"/>
        <v>/</v>
      </c>
      <c r="E34" s="109">
        <f ca="1">IF(表2_367162629303891213141523242526272835[[#This Row],[累计净值]]/MAX(INDIRECT("B21:B" &amp; ROW()))-1&lt;E33,表2_367162629303891213141523242526272835[[#This Row],[累计净值]]/MAX(INDIRECT("B21:B" &amp; ROW()))-1,E33)</f>
        <v>-7.0000000000003393E-4</v>
      </c>
      <c r="F34" s="110">
        <f>表2_36716262930389121314152324252627283839[[#This Row],[累计净值]]</f>
        <v>0.99909999999999999</v>
      </c>
      <c r="G34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-9.000000000000119E-4</v>
      </c>
    </row>
    <row r="35" spans="1:7" x14ac:dyDescent="0.2">
      <c r="A35" s="15">
        <v>44267</v>
      </c>
      <c r="B35" s="112">
        <v>0.99909999999999999</v>
      </c>
      <c r="C35" s="108">
        <f t="shared" ref="C35:C40" si="12">IFERROR(B35-B34,0)</f>
        <v>0</v>
      </c>
      <c r="D35" s="109" t="str">
        <f t="shared" ref="D35:D40" si="13">IF(C35&lt;0,C35,"/")</f>
        <v>/</v>
      </c>
      <c r="E35" s="109">
        <f ca="1">IF(表2_367162629303891213141523242526272835[[#This Row],[累计净值]]/MAX(INDIRECT("B21:B" &amp; ROW()))-1&lt;E34,表2_367162629303891213141523242526272835[[#This Row],[累计净值]]/MAX(INDIRECT("B21:B" &amp; ROW()))-1,E34)</f>
        <v>-7.0000000000003393E-4</v>
      </c>
      <c r="F35" s="110">
        <f>表2_36716262930389121314152324252627283839[[#This Row],[累计净值]]</f>
        <v>0.99909999999999999</v>
      </c>
      <c r="G35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-9.000000000000119E-4</v>
      </c>
    </row>
    <row r="36" spans="1:7" x14ac:dyDescent="0.2">
      <c r="A36" s="15">
        <v>44270</v>
      </c>
      <c r="B36" s="112">
        <v>1.0039</v>
      </c>
      <c r="C36" s="108">
        <f t="shared" si="12"/>
        <v>4.8000000000000265E-3</v>
      </c>
      <c r="D36" s="109" t="str">
        <f t="shared" si="13"/>
        <v>/</v>
      </c>
      <c r="E36" s="109">
        <f ca="1">IF(表2_367162629303891213141523242526272835[[#This Row],[累计净值]]/MAX(INDIRECT("B21:B" &amp; ROW()))-1&lt;E35,表2_367162629303891213141523242526272835[[#This Row],[累计净值]]/MAX(INDIRECT("B21:B" &amp; ROW()))-1,E35)</f>
        <v>-7.9689212072908688E-4</v>
      </c>
      <c r="F36" s="110">
        <f>表2_36716262930389121314152324252627283839[[#This Row],[累计净值]]</f>
        <v>1.0039</v>
      </c>
      <c r="G36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1.9500000000000073E-3</v>
      </c>
    </row>
    <row r="37" spans="1:7" x14ac:dyDescent="0.2">
      <c r="A37" s="15">
        <v>44271</v>
      </c>
      <c r="B37" s="112">
        <v>0.99990000000000001</v>
      </c>
      <c r="C37" s="108">
        <f t="shared" si="12"/>
        <v>-4.0000000000000036E-3</v>
      </c>
      <c r="D37" s="109">
        <f t="shared" si="13"/>
        <v>-4.0000000000000036E-3</v>
      </c>
      <c r="E37" s="109">
        <f ca="1">IF(表2_367162629303891213141523242526272835[[#This Row],[累计净值]]/MAX(INDIRECT("B21:B" &amp; ROW()))-1&lt;E36,表2_367162629303891213141523242526272835[[#This Row],[累计净值]]/MAX(INDIRECT("B21:B" &amp; ROW()))-1,E36)</f>
        <v>-7.9689212072908688E-4</v>
      </c>
      <c r="F37" s="110">
        <f>表2_36716262930389121314152324252627283839[[#This Row],[累计净值]]</f>
        <v>0.99990000000000001</v>
      </c>
      <c r="G37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-9.9999999999988987E-5</v>
      </c>
    </row>
    <row r="38" spans="1:7" x14ac:dyDescent="0.2">
      <c r="A38" s="15">
        <v>44272</v>
      </c>
      <c r="B38" s="112">
        <v>0.99009999999999998</v>
      </c>
      <c r="C38" s="108">
        <f t="shared" si="12"/>
        <v>-9.8000000000000309E-3</v>
      </c>
      <c r="D38" s="109">
        <f t="shared" si="13"/>
        <v>-9.8000000000000309E-3</v>
      </c>
      <c r="E38" s="109">
        <f ca="1">IF(表2_367162629303891213141523242526272835[[#This Row],[累计净值]]/MAX(INDIRECT("B21:B" &amp; ROW()))-1&lt;E37,表2_367162629303891213141523242526272835[[#This Row],[累计净值]]/MAX(INDIRECT("B21:B" &amp; ROW()))-1,E37)</f>
        <v>-1.0658432114752481E-2</v>
      </c>
      <c r="F38" s="110">
        <f>表2_36716262930389121314152324252627283839[[#This Row],[累计净值]]</f>
        <v>0.99009999999999998</v>
      </c>
      <c r="G38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-9.9000000000000199E-3</v>
      </c>
    </row>
    <row r="39" spans="1:7" x14ac:dyDescent="0.2">
      <c r="A39" s="15">
        <v>44273</v>
      </c>
      <c r="B39" s="112">
        <v>0.98860000000000003</v>
      </c>
      <c r="C39" s="108">
        <f t="shared" si="12"/>
        <v>-1.4999999999999458E-3</v>
      </c>
      <c r="D39" s="109">
        <f t="shared" si="13"/>
        <v>-1.4999999999999458E-3</v>
      </c>
      <c r="E39" s="109">
        <f ca="1">IF(表2_367162629303891213141523242526272835[[#This Row],[累计净值]]/MAX(INDIRECT("B21:B" &amp; ROW()))-1&lt;E38,表2_367162629303891213141523242526272835[[#This Row],[累计净值]]/MAX(INDIRECT("B21:B" &amp; ROW()))-1,E38)</f>
        <v>-1.0658432114752481E-2</v>
      </c>
      <c r="F39" s="110">
        <f>表2_36716262930389121314152324252627283839[[#This Row],[累计净值]]</f>
        <v>0.98860000000000003</v>
      </c>
      <c r="G39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-1.1399999999999966E-2</v>
      </c>
    </row>
    <row r="40" spans="1:7" x14ac:dyDescent="0.2">
      <c r="A40" s="15">
        <v>44274</v>
      </c>
      <c r="B40" s="112">
        <v>0.98870000000000002</v>
      </c>
      <c r="C40" s="108">
        <f t="shared" si="12"/>
        <v>9.9999999999988987E-5</v>
      </c>
      <c r="D40" s="109" t="str">
        <f t="shared" si="13"/>
        <v>/</v>
      </c>
      <c r="E40" s="109">
        <f ca="1">IF(表2_367162629303891213141523242526272835[[#This Row],[累计净值]]/MAX(INDIRECT("B21:B" &amp; ROW()))-1&lt;E39,表2_367162629303891213141523242526272835[[#This Row],[累计净值]]/MAX(INDIRECT("B21:B" &amp; ROW()))-1,E39)</f>
        <v>-1.0658432114752481E-2</v>
      </c>
      <c r="F40" s="110">
        <f>表2_36716262930389121314152324252627283839[[#This Row],[累计净值]]</f>
        <v>0.98870000000000002</v>
      </c>
      <c r="G40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-1.1299999999999977E-2</v>
      </c>
    </row>
    <row r="41" spans="1:7" x14ac:dyDescent="0.2">
      <c r="A41" s="15">
        <v>44277</v>
      </c>
      <c r="B41" s="112">
        <v>0.98599999999999999</v>
      </c>
      <c r="C41" s="108">
        <f>IFERROR(B41-B40,0)</f>
        <v>-2.7000000000000357E-3</v>
      </c>
      <c r="D41" s="109">
        <f>IF(C41&lt;0,C41,"/")</f>
        <v>-2.7000000000000357E-3</v>
      </c>
      <c r="E41" s="109">
        <f ca="1">IF(表2_367162629303891213141523242526272835[[#This Row],[累计净值]]/MAX(INDIRECT("B21:B" &amp; ROW()))-1&lt;E40,表2_367162629303891213141523242526272835[[#This Row],[累计净值]]/MAX(INDIRECT("B21:B" &amp; ROW()))-1,E40)</f>
        <v>-1.0658432114752481E-2</v>
      </c>
      <c r="F41" s="110">
        <f>表2_36716262930389121314152324252627283839[[#This Row],[累计净值]]</f>
        <v>0.98599999999999999</v>
      </c>
      <c r="G41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-1.4000000000000012E-2</v>
      </c>
    </row>
    <row r="42" spans="1:7" x14ac:dyDescent="0.2">
      <c r="A42" s="15">
        <v>44278</v>
      </c>
      <c r="B42" s="112">
        <v>0.99770000000000003</v>
      </c>
      <c r="C42" s="108">
        <f t="shared" ref="C42:C45" si="14">IFERROR(B42-B41,0)</f>
        <v>1.1700000000000044E-2</v>
      </c>
      <c r="D42" s="109" t="str">
        <f t="shared" ref="D42:D45" si="15">IF(C42&lt;0,C42,"/")</f>
        <v>/</v>
      </c>
      <c r="E42" s="109">
        <f ca="1">IF(表2_367162629303891213141523242526272835[[#This Row],[累计净值]]/MAX(INDIRECT("B21:B" &amp; ROW()))-1&lt;E41,表2_367162629303891213141523242526272835[[#This Row],[累计净值]]/MAX(INDIRECT("B21:B" &amp; ROW()))-1,E41)</f>
        <v>-1.0658432114752481E-2</v>
      </c>
      <c r="F42" s="110">
        <f>表2_36716262930389121314152324252627283839[[#This Row],[累计净值]]</f>
        <v>0.99770000000000003</v>
      </c>
      <c r="G42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-2.2999999999999687E-3</v>
      </c>
    </row>
    <row r="43" spans="1:7" x14ac:dyDescent="0.2">
      <c r="A43" s="15">
        <v>44279</v>
      </c>
      <c r="B43" s="112">
        <v>0.99129999999999996</v>
      </c>
      <c r="C43" s="108">
        <f t="shared" si="14"/>
        <v>-6.4000000000000723E-3</v>
      </c>
      <c r="D43" s="109">
        <f t="shared" si="15"/>
        <v>-6.4000000000000723E-3</v>
      </c>
      <c r="E43" s="109">
        <f ca="1">IF(表2_367162629303891213141523242526272835[[#This Row],[累计净值]]/MAX(INDIRECT("B21:B" &amp; ROW()))-1&lt;E42,表2_367162629303891213141523242526272835[[#This Row],[累计净值]]/MAX(INDIRECT("B21:B" &amp; ROW()))-1,E42)</f>
        <v>-1.0658432114752481E-2</v>
      </c>
      <c r="F43" s="110">
        <f>表2_36716262930389121314152324252627283839[[#This Row],[累计净值]]</f>
        <v>0.99129999999999996</v>
      </c>
      <c r="G43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-8.700000000000041E-3</v>
      </c>
    </row>
    <row r="44" spans="1:7" x14ac:dyDescent="0.2">
      <c r="A44" s="15">
        <v>44280</v>
      </c>
      <c r="B44" s="112">
        <v>0.98540000000000005</v>
      </c>
      <c r="C44" s="108">
        <f t="shared" si="14"/>
        <v>-5.8999999999999053E-3</v>
      </c>
      <c r="D44" s="109">
        <f t="shared" si="15"/>
        <v>-5.8999999999999053E-3</v>
      </c>
      <c r="E44" s="109">
        <f ca="1">IF(表2_367162629303891213141523242526272835[[#This Row],[累计净值]]/MAX(INDIRECT("B21:B" &amp; ROW()))-1&lt;E43,表2_367162629303891213141523242526272835[[#This Row],[累计净值]]/MAX(INDIRECT("B21:B" &amp; ROW()))-1,E43)</f>
        <v>-1.0658432114752481E-2</v>
      </c>
      <c r="F44" s="110">
        <f>表2_36716262930389121314152324252627283839[[#This Row],[累计净值]]</f>
        <v>0.98540000000000005</v>
      </c>
      <c r="G44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-1.4599999999999946E-2</v>
      </c>
    </row>
    <row r="45" spans="1:7" x14ac:dyDescent="0.2">
      <c r="A45" s="15">
        <v>44281</v>
      </c>
      <c r="B45" s="112">
        <v>0.98640000000000005</v>
      </c>
      <c r="C45" s="108">
        <f t="shared" si="14"/>
        <v>1.0000000000000009E-3</v>
      </c>
      <c r="D45" s="109" t="str">
        <f t="shared" si="15"/>
        <v>/</v>
      </c>
      <c r="E45" s="109">
        <f ca="1">IF(表2_367162629303891213141523242526272835[[#This Row],[累计净值]]/MAX(INDIRECT("B21:B" &amp; ROW()))-1&lt;E44,表2_367162629303891213141523242526272835[[#This Row],[累计净值]]/MAX(INDIRECT("B21:B" &amp; ROW()))-1,E44)</f>
        <v>-1.0658432114752481E-2</v>
      </c>
      <c r="F45" s="110">
        <f>表2_36716262930389121314152324252627283839[[#This Row],[累计净值]]</f>
        <v>0.98640000000000005</v>
      </c>
      <c r="G45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-1.3599999999999945E-2</v>
      </c>
    </row>
    <row r="46" spans="1:7" x14ac:dyDescent="0.2">
      <c r="A46" s="15">
        <v>44284</v>
      </c>
      <c r="B46" s="112">
        <v>0.96799999999999997</v>
      </c>
      <c r="C46" s="108">
        <f t="shared" ref="C46:C51" si="16">IFERROR(B46-B45,0)</f>
        <v>-1.8400000000000083E-2</v>
      </c>
      <c r="D46" s="109">
        <f t="shared" ref="D46:D51" si="17">IF(C46&lt;0,C46,"/")</f>
        <v>-1.8400000000000083E-2</v>
      </c>
      <c r="E46" s="109">
        <f ca="1">IF(表2_367162629303891213141523242526272835[[#This Row],[累计净值]]/MAX(INDIRECT("B21:B" &amp; ROW()))-1&lt;E45,表2_367162629303891213141523242526272835[[#This Row],[累计净值]]/MAX(INDIRECT("B21:B" &amp; ROW()))-1,E45)</f>
        <v>-1.0658432114752481E-2</v>
      </c>
      <c r="F46" s="110">
        <f>表2_36716262930389121314152324252627283839[[#This Row],[累计净值]]</f>
        <v>0.96799999999999997</v>
      </c>
      <c r="G46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-3.2000000000000028E-2</v>
      </c>
    </row>
    <row r="47" spans="1:7" x14ac:dyDescent="0.2">
      <c r="A47" s="15">
        <v>44285</v>
      </c>
      <c r="B47" s="112">
        <v>0.97050000000000003</v>
      </c>
      <c r="C47" s="108">
        <f t="shared" si="16"/>
        <v>2.5000000000000577E-3</v>
      </c>
      <c r="D47" s="109" t="str">
        <f t="shared" si="17"/>
        <v>/</v>
      </c>
      <c r="E47" s="109">
        <f ca="1">IF(表2_367162629303891213141523242526272835[[#This Row],[累计净值]]/MAX(INDIRECT("B21:B" &amp; ROW()))-1&lt;E46,表2_367162629303891213141523242526272835[[#This Row],[累计净值]]/MAX(INDIRECT("B21:B" &amp; ROW()))-1,E46)</f>
        <v>-1.0658432114752481E-2</v>
      </c>
      <c r="F47" s="110">
        <f>表2_36716262930389121314152324252627283839[[#This Row],[累计净值]]</f>
        <v>0.97050000000000003</v>
      </c>
      <c r="G47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-2.9499999999999971E-2</v>
      </c>
    </row>
    <row r="48" spans="1:7" x14ac:dyDescent="0.2">
      <c r="A48" s="15">
        <v>44286</v>
      </c>
      <c r="B48" s="112">
        <v>0.97399999999999998</v>
      </c>
      <c r="C48" s="108">
        <f t="shared" si="16"/>
        <v>3.4999999999999476E-3</v>
      </c>
      <c r="D48" s="109" t="str">
        <f t="shared" si="17"/>
        <v>/</v>
      </c>
      <c r="E48" s="109">
        <f ca="1">IF(表2_367162629303891213141523242526272835[[#This Row],[累计净值]]/MAX(INDIRECT("B21:B" &amp; ROW()))-1&lt;E47,表2_367162629303891213141523242526272835[[#This Row],[累计净值]]/MAX(INDIRECT("B21:B" &amp; ROW()))-1,E47)</f>
        <v>-1.0658432114752481E-2</v>
      </c>
      <c r="F48" s="110">
        <f>表2_36716262930389121314152324252627283839[[#This Row],[累计净值]]</f>
        <v>0.97399999999999998</v>
      </c>
      <c r="G48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-2.6000000000000023E-2</v>
      </c>
    </row>
    <row r="49" spans="1:7" x14ac:dyDescent="0.2">
      <c r="A49" s="15">
        <v>44287</v>
      </c>
      <c r="B49" s="112">
        <v>0.98809999999999998</v>
      </c>
      <c r="C49" s="108">
        <f t="shared" si="16"/>
        <v>1.4100000000000001E-2</v>
      </c>
      <c r="D49" s="109" t="str">
        <f t="shared" si="17"/>
        <v>/</v>
      </c>
      <c r="E49" s="109">
        <f ca="1">IF(表2_367162629303891213141523242526272835[[#This Row],[累计净值]]/MAX(INDIRECT("B21:B" &amp; ROW()))-1&lt;E48,表2_367162629303891213141523242526272835[[#This Row],[累计净值]]/MAX(INDIRECT("B21:B" &amp; ROW()))-1,E48)</f>
        <v>-1.0658432114752481E-2</v>
      </c>
      <c r="F49" s="110">
        <f>表2_36716262930389121314152324252627283839[[#This Row],[累计净值]]</f>
        <v>0.98809999999999998</v>
      </c>
      <c r="G49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-1.1900000000000022E-2</v>
      </c>
    </row>
    <row r="50" spans="1:7" x14ac:dyDescent="0.2">
      <c r="A50" s="15">
        <v>44288</v>
      </c>
      <c r="B50" s="112">
        <v>1.02</v>
      </c>
      <c r="C50" s="108">
        <f t="shared" si="16"/>
        <v>3.1900000000000039E-2</v>
      </c>
      <c r="D50" s="109" t="str">
        <f t="shared" si="17"/>
        <v>/</v>
      </c>
      <c r="E50" s="109">
        <f ca="1">IF(表2_367162629303891213141523242526272835[[#This Row],[累计净值]]/MAX(INDIRECT("B21:B" &amp; ROW()))-1&lt;E49,表2_367162629303891213141523242526272835[[#This Row],[累计净值]]/MAX(INDIRECT("B21:B" &amp; ROW()))-1,E49)</f>
        <v>-1.0658432114752481E-2</v>
      </c>
      <c r="F50" s="110">
        <f>表2_36716262930389121314152324252627283839[[#This Row],[累计净值]]</f>
        <v>1.02</v>
      </c>
      <c r="G50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1.0000000000000009E-2</v>
      </c>
    </row>
    <row r="51" spans="1:7" x14ac:dyDescent="0.2">
      <c r="A51" s="15">
        <v>44292</v>
      </c>
      <c r="B51" s="112">
        <v>1.0091000000000001</v>
      </c>
      <c r="C51" s="108">
        <f t="shared" si="16"/>
        <v>-1.089999999999991E-2</v>
      </c>
      <c r="D51" s="109">
        <f t="shared" si="17"/>
        <v>-1.089999999999991E-2</v>
      </c>
      <c r="E51" s="109">
        <f ca="1">IF(表2_367162629303891213141523242526272835[[#This Row],[累计净值]]/MAX(INDIRECT("B21:B" &amp; ROW()))-1&lt;E50,表2_367162629303891213141523242526272835[[#This Row],[累计净值]]/MAX(INDIRECT("B21:B" &amp; ROW()))-1,E50)</f>
        <v>-1.0658432114752481E-2</v>
      </c>
      <c r="F51" s="110">
        <f>表2_36716262930389121314152324252627283839[[#This Row],[累计净值]]</f>
        <v>1.0091000000000001</v>
      </c>
      <c r="G51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4.550000000000054E-3</v>
      </c>
    </row>
    <row r="52" spans="1:7" x14ac:dyDescent="0.2">
      <c r="A52" s="15">
        <v>44293</v>
      </c>
      <c r="B52" s="112">
        <v>0.98280000000000001</v>
      </c>
      <c r="C52" s="108">
        <f t="shared" ref="C52:C57" si="18">IFERROR(B52-B51,0)</f>
        <v>-2.6300000000000101E-2</v>
      </c>
      <c r="D52" s="109">
        <f t="shared" ref="D52:D57" si="19">IF(C52&lt;0,C52,"/")</f>
        <v>-2.6300000000000101E-2</v>
      </c>
      <c r="E52" s="109">
        <f ca="1">IF(表2_367162629303891213141523242526272835[[#This Row],[累计净值]]/MAX(INDIRECT("B21:B" &amp; ROW()))-1&lt;E51,表2_367162629303891213141523242526272835[[#This Row],[累计净值]]/MAX(INDIRECT("B21:B" &amp; ROW()))-1,E51)</f>
        <v>-1.0658432114752481E-2</v>
      </c>
      <c r="F52" s="110">
        <f>表2_36716262930389121314152324252627283839[[#This Row],[累计净值]]</f>
        <v>0.98280000000000001</v>
      </c>
      <c r="G52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-1.7199999999999993E-2</v>
      </c>
    </row>
    <row r="53" spans="1:7" x14ac:dyDescent="0.2">
      <c r="A53" s="15">
        <v>44294</v>
      </c>
      <c r="B53" s="112">
        <v>0.99299999999999999</v>
      </c>
      <c r="C53" s="108">
        <f t="shared" si="18"/>
        <v>1.0199999999999987E-2</v>
      </c>
      <c r="D53" s="109" t="str">
        <f t="shared" si="19"/>
        <v>/</v>
      </c>
      <c r="E53" s="109">
        <f ca="1">IF(表2_367162629303891213141523242526272835[[#This Row],[累计净值]]/MAX(INDIRECT("B21:B" &amp; ROW()))-1&lt;E52,表2_367162629303891213141523242526272835[[#This Row],[累计净值]]/MAX(INDIRECT("B21:B" &amp; ROW()))-1,E52)</f>
        <v>-1.0658432114752481E-2</v>
      </c>
      <c r="F53" s="110">
        <f>表2_36716262930389121314152324252627283839[[#This Row],[累计净值]]</f>
        <v>0.99299999999999999</v>
      </c>
      <c r="G53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-7.0000000000000062E-3</v>
      </c>
    </row>
    <row r="54" spans="1:7" x14ac:dyDescent="0.2">
      <c r="A54" s="15">
        <v>44295</v>
      </c>
      <c r="B54" s="112">
        <v>0.99160000000000004</v>
      </c>
      <c r="C54" s="108">
        <f t="shared" si="18"/>
        <v>-1.3999999999999568E-3</v>
      </c>
      <c r="D54" s="109">
        <f t="shared" si="19"/>
        <v>-1.3999999999999568E-3</v>
      </c>
      <c r="E54" s="109">
        <f ca="1">IF(表2_367162629303891213141523242526272835[[#This Row],[累计净值]]/MAX(INDIRECT("B21:B" &amp; ROW()))-1&lt;E53,表2_367162629303891213141523242526272835[[#This Row],[累计净值]]/MAX(INDIRECT("B21:B" &amp; ROW()))-1,E53)</f>
        <v>-1.0658432114752481E-2</v>
      </c>
      <c r="F54" s="110">
        <f>表2_36716262930389121314152324252627283839[[#This Row],[累计净值]]</f>
        <v>0.99160000000000004</v>
      </c>
      <c r="G54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-8.3999999999999631E-3</v>
      </c>
    </row>
    <row r="55" spans="1:7" x14ac:dyDescent="0.2">
      <c r="A55" s="15">
        <v>44298</v>
      </c>
      <c r="B55" s="112">
        <v>0.97919999999999996</v>
      </c>
      <c r="C55" s="108">
        <f t="shared" si="18"/>
        <v>-1.2400000000000078E-2</v>
      </c>
      <c r="D55" s="109">
        <f t="shared" si="19"/>
        <v>-1.2400000000000078E-2</v>
      </c>
      <c r="E55" s="109">
        <f ca="1">IF(表2_367162629303891213141523242526272835[[#This Row],[累计净值]]/MAX(INDIRECT("B21:B" &amp; ROW()))-1&lt;E54,表2_367162629303891213141523242526272835[[#This Row],[累计净值]]/MAX(INDIRECT("B21:B" &amp; ROW()))-1,E54)</f>
        <v>-1.0658432114752481E-2</v>
      </c>
      <c r="F55" s="110">
        <f>表2_36716262930389121314152324252627283839[[#This Row],[累计净值]]</f>
        <v>0.97919999999999996</v>
      </c>
      <c r="G55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-2.0800000000000041E-2</v>
      </c>
    </row>
    <row r="56" spans="1:7" x14ac:dyDescent="0.2">
      <c r="A56" s="15">
        <v>44299</v>
      </c>
      <c r="B56" s="112">
        <v>0.97989999999999999</v>
      </c>
      <c r="C56" s="108">
        <f t="shared" si="18"/>
        <v>7.0000000000003393E-4</v>
      </c>
      <c r="D56" s="109" t="str">
        <f t="shared" si="19"/>
        <v>/</v>
      </c>
      <c r="E56" s="109">
        <f ca="1">IF(表2_367162629303891213141523242526272835[[#This Row],[累计净值]]/MAX(INDIRECT("B21:B" &amp; ROW()))-1&lt;E55,表2_367162629303891213141523242526272835[[#This Row],[累计净值]]/MAX(INDIRECT("B21:B" &amp; ROW()))-1,E55)</f>
        <v>-1.0658432114752481E-2</v>
      </c>
      <c r="F56" s="110">
        <f>表2_36716262930389121314152324252627283839[[#This Row],[累计净值]]</f>
        <v>0.97989999999999999</v>
      </c>
      <c r="G56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-2.0100000000000007E-2</v>
      </c>
    </row>
    <row r="57" spans="1:7" x14ac:dyDescent="0.2">
      <c r="A57" s="15">
        <v>44300</v>
      </c>
      <c r="B57" s="112">
        <v>0.96850000000000003</v>
      </c>
      <c r="C57" s="108">
        <f t="shared" si="18"/>
        <v>-1.1399999999999966E-2</v>
      </c>
      <c r="D57" s="109">
        <f t="shared" si="19"/>
        <v>-1.1399999999999966E-2</v>
      </c>
      <c r="E57" s="109">
        <f ca="1">IF(表2_367162629303891213141523242526272835[[#This Row],[累计净值]]/MAX(INDIRECT("B21:B" &amp; ROW()))-1&lt;E56,表2_367162629303891213141523242526272835[[#This Row],[累计净值]]/MAX(INDIRECT("B21:B" &amp; ROW()))-1,E56)</f>
        <v>-1.0658432114752481E-2</v>
      </c>
      <c r="F57" s="110">
        <f>表2_36716262930389121314152324252627283839[[#This Row],[累计净值]]</f>
        <v>0.96850000000000003</v>
      </c>
      <c r="G57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-3.1499999999999972E-2</v>
      </c>
    </row>
    <row r="58" spans="1:7" x14ac:dyDescent="0.2">
      <c r="A58" s="15">
        <v>44301</v>
      </c>
      <c r="B58" s="112">
        <v>0.99619999999999997</v>
      </c>
      <c r="C58" s="108">
        <f t="shared" ref="C58:C63" si="20">IFERROR(B58-B57,0)</f>
        <v>2.7699999999999947E-2</v>
      </c>
      <c r="D58" s="109" t="str">
        <f t="shared" ref="D58:D63" si="21">IF(C58&lt;0,C58,"/")</f>
        <v>/</v>
      </c>
      <c r="E58" s="109">
        <f ca="1">IF(表2_367162629303891213141523242526272835[[#This Row],[累计净值]]/MAX(INDIRECT("B21:B" &amp; ROW()))-1&lt;E57,表2_367162629303891213141523242526272835[[#This Row],[累计净值]]/MAX(INDIRECT("B21:B" &amp; ROW()))-1,E57)</f>
        <v>-1.0658432114752481E-2</v>
      </c>
      <c r="F58" s="110">
        <f>表2_36716262930389121314152324252627283839[[#This Row],[累计净值]]</f>
        <v>0.99619999999999997</v>
      </c>
      <c r="G58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-3.8000000000000256E-3</v>
      </c>
    </row>
    <row r="59" spans="1:7" x14ac:dyDescent="0.2">
      <c r="A59" s="15">
        <v>44302</v>
      </c>
      <c r="B59" s="112">
        <v>1.0029999999999999</v>
      </c>
      <c r="C59" s="108">
        <f t="shared" si="20"/>
        <v>6.7999999999999172E-3</v>
      </c>
      <c r="D59" s="109" t="str">
        <f t="shared" si="21"/>
        <v>/</v>
      </c>
      <c r="E59" s="109">
        <f ca="1">IF(表2_367162629303891213141523242526272835[[#This Row],[累计净值]]/MAX(INDIRECT("B21:B" &amp; ROW()))-1&lt;E58,表2_367162629303891213141523242526272835[[#This Row],[累计净值]]/MAX(INDIRECT("B21:B" &amp; ROW()))-1,E58)</f>
        <v>-1.0658432114752481E-2</v>
      </c>
      <c r="F59" s="110">
        <f>表2_36716262930389121314152324252627283839[[#This Row],[累计净值]]</f>
        <v>1.0029999999999999</v>
      </c>
      <c r="G59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1.4999999999999458E-3</v>
      </c>
    </row>
    <row r="60" spans="1:7" x14ac:dyDescent="0.2">
      <c r="A60" s="15">
        <v>44305</v>
      </c>
      <c r="B60" s="112">
        <v>1.0129999999999999</v>
      </c>
      <c r="C60" s="108">
        <f t="shared" si="20"/>
        <v>1.0000000000000009E-2</v>
      </c>
      <c r="D60" s="109" t="str">
        <f t="shared" si="21"/>
        <v>/</v>
      </c>
      <c r="E60" s="109">
        <f ca="1">IF(表2_367162629303891213141523242526272835[[#This Row],[累计净值]]/MAX(INDIRECT("B21:B" &amp; ROW()))-1&lt;E59,表2_367162629303891213141523242526272835[[#This Row],[累计净值]]/MAX(INDIRECT("B21:B" &amp; ROW()))-1,E59)</f>
        <v>-1.0658432114752481E-2</v>
      </c>
      <c r="F60" s="110">
        <f>表2_36716262930389121314152324252627283839[[#This Row],[累计净值]]</f>
        <v>1.0129999999999999</v>
      </c>
      <c r="G60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6.4999999999999503E-3</v>
      </c>
    </row>
    <row r="61" spans="1:7" x14ac:dyDescent="0.2">
      <c r="A61" s="15">
        <v>44306</v>
      </c>
      <c r="B61" s="112">
        <v>1.018</v>
      </c>
      <c r="C61" s="108">
        <f t="shared" si="20"/>
        <v>5.0000000000001155E-3</v>
      </c>
      <c r="D61" s="109" t="str">
        <f t="shared" si="21"/>
        <v>/</v>
      </c>
      <c r="E61" s="109">
        <f ca="1">IF(表2_367162629303891213141523242526272835[[#This Row],[累计净值]]/MAX(INDIRECT("B21:B" &amp; ROW()))-1&lt;E60,表2_367162629303891213141523242526272835[[#This Row],[累计净值]]/MAX(INDIRECT("B21:B" &amp; ROW()))-1,E60)</f>
        <v>-1.0658432114752481E-2</v>
      </c>
      <c r="F61" s="110">
        <f>表2_36716262930389121314152324252627283839[[#This Row],[累计净值]]</f>
        <v>1.018</v>
      </c>
      <c r="G61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9.000000000000008E-3</v>
      </c>
    </row>
    <row r="62" spans="1:7" x14ac:dyDescent="0.2">
      <c r="A62" s="15">
        <v>44307</v>
      </c>
      <c r="B62" s="112">
        <v>1.0157</v>
      </c>
      <c r="C62" s="108">
        <f t="shared" si="20"/>
        <v>-2.2999999999999687E-3</v>
      </c>
      <c r="D62" s="109">
        <f t="shared" si="21"/>
        <v>-2.2999999999999687E-3</v>
      </c>
      <c r="E62" s="109">
        <f ca="1">IF(表2_367162629303891213141523242526272835[[#This Row],[累计净值]]/MAX(INDIRECT("B21:B" &amp; ROW()))-1&lt;E61,表2_367162629303891213141523242526272835[[#This Row],[累计净值]]/MAX(INDIRECT("B21:B" &amp; ROW()))-1,E61)</f>
        <v>-1.0658432114752481E-2</v>
      </c>
      <c r="F62" s="110">
        <f>表2_36716262930389121314152324252627283839[[#This Row],[累计净值]]</f>
        <v>1.0157</v>
      </c>
      <c r="G62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7.8500000000000236E-3</v>
      </c>
    </row>
    <row r="63" spans="1:7" x14ac:dyDescent="0.2">
      <c r="A63" s="15">
        <v>44308</v>
      </c>
      <c r="B63" s="112">
        <v>1.0221</v>
      </c>
      <c r="C63" s="108">
        <f t="shared" si="20"/>
        <v>6.3999999999999613E-3</v>
      </c>
      <c r="D63" s="109" t="str">
        <f t="shared" si="21"/>
        <v>/</v>
      </c>
      <c r="E63" s="109">
        <f ca="1">IF(表2_367162629303891213141523242526272835[[#This Row],[累计净值]]/MAX(INDIRECT("B21:B" &amp; ROW()))-1&lt;E62,表2_367162629303891213141523242526272835[[#This Row],[累计净值]]/MAX(INDIRECT("B21:B" &amp; ROW()))-1,E62)</f>
        <v>-1.0658432114752481E-2</v>
      </c>
      <c r="F63" s="110">
        <f>表2_36716262930389121314152324252627283839[[#This Row],[累计净值]]</f>
        <v>1.0221</v>
      </c>
      <c r="G63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1.1050000000000004E-2</v>
      </c>
    </row>
    <row r="64" spans="1:7" x14ac:dyDescent="0.2">
      <c r="A64" s="15">
        <v>44309</v>
      </c>
      <c r="B64" s="112">
        <v>1.0206999999999999</v>
      </c>
      <c r="C64" s="108">
        <f>IFERROR(B64-B63,0)</f>
        <v>-1.4000000000000679E-3</v>
      </c>
      <c r="D64" s="109">
        <f>IF(C64&lt;0,C64,"/")</f>
        <v>-1.4000000000000679E-3</v>
      </c>
      <c r="E64" s="109">
        <f ca="1">IF(表2_367162629303891213141523242526272835[[#This Row],[累计净值]]/MAX(INDIRECT("B21:B" &amp; ROW()))-1&lt;E63,表2_367162629303891213141523242526272835[[#This Row],[累计净值]]/MAX(INDIRECT("B21:B" &amp; ROW()))-1,E63)</f>
        <v>-1.0658432114752481E-2</v>
      </c>
      <c r="F64" s="110">
        <f>表2_36716262930389121314152324252627283839[[#This Row],[累计净值]]</f>
        <v>1.0206999999999999</v>
      </c>
      <c r="G64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1.034999999999997E-2</v>
      </c>
    </row>
    <row r="65" spans="1:7" x14ac:dyDescent="0.2">
      <c r="A65" s="15">
        <v>44312</v>
      </c>
      <c r="B65" s="112">
        <v>1.0251999999999999</v>
      </c>
      <c r="C65" s="108">
        <f>IFERROR(B65-B64,0)</f>
        <v>4.4999999999999485E-3</v>
      </c>
      <c r="D65" s="109" t="str">
        <f>IF(C65&lt;0,C65,"/")</f>
        <v>/</v>
      </c>
      <c r="E65" s="109">
        <f ca="1">IF(表2_367162629303891213141523242526272835[[#This Row],[累计净值]]/MAX(INDIRECT("B21:B" &amp; ROW()))-1&lt;E64,表2_367162629303891213141523242526272835[[#This Row],[累计净值]]/MAX(INDIRECT("B21:B" &amp; ROW()))-1,E64)</f>
        <v>-1.0658432114752481E-2</v>
      </c>
      <c r="F65" s="110">
        <f>表2_36716262930389121314152324252627283839[[#This Row],[累计净值]]</f>
        <v>1.0251999999999999</v>
      </c>
      <c r="G65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1.2599999999999945E-2</v>
      </c>
    </row>
    <row r="66" spans="1:7" x14ac:dyDescent="0.2">
      <c r="A66" s="15">
        <v>44313</v>
      </c>
      <c r="B66" s="112">
        <v>1.0194000000000001</v>
      </c>
      <c r="C66" s="108">
        <f t="shared" ref="C66:C67" si="22">IFERROR(B66-B65,0)</f>
        <v>-5.7999999999998053E-3</v>
      </c>
      <c r="D66" s="109">
        <f t="shared" ref="D66:D67" si="23">IF(C66&lt;0,C66,"/")</f>
        <v>-5.7999999999998053E-3</v>
      </c>
      <c r="E66" s="109">
        <f ca="1">IF(表2_367162629303891213141523242526272835[[#This Row],[累计净值]]/MAX(INDIRECT("B21:B" &amp; ROW()))-1&lt;E65,表2_367162629303891213141523242526272835[[#This Row],[累计净值]]/MAX(INDIRECT("B21:B" &amp; ROW()))-1,E65)</f>
        <v>-1.0658432114752481E-2</v>
      </c>
      <c r="F66" s="110">
        <f>表2_36716262930389121314152324252627283839[[#This Row],[累计净值]]</f>
        <v>1.0194000000000001</v>
      </c>
      <c r="G66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9.7000000000000419E-3</v>
      </c>
    </row>
    <row r="67" spans="1:7" x14ac:dyDescent="0.2">
      <c r="A67" s="15">
        <v>44314</v>
      </c>
      <c r="B67" s="112">
        <v>1.0259</v>
      </c>
      <c r="C67" s="108">
        <f t="shared" si="22"/>
        <v>6.4999999999999503E-3</v>
      </c>
      <c r="D67" s="109" t="str">
        <f t="shared" si="23"/>
        <v>/</v>
      </c>
      <c r="E67" s="109">
        <f ca="1">IF(表2_367162629303891213141523242526272835[[#This Row],[累计净值]]/MAX(INDIRECT("B21:B" &amp; ROW()))-1&lt;E66,表2_367162629303891213141523242526272835[[#This Row],[累计净值]]/MAX(INDIRECT("B21:B" &amp; ROW()))-1,E66)</f>
        <v>-1.0658432114752481E-2</v>
      </c>
      <c r="F67" s="110">
        <f>表2_36716262930389121314152324252627283839[[#This Row],[累计净值]]</f>
        <v>1.0259</v>
      </c>
      <c r="G67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1.2950000000000017E-2</v>
      </c>
    </row>
    <row r="68" spans="1:7" x14ac:dyDescent="0.2">
      <c r="A68" s="15">
        <v>44315</v>
      </c>
      <c r="B68" s="112">
        <v>1.0306999999999999</v>
      </c>
      <c r="C68" s="108">
        <f>IFERROR(B68-B67,0)</f>
        <v>4.7999999999999154E-3</v>
      </c>
      <c r="D68" s="109" t="str">
        <f>IF(C68&lt;0,C68,"/")</f>
        <v>/</v>
      </c>
      <c r="E68" s="109">
        <f ca="1">IF(表2_367162629303891213141523242526272835[[#This Row],[累计净值]]/MAX(INDIRECT("B21:B" &amp; ROW()))-1&lt;E67,表2_367162629303891213141523242526272835[[#This Row],[累计净值]]/MAX(INDIRECT("B21:B" &amp; ROW()))-1,E67)</f>
        <v>-1.0658432114752481E-2</v>
      </c>
      <c r="F68" s="110">
        <f>表2_36716262930389121314152324252627283839[[#This Row],[累计净值]]</f>
        <v>1.0306999999999999</v>
      </c>
      <c r="G68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1.5349999999999975E-2</v>
      </c>
    </row>
    <row r="69" spans="1:7" x14ac:dyDescent="0.2">
      <c r="A69" s="15">
        <v>44316</v>
      </c>
      <c r="B69" s="112">
        <v>1.0293000000000001</v>
      </c>
      <c r="C69" s="108">
        <f t="shared" ref="C69:C70" si="24">IFERROR(B69-B68,0)</f>
        <v>-1.3999999999998458E-3</v>
      </c>
      <c r="D69" s="109">
        <f t="shared" ref="D69:D70" si="25">IF(C69&lt;0,C69,"/")</f>
        <v>-1.3999999999998458E-3</v>
      </c>
      <c r="E69" s="109">
        <f ca="1">IF(表2_367162629303891213141523242526272835[[#This Row],[累计净值]]/MAX(INDIRECT("B21:B" &amp; ROW()))-1&lt;E68,表2_367162629303891213141523242526272835[[#This Row],[累计净值]]/MAX(INDIRECT("B21:B" &amp; ROW()))-1,E68)</f>
        <v>-1.0658432114752481E-2</v>
      </c>
      <c r="F69" s="110">
        <f>表2_36716262930389121314152324252627283839[[#This Row],[累计净值]]</f>
        <v>1.0293000000000001</v>
      </c>
      <c r="G69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1.4650000000000052E-2</v>
      </c>
    </row>
    <row r="70" spans="1:7" x14ac:dyDescent="0.2">
      <c r="A70" s="15">
        <v>44322</v>
      </c>
      <c r="B70" s="112">
        <v>1.0295000000000001</v>
      </c>
      <c r="C70" s="108">
        <f t="shared" si="24"/>
        <v>1.9999999999997797E-4</v>
      </c>
      <c r="D70" s="109" t="str">
        <f t="shared" si="25"/>
        <v>/</v>
      </c>
      <c r="E70" s="109">
        <f ca="1">IF(表2_367162629303891213141523242526272835[[#This Row],[累计净值]]/MAX(INDIRECT("B21:B" &amp; ROW()))-1&lt;E69,表2_367162629303891213141523242526272835[[#This Row],[累计净值]]/MAX(INDIRECT("B21:B" &amp; ROW()))-1,E69)</f>
        <v>-1.0658432114752481E-2</v>
      </c>
      <c r="F70" s="110">
        <f>表2_36716262930389121314152324252627283839[[#This Row],[累计净值]]</f>
        <v>1.0295000000000001</v>
      </c>
      <c r="G70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1.4750000000000041E-2</v>
      </c>
    </row>
    <row r="71" spans="1:7" x14ac:dyDescent="0.2">
      <c r="A71" s="15">
        <v>44323</v>
      </c>
      <c r="B71" s="112">
        <v>1.0306999999999999</v>
      </c>
      <c r="C71" s="108">
        <f t="shared" ref="C71:C76" si="26">IFERROR(B71-B70,0)</f>
        <v>1.1999999999998678E-3</v>
      </c>
      <c r="D71" s="109" t="str">
        <f t="shared" ref="D71:D76" si="27">IF(C71&lt;0,C71,"/")</f>
        <v>/</v>
      </c>
      <c r="E71" s="109">
        <f ca="1">IF(表2_367162629303891213141523242526272835[[#This Row],[累计净值]]/MAX(INDIRECT("B21:B" &amp; ROW()))-1&lt;E70,表2_367162629303891213141523242526272835[[#This Row],[累计净值]]/MAX(INDIRECT("B21:B" &amp; ROW()))-1,E70)</f>
        <v>-1.0658432114752481E-2</v>
      </c>
      <c r="F71" s="110">
        <f>表2_36716262930389121314152324252627283839[[#This Row],[累计净值]]</f>
        <v>1.0306999999999999</v>
      </c>
      <c r="G71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1.5349999999999975E-2</v>
      </c>
    </row>
    <row r="72" spans="1:7" x14ac:dyDescent="0.2">
      <c r="A72" s="15">
        <v>44326</v>
      </c>
      <c r="B72" s="112">
        <v>1.0311999999999999</v>
      </c>
      <c r="C72" s="108">
        <f t="shared" si="26"/>
        <v>4.9999999999994493E-4</v>
      </c>
      <c r="D72" s="109" t="str">
        <f t="shared" si="27"/>
        <v>/</v>
      </c>
      <c r="E72" s="109">
        <f ca="1">IF(表2_367162629303891213141523242526272835[[#This Row],[累计净值]]/MAX(INDIRECT("B21:B" &amp; ROW()))-1&lt;E71,表2_367162629303891213141523242526272835[[#This Row],[累计净值]]/MAX(INDIRECT("B21:B" &amp; ROW()))-1,E71)</f>
        <v>-1.0658432114752481E-2</v>
      </c>
      <c r="F72" s="110">
        <f>表2_36716262930389121314152324252627283839[[#This Row],[累计净值]]</f>
        <v>1.0311999999999999</v>
      </c>
      <c r="G72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1.5599999999999947E-2</v>
      </c>
    </row>
    <row r="73" spans="1:7" x14ac:dyDescent="0.2">
      <c r="A73" s="15">
        <v>44327</v>
      </c>
      <c r="B73" s="112">
        <v>1.0378000000000001</v>
      </c>
      <c r="C73" s="108">
        <f t="shared" si="26"/>
        <v>6.6000000000001613E-3</v>
      </c>
      <c r="D73" s="109" t="str">
        <f t="shared" si="27"/>
        <v>/</v>
      </c>
      <c r="E73" s="109">
        <f ca="1">IF(表2_367162629303891213141523242526272835[[#This Row],[累计净值]]/MAX(INDIRECT("B21:B" &amp; ROW()))-1&lt;E72,表2_367162629303891213141523242526272835[[#This Row],[累计净值]]/MAX(INDIRECT("B21:B" &amp; ROW()))-1,E72)</f>
        <v>-1.0658432114752481E-2</v>
      </c>
      <c r="F73" s="110">
        <f>表2_36716262930389121314152324252627283839[[#This Row],[累计净值]]</f>
        <v>1.0378000000000001</v>
      </c>
      <c r="G73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1.8900000000000028E-2</v>
      </c>
    </row>
    <row r="74" spans="1:7" x14ac:dyDescent="0.2">
      <c r="A74" s="15">
        <v>44328</v>
      </c>
      <c r="B74" s="112">
        <v>1.0438000000000001</v>
      </c>
      <c r="C74" s="108">
        <f t="shared" si="26"/>
        <v>6.0000000000000053E-3</v>
      </c>
      <c r="D74" s="109" t="str">
        <f t="shared" si="27"/>
        <v>/</v>
      </c>
      <c r="E74" s="109">
        <f ca="1">IF(表2_367162629303891213141523242526272835[[#This Row],[累计净值]]/MAX(INDIRECT("B21:B" &amp; ROW()))-1&lt;E73,表2_367162629303891213141523242526272835[[#This Row],[累计净值]]/MAX(INDIRECT("B21:B" &amp; ROW()))-1,E73)</f>
        <v>-1.0658432114752481E-2</v>
      </c>
      <c r="F74" s="110">
        <f>表2_36716262930389121314152324252627283839[[#This Row],[累计净值]]</f>
        <v>1.0438000000000001</v>
      </c>
      <c r="G74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2.1900000000000031E-2</v>
      </c>
    </row>
    <row r="75" spans="1:7" x14ac:dyDescent="0.2">
      <c r="A75" s="15">
        <v>44329</v>
      </c>
      <c r="B75" s="112">
        <v>1.0477000000000001</v>
      </c>
      <c r="C75" s="108">
        <f t="shared" si="26"/>
        <v>3.9000000000000146E-3</v>
      </c>
      <c r="D75" s="109" t="str">
        <f t="shared" si="27"/>
        <v>/</v>
      </c>
      <c r="E75" s="109">
        <f ca="1">IF(表2_367162629303891213141523242526272835[[#This Row],[累计净值]]/MAX(INDIRECT("B21:B" &amp; ROW()))-1&lt;E74,表2_367162629303891213141523242526272835[[#This Row],[累计净值]]/MAX(INDIRECT("B21:B" &amp; ROW()))-1,E74)</f>
        <v>-1.0658432114752481E-2</v>
      </c>
      <c r="F75" s="110">
        <f>表2_36716262930389121314152324252627283839[[#This Row],[累计净值]]</f>
        <v>1.0477000000000001</v>
      </c>
      <c r="G75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2.3850000000000038E-2</v>
      </c>
    </row>
    <row r="76" spans="1:7" x14ac:dyDescent="0.2">
      <c r="A76" s="15">
        <v>44330</v>
      </c>
      <c r="B76" s="112">
        <v>1.0499000000000001</v>
      </c>
      <c r="C76" s="108">
        <f t="shared" si="26"/>
        <v>2.1999999999999797E-3</v>
      </c>
      <c r="D76" s="109" t="str">
        <f t="shared" si="27"/>
        <v>/</v>
      </c>
      <c r="E76" s="109">
        <f ca="1">IF(表2_367162629303891213141523242526272835[[#This Row],[累计净值]]/MAX(INDIRECT("B21:B" &amp; ROW()))-1&lt;E75,表2_367162629303891213141523242526272835[[#This Row],[累计净值]]/MAX(INDIRECT("B21:B" &amp; ROW()))-1,E75)</f>
        <v>-1.0658432114752481E-2</v>
      </c>
      <c r="F76" s="110">
        <f>表2_36716262930389121314152324252627283839[[#This Row],[累计净值]]</f>
        <v>1.0499000000000001</v>
      </c>
      <c r="G76" s="20">
        <f>IF(表2_36716262930389121314152324252627283839[[#This Row],[累计净值]]&gt;$B$21,0.5*(表2_36716262930389121314152324252627283839[[#This Row],[累计净值]]/$B$21-1),表2_36716262930389121314152324252627283839[[#This Row],[累计净值]]/$B$21-1)</f>
        <v>2.4950000000000028E-2</v>
      </c>
    </row>
    <row r="77" spans="1:7" x14ac:dyDescent="0.2">
      <c r="A77" s="15">
        <v>44333</v>
      </c>
      <c r="B77" s="112">
        <v>1.0515000000000001</v>
      </c>
      <c r="C77" s="108">
        <f>IFERROR(B77-B76,0)</f>
        <v>1.6000000000000458E-3</v>
      </c>
      <c r="D77" s="109" t="str">
        <f>IF(C77&lt;0,C77,"/")</f>
        <v>/</v>
      </c>
      <c r="E77" s="109">
        <f ca="1">IF(表2_367162629303891213141523242526272835[[#This Row],[累计净值]]/MAX(INDIRECT("B21:B" &amp; ROW()))-1&lt;E76,表2_367162629303891213141523242526272835[[#This Row],[累计净值]]/MAX(INDIRECT("B21:B" &amp; ROW()))-1,E76)</f>
        <v>-1.0658432114752481E-2</v>
      </c>
      <c r="F77" s="110">
        <f>表2_36716262930389121314152324252627283839[[#This Row],[累计净值]]</f>
        <v>1.0515000000000001</v>
      </c>
      <c r="G77" s="118"/>
    </row>
  </sheetData>
  <mergeCells count="1">
    <mergeCell ref="G2:G3"/>
  </mergeCells>
  <phoneticPr fontId="24" type="noConversion"/>
  <pageMargins left="0.7" right="0.7" top="0.75" bottom="0.75" header="0.3" footer="0.3"/>
  <drawing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"/>
  <sheetViews>
    <sheetView topLeftCell="A17" workbookViewId="0">
      <selection activeCell="M38" sqref="M38"/>
    </sheetView>
  </sheetViews>
  <sheetFormatPr defaultColWidth="9" defaultRowHeight="14.25" x14ac:dyDescent="0.2"/>
  <cols>
    <col min="1" max="1" width="11.625" style="1" bestFit="1" customWidth="1"/>
    <col min="2" max="2" width="13" style="1" customWidth="1"/>
    <col min="3" max="4" width="13.5" style="1" bestFit="1" customWidth="1"/>
    <col min="5" max="5" width="10.75" style="1" customWidth="1"/>
    <col min="6" max="6" width="11.125" style="1" customWidth="1"/>
    <col min="7" max="7" width="18.875" style="2" customWidth="1"/>
    <col min="8" max="8" width="14.25" style="1" customWidth="1"/>
    <col min="9" max="9" width="12" style="1" bestFit="1" customWidth="1"/>
    <col min="10" max="16384" width="9" style="1"/>
  </cols>
  <sheetData>
    <row r="1" spans="1:7" ht="15" thickBot="1" x14ac:dyDescent="0.25"/>
    <row r="2" spans="1:7" ht="15" thickBot="1" x14ac:dyDescent="0.25">
      <c r="A2" s="23" t="s">
        <v>0</v>
      </c>
      <c r="B2" s="24">
        <f>COUNT(表2_3671626293038912131415232425262728383941[每日盈亏])</f>
        <v>30</v>
      </c>
      <c r="C2" s="27"/>
      <c r="D2" s="3" t="s">
        <v>1</v>
      </c>
      <c r="E2" s="28"/>
      <c r="F2" s="1" t="s">
        <v>2</v>
      </c>
      <c r="G2" s="394" t="s">
        <v>3</v>
      </c>
    </row>
    <row r="3" spans="1:7" x14ac:dyDescent="0.2">
      <c r="A3" s="25" t="s">
        <v>4</v>
      </c>
      <c r="B3" s="26">
        <f>COUNTIF(表2_3671626293038912131415232425262728383941[每日盈亏],"&gt;0")</f>
        <v>14</v>
      </c>
      <c r="C3" s="29"/>
      <c r="D3" s="30" t="s">
        <v>5</v>
      </c>
      <c r="E3" s="31">
        <f>245^0.5*(B10-0.025/365)/E10</f>
        <v>3.8312760830557786</v>
      </c>
      <c r="G3" s="394"/>
    </row>
    <row r="4" spans="1:7" x14ac:dyDescent="0.2">
      <c r="A4" s="25" t="s">
        <v>6</v>
      </c>
      <c r="B4" s="26">
        <f>COUNTIF(表2_3671626293038912131415232425262728383941[每日盈亏],"&lt;0")</f>
        <v>7</v>
      </c>
      <c r="C4" s="29"/>
      <c r="D4" s="32" t="s">
        <v>7</v>
      </c>
      <c r="E4" s="31">
        <f ca="1">-B9/E8</f>
        <v>37.956153846154095</v>
      </c>
      <c r="G4" s="2">
        <f>LOOKUP(999^10,表2_3671626293038912131415232425262728383941[累计净值])</f>
        <v>1.03</v>
      </c>
    </row>
    <row r="5" spans="1:7" x14ac:dyDescent="0.2">
      <c r="A5" s="25" t="s">
        <v>8</v>
      </c>
      <c r="B5" s="26">
        <f>B2-B3-B4</f>
        <v>9</v>
      </c>
      <c r="C5" s="29"/>
      <c r="D5" s="33" t="s">
        <v>9</v>
      </c>
      <c r="E5" s="4">
        <f>245^0.5*(B10-0.025/365)/E9</f>
        <v>4.8860503597678306</v>
      </c>
    </row>
    <row r="6" spans="1:7" ht="15" thickBot="1" x14ac:dyDescent="0.25">
      <c r="A6" s="34"/>
      <c r="B6" s="35"/>
      <c r="C6" s="35"/>
      <c r="D6" s="35"/>
      <c r="E6" s="36"/>
    </row>
    <row r="7" spans="1:7" ht="15" thickBot="1" x14ac:dyDescent="0.25">
      <c r="A7" s="5" t="s">
        <v>10</v>
      </c>
      <c r="B7" s="35"/>
      <c r="C7" s="35"/>
      <c r="D7" s="3" t="s">
        <v>11</v>
      </c>
      <c r="E7" s="37"/>
    </row>
    <row r="8" spans="1:7" x14ac:dyDescent="0.2">
      <c r="A8" s="38" t="s">
        <v>12</v>
      </c>
      <c r="B8" s="39">
        <f>LOOKUP(999^10,表2_3671626293038912131415232425262728383941[累计净值])/$B$21-1</f>
        <v>3.0000000000000027E-2</v>
      </c>
      <c r="C8" s="40"/>
      <c r="D8" s="30" t="s">
        <v>13</v>
      </c>
      <c r="E8" s="41">
        <f ca="1">MIN(表2_3671626293038912131415232425262728383941[最大回撤])</f>
        <v>-6.4548162859979774E-3</v>
      </c>
    </row>
    <row r="9" spans="1:7" x14ac:dyDescent="0.2">
      <c r="A9" s="25" t="s">
        <v>14</v>
      </c>
      <c r="B9" s="32">
        <f>B8*245/B2</f>
        <v>0.24500000000000022</v>
      </c>
      <c r="C9" s="40"/>
      <c r="D9" s="33" t="s">
        <v>15</v>
      </c>
      <c r="E9" s="6">
        <f>STDEV(表2_3671626293038912131415232425262728383941[下跌幅度])</f>
        <v>2.9840847683606053E-3</v>
      </c>
    </row>
    <row r="10" spans="1:7" x14ac:dyDescent="0.2">
      <c r="A10" s="42" t="s">
        <v>16</v>
      </c>
      <c r="B10" s="43">
        <f>AVERAGE(表2_3671626293038912131415232425262728383941[每日盈亏])</f>
        <v>1.0000000000000009E-3</v>
      </c>
      <c r="C10" s="44"/>
      <c r="D10" s="33" t="s">
        <v>17</v>
      </c>
      <c r="E10" s="6">
        <f>STDEV(表2_3671626293038912131415232425262728383941[每日盈亏])</f>
        <v>3.8056219755369081E-3</v>
      </c>
    </row>
    <row r="11" spans="1:7" x14ac:dyDescent="0.2">
      <c r="A11" s="7" t="s">
        <v>18</v>
      </c>
      <c r="B11" s="32">
        <f>B3/B2</f>
        <v>0.46666666666666667</v>
      </c>
      <c r="C11" s="40"/>
      <c r="D11" s="32" t="s">
        <v>19</v>
      </c>
      <c r="E11" s="41">
        <f>245^0.5*E10</f>
        <v>5.9567406037772982E-2</v>
      </c>
    </row>
    <row r="12" spans="1:7" ht="15" thickBot="1" x14ac:dyDescent="0.25">
      <c r="A12" s="45" t="s">
        <v>20</v>
      </c>
      <c r="B12" s="46">
        <f>-(SUMIF(表2_3671626293038912131415232425262728383941[每日盈亏],"&gt;=0")/B3)/(SUMIF(表2_3671626293038912131415232425262728383941[每日盈亏],"&lt;0")/B4)</f>
        <v>1.4375000000000193</v>
      </c>
      <c r="C12" s="47"/>
      <c r="D12" s="48"/>
      <c r="E12" s="49"/>
    </row>
    <row r="14" spans="1:7" ht="28.5" x14ac:dyDescent="0.2">
      <c r="A14" s="50" t="s">
        <v>21</v>
      </c>
      <c r="B14" s="50" t="s">
        <v>14</v>
      </c>
      <c r="C14" s="51" t="s">
        <v>19</v>
      </c>
      <c r="D14" s="51" t="s">
        <v>13</v>
      </c>
      <c r="E14" s="51" t="s">
        <v>5</v>
      </c>
      <c r="F14" s="51" t="s">
        <v>7</v>
      </c>
    </row>
    <row r="15" spans="1:7" x14ac:dyDescent="0.2">
      <c r="A15" s="78">
        <f>B2</f>
        <v>30</v>
      </c>
      <c r="B15" s="53">
        <f>B9</f>
        <v>0.24500000000000022</v>
      </c>
      <c r="C15" s="53">
        <f>E11</f>
        <v>5.9567406037772982E-2</v>
      </c>
      <c r="D15" s="53">
        <f ca="1">E8</f>
        <v>-6.4548162859979774E-3</v>
      </c>
      <c r="E15" s="54">
        <f>E3</f>
        <v>3.8312760830557786</v>
      </c>
      <c r="F15" s="54">
        <f ca="1">E4</f>
        <v>37.956153846154095</v>
      </c>
    </row>
    <row r="19" spans="1:7" x14ac:dyDescent="0.2">
      <c r="A19" s="8"/>
      <c r="B19" s="1" t="s">
        <v>22</v>
      </c>
    </row>
    <row r="20" spans="1:7" ht="15.75" x14ac:dyDescent="0.2">
      <c r="A20" s="22" t="s">
        <v>23</v>
      </c>
      <c r="B20" s="22" t="s">
        <v>24</v>
      </c>
      <c r="C20" s="22" t="s">
        <v>25</v>
      </c>
      <c r="D20" s="22" t="s">
        <v>26</v>
      </c>
      <c r="E20" s="22" t="s">
        <v>27</v>
      </c>
      <c r="F20" s="22" t="s">
        <v>28</v>
      </c>
      <c r="G20" s="22" t="s">
        <v>29</v>
      </c>
    </row>
    <row r="21" spans="1:7" x14ac:dyDescent="0.2">
      <c r="A21" s="15">
        <v>44286</v>
      </c>
      <c r="B21" s="16">
        <v>1</v>
      </c>
      <c r="C21" s="11">
        <f t="shared" ref="C21" si="0">IFERROR(B21-B20,0)</f>
        <v>0</v>
      </c>
      <c r="D21" s="12" t="str">
        <f>IF(C21&lt;0,C21,"/")</f>
        <v>/</v>
      </c>
      <c r="E21" s="12">
        <v>0</v>
      </c>
      <c r="F21" s="13">
        <f>表2_3671626293038912131415232425262728383941[[#This Row],[累计净值]]</f>
        <v>1</v>
      </c>
      <c r="G21" s="194" t="s">
        <v>30</v>
      </c>
    </row>
    <row r="22" spans="1:7" x14ac:dyDescent="0.2">
      <c r="A22" s="15">
        <v>44287</v>
      </c>
      <c r="B22" s="112">
        <v>1</v>
      </c>
      <c r="C22" s="108">
        <f>IFERROR(B22-B21,0)</f>
        <v>0</v>
      </c>
      <c r="D22" s="109" t="str">
        <f t="shared" ref="D22:D24" si="1">IF(C22&lt;0,C22,"/")</f>
        <v>/</v>
      </c>
      <c r="E22" s="109">
        <f ca="1">IF(B22/MAX(INDIRECT("B21:B" &amp; ROW()))-1&lt;E21,B22/MAX(INDIRECT("B21:B" &amp; ROW()))-1,E21)</f>
        <v>0</v>
      </c>
      <c r="F22" s="110">
        <f>表2_3671626293038912131415232425262728383941[[#This Row],[累计净值]]</f>
        <v>1</v>
      </c>
      <c r="G22" s="20">
        <f>IF(表2_3671626293038912131415232425262728383941[[#This Row],[累计净值]]&gt;$B$21,0.7*(表2_3671626293038912131415232425262728383941[[#This Row],[累计净值]]/$B$21-1),表2_3671626293038912131415232425262728383941[[#This Row],[累计净值]]/$B$21-1)</f>
        <v>0</v>
      </c>
    </row>
    <row r="23" spans="1:7" x14ac:dyDescent="0.2">
      <c r="A23" s="15">
        <v>44288</v>
      </c>
      <c r="B23" s="112">
        <v>1</v>
      </c>
      <c r="C23" s="108">
        <f t="shared" ref="C23:C24" si="2">IFERROR(B23-B22,0)</f>
        <v>0</v>
      </c>
      <c r="D23" s="109" t="str">
        <f t="shared" si="1"/>
        <v>/</v>
      </c>
      <c r="E23" s="109">
        <f t="shared" ref="E23:E38" ca="1" si="3">IF(B23/MAX(INDIRECT("B21:B" &amp; ROW()))-1&lt;E22,B23/MAX(INDIRECT("B21:B" &amp; ROW()))-1,E22)</f>
        <v>0</v>
      </c>
      <c r="F23" s="110">
        <f>表2_3671626293038912131415232425262728383941[[#This Row],[累计净值]]</f>
        <v>1</v>
      </c>
      <c r="G23" s="20">
        <f>IF(表2_3671626293038912131415232425262728383941[[#This Row],[累计净值]]&gt;$B$21,0.7*(表2_3671626293038912131415232425262728383941[[#This Row],[累计净值]]/$B$21-1),表2_3671626293038912131415232425262728383941[[#This Row],[累计净值]]/$B$21-1)</f>
        <v>0</v>
      </c>
    </row>
    <row r="24" spans="1:7" x14ac:dyDescent="0.2">
      <c r="A24" s="15">
        <v>44292</v>
      </c>
      <c r="B24" s="112">
        <v>1</v>
      </c>
      <c r="C24" s="108">
        <f t="shared" si="2"/>
        <v>0</v>
      </c>
      <c r="D24" s="109" t="str">
        <f t="shared" si="1"/>
        <v>/</v>
      </c>
      <c r="E24" s="109">
        <f t="shared" ca="1" si="3"/>
        <v>0</v>
      </c>
      <c r="F24" s="110">
        <f>表2_3671626293038912131415232425262728383941[[#This Row],[累计净值]]</f>
        <v>1</v>
      </c>
      <c r="G24" s="20">
        <f>IF(表2_3671626293038912131415232425262728383941[[#This Row],[累计净值]]&gt;$B$21,0.7*(表2_3671626293038912131415232425262728383941[[#This Row],[累计净值]]/$B$21-1),表2_3671626293038912131415232425262728383941[[#This Row],[累计净值]]/$B$21-1)</f>
        <v>0</v>
      </c>
    </row>
    <row r="25" spans="1:7" x14ac:dyDescent="0.2">
      <c r="A25" s="15">
        <v>44293</v>
      </c>
      <c r="B25" s="112">
        <v>1</v>
      </c>
      <c r="C25" s="108">
        <f t="shared" ref="C25:C26" si="4">IFERROR(B25-B24,0)</f>
        <v>0</v>
      </c>
      <c r="D25" s="109" t="str">
        <f t="shared" ref="D25:D26" si="5">IF(C25&lt;0,C25,"/")</f>
        <v>/</v>
      </c>
      <c r="E25" s="109">
        <f t="shared" ca="1" si="3"/>
        <v>0</v>
      </c>
      <c r="F25" s="110">
        <f>表2_3671626293038912131415232425262728383941[[#This Row],[累计净值]]</f>
        <v>1</v>
      </c>
      <c r="G25" s="20">
        <f>IF(表2_3671626293038912131415232425262728383941[[#This Row],[累计净值]]&gt;$B$21,0.7*(表2_3671626293038912131415232425262728383941[[#This Row],[累计净值]]/$B$21-1),表2_3671626293038912131415232425262728383941[[#This Row],[累计净值]]/$B$21-1)</f>
        <v>0</v>
      </c>
    </row>
    <row r="26" spans="1:7" x14ac:dyDescent="0.2">
      <c r="A26" s="15">
        <v>44294</v>
      </c>
      <c r="B26" s="112">
        <v>0.999</v>
      </c>
      <c r="C26" s="108">
        <f t="shared" si="4"/>
        <v>-1.0000000000000009E-3</v>
      </c>
      <c r="D26" s="109">
        <f t="shared" si="5"/>
        <v>-1.0000000000000009E-3</v>
      </c>
      <c r="E26" s="109">
        <f t="shared" ca="1" si="3"/>
        <v>-1.0000000000000009E-3</v>
      </c>
      <c r="F26" s="110">
        <f>表2_3671626293038912131415232425262728383941[[#This Row],[累计净值]]</f>
        <v>0.999</v>
      </c>
      <c r="G26" s="20">
        <f>IF(表2_3671626293038912131415232425262728383941[[#This Row],[累计净值]]&gt;$B$21,0.7*(表2_3671626293038912131415232425262728383941[[#This Row],[累计净值]]/$B$21-1),表2_3671626293038912131415232425262728383941[[#This Row],[累计净值]]/$B$21-1)</f>
        <v>-1.0000000000000009E-3</v>
      </c>
    </row>
    <row r="27" spans="1:7" x14ac:dyDescent="0.2">
      <c r="A27" s="15">
        <v>44295</v>
      </c>
      <c r="B27" s="112">
        <v>0.999</v>
      </c>
      <c r="C27" s="108">
        <f t="shared" ref="C27:C33" si="6">IFERROR(B27-B26,0)</f>
        <v>0</v>
      </c>
      <c r="D27" s="109" t="str">
        <f t="shared" ref="D27:D33" si="7">IF(C27&lt;0,C27,"/")</f>
        <v>/</v>
      </c>
      <c r="E27" s="109">
        <f t="shared" ca="1" si="3"/>
        <v>-1.0000000000000009E-3</v>
      </c>
      <c r="F27" s="110">
        <f>表2_3671626293038912131415232425262728383941[[#This Row],[累计净值]]</f>
        <v>0.999</v>
      </c>
      <c r="G27" s="20">
        <f>IF(表2_3671626293038912131415232425262728383941[[#This Row],[累计净值]]&gt;$B$21,0.7*(表2_3671626293038912131415232425262728383941[[#This Row],[累计净值]]/$B$21-1),表2_3671626293038912131415232425262728383941[[#This Row],[累计净值]]/$B$21-1)</f>
        <v>-1.0000000000000009E-3</v>
      </c>
    </row>
    <row r="28" spans="1:7" x14ac:dyDescent="0.2">
      <c r="A28" s="15">
        <v>44298</v>
      </c>
      <c r="B28" s="112">
        <v>0.998</v>
      </c>
      <c r="C28" s="108">
        <f t="shared" si="6"/>
        <v>-1.0000000000000009E-3</v>
      </c>
      <c r="D28" s="109">
        <f t="shared" si="7"/>
        <v>-1.0000000000000009E-3</v>
      </c>
      <c r="E28" s="109">
        <f t="shared" ca="1" si="3"/>
        <v>-2.0000000000000018E-3</v>
      </c>
      <c r="F28" s="110">
        <f>表2_3671626293038912131415232425262728383941[[#This Row],[累计净值]]</f>
        <v>0.998</v>
      </c>
      <c r="G28" s="20">
        <f>IF(表2_3671626293038912131415232425262728383941[[#This Row],[累计净值]]&gt;$B$21,0.7*(表2_3671626293038912131415232425262728383941[[#This Row],[累计净值]]/$B$21-1),表2_3671626293038912131415232425262728383941[[#This Row],[累计净值]]/$B$21-1)</f>
        <v>-2.0000000000000018E-3</v>
      </c>
    </row>
    <row r="29" spans="1:7" x14ac:dyDescent="0.2">
      <c r="A29" s="15">
        <v>44299</v>
      </c>
      <c r="B29" s="112">
        <v>0.997</v>
      </c>
      <c r="C29" s="108">
        <f t="shared" si="6"/>
        <v>-1.0000000000000009E-3</v>
      </c>
      <c r="D29" s="109">
        <f t="shared" si="7"/>
        <v>-1.0000000000000009E-3</v>
      </c>
      <c r="E29" s="109">
        <f t="shared" ca="1" si="3"/>
        <v>-3.0000000000000027E-3</v>
      </c>
      <c r="F29" s="110">
        <f>表2_3671626293038912131415232425262728383941[[#This Row],[累计净值]]</f>
        <v>0.997</v>
      </c>
      <c r="G29" s="20">
        <f>IF(表2_3671626293038912131415232425262728383941[[#This Row],[累计净值]]&gt;$B$21,0.7*(表2_3671626293038912131415232425262728383941[[#This Row],[累计净值]]/$B$21-1),表2_3671626293038912131415232425262728383941[[#This Row],[累计净值]]/$B$21-1)</f>
        <v>-3.0000000000000027E-3</v>
      </c>
    </row>
    <row r="30" spans="1:7" x14ac:dyDescent="0.2">
      <c r="A30" s="15">
        <v>44300</v>
      </c>
      <c r="B30" s="112">
        <v>0.997</v>
      </c>
      <c r="C30" s="108">
        <f t="shared" si="6"/>
        <v>0</v>
      </c>
      <c r="D30" s="109" t="str">
        <f t="shared" si="7"/>
        <v>/</v>
      </c>
      <c r="E30" s="109">
        <f t="shared" ca="1" si="3"/>
        <v>-3.0000000000000027E-3</v>
      </c>
      <c r="F30" s="110">
        <f>表2_3671626293038912131415232425262728383941[[#This Row],[累计净值]]</f>
        <v>0.997</v>
      </c>
      <c r="G30" s="20">
        <f>IF(表2_3671626293038912131415232425262728383941[[#This Row],[累计净值]]&gt;$B$21,0.7*(表2_3671626293038912131415232425262728383941[[#This Row],[累计净值]]/$B$21-1),表2_3671626293038912131415232425262728383941[[#This Row],[累计净值]]/$B$21-1)</f>
        <v>-3.0000000000000027E-3</v>
      </c>
    </row>
    <row r="31" spans="1:7" x14ac:dyDescent="0.2">
      <c r="A31" s="15">
        <v>44301</v>
      </c>
      <c r="B31" s="112">
        <v>0.999</v>
      </c>
      <c r="C31" s="108">
        <f t="shared" si="6"/>
        <v>2.0000000000000018E-3</v>
      </c>
      <c r="D31" s="109" t="str">
        <f t="shared" si="7"/>
        <v>/</v>
      </c>
      <c r="E31" s="109">
        <f t="shared" ca="1" si="3"/>
        <v>-3.0000000000000027E-3</v>
      </c>
      <c r="F31" s="110">
        <f>表2_3671626293038912131415232425262728383941[[#This Row],[累计净值]]</f>
        <v>0.999</v>
      </c>
      <c r="G31" s="20">
        <f>IF(表2_3671626293038912131415232425262728383941[[#This Row],[累计净值]]&gt;$B$21,0.7*(表2_3671626293038912131415232425262728383941[[#This Row],[累计净值]]/$B$21-1),表2_3671626293038912131415232425262728383941[[#This Row],[累计净值]]/$B$21-1)</f>
        <v>-1.0000000000000009E-3</v>
      </c>
    </row>
    <row r="32" spans="1:7" x14ac:dyDescent="0.2">
      <c r="A32" s="15">
        <v>44302</v>
      </c>
      <c r="B32" s="112">
        <v>1.0009999999999999</v>
      </c>
      <c r="C32" s="108">
        <f t="shared" si="6"/>
        <v>1.9999999999998908E-3</v>
      </c>
      <c r="D32" s="109" t="str">
        <f t="shared" si="7"/>
        <v>/</v>
      </c>
      <c r="E32" s="109">
        <f t="shared" ca="1" si="3"/>
        <v>-3.0000000000000027E-3</v>
      </c>
      <c r="F32" s="110">
        <f>表2_3671626293038912131415232425262728383941[[#This Row],[累计净值]]</f>
        <v>1.0009999999999999</v>
      </c>
      <c r="G32" s="20">
        <f>IF(表2_3671626293038912131415232425262728383941[[#This Row],[累计净值]]&gt;$B$21,0.7*(表2_3671626293038912131415232425262728383941[[#This Row],[累计净值]]/$B$21-1),表2_3671626293038912131415232425262728383941[[#This Row],[累计净值]]/$B$21-1)</f>
        <v>6.9999999999992291E-4</v>
      </c>
    </row>
    <row r="33" spans="1:7" x14ac:dyDescent="0.2">
      <c r="A33" s="15">
        <v>44305</v>
      </c>
      <c r="B33" s="112">
        <v>1</v>
      </c>
      <c r="C33" s="108">
        <f t="shared" si="6"/>
        <v>-9.9999999999988987E-4</v>
      </c>
      <c r="D33" s="109">
        <f t="shared" si="7"/>
        <v>-9.9999999999988987E-4</v>
      </c>
      <c r="E33" s="109">
        <f t="shared" ca="1" si="3"/>
        <v>-3.0000000000000027E-3</v>
      </c>
      <c r="F33" s="110">
        <f>表2_3671626293038912131415232425262728383941[[#This Row],[累计净值]]</f>
        <v>1</v>
      </c>
      <c r="G33" s="20">
        <f>IF(表2_3671626293038912131415232425262728383941[[#This Row],[累计净值]]&gt;$B$21,0.7*(表2_3671626293038912131415232425262728383941[[#This Row],[累计净值]]/$B$21-1),表2_3671626293038912131415232425262728383941[[#This Row],[累计净值]]/$B$21-1)</f>
        <v>0</v>
      </c>
    </row>
    <row r="34" spans="1:7" x14ac:dyDescent="0.2">
      <c r="A34" s="15">
        <v>44306</v>
      </c>
      <c r="B34" s="112">
        <v>1.002</v>
      </c>
      <c r="C34" s="108">
        <f>IFERROR(B34-B33,0)</f>
        <v>2.0000000000000018E-3</v>
      </c>
      <c r="D34" s="109" t="str">
        <f>IF(C34&lt;0,C34,"/")</f>
        <v>/</v>
      </c>
      <c r="E34" s="109">
        <f t="shared" ca="1" si="3"/>
        <v>-3.0000000000000027E-3</v>
      </c>
      <c r="F34" s="110">
        <f>表2_3671626293038912131415232425262728383941[[#This Row],[累计净值]]</f>
        <v>1.002</v>
      </c>
      <c r="G34" s="20">
        <f>IF(表2_3671626293038912131415232425262728383941[[#This Row],[累计净值]]&gt;$B$21,0.7*(表2_3671626293038912131415232425262728383941[[#This Row],[累计净值]]/$B$21-1),表2_3671626293038912131415232425262728383941[[#This Row],[累计净值]]/$B$21-1)</f>
        <v>1.4000000000000011E-3</v>
      </c>
    </row>
    <row r="35" spans="1:7" x14ac:dyDescent="0.2">
      <c r="A35" s="15">
        <v>44307</v>
      </c>
      <c r="B35" s="112">
        <v>1.0029999999999999</v>
      </c>
      <c r="C35" s="108">
        <f>IFERROR(B35-B34,0)</f>
        <v>9.9999999999988987E-4</v>
      </c>
      <c r="D35" s="109" t="str">
        <f>IF(C35&lt;0,C35,"/")</f>
        <v>/</v>
      </c>
      <c r="E35" s="109">
        <f t="shared" ca="1" si="3"/>
        <v>-3.0000000000000027E-3</v>
      </c>
      <c r="F35" s="110">
        <f>表2_3671626293038912131415232425262728383941[[#This Row],[累计净值]]</f>
        <v>1.0029999999999999</v>
      </c>
      <c r="G35" s="20">
        <f>IF(表2_3671626293038912131415232425262728383941[[#This Row],[累计净值]]&gt;$B$21,0.7*(表2_3671626293038912131415232425262728383941[[#This Row],[累计净值]]/$B$21-1),表2_3671626293038912131415232425262728383941[[#This Row],[累计净值]]/$B$21-1)</f>
        <v>2.099999999999924E-3</v>
      </c>
    </row>
    <row r="36" spans="1:7" x14ac:dyDescent="0.2">
      <c r="A36" s="15">
        <v>44308</v>
      </c>
      <c r="B36" s="112">
        <v>1.0029999999999999</v>
      </c>
      <c r="C36" s="108">
        <f>IFERROR(B36-B35,0)</f>
        <v>0</v>
      </c>
      <c r="D36" s="109" t="str">
        <f>IF(C36&lt;0,C36,"/")</f>
        <v>/</v>
      </c>
      <c r="E36" s="109">
        <f t="shared" ca="1" si="3"/>
        <v>-3.0000000000000027E-3</v>
      </c>
      <c r="F36" s="110">
        <f>表2_3671626293038912131415232425262728383941[[#This Row],[累计净值]]</f>
        <v>1.0029999999999999</v>
      </c>
      <c r="G36" s="20">
        <f>IF(表2_3671626293038912131415232425262728383941[[#This Row],[累计净值]]&gt;$B$21,0.7*(表2_3671626293038912131415232425262728383941[[#This Row],[累计净值]]/$B$21-1),表2_3671626293038912131415232425262728383941[[#This Row],[累计净值]]/$B$21-1)</f>
        <v>2.099999999999924E-3</v>
      </c>
    </row>
    <row r="37" spans="1:7" x14ac:dyDescent="0.2">
      <c r="A37" s="15">
        <v>44309</v>
      </c>
      <c r="B37" s="112">
        <v>1.0049999999999999</v>
      </c>
      <c r="C37" s="108">
        <f t="shared" ref="C37:C38" si="8">IFERROR(B37-B36,0)</f>
        <v>2.0000000000000018E-3</v>
      </c>
      <c r="D37" s="109" t="str">
        <f t="shared" ref="D37:D38" si="9">IF(C37&lt;0,C37,"/")</f>
        <v>/</v>
      </c>
      <c r="E37" s="109">
        <f t="shared" ca="1" si="3"/>
        <v>-3.0000000000000027E-3</v>
      </c>
      <c r="F37" s="110">
        <f>表2_3671626293038912131415232425262728383941[[#This Row],[累计净值]]</f>
        <v>1.0049999999999999</v>
      </c>
      <c r="G37" s="20">
        <f>IF(表2_3671626293038912131415232425262728383941[[#This Row],[累计净值]]&gt;$B$21,0.7*(表2_3671626293038912131415232425262728383941[[#This Row],[累计净值]]/$B$21-1),表2_3671626293038912131415232425262728383941[[#This Row],[累计净值]]/$B$21-1)</f>
        <v>3.499999999999925E-3</v>
      </c>
    </row>
    <row r="38" spans="1:7" x14ac:dyDescent="0.2">
      <c r="A38" s="15">
        <v>44312</v>
      </c>
      <c r="B38" s="112">
        <v>1.0069999999999999</v>
      </c>
      <c r="C38" s="108">
        <f t="shared" si="8"/>
        <v>2.0000000000000018E-3</v>
      </c>
      <c r="D38" s="109" t="str">
        <f t="shared" si="9"/>
        <v>/</v>
      </c>
      <c r="E38" s="109">
        <f t="shared" ca="1" si="3"/>
        <v>-3.0000000000000027E-3</v>
      </c>
      <c r="F38" s="110">
        <f>表2_3671626293038912131415232425262728383941[[#This Row],[累计净值]]</f>
        <v>1.0069999999999999</v>
      </c>
      <c r="G38" s="20">
        <f>IF(表2_3671626293038912131415232425262728383941[[#This Row],[累计净值]]&gt;$B$21,0.7*(表2_3671626293038912131415232425262728383941[[#This Row],[累计净值]]/$B$21-1),表2_3671626293038912131415232425262728383941[[#This Row],[累计净值]]/$B$21-1)</f>
        <v>4.8999999999999261E-3</v>
      </c>
    </row>
    <row r="39" spans="1:7" x14ac:dyDescent="0.2">
      <c r="A39" s="15">
        <v>44313</v>
      </c>
      <c r="B39" s="112">
        <v>1.0069999999999999</v>
      </c>
      <c r="C39" s="108">
        <f>IFERROR(B39-B38,0)</f>
        <v>0</v>
      </c>
      <c r="D39" s="109" t="str">
        <f>IF(C39&lt;0,C39,"/")</f>
        <v>/</v>
      </c>
      <c r="E39" s="109">
        <f ca="1">IF(表2_367162629303891213141523242526272835[[#This Row],[累计净值]]/MAX(INDIRECT("B21:B" &amp; ROW()))-1&lt;E38,表2_367162629303891213141523242526272835[[#This Row],[累计净值]]/MAX(INDIRECT("B21:B" &amp; ROW()))-1,E38)</f>
        <v>-6.4548162859979774E-3</v>
      </c>
      <c r="F39" s="110">
        <f>表2_3671626293038912131415232425262728383941[[#This Row],[累计净值]]</f>
        <v>1.0069999999999999</v>
      </c>
      <c r="G39" s="20">
        <f>IF(表2_3671626293038912131415232425262728383941[[#This Row],[累计净值]]&gt;$B$21,0.7*(表2_3671626293038912131415232425262728383941[[#This Row],[累计净值]]/$B$21-1),表2_3671626293038912131415232425262728383941[[#This Row],[累计净值]]/$B$21-1)</f>
        <v>4.8999999999999261E-3</v>
      </c>
    </row>
    <row r="40" spans="1:7" x14ac:dyDescent="0.2">
      <c r="A40" s="15">
        <v>44314</v>
      </c>
      <c r="B40" s="112">
        <v>0.998</v>
      </c>
      <c r="C40" s="108">
        <f>IFERROR(B40-B39,0)</f>
        <v>-8.999999999999897E-3</v>
      </c>
      <c r="D40" s="109">
        <f>IF(C40&lt;0,C40,"/")</f>
        <v>-8.999999999999897E-3</v>
      </c>
      <c r="E40" s="109">
        <f ca="1">IF(表2_367162629303891213141523242526272835[[#This Row],[累计净值]]/MAX(INDIRECT("B21:B" &amp; ROW()))-1&lt;E39,表2_367162629303891213141523242526272835[[#This Row],[累计净值]]/MAX(INDIRECT("B21:B" &amp; ROW()))-1,E39)</f>
        <v>-6.4548162859979774E-3</v>
      </c>
      <c r="F40" s="110">
        <f>表2_3671626293038912131415232425262728383941[[#This Row],[累计净值]]</f>
        <v>0.998</v>
      </c>
      <c r="G40" s="20">
        <f>IF(表2_3671626293038912131415232425262728383941[[#This Row],[累计净值]]&gt;$B$21,0.7*(表2_3671626293038912131415232425262728383941[[#This Row],[累计净值]]/$B$21-1),表2_3671626293038912131415232425262728383941[[#This Row],[累计净值]]/$B$21-1)</f>
        <v>-2.0000000000000018E-3</v>
      </c>
    </row>
    <row r="41" spans="1:7" x14ac:dyDescent="0.2">
      <c r="A41" s="15">
        <v>44315</v>
      </c>
      <c r="B41" s="112">
        <v>1.0009999999999999</v>
      </c>
      <c r="C41" s="108">
        <f t="shared" ref="C41:C42" si="10">IFERROR(B41-B40,0)</f>
        <v>2.9999999999998916E-3</v>
      </c>
      <c r="D41" s="109" t="str">
        <f t="shared" ref="D41:D42" si="11">IF(C41&lt;0,C41,"/")</f>
        <v>/</v>
      </c>
      <c r="E41" s="109">
        <f ca="1">IF(表2_367162629303891213141523242526272835[[#This Row],[累计净值]]/MAX(INDIRECT("B21:B" &amp; ROW()))-1&lt;E40,表2_367162629303891213141523242526272835[[#This Row],[累计净值]]/MAX(INDIRECT("B21:B" &amp; ROW()))-1,E40)</f>
        <v>-6.4548162859979774E-3</v>
      </c>
      <c r="F41" s="110">
        <f>表2_3671626293038912131415232425262728383941[[#This Row],[累计净值]]</f>
        <v>1.0009999999999999</v>
      </c>
      <c r="G41" s="20">
        <f>IF(表2_3671626293038912131415232425262728383941[[#This Row],[累计净值]]&gt;$B$21,0.7*(表2_3671626293038912131415232425262728383941[[#This Row],[累计净值]]/$B$21-1),表2_3671626293038912131415232425262728383941[[#This Row],[累计净值]]/$B$21-1)</f>
        <v>6.9999999999992291E-4</v>
      </c>
    </row>
    <row r="42" spans="1:7" x14ac:dyDescent="0.2">
      <c r="A42" s="15">
        <v>44316</v>
      </c>
      <c r="B42" s="112">
        <v>1.004</v>
      </c>
      <c r="C42" s="108">
        <f t="shared" si="10"/>
        <v>3.0000000000001137E-3</v>
      </c>
      <c r="D42" s="109" t="str">
        <f t="shared" si="11"/>
        <v>/</v>
      </c>
      <c r="E42" s="109">
        <f ca="1">IF(表2_367162629303891213141523242526272835[[#This Row],[累计净值]]/MAX(INDIRECT("B21:B" &amp; ROW()))-1&lt;E41,表2_367162629303891213141523242526272835[[#This Row],[累计净值]]/MAX(INDIRECT("B21:B" &amp; ROW()))-1,E41)</f>
        <v>-6.4548162859979774E-3</v>
      </c>
      <c r="F42" s="110">
        <f>表2_3671626293038912131415232425262728383941[[#This Row],[累计净值]]</f>
        <v>1.004</v>
      </c>
      <c r="G42" s="20">
        <f>IF(表2_3671626293038912131415232425262728383941[[#This Row],[累计净值]]&gt;$B$21,0.7*(表2_3671626293038912131415232425262728383941[[#This Row],[累计净值]]/$B$21-1),表2_3671626293038912131415232425262728383941[[#This Row],[累计净值]]/$B$21-1)</f>
        <v>2.8000000000000021E-3</v>
      </c>
    </row>
    <row r="43" spans="1:7" x14ac:dyDescent="0.2">
      <c r="A43" s="15">
        <v>44322</v>
      </c>
      <c r="B43" s="112">
        <v>1.0209999999999999</v>
      </c>
      <c r="C43" s="108">
        <f t="shared" ref="C43:C48" si="12">IFERROR(B43-B42,0)</f>
        <v>1.6999999999999904E-2</v>
      </c>
      <c r="D43" s="109" t="str">
        <f t="shared" ref="D43:D48" si="13">IF(C43&lt;0,C43,"/")</f>
        <v>/</v>
      </c>
      <c r="E43" s="109">
        <f ca="1">IF(表2_367162629303891213141523242526272835[[#This Row],[累计净值]]/MAX(INDIRECT("B21:B" &amp; ROW()))-1&lt;E42,表2_367162629303891213141523242526272835[[#This Row],[累计净值]]/MAX(INDIRECT("B21:B" &amp; ROW()))-1,E42)</f>
        <v>-6.4548162859979774E-3</v>
      </c>
      <c r="F43" s="110">
        <f>表2_3671626293038912131415232425262728383941[[#This Row],[累计净值]]</f>
        <v>1.0209999999999999</v>
      </c>
      <c r="G43" s="20">
        <f>IF(表2_3671626293038912131415232425262728383941[[#This Row],[累计净值]]&gt;$B$21,0.7*(表2_3671626293038912131415232425262728383941[[#This Row],[累计净值]]/$B$21-1),表2_3671626293038912131415232425262728383941[[#This Row],[累计净值]]/$B$21-1)</f>
        <v>1.4699999999999934E-2</v>
      </c>
    </row>
    <row r="44" spans="1:7" x14ac:dyDescent="0.2">
      <c r="A44" s="15">
        <v>44323</v>
      </c>
      <c r="B44" s="112">
        <v>1.02</v>
      </c>
      <c r="C44" s="108">
        <f t="shared" si="12"/>
        <v>-9.9999999999988987E-4</v>
      </c>
      <c r="D44" s="109">
        <f t="shared" si="13"/>
        <v>-9.9999999999988987E-4</v>
      </c>
      <c r="E44" s="109">
        <f ca="1">IF(表2_367162629303891213141523242526272835[[#This Row],[累计净值]]/MAX(INDIRECT("B21:B" &amp; ROW()))-1&lt;E43,表2_367162629303891213141523242526272835[[#This Row],[累计净值]]/MAX(INDIRECT("B21:B" &amp; ROW()))-1,E43)</f>
        <v>-6.4548162859979774E-3</v>
      </c>
      <c r="F44" s="110">
        <f>表2_3671626293038912131415232425262728383941[[#This Row],[累计净值]]</f>
        <v>1.02</v>
      </c>
      <c r="G44" s="20">
        <f>IF(表2_3671626293038912131415232425262728383941[[#This Row],[累计净值]]&gt;$B$21,0.7*(表2_3671626293038912131415232425262728383941[[#This Row],[累计净值]]/$B$21-1),表2_3671626293038912131415232425262728383941[[#This Row],[累计净值]]/$B$21-1)</f>
        <v>1.4000000000000011E-2</v>
      </c>
    </row>
    <row r="45" spans="1:7" x14ac:dyDescent="0.2">
      <c r="A45" s="15">
        <v>44326</v>
      </c>
      <c r="B45" s="112">
        <v>1.022</v>
      </c>
      <c r="C45" s="108">
        <f t="shared" si="12"/>
        <v>2.0000000000000018E-3</v>
      </c>
      <c r="D45" s="109" t="str">
        <f t="shared" si="13"/>
        <v>/</v>
      </c>
      <c r="E45" s="109">
        <f ca="1">IF(表2_367162629303891213141523242526272835[[#This Row],[累计净值]]/MAX(INDIRECT("B21:B" &amp; ROW()))-1&lt;E44,表2_367162629303891213141523242526272835[[#This Row],[累计净值]]/MAX(INDIRECT("B21:B" &amp; ROW()))-1,E44)</f>
        <v>-6.4548162859979774E-3</v>
      </c>
      <c r="F45" s="110">
        <f>表2_3671626293038912131415232425262728383941[[#This Row],[累计净值]]</f>
        <v>1.022</v>
      </c>
      <c r="G45" s="20">
        <f>IF(表2_3671626293038912131415232425262728383941[[#This Row],[累计净值]]&gt;$B$21,0.7*(表2_3671626293038912131415232425262728383941[[#This Row],[累计净值]]/$B$21-1),表2_3671626293038912131415232425262728383941[[#This Row],[累计净值]]/$B$21-1)</f>
        <v>1.5400000000000013E-2</v>
      </c>
    </row>
    <row r="46" spans="1:7" x14ac:dyDescent="0.2">
      <c r="A46" s="15">
        <v>44327</v>
      </c>
      <c r="B46" s="112">
        <v>1.024</v>
      </c>
      <c r="C46" s="108">
        <f t="shared" si="12"/>
        <v>2.0000000000000018E-3</v>
      </c>
      <c r="D46" s="109" t="str">
        <f t="shared" si="13"/>
        <v>/</v>
      </c>
      <c r="E46" s="109">
        <f ca="1">IF(表2_367162629303891213141523242526272835[[#This Row],[累计净值]]/MAX(INDIRECT("B21:B" &amp; ROW()))-1&lt;E45,表2_367162629303891213141523242526272835[[#This Row],[累计净值]]/MAX(INDIRECT("B21:B" &amp; ROW()))-1,E45)</f>
        <v>-6.4548162859979774E-3</v>
      </c>
      <c r="F46" s="110">
        <f>表2_3671626293038912131415232425262728383941[[#This Row],[累计净值]]</f>
        <v>1.024</v>
      </c>
      <c r="G46" s="20">
        <f>IF(表2_3671626293038912131415232425262728383941[[#This Row],[累计净值]]&gt;$B$21,0.7*(表2_3671626293038912131415232425262728383941[[#This Row],[累计净值]]/$B$21-1),表2_3671626293038912131415232425262728383941[[#This Row],[累计净值]]/$B$21-1)</f>
        <v>1.6800000000000013E-2</v>
      </c>
    </row>
    <row r="47" spans="1:7" x14ac:dyDescent="0.2">
      <c r="A47" s="15">
        <v>44328</v>
      </c>
      <c r="B47" s="112">
        <v>1.028</v>
      </c>
      <c r="C47" s="108">
        <f t="shared" si="12"/>
        <v>4.0000000000000036E-3</v>
      </c>
      <c r="D47" s="109" t="str">
        <f t="shared" si="13"/>
        <v>/</v>
      </c>
      <c r="E47" s="109">
        <f ca="1">IF(表2_367162629303891213141523242526272835[[#This Row],[累计净值]]/MAX(INDIRECT("B21:B" &amp; ROW()))-1&lt;E46,表2_367162629303891213141523242526272835[[#This Row],[累计净值]]/MAX(INDIRECT("B21:B" &amp; ROW()))-1,E46)</f>
        <v>-6.4548162859979774E-3</v>
      </c>
      <c r="F47" s="110">
        <f>表2_3671626293038912131415232425262728383941[[#This Row],[累计净值]]</f>
        <v>1.028</v>
      </c>
      <c r="G47" s="20">
        <f>IF(表2_3671626293038912131415232425262728383941[[#This Row],[累计净值]]&gt;$B$21,0.7*(表2_3671626293038912131415232425262728383941[[#This Row],[累计净值]]/$B$21-1),表2_3671626293038912131415232425262728383941[[#This Row],[累计净值]]/$B$21-1)</f>
        <v>1.9600000000000017E-2</v>
      </c>
    </row>
    <row r="48" spans="1:7" x14ac:dyDescent="0.2">
      <c r="A48" s="15">
        <v>44329</v>
      </c>
      <c r="B48" s="112">
        <v>1.03</v>
      </c>
      <c r="C48" s="108">
        <f t="shared" si="12"/>
        <v>2.0000000000000018E-3</v>
      </c>
      <c r="D48" s="109" t="str">
        <f t="shared" si="13"/>
        <v>/</v>
      </c>
      <c r="E48" s="109">
        <f ca="1">IF(表2_367162629303891213141523242526272835[[#This Row],[累计净值]]/MAX(INDIRECT("B21:B" &amp; ROW()))-1&lt;E47,表2_367162629303891213141523242526272835[[#This Row],[累计净值]]/MAX(INDIRECT("B21:B" &amp; ROW()))-1,E47)</f>
        <v>-6.4548162859979774E-3</v>
      </c>
      <c r="F48" s="110">
        <f>表2_3671626293038912131415232425262728383941[[#This Row],[累计净值]]</f>
        <v>1.03</v>
      </c>
      <c r="G48" s="20">
        <f>IF(表2_3671626293038912131415232425262728383941[[#This Row],[累计净值]]&gt;$B$21,0.7*(表2_3671626293038912131415232425262728383941[[#This Row],[累计净值]]/$B$21-1),表2_3671626293038912131415232425262728383941[[#This Row],[累计净值]]/$B$21-1)</f>
        <v>2.1000000000000019E-2</v>
      </c>
    </row>
    <row r="49" spans="1:7" x14ac:dyDescent="0.2">
      <c r="A49" s="15">
        <v>44330</v>
      </c>
      <c r="B49" s="112">
        <v>1.028</v>
      </c>
      <c r="C49" s="108">
        <f>IFERROR(B49-B48,0)</f>
        <v>-2.0000000000000018E-3</v>
      </c>
      <c r="D49" s="109">
        <f>IF(C49&lt;0,C49,"/")</f>
        <v>-2.0000000000000018E-3</v>
      </c>
      <c r="E49" s="109">
        <f ca="1">IF(表2_367162629303891213141523242526272835[[#This Row],[累计净值]]/MAX(INDIRECT("B21:B" &amp; ROW()))-1&lt;E48,表2_367162629303891213141523242526272835[[#This Row],[累计净值]]/MAX(INDIRECT("B21:B" &amp; ROW()))-1,E48)</f>
        <v>-6.4548162859979774E-3</v>
      </c>
      <c r="F49" s="110">
        <f>表2_3671626293038912131415232425262728383941[[#This Row],[累计净值]]</f>
        <v>1.028</v>
      </c>
      <c r="G49" s="20">
        <f>IF(表2_3671626293038912131415232425262728383941[[#This Row],[累计净值]]&gt;$B$21,0.7*(表2_3671626293038912131415232425262728383941[[#This Row],[累计净值]]/$B$21-1),表2_3671626293038912131415232425262728383941[[#This Row],[累计净值]]/$B$21-1)</f>
        <v>1.9600000000000017E-2</v>
      </c>
    </row>
    <row r="50" spans="1:7" x14ac:dyDescent="0.2">
      <c r="A50" s="15">
        <v>44333</v>
      </c>
      <c r="B50" s="112">
        <v>1.03</v>
      </c>
      <c r="C50" s="108">
        <f>IFERROR(B50-B49,0)</f>
        <v>2.0000000000000018E-3</v>
      </c>
      <c r="D50" s="109" t="str">
        <f>IF(C50&lt;0,C50,"/")</f>
        <v>/</v>
      </c>
      <c r="E50" s="109">
        <f ca="1">IF(表2_367162629303891213141523242526272835[[#This Row],[累计净值]]/MAX(INDIRECT("B21:B" &amp; ROW()))-1&lt;E49,表2_367162629303891213141523242526272835[[#This Row],[累计净值]]/MAX(INDIRECT("B21:B" &amp; ROW()))-1,E49)</f>
        <v>-6.4548162859979774E-3</v>
      </c>
      <c r="F50" s="110">
        <f>表2_3671626293038912131415232425262728383941[[#This Row],[累计净值]]</f>
        <v>1.03</v>
      </c>
      <c r="G50" s="20">
        <f>IF(表2_3671626293038912131415232425262728383941[[#This Row],[累计净值]]&gt;$B$21,0.7*(表2_3671626293038912131415232425262728383941[[#This Row],[累计净值]]/$B$21-1),表2_3671626293038912131415232425262728383941[[#This Row],[累计净值]]/$B$21-1)</f>
        <v>2.1000000000000019E-2</v>
      </c>
    </row>
  </sheetData>
  <mergeCells count="1">
    <mergeCell ref="G2:G3"/>
  </mergeCells>
  <phoneticPr fontId="24" type="noConversion"/>
  <pageMargins left="0.7" right="0.7" top="0.75" bottom="0.75" header="0.3" footer="0.3"/>
  <pageSetup paperSize="9" orientation="portrait" horizontalDpi="4294967295" verticalDpi="4294967295" r:id="rId1"/>
  <drawing r:id="rId2"/>
  <tableParts count="1">
    <tablePart r:id="rId3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"/>
  <sheetViews>
    <sheetView topLeftCell="A7" workbookViewId="0">
      <selection activeCell="I34" sqref="I34"/>
    </sheetView>
  </sheetViews>
  <sheetFormatPr defaultColWidth="9" defaultRowHeight="14.25" x14ac:dyDescent="0.2"/>
  <cols>
    <col min="1" max="1" width="11.625" style="1" bestFit="1" customWidth="1"/>
    <col min="2" max="2" width="13" style="1" customWidth="1"/>
    <col min="3" max="4" width="13.5" style="1" bestFit="1" customWidth="1"/>
    <col min="5" max="5" width="10.75" style="1" customWidth="1"/>
    <col min="6" max="6" width="11.125" style="1" customWidth="1"/>
    <col min="7" max="7" width="18.875" style="2" customWidth="1"/>
    <col min="8" max="8" width="14.25" style="1" customWidth="1"/>
    <col min="9" max="9" width="12" style="1" bestFit="1" customWidth="1"/>
    <col min="10" max="16384" width="9" style="1"/>
  </cols>
  <sheetData>
    <row r="1" spans="1:7" ht="15" thickBot="1" x14ac:dyDescent="0.25"/>
    <row r="2" spans="1:7" ht="15" thickBot="1" x14ac:dyDescent="0.25">
      <c r="A2" s="23" t="s">
        <v>0</v>
      </c>
      <c r="B2" s="24">
        <f>COUNT(表2_3671626293038912131415232425262728383941434446[每日盈亏])</f>
        <v>14</v>
      </c>
      <c r="C2" s="27"/>
      <c r="D2" s="3" t="s">
        <v>1</v>
      </c>
      <c r="E2" s="28"/>
      <c r="F2" s="1" t="s">
        <v>2</v>
      </c>
      <c r="G2" s="394" t="s">
        <v>3</v>
      </c>
    </row>
    <row r="3" spans="1:7" x14ac:dyDescent="0.2">
      <c r="A3" s="25" t="s">
        <v>4</v>
      </c>
      <c r="B3" s="26">
        <f>COUNTIF(表2_3671626293038912131415232425262728383941434446[每日盈亏],"&gt;0")</f>
        <v>6</v>
      </c>
      <c r="C3" s="29"/>
      <c r="D3" s="30" t="s">
        <v>5</v>
      </c>
      <c r="E3" s="31">
        <f>245^0.5*(B10-0.025/365)/E10</f>
        <v>1.1692411375229539</v>
      </c>
      <c r="G3" s="394"/>
    </row>
    <row r="4" spans="1:7" x14ac:dyDescent="0.2">
      <c r="A4" s="25" t="s">
        <v>6</v>
      </c>
      <c r="B4" s="26">
        <f>COUNTIF(表2_3671626293038912131415232425262728383941434446[每日盈亏],"&lt;0")</f>
        <v>7</v>
      </c>
      <c r="C4" s="29"/>
      <c r="D4" s="32" t="s">
        <v>7</v>
      </c>
      <c r="E4" s="31">
        <f ca="1">-B9/E8</f>
        <v>19.078278549644217</v>
      </c>
      <c r="G4" s="2">
        <f>LOOKUP(999^10,表2_3671626293038912131415232425262728383941434446[累计净值])</f>
        <v>0.90329999999999999</v>
      </c>
    </row>
    <row r="5" spans="1:7" x14ac:dyDescent="0.2">
      <c r="A5" s="25" t="s">
        <v>8</v>
      </c>
      <c r="B5" s="26">
        <f>B2-B3-B4</f>
        <v>1</v>
      </c>
      <c r="C5" s="29"/>
      <c r="D5" s="33" t="s">
        <v>9</v>
      </c>
      <c r="E5" s="4">
        <f>245^0.5*(B10-0.025/365)/E9</f>
        <v>1.8924451742815429</v>
      </c>
    </row>
    <row r="6" spans="1:7" ht="15" thickBot="1" x14ac:dyDescent="0.25">
      <c r="A6" s="34"/>
      <c r="B6" s="35"/>
      <c r="C6" s="35"/>
      <c r="D6" s="35"/>
      <c r="E6" s="36"/>
    </row>
    <row r="7" spans="1:7" ht="15" thickBot="1" x14ac:dyDescent="0.25">
      <c r="A7" s="5" t="s">
        <v>10</v>
      </c>
      <c r="B7" s="35"/>
      <c r="C7" s="35"/>
      <c r="D7" s="3" t="s">
        <v>11</v>
      </c>
      <c r="E7" s="37"/>
    </row>
    <row r="8" spans="1:7" x14ac:dyDescent="0.2">
      <c r="A8" s="38" t="s">
        <v>12</v>
      </c>
      <c r="B8" s="39">
        <f>LOOKUP(999^10,表2_3671626293038912131415232425262728383941434446[累计净值])/$B$21-1</f>
        <v>2.0332090816672421E-2</v>
      </c>
      <c r="C8" s="40"/>
      <c r="D8" s="30" t="s">
        <v>13</v>
      </c>
      <c r="E8" s="41">
        <f ca="1">MIN(表2_3671626293038912131415232425262728383941434446[最大回撤])</f>
        <v>-1.8650088809946785E-2</v>
      </c>
    </row>
    <row r="9" spans="1:7" x14ac:dyDescent="0.2">
      <c r="A9" s="25" t="s">
        <v>14</v>
      </c>
      <c r="B9" s="32">
        <f>B8*245/B2</f>
        <v>0.35581158929176737</v>
      </c>
      <c r="C9" s="40"/>
      <c r="D9" s="33" t="s">
        <v>15</v>
      </c>
      <c r="E9" s="6">
        <f>STDEV(表2_3671626293038912131415232425262728383941434446[下跌幅度])</f>
        <v>1.0067675761470246E-2</v>
      </c>
    </row>
    <row r="10" spans="1:7" x14ac:dyDescent="0.2">
      <c r="A10" s="42" t="s">
        <v>16</v>
      </c>
      <c r="B10" s="43">
        <f>AVERAGE(表2_3671626293038912131415232425262728383941434446[每日盈亏])</f>
        <v>1.2857142857142869E-3</v>
      </c>
      <c r="C10" s="44"/>
      <c r="D10" s="33" t="s">
        <v>17</v>
      </c>
      <c r="E10" s="6">
        <f>STDEV(表2_3671626293038912131415232425262728383941434446[每日盈亏])</f>
        <v>1.6294777697771171E-2</v>
      </c>
    </row>
    <row r="11" spans="1:7" x14ac:dyDescent="0.2">
      <c r="A11" s="7" t="s">
        <v>18</v>
      </c>
      <c r="B11" s="32">
        <f>B3/B2</f>
        <v>0.42857142857142855</v>
      </c>
      <c r="C11" s="40"/>
      <c r="D11" s="32" t="s">
        <v>19</v>
      </c>
      <c r="E11" s="41">
        <f>245^0.5*E10</f>
        <v>0.25505361427324702</v>
      </c>
    </row>
    <row r="12" spans="1:7" ht="15" thickBot="1" x14ac:dyDescent="0.25">
      <c r="A12" s="45" t="s">
        <v>20</v>
      </c>
      <c r="B12" s="46">
        <f>-(SUMIF(表2_3671626293038912131415232425262728383941434446[每日盈亏],"&gt;=0")/B3)/(SUMIF(表2_3671626293038912131415232425262728383941434446[每日盈亏],"&lt;0")/B4)</f>
        <v>1.4466666666666668</v>
      </c>
      <c r="C12" s="47"/>
      <c r="D12" s="48"/>
      <c r="E12" s="49"/>
    </row>
    <row r="14" spans="1:7" ht="28.5" x14ac:dyDescent="0.2">
      <c r="A14" s="50" t="s">
        <v>21</v>
      </c>
      <c r="B14" s="50" t="s">
        <v>14</v>
      </c>
      <c r="C14" s="51" t="s">
        <v>19</v>
      </c>
      <c r="D14" s="51" t="s">
        <v>13</v>
      </c>
      <c r="E14" s="51" t="s">
        <v>5</v>
      </c>
      <c r="F14" s="51" t="s">
        <v>7</v>
      </c>
    </row>
    <row r="15" spans="1:7" x14ac:dyDescent="0.2">
      <c r="A15" s="78">
        <f>B2</f>
        <v>14</v>
      </c>
      <c r="B15" s="53">
        <f>B9</f>
        <v>0.35581158929176737</v>
      </c>
      <c r="C15" s="53">
        <f>E11</f>
        <v>0.25505361427324702</v>
      </c>
      <c r="D15" s="53">
        <f ca="1">E8</f>
        <v>-1.8650088809946785E-2</v>
      </c>
      <c r="E15" s="54">
        <f>E3</f>
        <v>1.1692411375229539</v>
      </c>
      <c r="F15" s="54">
        <f ca="1">E4</f>
        <v>19.078278549644217</v>
      </c>
    </row>
    <row r="19" spans="1:7" x14ac:dyDescent="0.2">
      <c r="A19" s="8"/>
      <c r="B19" s="1" t="s">
        <v>22</v>
      </c>
    </row>
    <row r="20" spans="1:7" ht="15.75" x14ac:dyDescent="0.2">
      <c r="A20" s="22" t="s">
        <v>23</v>
      </c>
      <c r="B20" s="22" t="s">
        <v>24</v>
      </c>
      <c r="C20" s="22" t="s">
        <v>25</v>
      </c>
      <c r="D20" s="22" t="s">
        <v>26</v>
      </c>
      <c r="E20" s="22" t="s">
        <v>27</v>
      </c>
      <c r="F20" s="22" t="s">
        <v>28</v>
      </c>
      <c r="G20" s="22" t="s">
        <v>29</v>
      </c>
    </row>
    <row r="21" spans="1:7" x14ac:dyDescent="0.2">
      <c r="A21" s="15">
        <v>44309</v>
      </c>
      <c r="B21" s="16">
        <v>0.88529999999999998</v>
      </c>
      <c r="C21" s="11">
        <f t="shared" ref="C21" si="0">IFERROR(B21-B20,0)</f>
        <v>0</v>
      </c>
      <c r="D21" s="12" t="str">
        <f>IF(C21&lt;0,C21,"/")</f>
        <v>/</v>
      </c>
      <c r="E21" s="12">
        <v>0</v>
      </c>
      <c r="F21" s="13">
        <f>表2_3671626293038912131415232425262728383941434446[[#This Row],[累计净值]]</f>
        <v>0.88529999999999998</v>
      </c>
      <c r="G21" s="194" t="s">
        <v>30</v>
      </c>
    </row>
    <row r="22" spans="1:7" x14ac:dyDescent="0.2">
      <c r="A22" s="15">
        <v>44312</v>
      </c>
      <c r="B22" s="112">
        <v>0.89090000000000003</v>
      </c>
      <c r="C22" s="108">
        <f>IFERROR(B22-B21,0)</f>
        <v>5.6000000000000494E-3</v>
      </c>
      <c r="D22" s="109" t="str">
        <f t="shared" ref="D22:D24" si="1">IF(C22&lt;0,C22,"/")</f>
        <v>/</v>
      </c>
      <c r="E22" s="109">
        <f ca="1">IF(B22/MAX(INDIRECT("B21:B" &amp; ROW()))-1&lt;E21,B22/MAX(INDIRECT("B21:B" &amp; ROW()))-1,E21)</f>
        <v>0</v>
      </c>
      <c r="F22" s="110">
        <f>表2_3671626293038912131415232425262728383941434446[[#This Row],[累计净值]]</f>
        <v>0.89090000000000003</v>
      </c>
      <c r="G22" s="20">
        <f>IF(表2_3671626293038912131415232425262728383941434446[[#This Row],[累计净值]]&gt;$B$21,0.7*(表2_3671626293038912131415232425262728383941434446[[#This Row],[累计净值]]/$B$21-1),表2_3671626293038912131415232425262728383941434446[[#This Row],[累计净值]]/$B$21-1)</f>
        <v>4.4278775556309651E-3</v>
      </c>
    </row>
    <row r="23" spans="1:7" x14ac:dyDescent="0.2">
      <c r="A23" s="15">
        <v>44313</v>
      </c>
      <c r="B23" s="112">
        <v>0.90080000000000005</v>
      </c>
      <c r="C23" s="108">
        <f t="shared" ref="C23:C24" si="2">IFERROR(B23-B22,0)</f>
        <v>9.9000000000000199E-3</v>
      </c>
      <c r="D23" s="109" t="str">
        <f t="shared" si="1"/>
        <v>/</v>
      </c>
      <c r="E23" s="109">
        <f t="shared" ref="E23:E24" ca="1" si="3">IF(B23/MAX(INDIRECT("B21:B" &amp; ROW()))-1&lt;E22,B23/MAX(INDIRECT("B21:B" &amp; ROW()))-1,E22)</f>
        <v>0</v>
      </c>
      <c r="F23" s="110">
        <f>表2_3671626293038912131415232425262728383941434446[[#This Row],[累计净值]]</f>
        <v>0.90080000000000005</v>
      </c>
      <c r="G23" s="20">
        <f>IF(表2_3671626293038912131415232425262728383941434446[[#This Row],[累计净值]]&gt;$B$21,0.7*(表2_3671626293038912131415232425262728383941434446[[#This Row],[累计净值]]/$B$21-1),表2_3671626293038912131415232425262728383941434446[[#This Row],[累计净值]]/$B$21-1)</f>
        <v>1.22557325200497E-2</v>
      </c>
    </row>
    <row r="24" spans="1:7" x14ac:dyDescent="0.2">
      <c r="A24" s="15">
        <v>44314</v>
      </c>
      <c r="B24" s="112">
        <v>0.88400000000000001</v>
      </c>
      <c r="C24" s="108">
        <f t="shared" si="2"/>
        <v>-1.6800000000000037E-2</v>
      </c>
      <c r="D24" s="109">
        <f t="shared" si="1"/>
        <v>-1.6800000000000037E-2</v>
      </c>
      <c r="E24" s="109">
        <f t="shared" ca="1" si="3"/>
        <v>-1.8650088809946785E-2</v>
      </c>
      <c r="F24" s="110">
        <f>表2_3671626293038912131415232425262728383941434446[[#This Row],[累计净值]]</f>
        <v>0.88400000000000001</v>
      </c>
      <c r="G24" s="20">
        <f>IF(表2_3671626293038912131415232425262728383941434446[[#This Row],[累计净值]]&gt;$B$21,0.7*(表2_3671626293038912131415232425262728383941434446[[#This Row],[累计净值]]/$B$21-1),表2_3671626293038912131415232425262728383941434446[[#This Row],[累计净值]]/$B$21-1)</f>
        <v>-1.468428781204123E-3</v>
      </c>
    </row>
    <row r="25" spans="1:7" x14ac:dyDescent="0.2">
      <c r="A25" s="15">
        <v>44315</v>
      </c>
      <c r="B25" s="112">
        <v>0.89019999999999999</v>
      </c>
      <c r="C25" s="108">
        <f>IFERROR(B25-B24,0)</f>
        <v>6.1999999999999833E-3</v>
      </c>
      <c r="D25" s="109" t="str">
        <f>IF(C25&lt;0,C25,"/")</f>
        <v>/</v>
      </c>
      <c r="E25" s="109">
        <f ca="1">IF(表2_367162629303891213141523242526272835[[#This Row],[累计净值]]/MAX(INDIRECT("B21:B" &amp; ROW()))-1&lt;E24,表2_367162629303891213141523242526272835[[#This Row],[累计净值]]/MAX(INDIRECT("B21:B" &amp; ROW()))-1,E24)</f>
        <v>-1.8650088809946785E-2</v>
      </c>
      <c r="F25" s="110">
        <f>表2_3671626293038912131415232425262728383941434446[[#This Row],[累计净值]]</f>
        <v>0.89019999999999999</v>
      </c>
      <c r="G25" s="20">
        <f>IF(表2_3671626293038912131415232425262728383941434446[[#This Row],[累计净值]]&gt;$B$21,0.7*(表2_3671626293038912131415232425262728383941434446[[#This Row],[累计净值]]/$B$21-1),表2_3671626293038912131415232425262728383941434446[[#This Row],[累计净值]]/$B$21-1)</f>
        <v>3.8743928611770558E-3</v>
      </c>
    </row>
    <row r="26" spans="1:7" x14ac:dyDescent="0.2">
      <c r="A26" s="15">
        <v>44316</v>
      </c>
      <c r="B26" s="112">
        <v>0.88429999999999997</v>
      </c>
      <c r="C26" s="108">
        <f t="shared" ref="C26:C27" si="4">IFERROR(B26-B25,0)</f>
        <v>-5.9000000000000163E-3</v>
      </c>
      <c r="D26" s="109">
        <f t="shared" ref="D26:D27" si="5">IF(C26&lt;0,C26,"/")</f>
        <v>-5.9000000000000163E-3</v>
      </c>
      <c r="E26" s="109">
        <f ca="1">IF(表2_367162629303891213141523242526272835[[#This Row],[累计净值]]/MAX(INDIRECT("B21:B" &amp; ROW()))-1&lt;E25,表2_367162629303891213141523242526272835[[#This Row],[累计净值]]/MAX(INDIRECT("B21:B" &amp; ROW()))-1,E25)</f>
        <v>-1.8650088809946785E-2</v>
      </c>
      <c r="F26" s="110">
        <f>表2_3671626293038912131415232425262728383941434446[[#This Row],[累计净值]]</f>
        <v>0.88429999999999997</v>
      </c>
      <c r="G26" s="20">
        <f>IF(表2_3671626293038912131415232425262728383941434446[[#This Row],[累计净值]]&gt;$B$21,0.7*(表2_3671626293038912131415232425262728383941434446[[#This Row],[累计净值]]/$B$21-1),表2_3671626293038912131415232425262728383941434446[[#This Row],[累计净值]]/$B$21-1)</f>
        <v>-1.1295606009262826E-3</v>
      </c>
    </row>
    <row r="27" spans="1:7" x14ac:dyDescent="0.2">
      <c r="A27" s="15">
        <v>44322</v>
      </c>
      <c r="B27" s="112">
        <v>0.89649999999999996</v>
      </c>
      <c r="C27" s="108">
        <f t="shared" si="4"/>
        <v>1.2199999999999989E-2</v>
      </c>
      <c r="D27" s="109" t="str">
        <f t="shared" si="5"/>
        <v>/</v>
      </c>
      <c r="E27" s="109">
        <f ca="1">IF(表2_367162629303891213141523242526272835[[#This Row],[累计净值]]/MAX(INDIRECT("B21:B" &amp; ROW()))-1&lt;E26,表2_367162629303891213141523242526272835[[#This Row],[累计净值]]/MAX(INDIRECT("B21:B" &amp; ROW()))-1,E26)</f>
        <v>-1.8650088809946785E-2</v>
      </c>
      <c r="F27" s="110">
        <f>表2_3671626293038912131415232425262728383941434446[[#This Row],[累计净值]]</f>
        <v>0.89649999999999996</v>
      </c>
      <c r="G27" s="20">
        <f>IF(表2_3671626293038912131415232425262728383941434446[[#This Row],[累计净值]]&gt;$B$21,0.7*(表2_3671626293038912131415232425262728383941434446[[#This Row],[累计净值]]/$B$21-1),表2_3671626293038912131415232425262728383941434446[[#This Row],[累计净值]]/$B$21-1)</f>
        <v>8.8557551112617757E-3</v>
      </c>
    </row>
    <row r="28" spans="1:7" x14ac:dyDescent="0.2">
      <c r="A28" s="15">
        <v>44323</v>
      </c>
      <c r="B28" s="112">
        <v>0.89290000000000003</v>
      </c>
      <c r="C28" s="108">
        <f t="shared" ref="C28:C33" si="6">IFERROR(B28-B27,0)</f>
        <v>-3.5999999999999366E-3</v>
      </c>
      <c r="D28" s="109">
        <f t="shared" ref="D28:D33" si="7">IF(C28&lt;0,C28,"/")</f>
        <v>-3.5999999999999366E-3</v>
      </c>
      <c r="E28" s="109">
        <f ca="1">IF(表2_367162629303891213141523242526272835[[#This Row],[累计净值]]/MAX(INDIRECT("B21:B" &amp; ROW()))-1&lt;E27,表2_367162629303891213141523242526272835[[#This Row],[累计净值]]/MAX(INDIRECT("B21:B" &amp; ROW()))-1,E27)</f>
        <v>-1.8650088809946785E-2</v>
      </c>
      <c r="F28" s="110">
        <f>表2_3671626293038912131415232425262728383941434446[[#This Row],[累计净值]]</f>
        <v>0.89290000000000003</v>
      </c>
      <c r="G28" s="20">
        <f>IF(表2_3671626293038912131415232425262728383941434446[[#This Row],[累计净值]]&gt;$B$21,0.7*(表2_3671626293038912131415232425262728383941434446[[#This Row],[累计净值]]/$B$21-1),表2_3671626293038912131415232425262728383941434446[[#This Row],[累计净值]]/$B$21-1)</f>
        <v>6.0092623969276058E-3</v>
      </c>
    </row>
    <row r="29" spans="1:7" x14ac:dyDescent="0.2">
      <c r="A29" s="15">
        <v>44326</v>
      </c>
      <c r="B29" s="112">
        <v>0.92220000000000002</v>
      </c>
      <c r="C29" s="108">
        <f t="shared" si="6"/>
        <v>2.9299999999999993E-2</v>
      </c>
      <c r="D29" s="109" t="str">
        <f t="shared" si="7"/>
        <v>/</v>
      </c>
      <c r="E29" s="109">
        <f ca="1">IF(表2_367162629303891213141523242526272835[[#This Row],[累计净值]]/MAX(INDIRECT("B21:B" &amp; ROW()))-1&lt;E28,表2_367162629303891213141523242526272835[[#This Row],[累计净值]]/MAX(INDIRECT("B21:B" &amp; ROW()))-1,E28)</f>
        <v>-1.8650088809946785E-2</v>
      </c>
      <c r="F29" s="110">
        <f>表2_3671626293038912131415232425262728383941434446[[#This Row],[累计净值]]</f>
        <v>0.92220000000000002</v>
      </c>
      <c r="G29" s="20">
        <f>IF(表2_3671626293038912131415232425262728383941434446[[#This Row],[累计净值]]&gt;$B$21,0.7*(表2_3671626293038912131415232425262728383941434446[[#This Row],[累计净值]]/$B$21-1),表2_3671626293038912131415232425262728383941434446[[#This Row],[累计净值]]/$B$21-1)</f>
        <v>2.9176550321924854E-2</v>
      </c>
    </row>
    <row r="30" spans="1:7" x14ac:dyDescent="0.2">
      <c r="A30" s="15">
        <v>44327</v>
      </c>
      <c r="B30" s="112">
        <v>0.91369999999999996</v>
      </c>
      <c r="C30" s="108">
        <f t="shared" si="6"/>
        <v>-8.5000000000000631E-3</v>
      </c>
      <c r="D30" s="109">
        <f t="shared" si="7"/>
        <v>-8.5000000000000631E-3</v>
      </c>
      <c r="E30" s="109">
        <f ca="1">IF(表2_367162629303891213141523242526272835[[#This Row],[累计净值]]/MAX(INDIRECT("B21:B" &amp; ROW()))-1&lt;E29,表2_367162629303891213141523242526272835[[#This Row],[累计净值]]/MAX(INDIRECT("B21:B" &amp; ROW()))-1,E29)</f>
        <v>-1.8650088809946785E-2</v>
      </c>
      <c r="F30" s="110">
        <f>表2_3671626293038912131415232425262728383941434446[[#This Row],[累计净值]]</f>
        <v>0.91369999999999996</v>
      </c>
      <c r="G30" s="20">
        <f>IF(表2_3671626293038912131415232425262728383941434446[[#This Row],[累计净值]]&gt;$B$21,0.7*(表2_3671626293038912131415232425262728383941434446[[#This Row],[累计净值]]/$B$21-1),表2_3671626293038912131415232425262728383941434446[[#This Row],[累计净值]]/$B$21-1)</f>
        <v>2.2455664746413626E-2</v>
      </c>
    </row>
    <row r="31" spans="1:7" x14ac:dyDescent="0.2">
      <c r="A31" s="15">
        <v>44328</v>
      </c>
      <c r="B31" s="112">
        <v>0.90849999999999997</v>
      </c>
      <c r="C31" s="108">
        <f t="shared" si="6"/>
        <v>-5.1999999999999824E-3</v>
      </c>
      <c r="D31" s="109">
        <f t="shared" si="7"/>
        <v>-5.1999999999999824E-3</v>
      </c>
      <c r="E31" s="109">
        <f ca="1">IF(表2_367162629303891213141523242526272835[[#This Row],[累计净值]]/MAX(INDIRECT("B21:B" &amp; ROW()))-1&lt;E30,表2_367162629303891213141523242526272835[[#This Row],[累计净值]]/MAX(INDIRECT("B21:B" &amp; ROW()))-1,E30)</f>
        <v>-1.8650088809946785E-2</v>
      </c>
      <c r="F31" s="110">
        <f>表2_3671626293038912131415232425262728383941434446[[#This Row],[累计净值]]</f>
        <v>0.90849999999999997</v>
      </c>
      <c r="G31" s="20">
        <f>IF(表2_3671626293038912131415232425262728383941434446[[#This Row],[累计净值]]&gt;$B$21,0.7*(表2_3671626293038912131415232425262728383941434446[[#This Row],[累计净值]]/$B$21-1),表2_3671626293038912131415232425262728383941434446[[#This Row],[累计净值]]/$B$21-1)</f>
        <v>1.8344064159042082E-2</v>
      </c>
    </row>
    <row r="32" spans="1:7" x14ac:dyDescent="0.2">
      <c r="A32" s="15">
        <v>44329</v>
      </c>
      <c r="B32" s="112">
        <v>0.87739999999999996</v>
      </c>
      <c r="C32" s="108">
        <f t="shared" si="6"/>
        <v>-3.1100000000000017E-2</v>
      </c>
      <c r="D32" s="109">
        <f t="shared" si="7"/>
        <v>-3.1100000000000017E-2</v>
      </c>
      <c r="E32" s="109">
        <f ca="1">IF(表2_367162629303891213141523242526272835[[#This Row],[累计净值]]/MAX(INDIRECT("B21:B" &amp; ROW()))-1&lt;E31,表2_367162629303891213141523242526272835[[#This Row],[累计净值]]/MAX(INDIRECT("B21:B" &amp; ROW()))-1,E31)</f>
        <v>-1.8650088809946785E-2</v>
      </c>
      <c r="F32" s="110">
        <f>表2_3671626293038912131415232425262728383941434446[[#This Row],[累计净值]]</f>
        <v>0.87739999999999996</v>
      </c>
      <c r="G32" s="20">
        <f>IF(表2_3671626293038912131415232425262728383941434446[[#This Row],[累计净值]]&gt;$B$21,0.7*(表2_3671626293038912131415232425262728383941434446[[#This Row],[累计净值]]/$B$21-1),表2_3671626293038912131415232425262728383941434446[[#This Row],[累计净值]]/$B$21-1)</f>
        <v>-8.9235287473172775E-3</v>
      </c>
    </row>
    <row r="33" spans="1:7" x14ac:dyDescent="0.2">
      <c r="A33" s="15">
        <v>44330</v>
      </c>
      <c r="B33" s="112">
        <v>0.90720000000000001</v>
      </c>
      <c r="C33" s="108">
        <f t="shared" si="6"/>
        <v>2.9800000000000049E-2</v>
      </c>
      <c r="D33" s="109" t="str">
        <f t="shared" si="7"/>
        <v>/</v>
      </c>
      <c r="E33" s="109">
        <f ca="1">IF(表2_367162629303891213141523242526272835[[#This Row],[累计净值]]/MAX(INDIRECT("B21:B" &amp; ROW()))-1&lt;E32,表2_367162629303891213141523242526272835[[#This Row],[累计净值]]/MAX(INDIRECT("B21:B" &amp; ROW()))-1,E32)</f>
        <v>-1.8650088809946785E-2</v>
      </c>
      <c r="F33" s="110">
        <f>表2_3671626293038912131415232425262728383941434446[[#This Row],[累计净值]]</f>
        <v>0.90720000000000001</v>
      </c>
      <c r="G33" s="20">
        <f>IF(表2_3671626293038912131415232425262728383941434446[[#This Row],[累计净值]]&gt;$B$21,0.7*(表2_3671626293038912131415232425262728383941434446[[#This Row],[累计净值]]/$B$21-1),表2_3671626293038912131415232425262728383941434446[[#This Row],[累计净值]]/$B$21-1)</f>
        <v>1.7316164012199351E-2</v>
      </c>
    </row>
    <row r="34" spans="1:7" x14ac:dyDescent="0.2">
      <c r="A34" s="15">
        <v>44333</v>
      </c>
      <c r="B34" s="112">
        <v>0.90329999999999999</v>
      </c>
      <c r="C34" s="108">
        <f>IFERROR(B34-B33,0)</f>
        <v>-3.9000000000000146E-3</v>
      </c>
      <c r="D34" s="109">
        <f>IF(C34&lt;0,C34,"/")</f>
        <v>-3.9000000000000146E-3</v>
      </c>
      <c r="E34" s="109">
        <f ca="1">IF(表2_367162629303891213141523242526272835[[#This Row],[累计净值]]/MAX(INDIRECT("B21:B" &amp; ROW()))-1&lt;E33,表2_367162629303891213141523242526272835[[#This Row],[累计净值]]/MAX(INDIRECT("B21:B" &amp; ROW()))-1,E33)</f>
        <v>-1.8650088809946785E-2</v>
      </c>
      <c r="F34" s="110">
        <f>表2_3671626293038912131415232425262728383941434446[[#This Row],[累计净值]]</f>
        <v>0.90329999999999999</v>
      </c>
      <c r="G34" s="20">
        <f>IF(表2_3671626293038912131415232425262728383941434446[[#This Row],[累计净值]]&gt;$B$21,0.7*(表2_3671626293038912131415232425262728383941434446[[#This Row],[累计净值]]/$B$21-1),表2_3671626293038912131415232425262728383941434446[[#This Row],[累计净值]]/$B$21-1)</f>
        <v>1.4232463571670694E-2</v>
      </c>
    </row>
  </sheetData>
  <mergeCells count="1">
    <mergeCell ref="G2:G3"/>
  </mergeCells>
  <phoneticPr fontId="24" type="noConversion"/>
  <pageMargins left="0.7" right="0.7" top="0.75" bottom="0.75" header="0.3" footer="0.3"/>
  <pageSetup paperSize="9" orientation="portrait" horizontalDpi="4294967295" verticalDpi="4294967295" r:id="rId1"/>
  <drawing r:id="rId2"/>
  <tableParts count="1">
    <tablePart r:id="rId3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workbookViewId="0">
      <selection activeCell="K33" sqref="K33"/>
    </sheetView>
  </sheetViews>
  <sheetFormatPr defaultColWidth="9" defaultRowHeight="14.25" x14ac:dyDescent="0.2"/>
  <cols>
    <col min="1" max="1" width="11.625" style="1" bestFit="1" customWidth="1"/>
    <col min="2" max="2" width="13" style="1" customWidth="1"/>
    <col min="3" max="4" width="13.5" style="1" bestFit="1" customWidth="1"/>
    <col min="5" max="5" width="10.75" style="1" customWidth="1"/>
    <col min="6" max="6" width="11.125" style="1" customWidth="1"/>
    <col min="7" max="7" width="18.875" style="2" customWidth="1"/>
    <col min="8" max="8" width="14.25" style="1" customWidth="1"/>
    <col min="9" max="9" width="12" style="1" bestFit="1" customWidth="1"/>
    <col min="10" max="16384" width="9" style="1"/>
  </cols>
  <sheetData>
    <row r="1" spans="1:7" ht="15" thickBot="1" x14ac:dyDescent="0.25"/>
    <row r="2" spans="1:7" ht="15" thickBot="1" x14ac:dyDescent="0.25">
      <c r="A2" s="23" t="s">
        <v>0</v>
      </c>
      <c r="B2" s="24">
        <f>COUNT(表2_36716262930389121314152324252627283839414344454748[每日盈亏])</f>
        <v>11</v>
      </c>
      <c r="C2" s="27"/>
      <c r="D2" s="3" t="s">
        <v>1</v>
      </c>
      <c r="E2" s="28"/>
      <c r="F2" s="1" t="s">
        <v>2</v>
      </c>
      <c r="G2" s="394" t="s">
        <v>3</v>
      </c>
    </row>
    <row r="3" spans="1:7" x14ac:dyDescent="0.2">
      <c r="A3" s="25" t="s">
        <v>4</v>
      </c>
      <c r="B3" s="26">
        <f>COUNTIF(表2_36716262930389121314152324252627283839414344454748[每日盈亏],"&gt;0")</f>
        <v>4</v>
      </c>
      <c r="C3" s="29"/>
      <c r="D3" s="30" t="s">
        <v>5</v>
      </c>
      <c r="E3" s="31">
        <f>245^0.5*(B10-0.025/365)/E10</f>
        <v>0.30881058095057795</v>
      </c>
      <c r="G3" s="394"/>
    </row>
    <row r="4" spans="1:7" x14ac:dyDescent="0.2">
      <c r="A4" s="25" t="s">
        <v>6</v>
      </c>
      <c r="B4" s="26">
        <f>COUNTIF(表2_36716262930389121314152324252627283839414344454748[每日盈亏],"&lt;0")</f>
        <v>3</v>
      </c>
      <c r="C4" s="29"/>
      <c r="D4" s="32" t="s">
        <v>7</v>
      </c>
      <c r="E4" s="31">
        <f ca="1">-B9/E8</f>
        <v>8.7826211643247137E-2</v>
      </c>
      <c r="G4" s="2">
        <f>LOOKUP(999^10,表2_36716262930389121314152324252627283839414344454748[累计净值])</f>
        <v>1.254</v>
      </c>
    </row>
    <row r="5" spans="1:7" x14ac:dyDescent="0.2">
      <c r="A5" s="25" t="s">
        <v>8</v>
      </c>
      <c r="B5" s="26">
        <f>B2-B3-B4</f>
        <v>4</v>
      </c>
      <c r="C5" s="29"/>
      <c r="D5" s="33" t="s">
        <v>9</v>
      </c>
      <c r="E5" s="4">
        <f>245^0.5*(B10-0.025/365)/E9</f>
        <v>0.60771594224452719</v>
      </c>
    </row>
    <row r="6" spans="1:7" ht="15" thickBot="1" x14ac:dyDescent="0.25">
      <c r="A6" s="34"/>
      <c r="B6" s="35"/>
      <c r="C6" s="35"/>
      <c r="D6" s="35"/>
      <c r="E6" s="36"/>
    </row>
    <row r="7" spans="1:7" ht="15" thickBot="1" x14ac:dyDescent="0.25">
      <c r="A7" s="5" t="s">
        <v>10</v>
      </c>
      <c r="B7" s="35"/>
      <c r="C7" s="35"/>
      <c r="D7" s="3" t="s">
        <v>11</v>
      </c>
      <c r="E7" s="37"/>
    </row>
    <row r="8" spans="1:7" x14ac:dyDescent="0.2">
      <c r="A8" s="38" t="s">
        <v>12</v>
      </c>
      <c r="B8" s="39">
        <f>LOOKUP(999^10,表2_36716262930389121314152324252627283839414344454748[累计净值])/$B$21-1</f>
        <v>7.9808459696728562E-4</v>
      </c>
      <c r="C8" s="40"/>
      <c r="D8" s="30" t="s">
        <v>13</v>
      </c>
      <c r="E8" s="41">
        <f ca="1">MIN(表2_36716262930389121314152324252627283839414344454748[最大回撤])</f>
        <v>-0.20239425379090181</v>
      </c>
    </row>
    <row r="9" spans="1:7" x14ac:dyDescent="0.2">
      <c r="A9" s="25" t="s">
        <v>14</v>
      </c>
      <c r="B9" s="32">
        <f>B8*245/B2</f>
        <v>1.7775520568816816E-2</v>
      </c>
      <c r="C9" s="40"/>
      <c r="D9" s="33" t="s">
        <v>15</v>
      </c>
      <c r="E9" s="6">
        <f>STDEV(表2_36716262930389121314152324252627283839414344454748[下跌幅度])</f>
        <v>5.7735026918962634E-4</v>
      </c>
    </row>
    <row r="10" spans="1:7" x14ac:dyDescent="0.2">
      <c r="A10" s="42" t="s">
        <v>16</v>
      </c>
      <c r="B10" s="43">
        <f>AVERAGE(表2_36716262930389121314152324252627283839414344454748[每日盈亏])</f>
        <v>9.0909090909101082E-5</v>
      </c>
      <c r="C10" s="44"/>
      <c r="D10" s="33" t="s">
        <v>17</v>
      </c>
      <c r="E10" s="6">
        <f>STDEV(表2_36716262930389121314152324252627283839414344454748[每日盈亏])</f>
        <v>1.1361818036340458E-3</v>
      </c>
    </row>
    <row r="11" spans="1:7" x14ac:dyDescent="0.2">
      <c r="A11" s="7" t="s">
        <v>18</v>
      </c>
      <c r="B11" s="32">
        <f>B3/B2</f>
        <v>0.36363636363636365</v>
      </c>
      <c r="C11" s="40"/>
      <c r="D11" s="32" t="s">
        <v>19</v>
      </c>
      <c r="E11" s="41">
        <f>245^0.5*E10</f>
        <v>1.7784058234068308E-2</v>
      </c>
    </row>
    <row r="12" spans="1:7" ht="15" thickBot="1" x14ac:dyDescent="0.25">
      <c r="A12" s="45" t="s">
        <v>20</v>
      </c>
      <c r="B12" s="46">
        <f>-(SUMIF(表2_36716262930389121314152324252627283839414344454748[每日盈亏],"&gt;=0")/B3)/(SUMIF(表2_36716262930389121314152324252627283839414344454748[每日盈亏],"&lt;0")/B4)</f>
        <v>0.93750000000002076</v>
      </c>
      <c r="C12" s="47"/>
      <c r="D12" s="48"/>
      <c r="E12" s="49"/>
    </row>
    <row r="14" spans="1:7" ht="28.5" x14ac:dyDescent="0.2">
      <c r="A14" s="50" t="s">
        <v>21</v>
      </c>
      <c r="B14" s="50" t="s">
        <v>14</v>
      </c>
      <c r="C14" s="51" t="s">
        <v>19</v>
      </c>
      <c r="D14" s="51" t="s">
        <v>13</v>
      </c>
      <c r="E14" s="51" t="s">
        <v>5</v>
      </c>
      <c r="F14" s="51" t="s">
        <v>7</v>
      </c>
    </row>
    <row r="15" spans="1:7" x14ac:dyDescent="0.2">
      <c r="A15" s="78">
        <f>B2</f>
        <v>11</v>
      </c>
      <c r="B15" s="53">
        <f>B9</f>
        <v>1.7775520568816816E-2</v>
      </c>
      <c r="C15" s="53">
        <f>E11</f>
        <v>1.7784058234068308E-2</v>
      </c>
      <c r="D15" s="53">
        <f ca="1">E8</f>
        <v>-0.20239425379090181</v>
      </c>
      <c r="E15" s="54">
        <f>E3</f>
        <v>0.30881058095057795</v>
      </c>
      <c r="F15" s="54">
        <f ca="1">E4</f>
        <v>8.7826211643247137E-2</v>
      </c>
    </row>
    <row r="19" spans="1:7" x14ac:dyDescent="0.2">
      <c r="A19" s="8"/>
      <c r="B19" s="1" t="s">
        <v>22</v>
      </c>
    </row>
    <row r="20" spans="1:7" ht="15.75" x14ac:dyDescent="0.2">
      <c r="A20" s="22" t="s">
        <v>23</v>
      </c>
      <c r="B20" s="22" t="s">
        <v>24</v>
      </c>
      <c r="C20" s="22" t="s">
        <v>25</v>
      </c>
      <c r="D20" s="22" t="s">
        <v>26</v>
      </c>
      <c r="E20" s="22" t="s">
        <v>27</v>
      </c>
      <c r="F20" s="22" t="s">
        <v>28</v>
      </c>
      <c r="G20" s="22" t="s">
        <v>29</v>
      </c>
    </row>
    <row r="21" spans="1:7" x14ac:dyDescent="0.2">
      <c r="A21" s="15">
        <v>44313</v>
      </c>
      <c r="B21" s="112">
        <v>1.2529999999999999</v>
      </c>
      <c r="C21" s="11">
        <f t="shared" ref="C21" si="0">IFERROR(B21-B20,0)</f>
        <v>0</v>
      </c>
      <c r="D21" s="12" t="str">
        <f>IF(C21&lt;0,C21,"/")</f>
        <v>/</v>
      </c>
      <c r="E21" s="12">
        <v>0</v>
      </c>
      <c r="F21" s="13">
        <f>表2_36716262930389121314152324252627283839414344454748[[#This Row],[累计净值]]</f>
        <v>1.2529999999999999</v>
      </c>
      <c r="G21" s="194" t="s">
        <v>30</v>
      </c>
    </row>
    <row r="22" spans="1:7" x14ac:dyDescent="0.2">
      <c r="A22" s="15">
        <v>44314</v>
      </c>
      <c r="B22" s="112">
        <v>1.2529999999999999</v>
      </c>
      <c r="C22" s="108">
        <f>IFERROR(B22-B21,0)</f>
        <v>0</v>
      </c>
      <c r="D22" s="109" t="str">
        <f t="shared" ref="D22:D24" si="1">IF(C22&lt;0,C22,"/")</f>
        <v>/</v>
      </c>
      <c r="E22" s="109">
        <f ca="1">IF(B22/MAX(INDIRECT("B21:B" &amp; ROW()))-1&lt;E21,B22/MAX(INDIRECT("B21:B" &amp; ROW()))-1,E21)</f>
        <v>0</v>
      </c>
      <c r="F22" s="110">
        <f>表2_36716262930389121314152324252627283839414344454748[[#This Row],[累计净值]]</f>
        <v>1.2529999999999999</v>
      </c>
      <c r="G22" s="20">
        <f>IF(表2_36716262930389121314152324252627283839414344454748[[#This Row],[累计净值]]&gt;$B$21,0.7*(表2_36716262930389121314152324252627283839414344454748[[#This Row],[累计净值]]/$B$21-1),表2_36716262930389121314152324252627283839414344454748[[#This Row],[累计净值]]/$B$21-1)</f>
        <v>0</v>
      </c>
    </row>
    <row r="23" spans="1:7" x14ac:dyDescent="0.2">
      <c r="A23" s="15">
        <v>44315</v>
      </c>
      <c r="B23" s="112">
        <v>1.2509999999999999</v>
      </c>
      <c r="C23" s="108">
        <f t="shared" ref="C23:C24" si="2">IFERROR(B23-B22,0)</f>
        <v>-2.0000000000000018E-3</v>
      </c>
      <c r="D23" s="109">
        <f t="shared" si="1"/>
        <v>-2.0000000000000018E-3</v>
      </c>
      <c r="E23" s="109">
        <f t="shared" ref="E23:E24" ca="1" si="3">IF(B23/MAX(INDIRECT("B21:B" &amp; ROW()))-1&lt;E22,B23/MAX(INDIRECT("B21:B" &amp; ROW()))-1,E22)</f>
        <v>-1.5961691939345712E-3</v>
      </c>
      <c r="F23" s="110">
        <f>表2_36716262930389121314152324252627283839414344454748[[#This Row],[累计净值]]</f>
        <v>1.2509999999999999</v>
      </c>
      <c r="G23" s="20">
        <f>IF(表2_36716262930389121314152324252627283839414344454748[[#This Row],[累计净值]]&gt;$B$21,0.7*(表2_36716262930389121314152324252627283839414344454748[[#This Row],[累计净值]]/$B$21-1),表2_36716262930389121314152324252627283839414344454748[[#This Row],[累计净值]]/$B$21-1)</f>
        <v>-1.5961691939345712E-3</v>
      </c>
    </row>
    <row r="24" spans="1:7" x14ac:dyDescent="0.2">
      <c r="A24" s="15">
        <v>44316</v>
      </c>
      <c r="B24" s="112">
        <v>1.252</v>
      </c>
      <c r="C24" s="108">
        <f t="shared" si="2"/>
        <v>1.0000000000001119E-3</v>
      </c>
      <c r="D24" s="109" t="str">
        <f t="shared" si="1"/>
        <v>/</v>
      </c>
      <c r="E24" s="109">
        <f t="shared" ca="1" si="3"/>
        <v>-1.5961691939345712E-3</v>
      </c>
      <c r="F24" s="110">
        <f>表2_36716262930389121314152324252627283839414344454748[[#This Row],[累计净值]]</f>
        <v>1.252</v>
      </c>
      <c r="G24" s="20">
        <f>IF(表2_36716262930389121314152324252627283839414344454748[[#This Row],[累计净值]]&gt;$B$21,0.7*(表2_36716262930389121314152324252627283839414344454748[[#This Row],[累计净值]]/$B$21-1),表2_36716262930389121314152324252627283839414344454748[[#This Row],[累计净值]]/$B$21-1)</f>
        <v>-7.980845969671746E-4</v>
      </c>
    </row>
    <row r="25" spans="1:7" x14ac:dyDescent="0.2">
      <c r="A25" s="15">
        <v>44322</v>
      </c>
      <c r="B25" s="112">
        <v>1.2509999999999999</v>
      </c>
      <c r="C25" s="108">
        <f t="shared" ref="C25:C30" si="4">IFERROR(B25-B24,0)</f>
        <v>-1.0000000000001119E-3</v>
      </c>
      <c r="D25" s="109">
        <f t="shared" ref="D25:D30" si="5">IF(C25&lt;0,C25,"/")</f>
        <v>-1.0000000000001119E-3</v>
      </c>
      <c r="E25" s="109">
        <f ca="1">IF(表2_367162629303891213141523242526272835[[#This Row],[累计净值]]/MAX(INDIRECT("B21:B" &amp; ROW()))-1&lt;E24,表2_367162629303891213141523242526272835[[#This Row],[累计净值]]/MAX(INDIRECT("B21:B" &amp; ROW()))-1,E24)</f>
        <v>-0.20239425379090181</v>
      </c>
      <c r="F25" s="110">
        <f>表2_36716262930389121314152324252627283839414344454748[[#This Row],[累计净值]]</f>
        <v>1.2509999999999999</v>
      </c>
      <c r="G25" s="20">
        <f>IF(表2_36716262930389121314152324252627283839414344454748[[#This Row],[累计净值]]&gt;$B$21,0.7*(表2_36716262930389121314152324252627283839414344454748[[#This Row],[累计净值]]/$B$21-1),表2_36716262930389121314152324252627283839414344454748[[#This Row],[累计净值]]/$B$21-1)</f>
        <v>-1.5961691939345712E-3</v>
      </c>
    </row>
    <row r="26" spans="1:7" x14ac:dyDescent="0.2">
      <c r="A26" s="15">
        <v>44323</v>
      </c>
      <c r="B26" s="112">
        <v>1.2529999999999999</v>
      </c>
      <c r="C26" s="108">
        <f t="shared" si="4"/>
        <v>2.0000000000000018E-3</v>
      </c>
      <c r="D26" s="109" t="str">
        <f t="shared" si="5"/>
        <v>/</v>
      </c>
      <c r="E26" s="109">
        <f ca="1">IF(表2_367162629303891213141523242526272835[[#This Row],[累计净值]]/MAX(INDIRECT("B21:B" &amp; ROW()))-1&lt;E25,表2_367162629303891213141523242526272835[[#This Row],[累计净值]]/MAX(INDIRECT("B21:B" &amp; ROW()))-1,E25)</f>
        <v>-0.20239425379090181</v>
      </c>
      <c r="F26" s="110">
        <f>表2_36716262930389121314152324252627283839414344454748[[#This Row],[累计净值]]</f>
        <v>1.2529999999999999</v>
      </c>
      <c r="G26" s="20">
        <f>IF(表2_36716262930389121314152324252627283839414344454748[[#This Row],[累计净值]]&gt;$B$21,0.7*(表2_36716262930389121314152324252627283839414344454748[[#This Row],[累计净值]]/$B$21-1),表2_36716262930389121314152324252627283839414344454748[[#This Row],[累计净值]]/$B$21-1)</f>
        <v>0</v>
      </c>
    </row>
    <row r="27" spans="1:7" x14ac:dyDescent="0.2">
      <c r="A27" s="15">
        <v>44326</v>
      </c>
      <c r="B27" s="112">
        <v>1.2529999999999999</v>
      </c>
      <c r="C27" s="108">
        <f t="shared" si="4"/>
        <v>0</v>
      </c>
      <c r="D27" s="109" t="str">
        <f t="shared" si="5"/>
        <v>/</v>
      </c>
      <c r="E27" s="109">
        <f ca="1">IF(表2_367162629303891213141523242526272835[[#This Row],[累计净值]]/MAX(INDIRECT("B21:B" &amp; ROW()))-1&lt;E26,表2_367162629303891213141523242526272835[[#This Row],[累计净值]]/MAX(INDIRECT("B21:B" &amp; ROW()))-1,E26)</f>
        <v>-0.20239425379090181</v>
      </c>
      <c r="F27" s="110">
        <f>表2_36716262930389121314152324252627283839414344454748[[#This Row],[累计净值]]</f>
        <v>1.2529999999999999</v>
      </c>
      <c r="G27" s="20">
        <f>IF(表2_36716262930389121314152324252627283839414344454748[[#This Row],[累计净值]]&gt;$B$21,0.7*(表2_36716262930389121314152324252627283839414344454748[[#This Row],[累计净值]]/$B$21-1),表2_36716262930389121314152324252627283839414344454748[[#This Row],[累计净值]]/$B$21-1)</f>
        <v>0</v>
      </c>
    </row>
    <row r="28" spans="1:7" x14ac:dyDescent="0.2">
      <c r="A28" s="15">
        <v>44327</v>
      </c>
      <c r="B28" s="112">
        <v>1.252</v>
      </c>
      <c r="C28" s="108">
        <f t="shared" si="4"/>
        <v>-9.9999999999988987E-4</v>
      </c>
      <c r="D28" s="109">
        <f t="shared" si="5"/>
        <v>-9.9999999999988987E-4</v>
      </c>
      <c r="E28" s="109">
        <f ca="1">IF(表2_367162629303891213141523242526272835[[#This Row],[累计净值]]/MAX(INDIRECT("B21:B" &amp; ROW()))-1&lt;E27,表2_367162629303891213141523242526272835[[#This Row],[累计净值]]/MAX(INDIRECT("B21:B" &amp; ROW()))-1,E27)</f>
        <v>-0.20239425379090181</v>
      </c>
      <c r="F28" s="110">
        <f>表2_36716262930389121314152324252627283839414344454748[[#This Row],[累计净值]]</f>
        <v>1.252</v>
      </c>
      <c r="G28" s="20">
        <f>IF(表2_36716262930389121314152324252627283839414344454748[[#This Row],[累计净值]]&gt;$B$21,0.7*(表2_36716262930389121314152324252627283839414344454748[[#This Row],[累计净值]]/$B$21-1),表2_36716262930389121314152324252627283839414344454748[[#This Row],[累计净值]]/$B$21-1)</f>
        <v>-7.980845969671746E-4</v>
      </c>
    </row>
    <row r="29" spans="1:7" x14ac:dyDescent="0.2">
      <c r="A29" s="15">
        <v>44328</v>
      </c>
      <c r="B29" s="112">
        <v>1.252</v>
      </c>
      <c r="C29" s="108">
        <f t="shared" si="4"/>
        <v>0</v>
      </c>
      <c r="D29" s="109" t="str">
        <f t="shared" si="5"/>
        <v>/</v>
      </c>
      <c r="E29" s="109">
        <f ca="1">IF(表2_367162629303891213141523242526272835[[#This Row],[累计净值]]/MAX(INDIRECT("B21:B" &amp; ROW()))-1&lt;E28,表2_367162629303891213141523242526272835[[#This Row],[累计净值]]/MAX(INDIRECT("B21:B" &amp; ROW()))-1,E28)</f>
        <v>-0.20239425379090181</v>
      </c>
      <c r="F29" s="110">
        <f>表2_36716262930389121314152324252627283839414344454748[[#This Row],[累计净值]]</f>
        <v>1.252</v>
      </c>
      <c r="G29" s="20">
        <f>IF(表2_36716262930389121314152324252627283839414344454748[[#This Row],[累计净值]]&gt;$B$21,0.7*(表2_36716262930389121314152324252627283839414344454748[[#This Row],[累计净值]]/$B$21-1),表2_36716262930389121314152324252627283839414344454748[[#This Row],[累计净值]]/$B$21-1)</f>
        <v>-7.980845969671746E-4</v>
      </c>
    </row>
    <row r="30" spans="1:7" x14ac:dyDescent="0.2">
      <c r="A30" s="15">
        <v>44329</v>
      </c>
      <c r="B30" s="112">
        <v>1.2529999999999999</v>
      </c>
      <c r="C30" s="108">
        <f t="shared" si="4"/>
        <v>9.9999999999988987E-4</v>
      </c>
      <c r="D30" s="109" t="str">
        <f t="shared" si="5"/>
        <v>/</v>
      </c>
      <c r="E30" s="109">
        <f ca="1">IF(表2_367162629303891213141523242526272835[[#This Row],[累计净值]]/MAX(INDIRECT("B21:B" &amp; ROW()))-1&lt;E29,表2_367162629303891213141523242526272835[[#This Row],[累计净值]]/MAX(INDIRECT("B21:B" &amp; ROW()))-1,E29)</f>
        <v>-0.20239425379090181</v>
      </c>
      <c r="F30" s="110">
        <f>表2_36716262930389121314152324252627283839414344454748[[#This Row],[累计净值]]</f>
        <v>1.2529999999999999</v>
      </c>
      <c r="G30" s="20">
        <f>IF(表2_36716262930389121314152324252627283839414344454748[[#This Row],[累计净值]]&gt;$B$21,0.7*(表2_36716262930389121314152324252627283839414344454748[[#This Row],[累计净值]]/$B$21-1),表2_36716262930389121314152324252627283839414344454748[[#This Row],[累计净值]]/$B$21-1)</f>
        <v>0</v>
      </c>
    </row>
    <row r="31" spans="1:7" x14ac:dyDescent="0.2">
      <c r="A31" s="15">
        <v>44330</v>
      </c>
      <c r="B31" s="112">
        <v>1.254</v>
      </c>
      <c r="C31" s="108">
        <f>IFERROR(B31-B30,0)</f>
        <v>1.0000000000001119E-3</v>
      </c>
      <c r="D31" s="109" t="str">
        <f>IF(C31&lt;0,C31,"/")</f>
        <v>/</v>
      </c>
      <c r="E31" s="109">
        <f ca="1">IF(表2_367162629303891213141523242526272835[[#This Row],[累计净值]]/MAX(INDIRECT("B21:B" &amp; ROW()))-1&lt;E30,表2_367162629303891213141523242526272835[[#This Row],[累计净值]]/MAX(INDIRECT("B21:B" &amp; ROW()))-1,E30)</f>
        <v>-0.20239425379090181</v>
      </c>
      <c r="F31" s="110">
        <f>表2_36716262930389121314152324252627283839414344454748[[#This Row],[累计净值]]</f>
        <v>1.254</v>
      </c>
      <c r="G31" s="20">
        <f>IF(表2_36716262930389121314152324252627283839414344454748[[#This Row],[累计净值]]&gt;$B$21,0.7*(表2_36716262930389121314152324252627283839414344454748[[#This Row],[累计净值]]/$B$21-1),表2_36716262930389121314152324252627283839414344454748[[#This Row],[累计净值]]/$B$21-1)</f>
        <v>5.5865921787709991E-4</v>
      </c>
    </row>
  </sheetData>
  <mergeCells count="1">
    <mergeCell ref="G2:G3"/>
  </mergeCells>
  <phoneticPr fontId="24" type="noConversion"/>
  <pageMargins left="0.7" right="0.7" top="0.75" bottom="0.75" header="0.3" footer="0.3"/>
  <pageSetup paperSize="9" orientation="portrait" horizontalDpi="4294967295" verticalDpi="4294967295" r:id="rId1"/>
  <drawing r:id="rId2"/>
  <tableParts count="1">
    <tablePart r:id="rId3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topLeftCell="A7" workbookViewId="0">
      <selection activeCell="J32" sqref="J32"/>
    </sheetView>
  </sheetViews>
  <sheetFormatPr defaultColWidth="9" defaultRowHeight="14.25" x14ac:dyDescent="0.2"/>
  <cols>
    <col min="1" max="1" width="11.625" style="1" bestFit="1" customWidth="1"/>
    <col min="2" max="2" width="13" style="1" customWidth="1"/>
    <col min="3" max="4" width="13.5" style="1" bestFit="1" customWidth="1"/>
    <col min="5" max="5" width="10.75" style="1" customWidth="1"/>
    <col min="6" max="6" width="11.125" style="1" customWidth="1"/>
    <col min="7" max="7" width="18.875" style="2" customWidth="1"/>
    <col min="8" max="8" width="14.25" style="1" customWidth="1"/>
    <col min="9" max="9" width="12" style="1" bestFit="1" customWidth="1"/>
    <col min="10" max="16384" width="9" style="1"/>
  </cols>
  <sheetData>
    <row r="1" spans="1:7" ht="15" thickBot="1" x14ac:dyDescent="0.25"/>
    <row r="2" spans="1:7" ht="15" thickBot="1" x14ac:dyDescent="0.25">
      <c r="A2" s="23" t="s">
        <v>0</v>
      </c>
      <c r="B2" s="24">
        <f>COUNT(表2_367162629303891213141523242526272838394143444547[每日盈亏])</f>
        <v>10</v>
      </c>
      <c r="C2" s="27"/>
      <c r="D2" s="3" t="s">
        <v>1</v>
      </c>
      <c r="E2" s="28"/>
      <c r="F2" s="1" t="s">
        <v>2</v>
      </c>
      <c r="G2" s="394" t="s">
        <v>3</v>
      </c>
    </row>
    <row r="3" spans="1:7" x14ac:dyDescent="0.2">
      <c r="A3" s="25" t="s">
        <v>4</v>
      </c>
      <c r="B3" s="26">
        <f>COUNTIF(表2_367162629303891213141523242526272838394143444547[每日盈亏],"&gt;0")</f>
        <v>0</v>
      </c>
      <c r="C3" s="29"/>
      <c r="D3" s="30" t="s">
        <v>5</v>
      </c>
      <c r="E3" s="31">
        <f>245^0.5*(B10-0.025/365)/E10</f>
        <v>-12.531552432211107</v>
      </c>
      <c r="G3" s="394"/>
    </row>
    <row r="4" spans="1:7" x14ac:dyDescent="0.2">
      <c r="A4" s="25" t="s">
        <v>6</v>
      </c>
      <c r="B4" s="26">
        <f>COUNTIF(表2_367162629303891213141523242526272838394143444547[每日盈亏],"&lt;0")</f>
        <v>6</v>
      </c>
      <c r="C4" s="29"/>
      <c r="D4" s="32" t="s">
        <v>7</v>
      </c>
      <c r="E4" s="31">
        <f ca="1">-B9/E8</f>
        <v>-64.312499999997883</v>
      </c>
      <c r="G4" s="2">
        <f>LOOKUP(999^10,表2_367162629303891213141523242526272838394143444547[累计净值])</f>
        <v>0.99690000000000001</v>
      </c>
    </row>
    <row r="5" spans="1:7" x14ac:dyDescent="0.2">
      <c r="A5" s="25" t="s">
        <v>8</v>
      </c>
      <c r="B5" s="26">
        <f>B2-B3-B4</f>
        <v>4</v>
      </c>
      <c r="C5" s="29"/>
      <c r="D5" s="33" t="s">
        <v>9</v>
      </c>
      <c r="E5" s="4">
        <f>245^0.5*(B10-0.025/365)/E9</f>
        <v>-10.931984280662496</v>
      </c>
    </row>
    <row r="6" spans="1:7" ht="15" thickBot="1" x14ac:dyDescent="0.25">
      <c r="A6" s="34"/>
      <c r="B6" s="35"/>
      <c r="C6" s="35"/>
      <c r="D6" s="35"/>
      <c r="E6" s="36"/>
    </row>
    <row r="7" spans="1:7" ht="15" thickBot="1" x14ac:dyDescent="0.25">
      <c r="A7" s="5" t="s">
        <v>10</v>
      </c>
      <c r="B7" s="35"/>
      <c r="C7" s="35"/>
      <c r="D7" s="3" t="s">
        <v>11</v>
      </c>
      <c r="E7" s="37"/>
    </row>
    <row r="8" spans="1:7" x14ac:dyDescent="0.2">
      <c r="A8" s="38" t="s">
        <v>12</v>
      </c>
      <c r="B8" s="39">
        <f>LOOKUP(999^10,表2_367162629303891213141523242526272838394143444547[累计净值])/$B$21-1</f>
        <v>-2.1021021021020436E-3</v>
      </c>
      <c r="C8" s="40"/>
      <c r="D8" s="30" t="s">
        <v>13</v>
      </c>
      <c r="E8" s="41">
        <f ca="1">MIN(表2_367162629303891213141523242526272838394143444547[最大回撤])</f>
        <v>-8.0080080080080496E-4</v>
      </c>
    </row>
    <row r="9" spans="1:7" x14ac:dyDescent="0.2">
      <c r="A9" s="25" t="s">
        <v>14</v>
      </c>
      <c r="B9" s="32">
        <f>B8*245/B2</f>
        <v>-5.1501501501500069E-2</v>
      </c>
      <c r="C9" s="40"/>
      <c r="D9" s="33" t="s">
        <v>15</v>
      </c>
      <c r="E9" s="6">
        <f>STDEV(表2_367162629303891213141523242526272838394143444547[下跌幅度])</f>
        <v>3.9874804074754947E-4</v>
      </c>
    </row>
    <row r="10" spans="1:7" x14ac:dyDescent="0.2">
      <c r="A10" s="42" t="s">
        <v>16</v>
      </c>
      <c r="B10" s="43">
        <f>AVERAGE(表2_367162629303891213141523242526272838394143444547[每日盈亏])</f>
        <v>-2.0999999999999909E-4</v>
      </c>
      <c r="C10" s="44"/>
      <c r="D10" s="33" t="s">
        <v>17</v>
      </c>
      <c r="E10" s="6">
        <f>STDEV(表2_367162629303891213141523242526272838394143444547[每日盈亏])</f>
        <v>3.4785054261852886E-4</v>
      </c>
    </row>
    <row r="11" spans="1:7" x14ac:dyDescent="0.2">
      <c r="A11" s="7" t="s">
        <v>18</v>
      </c>
      <c r="B11" s="32">
        <f>B3/B2</f>
        <v>0</v>
      </c>
      <c r="C11" s="40"/>
      <c r="D11" s="32" t="s">
        <v>19</v>
      </c>
      <c r="E11" s="41">
        <f>245^0.5*E10</f>
        <v>5.4447222151365274E-3</v>
      </c>
    </row>
    <row r="12" spans="1:7" ht="15" thickBot="1" x14ac:dyDescent="0.25">
      <c r="A12" s="45" t="s">
        <v>20</v>
      </c>
      <c r="B12" s="46" t="e">
        <f>-(SUMIF(表2_367162629303891213141523242526272838394143444547[每日盈亏],"&gt;=0")/B3)/(SUMIF(表2_367162629303891213141523242526272838394143444547[每日盈亏],"&lt;0")/B4)</f>
        <v>#DIV/0!</v>
      </c>
      <c r="C12" s="47"/>
      <c r="D12" s="48"/>
      <c r="E12" s="49"/>
    </row>
    <row r="14" spans="1:7" ht="28.5" x14ac:dyDescent="0.2">
      <c r="A14" s="50" t="s">
        <v>21</v>
      </c>
      <c r="B14" s="50" t="s">
        <v>14</v>
      </c>
      <c r="C14" s="51" t="s">
        <v>19</v>
      </c>
      <c r="D14" s="51" t="s">
        <v>13</v>
      </c>
      <c r="E14" s="51" t="s">
        <v>5</v>
      </c>
      <c r="F14" s="51" t="s">
        <v>7</v>
      </c>
    </row>
    <row r="15" spans="1:7" x14ac:dyDescent="0.2">
      <c r="A15" s="78">
        <f>B2</f>
        <v>10</v>
      </c>
      <c r="B15" s="53">
        <f>B9</f>
        <v>-5.1501501501500069E-2</v>
      </c>
      <c r="C15" s="53">
        <f>E11</f>
        <v>5.4447222151365274E-3</v>
      </c>
      <c r="D15" s="53">
        <f ca="1">E8</f>
        <v>-8.0080080080080496E-4</v>
      </c>
      <c r="E15" s="54">
        <f>E3</f>
        <v>-12.531552432211107</v>
      </c>
      <c r="F15" s="54">
        <f ca="1">E4</f>
        <v>-64.312499999997883</v>
      </c>
    </row>
    <row r="19" spans="1:7" x14ac:dyDescent="0.2">
      <c r="A19" s="8"/>
      <c r="B19" s="1" t="s">
        <v>22</v>
      </c>
    </row>
    <row r="20" spans="1:7" ht="15.75" x14ac:dyDescent="0.2">
      <c r="A20" s="22" t="s">
        <v>23</v>
      </c>
      <c r="B20" s="22" t="s">
        <v>24</v>
      </c>
      <c r="C20" s="22" t="s">
        <v>25</v>
      </c>
      <c r="D20" s="22" t="s">
        <v>26</v>
      </c>
      <c r="E20" s="22" t="s">
        <v>27</v>
      </c>
      <c r="F20" s="22" t="s">
        <v>28</v>
      </c>
      <c r="G20" s="22" t="s">
        <v>29</v>
      </c>
    </row>
    <row r="21" spans="1:7" x14ac:dyDescent="0.2">
      <c r="A21" s="15">
        <v>44314</v>
      </c>
      <c r="B21" s="112">
        <v>0.999</v>
      </c>
      <c r="C21" s="11">
        <f t="shared" ref="C21" si="0">IFERROR(B21-B20,0)</f>
        <v>0</v>
      </c>
      <c r="D21" s="12" t="str">
        <f>IF(C21&lt;0,C21,"/")</f>
        <v>/</v>
      </c>
      <c r="E21" s="12">
        <v>0</v>
      </c>
      <c r="F21" s="13">
        <f>表2_367162629303891213141523242526272838394143444547[[#This Row],[累计净值]]</f>
        <v>0.999</v>
      </c>
      <c r="G21" s="194" t="s">
        <v>30</v>
      </c>
    </row>
    <row r="22" spans="1:7" x14ac:dyDescent="0.2">
      <c r="A22" s="15">
        <v>44315</v>
      </c>
      <c r="B22" s="112">
        <v>0.999</v>
      </c>
      <c r="C22" s="108">
        <f>IFERROR(B22-B21,0)</f>
        <v>0</v>
      </c>
      <c r="D22" s="109" t="str">
        <f t="shared" ref="D22:D24" si="1">IF(C22&lt;0,C22,"/")</f>
        <v>/</v>
      </c>
      <c r="E22" s="109">
        <f ca="1">IF(B22/MAX(INDIRECT("B21:B" &amp; ROW()))-1&lt;E21,B22/MAX(INDIRECT("B21:B" &amp; ROW()))-1,E21)</f>
        <v>0</v>
      </c>
      <c r="F22" s="110">
        <f>表2_367162629303891213141523242526272838394143444547[[#This Row],[累计净值]]</f>
        <v>0.999</v>
      </c>
      <c r="G22" s="20">
        <f>IF(表2_367162629303891213141523242526272838394143444547[[#This Row],[累计净值]]&gt;$B$21,0.7*(表2_367162629303891213141523242526272838394143444547[[#This Row],[累计净值]]/$B$21-1),表2_367162629303891213141523242526272838394143444547[[#This Row],[累计净值]]/$B$21-1)</f>
        <v>0</v>
      </c>
    </row>
    <row r="23" spans="1:7" x14ac:dyDescent="0.2">
      <c r="A23" s="15">
        <v>44316</v>
      </c>
      <c r="B23" s="392">
        <v>0.99890000000000001</v>
      </c>
      <c r="C23" s="108">
        <f t="shared" ref="C23:C24" si="2">IFERROR(B23-B22,0)</f>
        <v>-9.9999999999988987E-5</v>
      </c>
      <c r="D23" s="109">
        <f t="shared" si="1"/>
        <v>-9.9999999999988987E-5</v>
      </c>
      <c r="E23" s="109">
        <f t="shared" ref="E23:E24" ca="1" si="3">IF(B23/MAX(INDIRECT("B21:B" &amp; ROW()))-1&lt;E22,B23/MAX(INDIRECT("B21:B" &amp; ROW()))-1,E22)</f>
        <v>-1.0010010010008674E-4</v>
      </c>
      <c r="F23" s="110">
        <f>表2_367162629303891213141523242526272838394143444547[[#This Row],[累计净值]]</f>
        <v>0.99890000000000001</v>
      </c>
      <c r="G23" s="20">
        <f>IF(表2_367162629303891213141523242526272838394143444547[[#This Row],[累计净值]]&gt;$B$21,0.7*(表2_367162629303891213141523242526272838394143444547[[#This Row],[累计净值]]/$B$21-1),表2_367162629303891213141523242526272838394143444547[[#This Row],[累计净值]]/$B$21-1)</f>
        <v>-1.0010010010008674E-4</v>
      </c>
    </row>
    <row r="24" spans="1:7" x14ac:dyDescent="0.2">
      <c r="A24" s="15">
        <v>44322</v>
      </c>
      <c r="B24" s="112">
        <v>0.99819999999999998</v>
      </c>
      <c r="C24" s="108">
        <f t="shared" si="2"/>
        <v>-7.0000000000003393E-4</v>
      </c>
      <c r="D24" s="109">
        <f t="shared" si="1"/>
        <v>-7.0000000000003393E-4</v>
      </c>
      <c r="E24" s="109">
        <f t="shared" ca="1" si="3"/>
        <v>-8.0080080080080496E-4</v>
      </c>
      <c r="F24" s="110">
        <f>表2_367162629303891213141523242526272838394143444547[[#This Row],[累计净值]]</f>
        <v>0.99819999999999998</v>
      </c>
      <c r="G24" s="20">
        <f>IF(表2_367162629303891213141523242526272838394143444547[[#This Row],[累计净值]]&gt;$B$21,0.7*(表2_367162629303891213141523242526272838394143444547[[#This Row],[累计净值]]/$B$21-1),表2_367162629303891213141523242526272838394143444547[[#This Row],[累计净值]]/$B$21-1)</f>
        <v>-8.0080080080080496E-4</v>
      </c>
    </row>
    <row r="25" spans="1:7" x14ac:dyDescent="0.2">
      <c r="A25" s="15">
        <v>44323</v>
      </c>
      <c r="B25" s="112">
        <v>0.99809999999999999</v>
      </c>
      <c r="C25" s="108">
        <f t="shared" ref="C25:C30" si="4">IFERROR(B25-B24,0)</f>
        <v>-9.9999999999988987E-5</v>
      </c>
      <c r="D25" s="109">
        <f t="shared" ref="D25:D30" si="5">IF(C25&lt;0,C25,"/")</f>
        <v>-9.9999999999988987E-5</v>
      </c>
      <c r="E25" s="109">
        <f ca="1">IF(表2_367162629303891213141523242526272835[[#This Row],[累计净值]]/MAX(INDIRECT("B21:B" &amp; ROW()))-1&lt;E24,表2_367162629303891213141523242526272835[[#This Row],[累计净值]]/MAX(INDIRECT("B21:B" &amp; ROW()))-1,E24)</f>
        <v>-8.0080080080080496E-4</v>
      </c>
      <c r="F25" s="110">
        <f>表2_367162629303891213141523242526272838394143444547[[#This Row],[累计净值]]</f>
        <v>0.99809999999999999</v>
      </c>
      <c r="G25" s="20">
        <f>IF(表2_367162629303891213141523242526272838394143444547[[#This Row],[累计净值]]&gt;$B$21,0.7*(表2_367162629303891213141523242526272838394143444547[[#This Row],[累计净值]]/$B$21-1),表2_367162629303891213141523242526272838394143444547[[#This Row],[累计净值]]/$B$21-1)</f>
        <v>-9.009009009008917E-4</v>
      </c>
    </row>
    <row r="26" spans="1:7" x14ac:dyDescent="0.2">
      <c r="A26" s="15">
        <v>44326</v>
      </c>
      <c r="B26" s="112">
        <v>0.99709999999999999</v>
      </c>
      <c r="C26" s="108">
        <f t="shared" si="4"/>
        <v>-1.0000000000000009E-3</v>
      </c>
      <c r="D26" s="109">
        <f t="shared" si="5"/>
        <v>-1.0000000000000009E-3</v>
      </c>
      <c r="E26" s="109">
        <f ca="1">IF(表2_367162629303891213141523242526272835[[#This Row],[累计净值]]/MAX(INDIRECT("B21:B" &amp; ROW()))-1&lt;E25,表2_367162629303891213141523242526272835[[#This Row],[累计净值]]/MAX(INDIRECT("B21:B" &amp; ROW()))-1,E25)</f>
        <v>-8.0080080080080496E-4</v>
      </c>
      <c r="F26" s="110">
        <f>表2_367162629303891213141523242526272838394143444547[[#This Row],[累计净值]]</f>
        <v>0.99709999999999999</v>
      </c>
      <c r="G26" s="20">
        <f>IF(表2_367162629303891213141523242526272838394143444547[[#This Row],[累计净值]]&gt;$B$21,0.7*(表2_367162629303891213141523242526272838394143444547[[#This Row],[累计净值]]/$B$21-1),表2_367162629303891213141523242526272838394143444547[[#This Row],[累计净值]]/$B$21-1)</f>
        <v>-1.9019019019018701E-3</v>
      </c>
    </row>
    <row r="27" spans="1:7" x14ac:dyDescent="0.2">
      <c r="A27" s="15">
        <v>44327</v>
      </c>
      <c r="B27" s="112">
        <v>0.99709999999999999</v>
      </c>
      <c r="C27" s="108">
        <f t="shared" si="4"/>
        <v>0</v>
      </c>
      <c r="D27" s="109" t="str">
        <f t="shared" si="5"/>
        <v>/</v>
      </c>
      <c r="E27" s="109">
        <f ca="1">IF(表2_367162629303891213141523242526272835[[#This Row],[累计净值]]/MAX(INDIRECT("B21:B" &amp; ROW()))-1&lt;E26,表2_367162629303891213141523242526272835[[#This Row],[累计净值]]/MAX(INDIRECT("B21:B" &amp; ROW()))-1,E26)</f>
        <v>-8.0080080080080496E-4</v>
      </c>
      <c r="F27" s="110">
        <f>表2_367162629303891213141523242526272838394143444547[[#This Row],[累计净值]]</f>
        <v>0.99709999999999999</v>
      </c>
      <c r="G27" s="20">
        <f>IF(表2_367162629303891213141523242526272838394143444547[[#This Row],[累计净值]]&gt;$B$21,0.7*(表2_367162629303891213141523242526272838394143444547[[#This Row],[累计净值]]/$B$21-1),表2_367162629303891213141523242526272838394143444547[[#This Row],[累计净值]]/$B$21-1)</f>
        <v>-1.9019019019018701E-3</v>
      </c>
    </row>
    <row r="28" spans="1:7" x14ac:dyDescent="0.2">
      <c r="A28" s="15">
        <v>44328</v>
      </c>
      <c r="B28" s="112">
        <v>0.997</v>
      </c>
      <c r="C28" s="108">
        <f t="shared" si="4"/>
        <v>-9.9999999999988987E-5</v>
      </c>
      <c r="D28" s="109">
        <f t="shared" si="5"/>
        <v>-9.9999999999988987E-5</v>
      </c>
      <c r="E28" s="109">
        <f ca="1">IF(表2_367162629303891213141523242526272835[[#This Row],[累计净值]]/MAX(INDIRECT("B21:B" &amp; ROW()))-1&lt;E27,表2_367162629303891213141523242526272835[[#This Row],[累计净值]]/MAX(INDIRECT("B21:B" &amp; ROW()))-1,E27)</f>
        <v>-8.0080080080080496E-4</v>
      </c>
      <c r="F28" s="110">
        <f>表2_367162629303891213141523242526272838394143444547[[#This Row],[累计净值]]</f>
        <v>0.997</v>
      </c>
      <c r="G28" s="20">
        <f>IF(表2_367162629303891213141523242526272838394143444547[[#This Row],[累计净值]]&gt;$B$21,0.7*(表2_367162629303891213141523242526272838394143444547[[#This Row],[累计净值]]/$B$21-1),表2_367162629303891213141523242526272838394143444547[[#This Row],[累计净值]]/$B$21-1)</f>
        <v>-2.0020020020019569E-3</v>
      </c>
    </row>
    <row r="29" spans="1:7" x14ac:dyDescent="0.2">
      <c r="A29" s="15">
        <v>44329</v>
      </c>
      <c r="B29" s="112">
        <v>0.99690000000000001</v>
      </c>
      <c r="C29" s="108">
        <f t="shared" si="4"/>
        <v>-9.9999999999988987E-5</v>
      </c>
      <c r="D29" s="109">
        <f t="shared" si="5"/>
        <v>-9.9999999999988987E-5</v>
      </c>
      <c r="E29" s="109">
        <f ca="1">IF(表2_367162629303891213141523242526272835[[#This Row],[累计净值]]/MAX(INDIRECT("B21:B" &amp; ROW()))-1&lt;E28,表2_367162629303891213141523242526272835[[#This Row],[累计净值]]/MAX(INDIRECT("B21:B" &amp; ROW()))-1,E28)</f>
        <v>-8.0080080080080496E-4</v>
      </c>
      <c r="F29" s="110">
        <f>表2_367162629303891213141523242526272838394143444547[[#This Row],[累计净值]]</f>
        <v>0.99690000000000001</v>
      </c>
      <c r="G29" s="20">
        <f>IF(表2_367162629303891213141523242526272838394143444547[[#This Row],[累计净值]]&gt;$B$21,0.7*(表2_367162629303891213141523242526272838394143444547[[#This Row],[累计净值]]/$B$21-1),表2_367162629303891213141523242526272838394143444547[[#This Row],[累计净值]]/$B$21-1)</f>
        <v>-2.1021021021020436E-3</v>
      </c>
    </row>
    <row r="30" spans="1:7" x14ac:dyDescent="0.2">
      <c r="A30" s="15">
        <v>44330</v>
      </c>
      <c r="B30" s="112">
        <v>0.99690000000000001</v>
      </c>
      <c r="C30" s="108">
        <f t="shared" si="4"/>
        <v>0</v>
      </c>
      <c r="D30" s="109" t="str">
        <f t="shared" si="5"/>
        <v>/</v>
      </c>
      <c r="E30" s="109">
        <f ca="1">IF(表2_367162629303891213141523242526272835[[#This Row],[累计净值]]/MAX(INDIRECT("B21:B" &amp; ROW()))-1&lt;E29,表2_367162629303891213141523242526272835[[#This Row],[累计净值]]/MAX(INDIRECT("B21:B" &amp; ROW()))-1,E29)</f>
        <v>-8.0080080080080496E-4</v>
      </c>
      <c r="F30" s="110">
        <f>表2_367162629303891213141523242526272838394143444547[[#This Row],[累计净值]]</f>
        <v>0.99690000000000001</v>
      </c>
      <c r="G30" s="20">
        <f>IF(表2_367162629303891213141523242526272838394143444547[[#This Row],[累计净值]]&gt;$B$21,0.7*(表2_367162629303891213141523242526272838394143444547[[#This Row],[累计净值]]/$B$21-1),表2_367162629303891213141523242526272838394143444547[[#This Row],[累计净值]]/$B$21-1)</f>
        <v>-2.1021021021020436E-3</v>
      </c>
    </row>
  </sheetData>
  <mergeCells count="1">
    <mergeCell ref="G2:G3"/>
  </mergeCells>
  <phoneticPr fontId="24" type="noConversion"/>
  <pageMargins left="0.7" right="0.7" top="0.75" bottom="0.75" header="0.3" footer="0.3"/>
  <pageSetup paperSize="9" orientation="portrait" horizontalDpi="4294967295" verticalDpi="4294967295" r:id="rId1"/>
  <drawing r:id="rId2"/>
  <tableParts count="1">
    <tablePart r:id="rId3"/>
  </tableParts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I29"/>
  <sheetViews>
    <sheetView workbookViewId="0">
      <pane xSplit="1" ySplit="19" topLeftCell="B20" activePane="bottomRight" state="frozen"/>
      <selection pane="topRight"/>
      <selection pane="bottomLeft"/>
      <selection pane="bottomRight" activeCell="H26" sqref="H26"/>
    </sheetView>
  </sheetViews>
  <sheetFormatPr defaultColWidth="9" defaultRowHeight="14.25" x14ac:dyDescent="0.2"/>
  <cols>
    <col min="1" max="1" width="11.25" style="289" customWidth="1"/>
    <col min="2" max="2" width="13.125" style="289" customWidth="1"/>
    <col min="3" max="3" width="12.5" style="289" customWidth="1"/>
    <col min="4" max="4" width="15" style="289" customWidth="1"/>
    <col min="5" max="5" width="11.25" style="289" customWidth="1"/>
    <col min="6" max="7" width="9" style="289"/>
    <col min="8" max="8" width="11" style="289" customWidth="1"/>
    <col min="9" max="9" width="11.375" style="289" customWidth="1"/>
    <col min="10" max="10" width="15.75" style="289" customWidth="1"/>
    <col min="11" max="11" width="16.625" style="289" customWidth="1"/>
    <col min="12" max="12" width="11.625" style="289" customWidth="1"/>
    <col min="13" max="16384" width="9" style="289"/>
  </cols>
  <sheetData>
    <row r="1" spans="1:9" ht="15" thickBot="1" x14ac:dyDescent="0.25">
      <c r="A1" s="284" t="s">
        <v>68</v>
      </c>
      <c r="B1" s="285">
        <f>COUNT(表1_4[每周盈亏])-1</f>
        <v>2</v>
      </c>
      <c r="C1" s="286"/>
      <c r="D1" s="287" t="s">
        <v>69</v>
      </c>
      <c r="E1" s="288"/>
      <c r="F1" s="289" t="s">
        <v>70</v>
      </c>
      <c r="G1" s="289" t="s">
        <v>71</v>
      </c>
    </row>
    <row r="2" spans="1:9" x14ac:dyDescent="0.2">
      <c r="A2" s="290" t="s">
        <v>72</v>
      </c>
      <c r="B2" s="291">
        <f>COUNTIF(表1_4[每周盈亏],"&gt;0")</f>
        <v>2</v>
      </c>
      <c r="C2" s="292"/>
      <c r="D2" s="293" t="s">
        <v>73</v>
      </c>
      <c r="E2" s="294">
        <f>(50^0.5)*(B9-0.025/52)/E9</f>
        <v>7.6313403536419955</v>
      </c>
      <c r="G2" s="295">
        <f>LOOKUP(999^10,表1_4[累计净值])</f>
        <v>1.0229999999999999</v>
      </c>
    </row>
    <row r="3" spans="1:9" x14ac:dyDescent="0.2">
      <c r="A3" s="290" t="s">
        <v>74</v>
      </c>
      <c r="B3" s="291">
        <f>COUNTIF(表1_4[每周盈亏],"&lt;0")</f>
        <v>0</v>
      </c>
      <c r="C3" s="292"/>
      <c r="D3" s="296" t="s">
        <v>75</v>
      </c>
      <c r="E3" s="294" t="e">
        <f ca="1">-B8/E7</f>
        <v>#DIV/0!</v>
      </c>
    </row>
    <row r="4" spans="1:9" x14ac:dyDescent="0.2">
      <c r="A4" s="290" t="s">
        <v>76</v>
      </c>
      <c r="B4" s="291">
        <f>B1-B2-B3</f>
        <v>0</v>
      </c>
      <c r="C4" s="292"/>
      <c r="D4" s="297" t="s">
        <v>77</v>
      </c>
      <c r="E4" s="298" t="e">
        <f>50^0.5*(B9-0.025/52)/E8</f>
        <v>#DIV/0!</v>
      </c>
    </row>
    <row r="5" spans="1:9" ht="15" thickBot="1" x14ac:dyDescent="0.25">
      <c r="A5" s="299"/>
      <c r="B5" s="300"/>
      <c r="C5" s="300"/>
      <c r="D5" s="300"/>
      <c r="E5" s="301"/>
    </row>
    <row r="6" spans="1:9" ht="15" thickBot="1" x14ac:dyDescent="0.25">
      <c r="A6" s="302" t="s">
        <v>78</v>
      </c>
      <c r="B6" s="303"/>
      <c r="C6" s="303"/>
      <c r="D6" s="287" t="s">
        <v>79</v>
      </c>
      <c r="E6" s="304"/>
    </row>
    <row r="7" spans="1:9" x14ac:dyDescent="0.2">
      <c r="A7" s="305" t="s">
        <v>80</v>
      </c>
      <c r="B7" s="306">
        <f>LOOKUP(999^10,表1_4[累计净值])-1</f>
        <v>2.2999999999999909E-2</v>
      </c>
      <c r="C7" s="307"/>
      <c r="D7" s="293" t="s">
        <v>81</v>
      </c>
      <c r="E7" s="308">
        <f ca="1">MIN(表1_4[最大回撤])</f>
        <v>0</v>
      </c>
    </row>
    <row r="8" spans="1:9" x14ac:dyDescent="0.2">
      <c r="A8" s="290" t="s">
        <v>82</v>
      </c>
      <c r="B8" s="296">
        <f>B7*50/B1</f>
        <v>0.57499999999999774</v>
      </c>
      <c r="C8" s="307"/>
      <c r="D8" s="297" t="s">
        <v>83</v>
      </c>
      <c r="E8" s="309" t="e">
        <f>STDEV(表1_4[下跌幅度])</f>
        <v>#DIV/0!</v>
      </c>
    </row>
    <row r="9" spans="1:9" x14ac:dyDescent="0.2">
      <c r="A9" s="310" t="s">
        <v>84</v>
      </c>
      <c r="B9" s="311">
        <f>AVERAGE(表1_4[每周盈亏])</f>
        <v>7.6666666666666368E-3</v>
      </c>
      <c r="C9" s="312"/>
      <c r="D9" s="297" t="s">
        <v>85</v>
      </c>
      <c r="E9" s="309">
        <f>STDEV(表1_4[每周盈亏])</f>
        <v>6.6583281184793711E-3</v>
      </c>
    </row>
    <row r="10" spans="1:9" x14ac:dyDescent="0.2">
      <c r="A10" s="313" t="s">
        <v>86</v>
      </c>
      <c r="B10" s="296">
        <f>B2/B1</f>
        <v>1</v>
      </c>
      <c r="C10" s="307"/>
      <c r="D10" s="296" t="s">
        <v>87</v>
      </c>
      <c r="E10" s="308">
        <f>50^0.5*E9</f>
        <v>4.7081489639418293E-2</v>
      </c>
    </row>
    <row r="11" spans="1:9" ht="15" thickBot="1" x14ac:dyDescent="0.25">
      <c r="A11" s="314" t="s">
        <v>88</v>
      </c>
      <c r="B11" s="315" t="e">
        <f>-(SUMIF(表1_4[每周盈亏],"&gt;=0")/B2)/(SUMIF(表1_4[每周盈亏],"&lt;0")/B3)</f>
        <v>#DIV/0!</v>
      </c>
      <c r="C11" s="316"/>
      <c r="D11" s="317"/>
      <c r="E11" s="318"/>
    </row>
    <row r="13" spans="1:9" ht="31.5" x14ac:dyDescent="0.2">
      <c r="A13" s="319" t="s">
        <v>68</v>
      </c>
      <c r="B13" s="320" t="s">
        <v>89</v>
      </c>
      <c r="C13" s="320" t="s">
        <v>82</v>
      </c>
      <c r="D13" s="321" t="s">
        <v>87</v>
      </c>
      <c r="E13" s="321" t="s">
        <v>81</v>
      </c>
      <c r="F13" s="321" t="s">
        <v>73</v>
      </c>
      <c r="G13" s="321" t="s">
        <v>75</v>
      </c>
      <c r="H13" s="322" t="s">
        <v>90</v>
      </c>
      <c r="I13" s="322" t="s">
        <v>91</v>
      </c>
    </row>
    <row r="14" spans="1:9" ht="15.75" x14ac:dyDescent="0.2">
      <c r="A14" s="323">
        <f>B1</f>
        <v>2</v>
      </c>
      <c r="B14" s="324">
        <f>B7</f>
        <v>2.2999999999999909E-2</v>
      </c>
      <c r="C14" s="324">
        <f>B8</f>
        <v>0.57499999999999774</v>
      </c>
      <c r="D14" s="324">
        <f>E10</f>
        <v>4.7081489639418293E-2</v>
      </c>
      <c r="E14" s="324">
        <f ca="1">E7</f>
        <v>0</v>
      </c>
      <c r="F14" s="325">
        <f>E2</f>
        <v>7.6313403536419955</v>
      </c>
      <c r="G14" s="325" t="e">
        <f ca="1">E3</f>
        <v>#DIV/0!</v>
      </c>
      <c r="H14" s="295"/>
      <c r="I14" s="326"/>
    </row>
    <row r="17" spans="1:5" x14ac:dyDescent="0.2">
      <c r="A17" s="327"/>
      <c r="B17" s="289" t="s">
        <v>92</v>
      </c>
    </row>
    <row r="19" spans="1:5" ht="15.75" x14ac:dyDescent="0.2">
      <c r="A19" s="333" t="s">
        <v>93</v>
      </c>
      <c r="B19" s="333" t="s">
        <v>94</v>
      </c>
      <c r="C19" s="334" t="s">
        <v>95</v>
      </c>
      <c r="D19" s="334" t="s">
        <v>96</v>
      </c>
      <c r="E19" s="334" t="s">
        <v>81</v>
      </c>
    </row>
    <row r="20" spans="1:5" x14ac:dyDescent="0.2">
      <c r="A20" s="331">
        <v>44295</v>
      </c>
      <c r="B20" s="328">
        <v>1</v>
      </c>
      <c r="C20" s="329">
        <v>0</v>
      </c>
      <c r="D20" s="330" t="str">
        <f t="shared" ref="D20:D21" si="0">IF(C20&lt;0,C20,"/")</f>
        <v>/</v>
      </c>
      <c r="E20" s="330">
        <f ca="1">IF(表1_4[[#This Row],[累计净值]]-MAX(INDIRECT("B20:B"&amp;ROW()))&lt;E19,表1_4[[#This Row],[累计净值]]-MAX(INDIRECT("B20:B"&amp;ROW())),E19)</f>
        <v>0</v>
      </c>
    </row>
    <row r="21" spans="1:5" x14ac:dyDescent="0.2">
      <c r="A21" s="331">
        <v>44302</v>
      </c>
      <c r="B21" s="328">
        <v>1.012</v>
      </c>
      <c r="C21" s="329">
        <f t="shared" ref="C21:C22" si="1">B21-B20</f>
        <v>1.2000000000000011E-2</v>
      </c>
      <c r="D21" s="330" t="str">
        <f t="shared" si="0"/>
        <v>/</v>
      </c>
      <c r="E21" s="330">
        <f ca="1">IF(表1_4[[#This Row],[累计净值]]-MAX(INDIRECT("B20:B"&amp;ROW()))&lt;E20,表1_4[[#This Row],[累计净值]]-MAX(INDIRECT("B20:B"&amp;ROW())),E20)</f>
        <v>0</v>
      </c>
    </row>
    <row r="22" spans="1:5" x14ac:dyDescent="0.2">
      <c r="A22" s="331">
        <v>44309</v>
      </c>
      <c r="B22" s="332">
        <v>1.0229999999999999</v>
      </c>
      <c r="C22" s="329">
        <f t="shared" si="1"/>
        <v>1.0999999999999899E-2</v>
      </c>
      <c r="D22" s="330" t="str">
        <f>IF(C22&lt;0,C22,"/")</f>
        <v>/</v>
      </c>
      <c r="E22" s="330">
        <f ca="1">IF(表1_4[[#This Row],[累计净值]]-MAX(INDIRECT("B20:B"&amp;ROW()))&lt;E21,表1_4[[#This Row],[累计净值]]-MAX(INDIRECT("B20:B"&amp;ROW())),E21)</f>
        <v>0</v>
      </c>
    </row>
    <row r="23" spans="1:5" x14ac:dyDescent="0.2">
      <c r="A23" s="333"/>
      <c r="B23" s="333"/>
      <c r="C23" s="333"/>
      <c r="D23" s="333"/>
      <c r="E23" s="333"/>
    </row>
    <row r="24" spans="1:5" x14ac:dyDescent="0.2">
      <c r="A24" s="333"/>
      <c r="B24" s="333"/>
      <c r="C24" s="333"/>
      <c r="D24" s="333"/>
      <c r="E24" s="333"/>
    </row>
    <row r="25" spans="1:5" x14ac:dyDescent="0.2">
      <c r="A25" s="333"/>
      <c r="B25" s="333"/>
      <c r="C25" s="333"/>
      <c r="D25" s="333"/>
      <c r="E25" s="333"/>
    </row>
    <row r="26" spans="1:5" x14ac:dyDescent="0.2">
      <c r="A26" s="333"/>
      <c r="B26" s="333"/>
      <c r="C26" s="333"/>
      <c r="D26" s="333"/>
      <c r="E26" s="333"/>
    </row>
    <row r="27" spans="1:5" x14ac:dyDescent="0.2">
      <c r="A27" s="333"/>
      <c r="B27" s="333"/>
      <c r="C27" s="333"/>
      <c r="D27" s="333"/>
      <c r="E27" s="333"/>
    </row>
    <row r="28" spans="1:5" x14ac:dyDescent="0.2">
      <c r="A28" s="333"/>
      <c r="B28" s="333"/>
      <c r="C28" s="333"/>
      <c r="D28" s="333"/>
      <c r="E28" s="333"/>
    </row>
    <row r="29" spans="1:5" x14ac:dyDescent="0.2">
      <c r="A29" s="333"/>
      <c r="B29" s="333"/>
      <c r="C29" s="333"/>
      <c r="D29" s="333"/>
      <c r="E29" s="333"/>
    </row>
  </sheetData>
  <phoneticPr fontId="24" type="noConversion"/>
  <pageMargins left="0.69930555555555596" right="0.69930555555555596" top="0.75" bottom="0.75" header="0.3" footer="0.3"/>
  <pageSetup paperSize="9" orientation="portrait"/>
  <drawing r:id="rId1"/>
  <legacyDrawing r:id="rId2"/>
  <tableParts count="1">
    <tablePart r:id="rId3"/>
  </tableParts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G32"/>
  <sheetViews>
    <sheetView workbookViewId="0">
      <pane xSplit="1" ySplit="19" topLeftCell="B20" activePane="bottomRight" state="frozen"/>
      <selection pane="topRight" activeCell="B1" sqref="B1"/>
      <selection pane="bottomLeft" activeCell="A20" sqref="A20"/>
      <selection pane="bottomRight" activeCell="J35" sqref="J35"/>
    </sheetView>
  </sheetViews>
  <sheetFormatPr defaultRowHeight="14.25" x14ac:dyDescent="0.2"/>
  <cols>
    <col min="1" max="1" width="11.25" style="340" customWidth="1"/>
    <col min="2" max="2" width="13.125" style="340" customWidth="1"/>
    <col min="3" max="3" width="12.5" style="340" customWidth="1"/>
    <col min="4" max="4" width="15" style="340" customWidth="1"/>
    <col min="5" max="5" width="11.25" style="340" customWidth="1"/>
    <col min="6" max="7" width="9" style="340"/>
    <col min="8" max="8" width="11" style="340" customWidth="1"/>
    <col min="9" max="9" width="35.125" style="340" bestFit="1" customWidth="1"/>
    <col min="10" max="10" width="15.75" style="340" customWidth="1"/>
    <col min="11" max="11" width="16.625" style="340" customWidth="1"/>
    <col min="12" max="12" width="11.625" style="340" bestFit="1" customWidth="1"/>
    <col min="13" max="16384" width="9" style="340"/>
  </cols>
  <sheetData>
    <row r="1" spans="1:7" ht="15" thickBot="1" x14ac:dyDescent="0.25">
      <c r="A1" s="335" t="s">
        <v>97</v>
      </c>
      <c r="B1" s="336">
        <f>COUNT(表1_434567[每周盈亏])-1</f>
        <v>12</v>
      </c>
      <c r="C1" s="337"/>
      <c r="D1" s="338" t="s">
        <v>1</v>
      </c>
      <c r="E1" s="339"/>
      <c r="F1" s="340" t="s">
        <v>2</v>
      </c>
      <c r="G1" s="340" t="s">
        <v>98</v>
      </c>
    </row>
    <row r="2" spans="1:7" x14ac:dyDescent="0.2">
      <c r="A2" s="341" t="s">
        <v>99</v>
      </c>
      <c r="B2" s="342">
        <f>COUNTIF(表1_434567[每周盈亏],"&gt;0")</f>
        <v>9</v>
      </c>
      <c r="C2" s="343"/>
      <c r="D2" s="344" t="s">
        <v>5</v>
      </c>
      <c r="E2" s="345">
        <f>50^0.5*(B9-0.025/52)/E9</f>
        <v>-1.8215563786691609</v>
      </c>
      <c r="G2" s="346">
        <f>LOOKUP(999^10,表1_434567[累计净值])</f>
        <v>1.0868</v>
      </c>
    </row>
    <row r="3" spans="1:7" x14ac:dyDescent="0.2">
      <c r="A3" s="341" t="s">
        <v>100</v>
      </c>
      <c r="B3" s="342">
        <f>COUNTIF(表1_434567[每周盈亏],"&lt;0")</f>
        <v>3</v>
      </c>
      <c r="C3" s="343"/>
      <c r="D3" s="347" t="s">
        <v>7</v>
      </c>
      <c r="E3" s="345">
        <f ca="1">-B8/E7</f>
        <v>0.32166666666666638</v>
      </c>
    </row>
    <row r="4" spans="1:7" x14ac:dyDescent="0.2">
      <c r="A4" s="341" t="s">
        <v>8</v>
      </c>
      <c r="B4" s="342">
        <f>B1-B2-B3</f>
        <v>0</v>
      </c>
      <c r="C4" s="343"/>
      <c r="D4" s="348" t="s">
        <v>9</v>
      </c>
      <c r="E4" s="349">
        <f>50^0.5*(B9-0.025/52)/E8</f>
        <v>-0.88655851273342934</v>
      </c>
    </row>
    <row r="5" spans="1:7" ht="15" thickBot="1" x14ac:dyDescent="0.25">
      <c r="A5" s="350"/>
      <c r="B5" s="351"/>
      <c r="C5" s="351"/>
      <c r="D5" s="351"/>
      <c r="E5" s="352"/>
    </row>
    <row r="6" spans="1:7" ht="15" thickBot="1" x14ac:dyDescent="0.25">
      <c r="A6" s="353" t="s">
        <v>10</v>
      </c>
      <c r="B6" s="354"/>
      <c r="C6" s="354"/>
      <c r="D6" s="338" t="s">
        <v>11</v>
      </c>
      <c r="E6" s="355"/>
    </row>
    <row r="7" spans="1:7" x14ac:dyDescent="0.2">
      <c r="A7" s="356" t="s">
        <v>55</v>
      </c>
      <c r="B7" s="357">
        <f>LOOKUP(999^10,表1_434567[累计净值])-B20</f>
        <v>7.7199999999999935E-2</v>
      </c>
      <c r="C7" s="358"/>
      <c r="D7" s="344" t="s">
        <v>13</v>
      </c>
      <c r="E7" s="359">
        <f ca="1">MIN(表1_434567[最大回撤])</f>
        <v>-1</v>
      </c>
    </row>
    <row r="8" spans="1:7" x14ac:dyDescent="0.2">
      <c r="A8" s="341" t="s">
        <v>14</v>
      </c>
      <c r="B8" s="347">
        <f>B7*50/B1</f>
        <v>0.32166666666666638</v>
      </c>
      <c r="C8" s="358"/>
      <c r="D8" s="348" t="s">
        <v>15</v>
      </c>
      <c r="E8" s="360">
        <f>STDEV(表1_434567[下跌幅度])</f>
        <v>0.62325221486436244</v>
      </c>
    </row>
    <row r="9" spans="1:7" x14ac:dyDescent="0.2">
      <c r="A9" s="361" t="s">
        <v>101</v>
      </c>
      <c r="B9" s="362">
        <f>AVERAGE(表1_434567[每周盈亏])</f>
        <v>-7.7661538461538462E-2</v>
      </c>
      <c r="C9" s="363"/>
      <c r="D9" s="348" t="s">
        <v>17</v>
      </c>
      <c r="E9" s="360">
        <f>STDEV(表1_434567[每周盈亏])</f>
        <v>0.30333925600022366</v>
      </c>
    </row>
    <row r="10" spans="1:7" x14ac:dyDescent="0.2">
      <c r="A10" s="364" t="s">
        <v>102</v>
      </c>
      <c r="B10" s="347">
        <f>B2/B1</f>
        <v>0.75</v>
      </c>
      <c r="C10" s="358"/>
      <c r="D10" s="347" t="s">
        <v>19</v>
      </c>
      <c r="E10" s="359">
        <f>50^0.5*E9</f>
        <v>2.1449324491784028</v>
      </c>
    </row>
    <row r="11" spans="1:7" ht="15" thickBot="1" x14ac:dyDescent="0.25">
      <c r="A11" s="365" t="s">
        <v>20</v>
      </c>
      <c r="B11" s="366">
        <f>-(SUMIF(表1_434567[每周盈亏],"&gt;=0")/B2)/(SUMIF(表1_434567[每周盈亏],"&lt;0")/B3)</f>
        <v>2.7782821863083253E-2</v>
      </c>
      <c r="C11" s="367"/>
      <c r="D11" s="368"/>
      <c r="E11" s="369"/>
    </row>
    <row r="13" spans="1:7" ht="31.5" x14ac:dyDescent="0.2">
      <c r="A13" s="370" t="s">
        <v>103</v>
      </c>
      <c r="B13" s="371" t="s">
        <v>104</v>
      </c>
      <c r="C13" s="371" t="s">
        <v>14</v>
      </c>
      <c r="D13" s="372" t="s">
        <v>19</v>
      </c>
      <c r="E13" s="372" t="s">
        <v>13</v>
      </c>
      <c r="F13" s="372" t="s">
        <v>5</v>
      </c>
      <c r="G13" s="372" t="s">
        <v>7</v>
      </c>
    </row>
    <row r="14" spans="1:7" ht="15.75" x14ac:dyDescent="0.2">
      <c r="A14" s="373">
        <f>B1</f>
        <v>12</v>
      </c>
      <c r="B14" s="374">
        <f>B7</f>
        <v>7.7199999999999935E-2</v>
      </c>
      <c r="C14" s="374">
        <f>B8</f>
        <v>0.32166666666666638</v>
      </c>
      <c r="D14" s="374">
        <f>E10</f>
        <v>2.1449324491784028</v>
      </c>
      <c r="E14" s="374">
        <f ca="1">E7</f>
        <v>-1</v>
      </c>
      <c r="F14" s="375">
        <f>E2</f>
        <v>-1.8215563786691609</v>
      </c>
      <c r="G14" s="375">
        <f ca="1">E3</f>
        <v>0.32166666666666638</v>
      </c>
    </row>
    <row r="17" spans="1:7" x14ac:dyDescent="0.2">
      <c r="A17" s="376"/>
      <c r="B17" s="340" t="s">
        <v>105</v>
      </c>
    </row>
    <row r="19" spans="1:7" ht="15.75" x14ac:dyDescent="0.2">
      <c r="A19" s="377" t="s">
        <v>106</v>
      </c>
      <c r="B19" s="377" t="s">
        <v>107</v>
      </c>
      <c r="C19" s="378" t="s">
        <v>108</v>
      </c>
      <c r="D19" s="378" t="s">
        <v>109</v>
      </c>
      <c r="E19" s="378" t="s">
        <v>27</v>
      </c>
      <c r="F19" s="378" t="s">
        <v>110</v>
      </c>
      <c r="G19" s="378" t="s">
        <v>111</v>
      </c>
    </row>
    <row r="20" spans="1:7" x14ac:dyDescent="0.2">
      <c r="A20" s="379">
        <v>44232</v>
      </c>
      <c r="B20" s="380">
        <v>1.0096000000000001</v>
      </c>
      <c r="C20" s="381">
        <v>0</v>
      </c>
      <c r="D20" s="382" t="str">
        <f>IF(C20&lt;0,C20,"/")</f>
        <v>/</v>
      </c>
      <c r="E20" s="382">
        <f ca="1">IF(表1_434567[[#This Row],[累计净值]]/MAX(INDIRECT("B20:B" &amp; ROW()))-1&lt;E19,表1_434567[[#This Row],[累计净值]]/MAX(INDIRECT("B20:B" &amp; ROW()))-1,E19)</f>
        <v>0</v>
      </c>
      <c r="F20" s="383">
        <f>表1_434567[[#This Row],[累计净值]]</f>
        <v>1.0096000000000001</v>
      </c>
      <c r="G20" s="384">
        <v>0</v>
      </c>
    </row>
    <row r="21" spans="1:7" x14ac:dyDescent="0.2">
      <c r="A21" s="385">
        <v>44237</v>
      </c>
      <c r="B21" s="346">
        <v>1.0213000000000001</v>
      </c>
      <c r="C21" s="386">
        <f t="shared" ref="C21:C23" si="0">B21-B20</f>
        <v>1.1700000000000044E-2</v>
      </c>
      <c r="D21" s="387" t="str">
        <f>IF(C21&lt;0,C21,"/")</f>
        <v>/</v>
      </c>
      <c r="E21" s="387">
        <f ca="1">IF(表1_434567[[#This Row],[累计净值]]/MAX(INDIRECT("B20:B" &amp; ROW()))-1&lt;E20,表1_434567[[#This Row],[累计净值]]/MAX(INDIRECT("B20:B" &amp; ROW()))-1,E20)</f>
        <v>0</v>
      </c>
      <c r="F21" s="340">
        <f>表1_434567[[#This Row],[累计净值]]</f>
        <v>1.0213000000000001</v>
      </c>
      <c r="G21" s="388">
        <f>IF(表1_434567[[#This Row],[单位净值]]&gt;$F$20,0.8*(表1_434567[[#This Row],[单位净值]]/$F$20-1),表1_434567[[#This Row],[单位净值]]/$F$20-1)</f>
        <v>9.2709984152140375E-3</v>
      </c>
    </row>
    <row r="22" spans="1:7" x14ac:dyDescent="0.2">
      <c r="A22" s="385">
        <v>44246</v>
      </c>
      <c r="B22" s="346">
        <v>1.0432999999999999</v>
      </c>
      <c r="C22" s="389">
        <f t="shared" si="0"/>
        <v>2.1999999999999797E-2</v>
      </c>
      <c r="D22" s="387" t="str">
        <f t="shared" ref="D22:D23" si="1">IF(C22&lt;0,C22,"/")</f>
        <v>/</v>
      </c>
      <c r="E22" s="387">
        <f ca="1">IF(表1_434567[[#This Row],[累计净值]]/MAX(INDIRECT("B20:B" &amp; ROW()))-1&lt;E21,表1_434567[[#This Row],[累计净值]]/MAX(INDIRECT("B20:B" &amp; ROW()))-1,E21)</f>
        <v>0</v>
      </c>
      <c r="F22" s="390">
        <f>表1_434567[[#This Row],[累计净值]]</f>
        <v>1.0432999999999999</v>
      </c>
      <c r="G22" s="388">
        <f>IF(表1_434567[[#This Row],[单位净值]]&gt;$F$20,0.8*(表1_434567[[#This Row],[单位净值]]/$F$20-1),表1_434567[[#This Row],[单位净值]]/$F$20-1)</f>
        <v>2.6703645007923882E-2</v>
      </c>
    </row>
    <row r="23" spans="1:7" x14ac:dyDescent="0.2">
      <c r="A23" s="385">
        <v>44253</v>
      </c>
      <c r="B23" s="346">
        <v>1.0612999999999999</v>
      </c>
      <c r="C23" s="389">
        <f t="shared" si="0"/>
        <v>1.8000000000000016E-2</v>
      </c>
      <c r="D23" s="387" t="str">
        <f t="shared" si="1"/>
        <v>/</v>
      </c>
      <c r="E23" s="387">
        <f ca="1">IF(表1_434567[[#This Row],[累计净值]]/MAX(INDIRECT("B20:B" &amp; ROW()))-1&lt;E22,表1_434567[[#This Row],[累计净值]]/MAX(INDIRECT("B20:B" &amp; ROW()))-1,E22)</f>
        <v>0</v>
      </c>
      <c r="F23" s="390">
        <f>表1_434567[[#This Row],[累计净值]]</f>
        <v>1.0612999999999999</v>
      </c>
      <c r="G23" s="388">
        <f>IF(表1_434567[[#This Row],[单位净值]]&gt;$F$20,0.8*(表1_434567[[#This Row],[单位净值]]/$F$20-1),表1_434567[[#This Row],[单位净值]]/$F$20-1)</f>
        <v>4.096671949286837E-2</v>
      </c>
    </row>
    <row r="24" spans="1:7" x14ac:dyDescent="0.2">
      <c r="A24" s="385">
        <v>44260</v>
      </c>
      <c r="B24" s="346">
        <v>1.0558000000000001</v>
      </c>
      <c r="C24" s="389">
        <f>B24-B23</f>
        <v>-5.4999999999998384E-3</v>
      </c>
      <c r="D24" s="387">
        <f>IF(C24&lt;0,C24,"/")</f>
        <v>-5.4999999999998384E-3</v>
      </c>
      <c r="E24" s="387">
        <f ca="1">IF(表1_434567[[#This Row],[累计净值]]/MAX(INDIRECT("B20:B" &amp; ROW()))-1&lt;E23,表1_434567[[#This Row],[累计净值]]/MAX(INDIRECT("B20:B" &amp; ROW()))-1,E23)</f>
        <v>-5.1823235654384625E-3</v>
      </c>
      <c r="F24" s="390">
        <f>表1_434567[[#This Row],[累计净值]]</f>
        <v>1.0558000000000001</v>
      </c>
      <c r="G24" s="388">
        <f>IF(表1_434567[[#This Row],[单位净值]]&gt;$F$20,0.8*(表1_434567[[#This Row],[单位净值]]/$F$20-1),表1_434567[[#This Row],[单位净值]]/$F$20-1)</f>
        <v>3.6608557844690991E-2</v>
      </c>
    </row>
    <row r="25" spans="1:7" x14ac:dyDescent="0.2">
      <c r="A25" s="385">
        <v>44267</v>
      </c>
      <c r="B25" s="346">
        <v>1.0707</v>
      </c>
      <c r="C25" s="389">
        <f>B25-B24</f>
        <v>1.4899999999999913E-2</v>
      </c>
      <c r="D25" s="387" t="str">
        <f>IF(C25&lt;0,C25,"/")</f>
        <v>/</v>
      </c>
      <c r="E25" s="387">
        <f ca="1">IF(表1_434567[[#This Row],[累计净值]]/MAX(INDIRECT("B20:B" &amp; ROW()))-1&lt;E24,表1_434567[[#This Row],[累计净值]]/MAX(INDIRECT("B20:B" &amp; ROW()))-1,E24)</f>
        <v>-5.1823235654384625E-3</v>
      </c>
      <c r="F25" s="390">
        <f>表1_434567[[#This Row],[累计净值]]</f>
        <v>1.0707</v>
      </c>
      <c r="G25" s="388">
        <f>IF(表1_434567[[#This Row],[单位净值]]&gt;$F$20,0.8*(表1_434567[[#This Row],[单位净值]]/$F$20-1),表1_434567[[#This Row],[单位净值]]/$F$20-1)</f>
        <v>4.8415213946117142E-2</v>
      </c>
    </row>
    <row r="26" spans="1:7" x14ac:dyDescent="0.2">
      <c r="A26" s="385">
        <v>44274</v>
      </c>
      <c r="B26" s="346">
        <v>1.0616000000000001</v>
      </c>
      <c r="C26" s="389">
        <f>B26-B25</f>
        <v>-9.099999999999886E-3</v>
      </c>
      <c r="D26" s="387">
        <f t="shared" ref="D26:D31" si="2">IF(C26&lt;0,C26,"/")</f>
        <v>-9.099999999999886E-3</v>
      </c>
      <c r="E26" s="387">
        <f ca="1">IF(表1_434567[[#This Row],[累计净值]]/MAX(INDIRECT("B20:B" &amp; ROW()))-1&lt;E25,表1_434567[[#This Row],[累计净值]]/MAX(INDIRECT("B20:B" &amp; ROW()))-1,E25)</f>
        <v>-8.4991127299895997E-3</v>
      </c>
      <c r="F26" s="390">
        <f>表1_434567[[#This Row],[累计净值]]</f>
        <v>1.0616000000000001</v>
      </c>
      <c r="G26" s="388">
        <f>IF(表1_434567[[#This Row],[单位净值]]&gt;$F$20,0.8*(表1_434567[[#This Row],[单位净值]]/$F$20-1),表1_434567[[#This Row],[单位净值]]/$F$20-1)</f>
        <v>4.120443740095095E-2</v>
      </c>
    </row>
    <row r="27" spans="1:7" x14ac:dyDescent="0.2">
      <c r="A27" s="385">
        <v>44281</v>
      </c>
      <c r="B27" s="346">
        <v>1.07</v>
      </c>
      <c r="C27" s="389">
        <f t="shared" ref="C27:C31" si="3">B27-B26</f>
        <v>8.3999999999999631E-3</v>
      </c>
      <c r="D27" s="387" t="str">
        <f t="shared" si="2"/>
        <v>/</v>
      </c>
      <c r="E27" s="387">
        <f ca="1">IF(表1_434567[[#This Row],[累计净值]]/MAX(INDIRECT("B20:B" &amp; ROW()))-1&lt;E26,表1_434567[[#This Row],[累计净值]]/MAX(INDIRECT("B20:B" &amp; ROW()))-1,E26)</f>
        <v>-8.4991127299895997E-3</v>
      </c>
      <c r="F27" s="390">
        <f>表1_434567[[#This Row],[累计净值]]</f>
        <v>1.07</v>
      </c>
      <c r="G27" s="388">
        <f>IF(表1_434567[[#This Row],[单位净值]]&gt;$F$20,0.8*(表1_434567[[#This Row],[单位净值]]/$F$20-1),表1_434567[[#This Row],[单位净值]]/$F$20-1)</f>
        <v>4.7860538827258381E-2</v>
      </c>
    </row>
    <row r="28" spans="1:7" x14ac:dyDescent="0.2">
      <c r="A28" s="385">
        <v>44288</v>
      </c>
      <c r="B28" s="346">
        <v>1.0765</v>
      </c>
      <c r="C28" s="389">
        <f t="shared" si="3"/>
        <v>6.4999999999999503E-3</v>
      </c>
      <c r="D28" s="387" t="str">
        <f t="shared" si="2"/>
        <v>/</v>
      </c>
      <c r="E28" s="387">
        <f ca="1">IF(表1_434567[[#This Row],[累计净值]]/MAX(INDIRECT("B20:B" &amp; ROW()))-1&lt;E27,表1_434567[[#This Row],[累计净值]]/MAX(INDIRECT("B20:B" &amp; ROW()))-1,E27)</f>
        <v>-8.4991127299895997E-3</v>
      </c>
      <c r="F28" s="390">
        <f>表1_434567[[#This Row],[累计净值]]</f>
        <v>1.0765</v>
      </c>
      <c r="G28" s="388">
        <f>IF(表1_434567[[#This Row],[单位净值]]&gt;$F$20,0.8*(表1_434567[[#This Row],[单位净值]]/$F$20-1),表1_434567[[#This Row],[单位净值]]/$F$20-1)</f>
        <v>5.3011093502377094E-2</v>
      </c>
    </row>
    <row r="29" spans="1:7" x14ac:dyDescent="0.2">
      <c r="A29" s="385">
        <v>44295</v>
      </c>
      <c r="B29" s="346">
        <v>1.0766</v>
      </c>
      <c r="C29" s="389">
        <f t="shared" si="3"/>
        <v>9.9999999999988987E-5</v>
      </c>
      <c r="D29" s="387" t="str">
        <f t="shared" si="2"/>
        <v>/</v>
      </c>
      <c r="E29" s="387">
        <f ca="1">IF(表1_434567[[#This Row],[累计净值]]/MAX(INDIRECT("B20:B" &amp; ROW()))-1&lt;E28,表1_434567[[#This Row],[累计净值]]/MAX(INDIRECT("B20:B" &amp; ROW()))-1,E28)</f>
        <v>-8.4991127299895997E-3</v>
      </c>
      <c r="F29" s="390">
        <f>表1_434567[[#This Row],[累计净值]]</f>
        <v>1.0766</v>
      </c>
      <c r="G29" s="388">
        <f>IF(表1_434567[[#This Row],[单位净值]]&gt;$F$20,0.8*(表1_434567[[#This Row],[单位净值]]/$F$20-1),表1_434567[[#This Row],[单位净值]]/$F$20-1)</f>
        <v>5.3090332805071229E-2</v>
      </c>
    </row>
    <row r="30" spans="1:7" x14ac:dyDescent="0.2">
      <c r="A30" s="385">
        <v>44302</v>
      </c>
      <c r="B30" s="346">
        <v>1.0802</v>
      </c>
      <c r="C30" s="389">
        <f t="shared" si="3"/>
        <v>3.6000000000000476E-3</v>
      </c>
      <c r="D30" s="387" t="str">
        <f t="shared" si="2"/>
        <v>/</v>
      </c>
      <c r="E30" s="387">
        <f ca="1">IF(表1_434567[[#This Row],[累计净值]]/MAX(INDIRECT("B20:B" &amp; ROW()))-1&lt;E29,表1_434567[[#This Row],[累计净值]]/MAX(INDIRECT("B20:B" &amp; ROW()))-1,E29)</f>
        <v>-8.4991127299895997E-3</v>
      </c>
      <c r="F30" s="390">
        <f>表1_434567[[#This Row],[累计净值]]</f>
        <v>1.0802</v>
      </c>
      <c r="G30" s="388">
        <f>IF(表1_434567[[#This Row],[单位净值]]&gt;$F$20,0.8*(表1_434567[[#This Row],[单位净值]]/$F$20-1),表1_434567[[#This Row],[单位净值]]/$F$20-1)</f>
        <v>5.5942947702060236E-2</v>
      </c>
    </row>
    <row r="31" spans="1:7" x14ac:dyDescent="0.2">
      <c r="A31" s="385">
        <v>44309</v>
      </c>
      <c r="B31" s="346">
        <v>1.0868</v>
      </c>
      <c r="C31" s="389">
        <f t="shared" si="3"/>
        <v>6.5999999999999392E-3</v>
      </c>
      <c r="D31" s="387" t="str">
        <f t="shared" si="2"/>
        <v>/</v>
      </c>
      <c r="E31" s="387">
        <f ca="1">IF(表1_434567[[#This Row],[累计净值]]/MAX(INDIRECT("B20:B" &amp; ROW()))-1&lt;E30,表1_434567[[#This Row],[累计净值]]/MAX(INDIRECT("B20:B" &amp; ROW()))-1,E30)</f>
        <v>-8.4991127299895997E-3</v>
      </c>
      <c r="F31" s="390">
        <f>表1_434567[[#This Row],[累计净值]]</f>
        <v>1.0868</v>
      </c>
      <c r="G31" s="388">
        <f>IF(表1_434567[[#This Row],[单位净值]]&gt;$F$20,0.8*(表1_434567[[#This Row],[单位净值]]/$F$20-1),表1_434567[[#This Row],[单位净值]]/$F$20-1)</f>
        <v>6.1172741679873077E-2</v>
      </c>
    </row>
    <row r="32" spans="1:7" x14ac:dyDescent="0.2">
      <c r="A32" s="385">
        <v>44316</v>
      </c>
      <c r="B32" s="346"/>
      <c r="C32" s="389">
        <f>B32-B31</f>
        <v>-1.0868</v>
      </c>
      <c r="D32" s="387">
        <f>IF(C32&lt;0,C32,"/")</f>
        <v>-1.0868</v>
      </c>
      <c r="E32" s="387">
        <f ca="1">IF(表1_434567[[#This Row],[累计净值]]/MAX(INDIRECT("B20:B" &amp; ROW()))-1&lt;E31,表1_434567[[#This Row],[累计净值]]/MAX(INDIRECT("B20:B" &amp; ROW()))-1,E31)</f>
        <v>-1</v>
      </c>
      <c r="F32" s="390">
        <f>表1_434567[[#This Row],[累计净值]]</f>
        <v>0</v>
      </c>
      <c r="G32" s="388"/>
    </row>
  </sheetData>
  <phoneticPr fontId="24" type="noConversion"/>
  <pageMargins left="0.7" right="0.7" top="0.75" bottom="0.75" header="0.3" footer="0.3"/>
  <pageSetup paperSize="9" orientation="portrait" r:id="rId1"/>
  <drawing r:id="rId2"/>
  <legacyDrawing r:id="rId3"/>
  <tableParts count="1">
    <tablePart r:id="rId4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1"/>
  </sheetPr>
  <dimension ref="A1:G198"/>
  <sheetViews>
    <sheetView workbookViewId="0">
      <pane xSplit="1" ySplit="20" topLeftCell="B185" activePane="bottomRight" state="frozen"/>
      <selection pane="topRight" activeCell="B1" sqref="B1"/>
      <selection pane="bottomLeft" activeCell="A21" sqref="A21"/>
      <selection pane="bottomRight" activeCell="M197" sqref="M197"/>
    </sheetView>
  </sheetViews>
  <sheetFormatPr defaultColWidth="9" defaultRowHeight="14.25" x14ac:dyDescent="0.2"/>
  <cols>
    <col min="1" max="1" width="11.625" style="1" bestFit="1" customWidth="1"/>
    <col min="2" max="2" width="13" style="1" customWidth="1"/>
    <col min="3" max="4" width="13.5" style="1" bestFit="1" customWidth="1"/>
    <col min="5" max="5" width="10.75" style="1" customWidth="1"/>
    <col min="6" max="6" width="11.125" style="1" customWidth="1"/>
    <col min="7" max="7" width="18.875" style="2" customWidth="1"/>
    <col min="8" max="8" width="14.25" style="1" customWidth="1"/>
    <col min="9" max="9" width="12" style="1" bestFit="1" customWidth="1"/>
    <col min="10" max="16384" width="9" style="1"/>
  </cols>
  <sheetData>
    <row r="1" spans="1:7" ht="15" thickBot="1" x14ac:dyDescent="0.25"/>
    <row r="2" spans="1:7" ht="15" thickBot="1" x14ac:dyDescent="0.25">
      <c r="A2" s="23" t="s">
        <v>0</v>
      </c>
      <c r="B2" s="24">
        <f>COUNT(表2_3671626293038912131415232425262728[每日盈亏])</f>
        <v>178</v>
      </c>
      <c r="C2" s="27"/>
      <c r="D2" s="3" t="s">
        <v>1</v>
      </c>
      <c r="E2" s="28"/>
      <c r="F2" s="1" t="s">
        <v>2</v>
      </c>
      <c r="G2" s="394" t="s">
        <v>3</v>
      </c>
    </row>
    <row r="3" spans="1:7" x14ac:dyDescent="0.2">
      <c r="A3" s="25" t="s">
        <v>4</v>
      </c>
      <c r="B3" s="26">
        <f>COUNTIF(表2_3671626293038912131415232425262728[每日盈亏],"&gt;0")</f>
        <v>98</v>
      </c>
      <c r="C3" s="29"/>
      <c r="D3" s="30" t="s">
        <v>5</v>
      </c>
      <c r="E3" s="31">
        <f>245^0.5*(B10-0.025/365)/E10</f>
        <v>-0.57430749641218171</v>
      </c>
      <c r="G3" s="394"/>
    </row>
    <row r="4" spans="1:7" x14ac:dyDescent="0.2">
      <c r="A4" s="25" t="s">
        <v>6</v>
      </c>
      <c r="B4" s="26">
        <f>COUNTIF(表2_3671626293038912131415232425262728[每日盈亏],"&lt;0")</f>
        <v>70</v>
      </c>
      <c r="C4" s="29"/>
      <c r="D4" s="32" t="s">
        <v>7</v>
      </c>
      <c r="E4" s="31">
        <f ca="1">-B9/E8</f>
        <v>-0.32261272004241137</v>
      </c>
      <c r="G4" s="2">
        <f>LOOKUP(999^10,表2_3671626293038912131415232425262728[累计净值])</f>
        <v>0.97119999999999995</v>
      </c>
    </row>
    <row r="5" spans="1:7" x14ac:dyDescent="0.2">
      <c r="A5" s="25" t="s">
        <v>8</v>
      </c>
      <c r="B5" s="26">
        <f>B2-B3-B4</f>
        <v>10</v>
      </c>
      <c r="C5" s="29"/>
      <c r="D5" s="33" t="s">
        <v>9</v>
      </c>
      <c r="E5" s="4">
        <f>245^0.5*(B10-0.025/365)/E9</f>
        <v>-0.51830427491821407</v>
      </c>
    </row>
    <row r="6" spans="1:7" ht="15" thickBot="1" x14ac:dyDescent="0.25">
      <c r="A6" s="34"/>
      <c r="B6" s="35"/>
      <c r="C6" s="35"/>
      <c r="D6" s="35"/>
      <c r="E6" s="36"/>
    </row>
    <row r="7" spans="1:7" ht="15" thickBot="1" x14ac:dyDescent="0.25">
      <c r="A7" s="5" t="s">
        <v>10</v>
      </c>
      <c r="B7" s="35"/>
      <c r="C7" s="35"/>
      <c r="D7" s="3" t="s">
        <v>11</v>
      </c>
      <c r="E7" s="37"/>
    </row>
    <row r="8" spans="1:7" x14ac:dyDescent="0.2">
      <c r="A8" s="38" t="s">
        <v>12</v>
      </c>
      <c r="B8" s="39">
        <f>LOOKUP(999^10,表2_3671626293038912131415232425262728[累计净值])/$B$21-1</f>
        <v>-2.7633159791750184E-2</v>
      </c>
      <c r="C8" s="40"/>
      <c r="D8" s="30" t="s">
        <v>13</v>
      </c>
      <c r="E8" s="41">
        <f ca="1">MIN(表2_3671626293038912131415232425262728[最大回撤])</f>
        <v>-0.11789493398258277</v>
      </c>
    </row>
    <row r="9" spans="1:7" x14ac:dyDescent="0.2">
      <c r="A9" s="25" t="s">
        <v>14</v>
      </c>
      <c r="B9" s="32">
        <f>B8*245/B2</f>
        <v>-3.8034405331341545E-2</v>
      </c>
      <c r="C9" s="40"/>
      <c r="D9" s="33" t="s">
        <v>15</v>
      </c>
      <c r="E9" s="6">
        <f>STDEV(表2_3671626293038912131415232425262728[下跌幅度])</f>
        <v>6.7510546680081751E-3</v>
      </c>
    </row>
    <row r="10" spans="1:7" x14ac:dyDescent="0.2">
      <c r="A10" s="42" t="s">
        <v>16</v>
      </c>
      <c r="B10" s="43">
        <f>AVERAGE(表2_3671626293038912131415232425262728[每日盈亏])</f>
        <v>-1.5505617977528129E-4</v>
      </c>
      <c r="C10" s="44"/>
      <c r="D10" s="33" t="s">
        <v>17</v>
      </c>
      <c r="E10" s="6">
        <f>STDEV(表2_3671626293038912131415232425262728[每日盈亏])</f>
        <v>6.0927299686923987E-3</v>
      </c>
    </row>
    <row r="11" spans="1:7" x14ac:dyDescent="0.2">
      <c r="A11" s="7" t="s">
        <v>18</v>
      </c>
      <c r="B11" s="32">
        <f>B3/B2</f>
        <v>0.550561797752809</v>
      </c>
      <c r="C11" s="40"/>
      <c r="D11" s="32" t="s">
        <v>19</v>
      </c>
      <c r="E11" s="41">
        <f>245^0.5*E10</f>
        <v>9.5366308649824594E-2</v>
      </c>
    </row>
    <row r="12" spans="1:7" ht="15" thickBot="1" x14ac:dyDescent="0.25">
      <c r="A12" s="45" t="s">
        <v>20</v>
      </c>
      <c r="B12" s="46">
        <f>-(SUMIF(表2_3671626293038912131415232425262728[每日盈亏],"&gt;=0")/B3)/(SUMIF(表2_3671626293038912131415232425262728[每日盈亏],"&lt;0")/B4)</f>
        <v>0.65621712602566806</v>
      </c>
      <c r="C12" s="47"/>
      <c r="D12" s="48"/>
      <c r="E12" s="49"/>
    </row>
    <row r="14" spans="1:7" ht="28.5" x14ac:dyDescent="0.2">
      <c r="A14" s="50" t="s">
        <v>21</v>
      </c>
      <c r="B14" s="50" t="s">
        <v>14</v>
      </c>
      <c r="C14" s="51" t="s">
        <v>19</v>
      </c>
      <c r="D14" s="51" t="s">
        <v>13</v>
      </c>
      <c r="E14" s="51" t="s">
        <v>5</v>
      </c>
      <c r="F14" s="51" t="s">
        <v>7</v>
      </c>
    </row>
    <row r="15" spans="1:7" x14ac:dyDescent="0.2">
      <c r="A15" s="78">
        <f>B2</f>
        <v>178</v>
      </c>
      <c r="B15" s="53">
        <f>B9</f>
        <v>-3.8034405331341545E-2</v>
      </c>
      <c r="C15" s="53">
        <f>E11</f>
        <v>9.5366308649824594E-2</v>
      </c>
      <c r="D15" s="53">
        <f ca="1">E8</f>
        <v>-0.11789493398258277</v>
      </c>
      <c r="E15" s="54">
        <f>E3</f>
        <v>-0.57430749641218171</v>
      </c>
      <c r="F15" s="54">
        <f ca="1">E4</f>
        <v>-0.32261272004241137</v>
      </c>
    </row>
    <row r="19" spans="1:7" x14ac:dyDescent="0.2">
      <c r="A19" s="8"/>
      <c r="B19" s="1" t="s">
        <v>22</v>
      </c>
    </row>
    <row r="20" spans="1:7" ht="15.75" x14ac:dyDescent="0.2">
      <c r="A20" s="22" t="s">
        <v>23</v>
      </c>
      <c r="B20" s="22" t="s">
        <v>24</v>
      </c>
      <c r="C20" s="22" t="s">
        <v>25</v>
      </c>
      <c r="D20" s="22" t="s">
        <v>26</v>
      </c>
      <c r="E20" s="22" t="s">
        <v>27</v>
      </c>
      <c r="F20" s="22" t="s">
        <v>28</v>
      </c>
      <c r="G20" s="22" t="s">
        <v>29</v>
      </c>
    </row>
    <row r="21" spans="1:7" x14ac:dyDescent="0.2">
      <c r="A21" s="15">
        <v>44061</v>
      </c>
      <c r="B21" s="16">
        <v>0.99880000000000002</v>
      </c>
      <c r="C21" s="11">
        <f t="shared" ref="C21:C27" si="0">IFERROR(B21-B20,0)</f>
        <v>0</v>
      </c>
      <c r="D21" s="12" t="str">
        <f>IF(C21&lt;0,C21,"/")</f>
        <v>/</v>
      </c>
      <c r="E21" s="12">
        <f ca="1">IF(表2_3671626293038912131415232425262728[[#This Row],[累计净值]]/MAX(INDIRECT("B21:B" &amp; ROW()))-1&lt;E20,表2_3671626293038912131415232425262728[[#This Row],[累计净值]]/MAX(INDIRECT("B21:B" &amp; ROW()))-1,E20)</f>
        <v>0</v>
      </c>
      <c r="F21" s="13">
        <f>表2_3671626293038912131415232425262728[[#This Row],[累计净值]]</f>
        <v>0.99880000000000002</v>
      </c>
      <c r="G21" s="194" t="s">
        <v>30</v>
      </c>
    </row>
    <row r="22" spans="1:7" x14ac:dyDescent="0.2">
      <c r="A22" s="15">
        <v>44062</v>
      </c>
      <c r="B22" s="16">
        <v>0.99939999999999996</v>
      </c>
      <c r="C22" s="17">
        <f t="shared" si="0"/>
        <v>5.9999999999993392E-4</v>
      </c>
      <c r="D22" s="18" t="str">
        <f>IF(C22&lt;0,C22,"/")</f>
        <v>/</v>
      </c>
      <c r="E22" s="18">
        <f ca="1">IF(表2_3671626293038912131415232425262728[[#This Row],[累计净值]]/MAX(INDIRECT("B21:B" &amp; ROW()))-1&lt;E21,表2_3671626293038912131415232425262728[[#This Row],[累计净值]]/MAX(INDIRECT("B21:B" &amp; ROW()))-1,E21)</f>
        <v>0</v>
      </c>
      <c r="F22" s="19">
        <f>表2_3671626293038912131415232425262728[[#This Row],[累计净值]]</f>
        <v>0.99939999999999996</v>
      </c>
      <c r="G22" s="20">
        <f>表2_3671626293038912131415232425262728[[#This Row],[累计净值]]/$B$21-1</f>
        <v>6.0072086503804023E-4</v>
      </c>
    </row>
    <row r="23" spans="1:7" x14ac:dyDescent="0.2">
      <c r="A23" s="15">
        <v>44063</v>
      </c>
      <c r="B23" s="112">
        <v>0.99950000000000006</v>
      </c>
      <c r="C23" s="17">
        <f t="shared" si="0"/>
        <v>1.0000000000010001E-4</v>
      </c>
      <c r="D23" s="109" t="str">
        <f>IF(C23&lt;0,C23,"/")</f>
        <v>/</v>
      </c>
      <c r="E23" s="18">
        <f ca="1">IF(表2_3671626293038912131415232425262728[[#This Row],[累计净值]]/MAX(INDIRECT("B21:B" &amp; ROW()))-1&lt;E22,表2_3671626293038912131415232425262728[[#This Row],[累计净值]]/MAX(INDIRECT("B21:B" &amp; ROW()))-1,E22)</f>
        <v>0</v>
      </c>
      <c r="F23" s="110">
        <f>表2_3671626293038912131415232425262728[[#This Row],[累计净值]]</f>
        <v>0.99950000000000006</v>
      </c>
      <c r="G23" s="20">
        <f>表2_3671626293038912131415232425262728[[#This Row],[累计净值]]/$B$21-1</f>
        <v>7.0084100921108394E-4</v>
      </c>
    </row>
    <row r="24" spans="1:7" x14ac:dyDescent="0.2">
      <c r="A24" s="15">
        <v>44064</v>
      </c>
      <c r="B24" s="112">
        <v>0.99919999999999998</v>
      </c>
      <c r="C24" s="17">
        <f t="shared" si="0"/>
        <v>-3.0000000000007798E-4</v>
      </c>
      <c r="D24" s="109">
        <f>IF(C24&lt;0,C24,"/")</f>
        <v>-3.0000000000007798E-4</v>
      </c>
      <c r="E24" s="18">
        <f ca="1">IF(表2_3671626293038912131415232425262728[[#This Row],[累计净值]]/MAX(INDIRECT("B21:B" &amp; ROW()))-1&lt;E23,表2_3671626293038912131415232425262728[[#This Row],[累计净值]]/MAX(INDIRECT("B21:B" &amp; ROW()))-1,E23)</f>
        <v>-3.0015007503758628E-4</v>
      </c>
      <c r="F24" s="110">
        <f>表2_3671626293038912131415232425262728[[#This Row],[累计净值]]</f>
        <v>0.99919999999999998</v>
      </c>
      <c r="G24" s="20">
        <f>表2_3671626293038912131415232425262728[[#This Row],[累计净值]]/$B$21-1</f>
        <v>4.0048057669195281E-4</v>
      </c>
    </row>
    <row r="25" spans="1:7" x14ac:dyDescent="0.2">
      <c r="A25" s="15">
        <v>44067</v>
      </c>
      <c r="B25" s="112">
        <v>0.99829999999999997</v>
      </c>
      <c r="C25" s="17">
        <f t="shared" si="0"/>
        <v>-9.000000000000119E-4</v>
      </c>
      <c r="D25" s="109">
        <f>IF(C25&lt;0,C25,"/")</f>
        <v>-9.000000000000119E-4</v>
      </c>
      <c r="E25" s="18">
        <f ca="1">IF(表2_3671626293038912131415232425262728[[#This Row],[累计净值]]/MAX(INDIRECT("B21:B" &amp; ROW()))-1&lt;E24,表2_3671626293038912131415232425262728[[#This Row],[累计净值]]/MAX(INDIRECT("B21:B" &amp; ROW()))-1,E24)</f>
        <v>-1.2006003001501231E-3</v>
      </c>
      <c r="F25" s="110">
        <f>表2_3671626293038912131415232425262728[[#This Row],[累计净值]]</f>
        <v>0.99829999999999997</v>
      </c>
      <c r="G25" s="20">
        <f>表2_3671626293038912131415232425262728[[#This Row],[累计净值]]/$B$21-1</f>
        <v>-5.0060072086510754E-4</v>
      </c>
    </row>
    <row r="26" spans="1:7" x14ac:dyDescent="0.2">
      <c r="A26" s="15">
        <v>44068</v>
      </c>
      <c r="B26" s="112">
        <v>0.99970000000000003</v>
      </c>
      <c r="C26" s="17">
        <f t="shared" si="0"/>
        <v>1.4000000000000679E-3</v>
      </c>
      <c r="D26" s="109" t="str">
        <f t="shared" ref="D26:D31" si="1">IF(C26&lt;0,C26,"/")</f>
        <v>/</v>
      </c>
      <c r="E26" s="18">
        <f ca="1">IF(表2_3671626293038912131415232425262728[[#This Row],[累计净值]]/MAX(INDIRECT("B21:B" &amp; ROW()))-1&lt;E25,表2_3671626293038912131415232425262728[[#This Row],[累计净值]]/MAX(INDIRECT("B21:B" &amp; ROW()))-1,E25)</f>
        <v>-1.2006003001501231E-3</v>
      </c>
      <c r="F26" s="110">
        <f>表2_3671626293038912131415232425262728[[#This Row],[累计净值]]</f>
        <v>0.99970000000000003</v>
      </c>
      <c r="G26" s="20">
        <f>表2_3671626293038912131415232425262728[[#This Row],[累计净值]]/$B$21-1</f>
        <v>9.0108129755717137E-4</v>
      </c>
    </row>
    <row r="27" spans="1:7" x14ac:dyDescent="0.2">
      <c r="A27" s="15">
        <v>44069</v>
      </c>
      <c r="B27" s="112">
        <v>1.0012000000000001</v>
      </c>
      <c r="C27" s="17">
        <f t="shared" si="0"/>
        <v>1.5000000000000568E-3</v>
      </c>
      <c r="D27" s="109" t="str">
        <f t="shared" si="1"/>
        <v>/</v>
      </c>
      <c r="E27" s="18">
        <f ca="1">IF(表2_3671626293038912131415232425262728[[#This Row],[累计净值]]/MAX(INDIRECT("B21:B" &amp; ROW()))-1&lt;E26,表2_3671626293038912131415232425262728[[#This Row],[累计净值]]/MAX(INDIRECT("B21:B" &amp; ROW()))-1,E26)</f>
        <v>-1.2006003001501231E-3</v>
      </c>
      <c r="F27" s="110">
        <f>表2_3671626293038912131415232425262728[[#This Row],[累计净值]]</f>
        <v>1.0012000000000001</v>
      </c>
      <c r="G27" s="20">
        <f>表2_3671626293038912131415232425262728[[#This Row],[累计净值]]/$B$21-1</f>
        <v>2.4028834601521609E-3</v>
      </c>
    </row>
    <row r="28" spans="1:7" x14ac:dyDescent="0.2">
      <c r="A28" s="15">
        <v>44070</v>
      </c>
      <c r="B28" s="112">
        <v>1.0006999999999999</v>
      </c>
      <c r="C28" s="108">
        <f t="shared" ref="C28:C33" si="2">IFERROR(B28-B27,0)</f>
        <v>-5.0000000000016698E-4</v>
      </c>
      <c r="D28" s="109">
        <f t="shared" si="1"/>
        <v>-5.0000000000016698E-4</v>
      </c>
      <c r="E28" s="109">
        <f ca="1">IF(表2_3671626293038912131415232425262728[[#This Row],[累计净值]]/MAX(INDIRECT("B21:B" &amp; ROW()))-1&lt;E27,表2_3671626293038912131415232425262728[[#This Row],[累计净值]]/MAX(INDIRECT("B21:B" &amp; ROW()))-1,E27)</f>
        <v>-1.2006003001501231E-3</v>
      </c>
      <c r="F28" s="110">
        <f>表2_3671626293038912131415232425262728[[#This Row],[累计净值]]</f>
        <v>1.0006999999999999</v>
      </c>
      <c r="G28" s="20">
        <f>表2_3671626293038912131415232425262728[[#This Row],[累计净值]]/$B$21-1</f>
        <v>1.9022827392869424E-3</v>
      </c>
    </row>
    <row r="29" spans="1:7" x14ac:dyDescent="0.2">
      <c r="A29" s="15">
        <v>44071</v>
      </c>
      <c r="B29" s="112">
        <v>1.0019</v>
      </c>
      <c r="C29" s="108">
        <f t="shared" si="2"/>
        <v>1.2000000000000899E-3</v>
      </c>
      <c r="D29" s="109" t="str">
        <f t="shared" si="1"/>
        <v>/</v>
      </c>
      <c r="E29" s="109">
        <f ca="1">IF(表2_3671626293038912131415232425262728[[#This Row],[累计净值]]/MAX(INDIRECT("B21:B" &amp; ROW()))-1&lt;E28,表2_3671626293038912131415232425262728[[#This Row],[累计净值]]/MAX(INDIRECT("B21:B" &amp; ROW()))-1,E28)</f>
        <v>-1.2006003001501231E-3</v>
      </c>
      <c r="F29" s="110">
        <f>表2_3671626293038912131415232425262728[[#This Row],[累计净值]]</f>
        <v>1.0019</v>
      </c>
      <c r="G29" s="20">
        <f>表2_3671626293038912131415232425262728[[#This Row],[累计净值]]/$B$21-1</f>
        <v>3.1037244693632449E-3</v>
      </c>
    </row>
    <row r="30" spans="1:7" x14ac:dyDescent="0.2">
      <c r="A30" s="15">
        <v>44074</v>
      </c>
      <c r="B30" s="112">
        <v>1.0022</v>
      </c>
      <c r="C30" s="108">
        <f t="shared" si="2"/>
        <v>2.9999999999996696E-4</v>
      </c>
      <c r="D30" s="109" t="str">
        <f t="shared" si="1"/>
        <v>/</v>
      </c>
      <c r="E30" s="109">
        <f ca="1">IF(表2_3671626293038912131415232425262728[[#This Row],[累计净值]]/MAX(INDIRECT("B21:B" &amp; ROW()))-1&lt;E29,表2_3671626293038912131415232425262728[[#This Row],[累计净值]]/MAX(INDIRECT("B21:B" &amp; ROW()))-1,E29)</f>
        <v>-1.2006003001501231E-3</v>
      </c>
      <c r="F30" s="110">
        <f>表2_3671626293038912131415232425262728[[#This Row],[累计净值]]</f>
        <v>1.0022</v>
      </c>
      <c r="G30" s="20">
        <f>表2_3671626293038912131415232425262728[[#This Row],[累计净值]]/$B$21-1</f>
        <v>3.404084901882154E-3</v>
      </c>
    </row>
    <row r="31" spans="1:7" x14ac:dyDescent="0.2">
      <c r="A31" s="15">
        <v>44075</v>
      </c>
      <c r="B31" s="112">
        <v>1.0008999999999999</v>
      </c>
      <c r="C31" s="108">
        <f t="shared" si="2"/>
        <v>-1.3000000000000789E-3</v>
      </c>
      <c r="D31" s="109">
        <f t="shared" si="1"/>
        <v>-1.3000000000000789E-3</v>
      </c>
      <c r="E31" s="109">
        <f ca="1">IF(表2_3671626293038912131415232425262728[[#This Row],[累计净值]]/MAX(INDIRECT("B21:B" &amp; ROW()))-1&lt;E30,表2_3671626293038912131415232425262728[[#This Row],[累计净值]]/MAX(INDIRECT("B21:B" &amp; ROW()))-1,E30)</f>
        <v>-1.2971462781881105E-3</v>
      </c>
      <c r="F31" s="110">
        <f>表2_3671626293038912131415232425262728[[#This Row],[累计净值]]</f>
        <v>1.0008999999999999</v>
      </c>
      <c r="G31" s="20">
        <f>表2_3671626293038912131415232425262728[[#This Row],[累计净值]]/$B$21-1</f>
        <v>2.1025230276330298E-3</v>
      </c>
    </row>
    <row r="32" spans="1:7" x14ac:dyDescent="0.2">
      <c r="A32" s="15">
        <v>44076</v>
      </c>
      <c r="B32" s="112">
        <v>1.0032000000000001</v>
      </c>
      <c r="C32" s="108">
        <f t="shared" si="2"/>
        <v>2.3000000000001908E-3</v>
      </c>
      <c r="D32" s="109" t="str">
        <f t="shared" ref="D32:D38" si="3">IF(C32&lt;0,C32,"/")</f>
        <v>/</v>
      </c>
      <c r="E32" s="109">
        <f ca="1">IF(表2_3671626293038912131415232425262728[[#This Row],[累计净值]]/MAX(INDIRECT("B21:B" &amp; ROW()))-1&lt;E31,表2_3671626293038912131415232425262728[[#This Row],[累计净值]]/MAX(INDIRECT("B21:B" &amp; ROW()))-1,E31)</f>
        <v>-1.2971462781881105E-3</v>
      </c>
      <c r="F32" s="110">
        <f>表2_3671626293038912131415232425262728[[#This Row],[累计净值]]</f>
        <v>1.0032000000000001</v>
      </c>
      <c r="G32" s="20">
        <f>表2_3671626293038912131415232425262728[[#This Row],[累计净值]]/$B$21-1</f>
        <v>4.405286343612369E-3</v>
      </c>
    </row>
    <row r="33" spans="1:7" x14ac:dyDescent="0.2">
      <c r="A33" s="15">
        <v>44077</v>
      </c>
      <c r="B33" s="112">
        <v>1.0032000000000001</v>
      </c>
      <c r="C33" s="108">
        <f t="shared" si="2"/>
        <v>0</v>
      </c>
      <c r="D33" s="109" t="str">
        <f t="shared" si="3"/>
        <v>/</v>
      </c>
      <c r="E33" s="109">
        <f ca="1">IF(表2_3671626293038912131415232425262728[[#This Row],[累计净值]]/MAX(INDIRECT("B21:B" &amp; ROW()))-1&lt;E32,表2_3671626293038912131415232425262728[[#This Row],[累计净值]]/MAX(INDIRECT("B21:B" &amp; ROW()))-1,E32)</f>
        <v>-1.2971462781881105E-3</v>
      </c>
      <c r="F33" s="110">
        <f>表2_3671626293038912131415232425262728[[#This Row],[累计净值]]</f>
        <v>1.0032000000000001</v>
      </c>
      <c r="G33" s="20">
        <f>表2_3671626293038912131415232425262728[[#This Row],[累计净值]]/$B$21-1</f>
        <v>4.405286343612369E-3</v>
      </c>
    </row>
    <row r="34" spans="1:7" x14ac:dyDescent="0.2">
      <c r="A34" s="15">
        <v>44078</v>
      </c>
      <c r="B34" s="112">
        <v>1.0023</v>
      </c>
      <c r="C34" s="108">
        <f>IFERROR(B34-B33,0)</f>
        <v>-9.0000000000012292E-4</v>
      </c>
      <c r="D34" s="109">
        <f t="shared" si="3"/>
        <v>-9.0000000000012292E-4</v>
      </c>
      <c r="E34" s="109">
        <f ca="1">IF(表2_3671626293038912131415232425262728[[#This Row],[累计净值]]/MAX(INDIRECT("B21:B" &amp; ROW()))-1&lt;E33,表2_3671626293038912131415232425262728[[#This Row],[累计净值]]/MAX(INDIRECT("B21:B" &amp; ROW()))-1,E33)</f>
        <v>-1.2971462781881105E-3</v>
      </c>
      <c r="F34" s="110">
        <f>表2_3671626293038912131415232425262728[[#This Row],[累计净值]]</f>
        <v>1.0023</v>
      </c>
      <c r="G34" s="20">
        <f>表2_3671626293038912131415232425262728[[#This Row],[累计净值]]/$B$21-1</f>
        <v>3.5042050460551977E-3</v>
      </c>
    </row>
    <row r="35" spans="1:7" x14ac:dyDescent="0.2">
      <c r="A35" s="15">
        <v>44081</v>
      </c>
      <c r="B35" s="112">
        <v>1.0041</v>
      </c>
      <c r="C35" s="108">
        <f>IFERROR(B35-B34,0)</f>
        <v>1.8000000000000238E-3</v>
      </c>
      <c r="D35" s="109" t="str">
        <f t="shared" si="3"/>
        <v>/</v>
      </c>
      <c r="E35" s="109">
        <f ca="1">IF(表2_3671626293038912131415232425262728[[#This Row],[累计净值]]/MAX(INDIRECT("B21:B" &amp; ROW()))-1&lt;E34,表2_3671626293038912131415232425262728[[#This Row],[累计净值]]/MAX(INDIRECT("B21:B" &amp; ROW()))-1,E34)</f>
        <v>-1.2971462781881105E-3</v>
      </c>
      <c r="F35" s="110">
        <f>表2_3671626293038912131415232425262728[[#This Row],[累计净值]]</f>
        <v>1.0041</v>
      </c>
      <c r="G35" s="20">
        <f>表2_3671626293038912131415232425262728[[#This Row],[累计净值]]/$B$21-1</f>
        <v>5.3063676411693184E-3</v>
      </c>
    </row>
    <row r="36" spans="1:7" x14ac:dyDescent="0.2">
      <c r="A36" s="15">
        <v>44082</v>
      </c>
      <c r="B36" s="112">
        <v>1.0045999999999999</v>
      </c>
      <c r="C36" s="108">
        <f>IFERROR(B36-B35,0)</f>
        <v>4.9999999999994493E-4</v>
      </c>
      <c r="D36" s="109" t="str">
        <f t="shared" si="3"/>
        <v>/</v>
      </c>
      <c r="E36" s="109">
        <f ca="1">IF(表2_3671626293038912131415232425262728[[#This Row],[累计净值]]/MAX(INDIRECT("B21:B" &amp; ROW()))-1&lt;E35,表2_3671626293038912131415232425262728[[#This Row],[累计净值]]/MAX(INDIRECT("B21:B" &amp; ROW()))-1,E35)</f>
        <v>-1.2971462781881105E-3</v>
      </c>
      <c r="F36" s="110">
        <f>表2_3671626293038912131415232425262728[[#This Row],[累计净值]]</f>
        <v>1.0045999999999999</v>
      </c>
      <c r="G36" s="20">
        <f>表2_3671626293038912131415232425262728[[#This Row],[累计净值]]/$B$21-1</f>
        <v>5.8069683620343149E-3</v>
      </c>
    </row>
    <row r="37" spans="1:7" x14ac:dyDescent="0.2">
      <c r="A37" s="15">
        <v>44083</v>
      </c>
      <c r="B37" s="112">
        <v>1.0027999999999999</v>
      </c>
      <c r="C37" s="108">
        <f>IFERROR(B37-B36,0)</f>
        <v>-1.8000000000000238E-3</v>
      </c>
      <c r="D37" s="109">
        <f t="shared" si="3"/>
        <v>-1.8000000000000238E-3</v>
      </c>
      <c r="E37" s="109">
        <f ca="1">IF(表2_3671626293038912131415232425262728[[#This Row],[累计净值]]/MAX(INDIRECT("B21:B" &amp; ROW()))-1&lt;E36,表2_3671626293038912131415232425262728[[#This Row],[累计净值]]/MAX(INDIRECT("B21:B" &amp; ROW()))-1,E36)</f>
        <v>-1.7917579135974249E-3</v>
      </c>
      <c r="F37" s="110">
        <f>表2_3671626293038912131415232425262728[[#This Row],[累计净值]]</f>
        <v>1.0027999999999999</v>
      </c>
      <c r="G37" s="20">
        <f>表2_3671626293038912131415232425262728[[#This Row],[累计净值]]/$B$21-1</f>
        <v>4.0048057669201942E-3</v>
      </c>
    </row>
    <row r="38" spans="1:7" x14ac:dyDescent="0.2">
      <c r="A38" s="15">
        <v>44084</v>
      </c>
      <c r="B38" s="112">
        <v>1.004</v>
      </c>
      <c r="C38" s="108">
        <f>IFERROR(B38-B37,0)</f>
        <v>1.2000000000000899E-3</v>
      </c>
      <c r="D38" s="109" t="str">
        <f t="shared" si="3"/>
        <v>/</v>
      </c>
      <c r="E38" s="109">
        <f ca="1">IF(表2_3671626293038912131415232425262728[[#This Row],[累计净值]]/MAX(INDIRECT("B21:B" &amp; ROW()))-1&lt;E37,表2_3671626293038912131415232425262728[[#This Row],[累计净值]]/MAX(INDIRECT("B21:B" &amp; ROW()))-1,E37)</f>
        <v>-1.7917579135974249E-3</v>
      </c>
      <c r="F38" s="110">
        <f>表2_3671626293038912131415232425262728[[#This Row],[累计净值]]</f>
        <v>1.004</v>
      </c>
      <c r="G38" s="20">
        <f>表2_3671626293038912131415232425262728[[#This Row],[累计净值]]/$B$21-1</f>
        <v>5.2062474969962746E-3</v>
      </c>
    </row>
    <row r="39" spans="1:7" x14ac:dyDescent="0.2">
      <c r="A39" s="15">
        <v>44085</v>
      </c>
      <c r="B39" s="112">
        <v>1.004</v>
      </c>
      <c r="C39" s="108">
        <f t="shared" ref="C39:C44" si="4">IFERROR(B39-B38,0)</f>
        <v>0</v>
      </c>
      <c r="D39" s="109" t="str">
        <f t="shared" ref="D39:D44" si="5">IF(C39&lt;0,C39,"/")</f>
        <v>/</v>
      </c>
      <c r="E39" s="109">
        <f ca="1">IF(表2_3671626293038912131415232425262728[[#This Row],[累计净值]]/MAX(INDIRECT("B21:B" &amp; ROW()))-1&lt;E38,表2_3671626293038912131415232425262728[[#This Row],[累计净值]]/MAX(INDIRECT("B21:B" &amp; ROW()))-1,E38)</f>
        <v>-1.7917579135974249E-3</v>
      </c>
      <c r="F39" s="110">
        <f>表2_3671626293038912131415232425262728[[#This Row],[累计净值]]</f>
        <v>1.004</v>
      </c>
      <c r="G39" s="20">
        <f>表2_3671626293038912131415232425262728[[#This Row],[累计净值]]/$B$21-1</f>
        <v>5.2062474969962746E-3</v>
      </c>
    </row>
    <row r="40" spans="1:7" x14ac:dyDescent="0.2">
      <c r="A40" s="15">
        <v>44088</v>
      </c>
      <c r="B40" s="112">
        <v>1.0042</v>
      </c>
      <c r="C40" s="108">
        <f t="shared" si="4"/>
        <v>1.9999999999997797E-4</v>
      </c>
      <c r="D40" s="109" t="str">
        <f t="shared" si="5"/>
        <v>/</v>
      </c>
      <c r="E40" s="109">
        <f ca="1">IF(表2_3671626293038912131415232425262728[[#This Row],[累计净值]]/MAX(INDIRECT("B21:B" &amp; ROW()))-1&lt;E39,表2_3671626293038912131415232425262728[[#This Row],[累计净值]]/MAX(INDIRECT("B21:B" &amp; ROW()))-1,E39)</f>
        <v>-1.7917579135974249E-3</v>
      </c>
      <c r="F40" s="110">
        <f>表2_3671626293038912131415232425262728[[#This Row],[累计净值]]</f>
        <v>1.0042</v>
      </c>
      <c r="G40" s="20">
        <f>表2_3671626293038912131415232425262728[[#This Row],[累计净值]]/$B$21-1</f>
        <v>5.4064877853423621E-3</v>
      </c>
    </row>
    <row r="41" spans="1:7" x14ac:dyDescent="0.2">
      <c r="A41" s="15">
        <v>44089</v>
      </c>
      <c r="B41" s="112">
        <v>1.006</v>
      </c>
      <c r="C41" s="108">
        <f t="shared" si="4"/>
        <v>1.8000000000000238E-3</v>
      </c>
      <c r="D41" s="109" t="str">
        <f t="shared" si="5"/>
        <v>/</v>
      </c>
      <c r="E41" s="109">
        <f ca="1">IF(表2_3671626293038912131415232425262728[[#This Row],[累计净值]]/MAX(INDIRECT("B21:B" &amp; ROW()))-1&lt;E40,表2_3671626293038912131415232425262728[[#This Row],[累计净值]]/MAX(INDIRECT("B21:B" &amp; ROW()))-1,E40)</f>
        <v>-1.7917579135974249E-3</v>
      </c>
      <c r="F41" s="110">
        <f>表2_3671626293038912131415232425262728[[#This Row],[累计净值]]</f>
        <v>1.006</v>
      </c>
      <c r="G41" s="20">
        <f>表2_3671626293038912131415232425262728[[#This Row],[累计净值]]/$B$21-1</f>
        <v>7.2086503804564828E-3</v>
      </c>
    </row>
    <row r="42" spans="1:7" x14ac:dyDescent="0.2">
      <c r="A42" s="15">
        <v>44090</v>
      </c>
      <c r="B42" s="112">
        <v>1.0059</v>
      </c>
      <c r="C42" s="108">
        <f t="shared" si="4"/>
        <v>-9.9999999999988987E-5</v>
      </c>
      <c r="D42" s="109">
        <f t="shared" si="5"/>
        <v>-9.9999999999988987E-5</v>
      </c>
      <c r="E42" s="109">
        <f ca="1">IF(表2_3671626293038912131415232425262728[[#This Row],[累计净值]]/MAX(INDIRECT("B21:B" &amp; ROW()))-1&lt;E41,表2_3671626293038912131415232425262728[[#This Row],[累计净值]]/MAX(INDIRECT("B21:B" &amp; ROW()))-1,E41)</f>
        <v>-1.7917579135974249E-3</v>
      </c>
      <c r="F42" s="110">
        <f>表2_3671626293038912131415232425262728[[#This Row],[累计净值]]</f>
        <v>1.0059</v>
      </c>
      <c r="G42" s="20">
        <f>表2_3671626293038912131415232425262728[[#This Row],[累计净值]]/$B$21-1</f>
        <v>7.1085302362834391E-3</v>
      </c>
    </row>
    <row r="43" spans="1:7" x14ac:dyDescent="0.2">
      <c r="A43" s="15">
        <v>44091</v>
      </c>
      <c r="B43" s="112">
        <v>1.0088999999999999</v>
      </c>
      <c r="C43" s="108">
        <f t="shared" si="4"/>
        <v>2.9999999999998916E-3</v>
      </c>
      <c r="D43" s="109" t="str">
        <f t="shared" si="5"/>
        <v>/</v>
      </c>
      <c r="E43" s="109">
        <f ca="1">IF(表2_3671626293038912131415232425262728[[#This Row],[累计净值]]/MAX(INDIRECT("B21:B" &amp; ROW()))-1&lt;E42,表2_3671626293038912131415232425262728[[#This Row],[累计净值]]/MAX(INDIRECT("B21:B" &amp; ROW()))-1,E42)</f>
        <v>-1.7917579135974249E-3</v>
      </c>
      <c r="F43" s="110">
        <f>表2_3671626293038912131415232425262728[[#This Row],[累计净值]]</f>
        <v>1.0088999999999999</v>
      </c>
      <c r="G43" s="20">
        <f>表2_3671626293038912131415232425262728[[#This Row],[累计净值]]/$B$21-1</f>
        <v>1.011213456147364E-2</v>
      </c>
    </row>
    <row r="44" spans="1:7" x14ac:dyDescent="0.2">
      <c r="A44" s="15">
        <v>44092</v>
      </c>
      <c r="B44" s="112">
        <v>1.0095000000000001</v>
      </c>
      <c r="C44" s="108">
        <f t="shared" si="4"/>
        <v>6.0000000000015596E-4</v>
      </c>
      <c r="D44" s="109" t="str">
        <f t="shared" si="5"/>
        <v>/</v>
      </c>
      <c r="E44" s="109">
        <f ca="1">IF(表2_3671626293038912131415232425262728[[#This Row],[累计净值]]/MAX(INDIRECT("B21:B" &amp; ROW()))-1&lt;E43,表2_3671626293038912131415232425262728[[#This Row],[累计净值]]/MAX(INDIRECT("B21:B" &amp; ROW()))-1,E43)</f>
        <v>-1.7917579135974249E-3</v>
      </c>
      <c r="F44" s="110">
        <f>表2_3671626293038912131415232425262728[[#This Row],[累计净值]]</f>
        <v>1.0095000000000001</v>
      </c>
      <c r="G44" s="20">
        <f>表2_3671626293038912131415232425262728[[#This Row],[累计净值]]/$B$21-1</f>
        <v>1.0712855426511902E-2</v>
      </c>
    </row>
    <row r="45" spans="1:7" x14ac:dyDescent="0.2">
      <c r="A45" s="15">
        <v>44095</v>
      </c>
      <c r="B45" s="112">
        <v>1.0102</v>
      </c>
      <c r="C45" s="108">
        <f t="shared" ref="C45:C50" si="6">IFERROR(B45-B44,0)</f>
        <v>6.9999999999992291E-4</v>
      </c>
      <c r="D45" s="109" t="str">
        <f t="shared" ref="D45:D50" si="7">IF(C45&lt;0,C45,"/")</f>
        <v>/</v>
      </c>
      <c r="E45" s="109">
        <f ca="1">IF(表2_3671626293038912131415232425262728[[#This Row],[累计净值]]/MAX(INDIRECT("B21:B" &amp; ROW()))-1&lt;E44,表2_3671626293038912131415232425262728[[#This Row],[累计净值]]/MAX(INDIRECT("B21:B" &amp; ROW()))-1,E44)</f>
        <v>-1.7917579135974249E-3</v>
      </c>
      <c r="F45" s="110">
        <f>表2_3671626293038912131415232425262728[[#This Row],[累计净值]]</f>
        <v>1.0102</v>
      </c>
      <c r="G45" s="20">
        <f>表2_3671626293038912131415232425262728[[#This Row],[累计净值]]/$B$21-1</f>
        <v>1.1413696435722764E-2</v>
      </c>
    </row>
    <row r="46" spans="1:7" x14ac:dyDescent="0.2">
      <c r="A46" s="15">
        <v>44096</v>
      </c>
      <c r="B46" s="112">
        <v>1.0082</v>
      </c>
      <c r="C46" s="108">
        <f t="shared" si="6"/>
        <v>-2.0000000000000018E-3</v>
      </c>
      <c r="D46" s="109">
        <f t="shared" si="7"/>
        <v>-2.0000000000000018E-3</v>
      </c>
      <c r="E46" s="109">
        <f ca="1">IF(表2_3671626293038912131415232425262728[[#This Row],[累计净值]]/MAX(INDIRECT("B21:B" &amp; ROW()))-1&lt;E45,表2_3671626293038912131415232425262728[[#This Row],[累计净值]]/MAX(INDIRECT("B21:B" &amp; ROW()))-1,E45)</f>
        <v>-1.9798059790140377E-3</v>
      </c>
      <c r="F46" s="110">
        <f>表2_3671626293038912131415232425262728[[#This Row],[累计净值]]</f>
        <v>1.0082</v>
      </c>
      <c r="G46" s="20">
        <f>表2_3671626293038912131415232425262728[[#This Row],[累计净值]]/$B$21-1</f>
        <v>9.4112935522627783E-3</v>
      </c>
    </row>
    <row r="47" spans="1:7" x14ac:dyDescent="0.2">
      <c r="A47" s="15">
        <v>44097</v>
      </c>
      <c r="B47" s="112">
        <v>1.0111000000000001</v>
      </c>
      <c r="C47" s="108">
        <f t="shared" si="6"/>
        <v>2.9000000000001247E-3</v>
      </c>
      <c r="D47" s="109" t="str">
        <f t="shared" si="7"/>
        <v>/</v>
      </c>
      <c r="E47" s="109">
        <f ca="1">IF(表2_3671626293038912131415232425262728[[#This Row],[累计净值]]/MAX(INDIRECT("B21:B" &amp; ROW()))-1&lt;E46,表2_3671626293038912131415232425262728[[#This Row],[累计净值]]/MAX(INDIRECT("B21:B" &amp; ROW()))-1,E46)</f>
        <v>-1.9798059790140377E-3</v>
      </c>
      <c r="F47" s="110">
        <f>表2_3671626293038912131415232425262728[[#This Row],[累计净值]]</f>
        <v>1.0111000000000001</v>
      </c>
      <c r="G47" s="20">
        <f>表2_3671626293038912131415232425262728[[#This Row],[累计净值]]/$B$21-1</f>
        <v>1.2314777733279936E-2</v>
      </c>
    </row>
    <row r="48" spans="1:7" x14ac:dyDescent="0.2">
      <c r="A48" s="15">
        <v>44098</v>
      </c>
      <c r="B48" s="112">
        <v>1.0085999999999999</v>
      </c>
      <c r="C48" s="108">
        <f t="shared" si="6"/>
        <v>-2.5000000000001688E-3</v>
      </c>
      <c r="D48" s="109">
        <f t="shared" si="7"/>
        <v>-2.5000000000001688E-3</v>
      </c>
      <c r="E48" s="109">
        <f ca="1">IF(表2_3671626293038912131415232425262728[[#This Row],[累计净值]]/MAX(INDIRECT("B21:B" &amp; ROW()))-1&lt;E47,表2_3671626293038912131415232425262728[[#This Row],[累计净值]]/MAX(INDIRECT("B21:B" &amp; ROW()))-1,E47)</f>
        <v>-2.4725546434577472E-3</v>
      </c>
      <c r="F48" s="110">
        <f>表2_3671626293038912131415232425262728[[#This Row],[累计净值]]</f>
        <v>1.0085999999999999</v>
      </c>
      <c r="G48" s="20">
        <f>表2_3671626293038912131415232425262728[[#This Row],[累计净值]]/$B$21-1</f>
        <v>9.8117741289547311E-3</v>
      </c>
    </row>
    <row r="49" spans="1:7" x14ac:dyDescent="0.2">
      <c r="A49" s="15">
        <v>44099</v>
      </c>
      <c r="B49" s="112">
        <v>1.0097</v>
      </c>
      <c r="C49" s="108">
        <f t="shared" si="6"/>
        <v>1.1000000000001009E-3</v>
      </c>
      <c r="D49" s="109" t="str">
        <f t="shared" si="7"/>
        <v>/</v>
      </c>
      <c r="E49" s="109">
        <f ca="1">IF(表2_3671626293038912131415232425262728[[#This Row],[累计净值]]/MAX(INDIRECT("B21:B" &amp; ROW()))-1&lt;E48,表2_3671626293038912131415232425262728[[#This Row],[累计净值]]/MAX(INDIRECT("B21:B" &amp; ROW()))-1,E48)</f>
        <v>-2.4725546434577472E-3</v>
      </c>
      <c r="F49" s="110">
        <f>表2_3671626293038912131415232425262728[[#This Row],[累计净值]]</f>
        <v>1.0097</v>
      </c>
      <c r="G49" s="20">
        <f>表2_3671626293038912131415232425262728[[#This Row],[累计净值]]/$B$21-1</f>
        <v>1.0913095714857768E-2</v>
      </c>
    </row>
    <row r="50" spans="1:7" x14ac:dyDescent="0.2">
      <c r="A50" s="15">
        <v>44102</v>
      </c>
      <c r="B50" s="112">
        <v>1.0112000000000001</v>
      </c>
      <c r="C50" s="108">
        <f t="shared" si="6"/>
        <v>1.5000000000000568E-3</v>
      </c>
      <c r="D50" s="109" t="str">
        <f t="shared" si="7"/>
        <v>/</v>
      </c>
      <c r="E50" s="109">
        <f ca="1">IF(表2_3671626293038912131415232425262728[[#This Row],[累计净值]]/MAX(INDIRECT("B21:B" &amp; ROW()))-1&lt;E49,表2_3671626293038912131415232425262728[[#This Row],[累计净值]]/MAX(INDIRECT("B21:B" &amp; ROW()))-1,E49)</f>
        <v>-2.4725546434577472E-3</v>
      </c>
      <c r="F50" s="110">
        <f>表2_3671626293038912131415232425262728[[#This Row],[累计净值]]</f>
        <v>1.0112000000000001</v>
      </c>
      <c r="G50" s="20">
        <f>表2_3671626293038912131415232425262728[[#This Row],[累计净值]]/$B$21-1</f>
        <v>1.2414897877452979E-2</v>
      </c>
    </row>
    <row r="51" spans="1:7" x14ac:dyDescent="0.2">
      <c r="A51" s="15">
        <v>44103</v>
      </c>
      <c r="B51" s="112">
        <v>1.0143</v>
      </c>
      <c r="C51" s="108">
        <f t="shared" ref="C51:C52" si="8">IFERROR(B51-B50,0)</f>
        <v>3.0999999999998806E-3</v>
      </c>
      <c r="D51" s="109" t="str">
        <f t="shared" ref="D51:D52" si="9">IF(C51&lt;0,C51,"/")</f>
        <v>/</v>
      </c>
      <c r="E51" s="109">
        <f ca="1">IF(表2_3671626293038912131415232425262728[[#This Row],[累计净值]]/MAX(INDIRECT("B21:B" &amp; ROW()))-1&lt;E50,表2_3671626293038912131415232425262728[[#This Row],[累计净值]]/MAX(INDIRECT("B21:B" &amp; ROW()))-1,E50)</f>
        <v>-2.4725546434577472E-3</v>
      </c>
      <c r="F51" s="110">
        <f>表2_3671626293038912131415232425262728[[#This Row],[累计净值]]</f>
        <v>1.0143</v>
      </c>
      <c r="G51" s="20">
        <f>表2_3671626293038912131415232425262728[[#This Row],[累计净值]]/$B$21-1</f>
        <v>1.5518622346816224E-2</v>
      </c>
    </row>
    <row r="52" spans="1:7" x14ac:dyDescent="0.2">
      <c r="A52" s="15">
        <v>44104</v>
      </c>
      <c r="B52" s="112">
        <v>1.0103</v>
      </c>
      <c r="C52" s="108">
        <f t="shared" si="8"/>
        <v>-4.0000000000000036E-3</v>
      </c>
      <c r="D52" s="109">
        <f t="shared" si="9"/>
        <v>-4.0000000000000036E-3</v>
      </c>
      <c r="E52" s="109">
        <f ca="1">IF(表2_3671626293038912131415232425262728[[#This Row],[累计净值]]/MAX(INDIRECT("B21:B" &amp; ROW()))-1&lt;E51,表2_3671626293038912131415232425262728[[#This Row],[累计净值]]/MAX(INDIRECT("B21:B" &amp; ROW()))-1,E51)</f>
        <v>-3.94360642807845E-3</v>
      </c>
      <c r="F52" s="110">
        <f>表2_3671626293038912131415232425262728[[#This Row],[累计净值]]</f>
        <v>1.0103</v>
      </c>
      <c r="G52" s="20">
        <f>表2_3671626293038912131415232425262728[[#This Row],[累计净值]]/$B$21-1</f>
        <v>1.1513816579895808E-2</v>
      </c>
    </row>
    <row r="53" spans="1:7" x14ac:dyDescent="0.2">
      <c r="A53" s="15">
        <v>44113</v>
      </c>
      <c r="B53" s="112">
        <v>1.0166999999999999</v>
      </c>
      <c r="C53" s="108">
        <f t="shared" ref="C53:C58" si="10">IFERROR(B53-B52,0)</f>
        <v>6.3999999999999613E-3</v>
      </c>
      <c r="D53" s="109" t="str">
        <f t="shared" ref="D53:D58" si="11">IF(C53&lt;0,C53,"/")</f>
        <v>/</v>
      </c>
      <c r="E53" s="109">
        <f ca="1">IF(表2_3671626293038912131415232425262728[[#This Row],[累计净值]]/MAX(INDIRECT("B21:B" &amp; ROW()))-1&lt;E52,表2_3671626293038912131415232425262728[[#This Row],[累计净值]]/MAX(INDIRECT("B21:B" &amp; ROW()))-1,E52)</f>
        <v>-3.94360642807845E-3</v>
      </c>
      <c r="F53" s="110">
        <f>表2_3671626293038912131415232425262728[[#This Row],[累计净值]]</f>
        <v>1.0166999999999999</v>
      </c>
      <c r="G53" s="20">
        <f>表2_3671626293038912131415232425262728[[#This Row],[累计净值]]/$B$21-1</f>
        <v>1.7921505806968385E-2</v>
      </c>
    </row>
    <row r="54" spans="1:7" x14ac:dyDescent="0.2">
      <c r="A54" s="15">
        <v>44116</v>
      </c>
      <c r="B54" s="112">
        <v>1.0208999999999999</v>
      </c>
      <c r="C54" s="108">
        <f t="shared" si="10"/>
        <v>4.1999999999999815E-3</v>
      </c>
      <c r="D54" s="109" t="str">
        <f t="shared" si="11"/>
        <v>/</v>
      </c>
      <c r="E54" s="109">
        <f ca="1">IF(表2_3671626293038912131415232425262728[[#This Row],[累计净值]]/MAX(INDIRECT("B21:B" &amp; ROW()))-1&lt;E53,表2_3671626293038912131415232425262728[[#This Row],[累计净值]]/MAX(INDIRECT("B21:B" &amp; ROW()))-1,E53)</f>
        <v>-3.94360642807845E-3</v>
      </c>
      <c r="F54" s="110">
        <f>表2_3671626293038912131415232425262728[[#This Row],[累计净值]]</f>
        <v>1.0208999999999999</v>
      </c>
      <c r="G54" s="20">
        <f>表2_3671626293038912131415232425262728[[#This Row],[累计净值]]/$B$21-1</f>
        <v>2.2126551862234667E-2</v>
      </c>
    </row>
    <row r="55" spans="1:7" x14ac:dyDescent="0.2">
      <c r="A55" s="15">
        <v>44117</v>
      </c>
      <c r="B55" s="112">
        <v>1.0185999999999999</v>
      </c>
      <c r="C55" s="108">
        <f t="shared" si="10"/>
        <v>-2.2999999999999687E-3</v>
      </c>
      <c r="D55" s="109">
        <f t="shared" si="11"/>
        <v>-2.2999999999999687E-3</v>
      </c>
      <c r="E55" s="109">
        <f ca="1">IF(表2_3671626293038912131415232425262728[[#This Row],[累计净值]]/MAX(INDIRECT("B21:B" &amp; ROW()))-1&lt;E54,表2_3671626293038912131415232425262728[[#This Row],[累计净值]]/MAX(INDIRECT("B21:B" &amp; ROW()))-1,E54)</f>
        <v>-3.94360642807845E-3</v>
      </c>
      <c r="F55" s="110">
        <f>表2_3671626293038912131415232425262728[[#This Row],[累计净值]]</f>
        <v>1.0185999999999999</v>
      </c>
      <c r="G55" s="20">
        <f>表2_3671626293038912131415232425262728[[#This Row],[累计净值]]/$B$21-1</f>
        <v>1.9823788546255328E-2</v>
      </c>
    </row>
    <row r="56" spans="1:7" x14ac:dyDescent="0.2">
      <c r="A56" s="15">
        <v>44118</v>
      </c>
      <c r="B56" s="112">
        <v>1.0195000000000001</v>
      </c>
      <c r="C56" s="108">
        <f t="shared" si="10"/>
        <v>9.0000000000012292E-4</v>
      </c>
      <c r="D56" s="109" t="str">
        <f t="shared" si="11"/>
        <v>/</v>
      </c>
      <c r="E56" s="109">
        <f ca="1">IF(表2_3671626293038912131415232425262728[[#This Row],[累计净值]]/MAX(INDIRECT("B21:B" &amp; ROW()))-1&lt;E55,表2_3671626293038912131415232425262728[[#This Row],[累计净值]]/MAX(INDIRECT("B21:B" &amp; ROW()))-1,E55)</f>
        <v>-3.94360642807845E-3</v>
      </c>
      <c r="F56" s="110">
        <f>表2_3671626293038912131415232425262728[[#This Row],[累计净值]]</f>
        <v>1.0195000000000001</v>
      </c>
      <c r="G56" s="20">
        <f>表2_3671626293038912131415232425262728[[#This Row],[累计净值]]/$B$21-1</f>
        <v>2.0724869843812721E-2</v>
      </c>
    </row>
    <row r="57" spans="1:7" x14ac:dyDescent="0.2">
      <c r="A57" s="15">
        <v>44119</v>
      </c>
      <c r="B57" s="112">
        <v>1.0195000000000001</v>
      </c>
      <c r="C57" s="108">
        <f t="shared" si="10"/>
        <v>0</v>
      </c>
      <c r="D57" s="109" t="str">
        <f t="shared" si="11"/>
        <v>/</v>
      </c>
      <c r="E57" s="109">
        <f ca="1">IF(表2_3671626293038912131415232425262728[[#This Row],[累计净值]]/MAX(INDIRECT("B21:B" &amp; ROW()))-1&lt;E56,表2_3671626293038912131415232425262728[[#This Row],[累计净值]]/MAX(INDIRECT("B21:B" &amp; ROW()))-1,E56)</f>
        <v>-3.94360642807845E-3</v>
      </c>
      <c r="F57" s="110">
        <f>表2_3671626293038912131415232425262728[[#This Row],[累计净值]]</f>
        <v>1.0195000000000001</v>
      </c>
      <c r="G57" s="20">
        <f>表2_3671626293038912131415232425262728[[#This Row],[累计净值]]/$B$21-1</f>
        <v>2.0724869843812721E-2</v>
      </c>
    </row>
    <row r="58" spans="1:7" x14ac:dyDescent="0.2">
      <c r="A58" s="15">
        <v>44120</v>
      </c>
      <c r="B58" s="112">
        <v>1.0194000000000001</v>
      </c>
      <c r="C58" s="108">
        <f t="shared" si="10"/>
        <v>-9.9999999999988987E-5</v>
      </c>
      <c r="D58" s="109">
        <f t="shared" si="11"/>
        <v>-9.9999999999988987E-5</v>
      </c>
      <c r="E58" s="109">
        <f ca="1">IF(表2_3671626293038912131415232425262728[[#This Row],[累计净值]]/MAX(INDIRECT("B21:B" &amp; ROW()))-1&lt;E57,表2_3671626293038912131415232425262728[[#This Row],[累计净值]]/MAX(INDIRECT("B21:B" &amp; ROW()))-1,E57)</f>
        <v>-3.94360642807845E-3</v>
      </c>
      <c r="F58" s="110">
        <f>表2_3671626293038912131415232425262728[[#This Row],[累计净值]]</f>
        <v>1.0194000000000001</v>
      </c>
      <c r="G58" s="20">
        <f>表2_3671626293038912131415232425262728[[#This Row],[累计净值]]/$B$21-1</f>
        <v>2.0624749699639677E-2</v>
      </c>
    </row>
    <row r="59" spans="1:7" x14ac:dyDescent="0.2">
      <c r="A59" s="15">
        <v>44123</v>
      </c>
      <c r="B59" s="112">
        <v>1.0234000000000001</v>
      </c>
      <c r="C59" s="108">
        <f t="shared" ref="C59:C64" si="12">IFERROR(B59-B58,0)</f>
        <v>4.0000000000000036E-3</v>
      </c>
      <c r="D59" s="109" t="str">
        <f t="shared" ref="D59:D64" si="13">IF(C59&lt;0,C59,"/")</f>
        <v>/</v>
      </c>
      <c r="E59" s="109">
        <f ca="1">IF(表2_3671626293038912131415232425262728[[#This Row],[累计净值]]/MAX(INDIRECT("B21:B" &amp; ROW()))-1&lt;E58,表2_3671626293038912131415232425262728[[#This Row],[累计净值]]/MAX(INDIRECT("B21:B" &amp; ROW()))-1,E58)</f>
        <v>-3.94360642807845E-3</v>
      </c>
      <c r="F59" s="110">
        <f>表2_3671626293038912131415232425262728[[#This Row],[累计净值]]</f>
        <v>1.0234000000000001</v>
      </c>
      <c r="G59" s="20">
        <f>表2_3671626293038912131415232425262728[[#This Row],[累计净值]]/$B$21-1</f>
        <v>2.4629555466559871E-2</v>
      </c>
    </row>
    <row r="60" spans="1:7" x14ac:dyDescent="0.2">
      <c r="A60" s="15">
        <v>44124</v>
      </c>
      <c r="B60" s="112">
        <v>1.0227999999999999</v>
      </c>
      <c r="C60" s="108">
        <f t="shared" si="12"/>
        <v>-6.0000000000015596E-4</v>
      </c>
      <c r="D60" s="109">
        <f t="shared" si="13"/>
        <v>-6.0000000000015596E-4</v>
      </c>
      <c r="E60" s="109">
        <f ca="1">IF(表2_3671626293038912131415232425262728[[#This Row],[累计净值]]/MAX(INDIRECT("B21:B" &amp; ROW()))-1&lt;E59,表2_3671626293038912131415232425262728[[#This Row],[累计净值]]/MAX(INDIRECT("B21:B" &amp; ROW()))-1,E59)</f>
        <v>-3.94360642807845E-3</v>
      </c>
      <c r="F60" s="110">
        <f>表2_3671626293038912131415232425262728[[#This Row],[累计净值]]</f>
        <v>1.0227999999999999</v>
      </c>
      <c r="G60" s="20">
        <f>表2_3671626293038912131415232425262728[[#This Row],[累计净值]]/$B$21-1</f>
        <v>2.4028834601521831E-2</v>
      </c>
    </row>
    <row r="61" spans="1:7" x14ac:dyDescent="0.2">
      <c r="A61" s="15">
        <v>44125</v>
      </c>
      <c r="B61" s="112">
        <v>1.02</v>
      </c>
      <c r="C61" s="108">
        <f t="shared" si="12"/>
        <v>-2.7999999999999137E-3</v>
      </c>
      <c r="D61" s="109">
        <f t="shared" si="13"/>
        <v>-2.7999999999999137E-3</v>
      </c>
      <c r="E61" s="109">
        <f ca="1">IF(表2_3671626293038912131415232425262728[[#This Row],[累计净值]]/MAX(INDIRECT("B21:B" &amp; ROW()))-1&lt;E60,表2_3671626293038912131415232425262728[[#This Row],[累计净值]]/MAX(INDIRECT("B21:B" &amp; ROW()))-1,E60)</f>
        <v>-3.94360642807845E-3</v>
      </c>
      <c r="F61" s="110">
        <f>表2_3671626293038912131415232425262728[[#This Row],[累计净值]]</f>
        <v>1.02</v>
      </c>
      <c r="G61" s="20">
        <f>表2_3671626293038912131415232425262728[[#This Row],[累计净值]]/$B$21-1</f>
        <v>2.1225470564677718E-2</v>
      </c>
    </row>
    <row r="62" spans="1:7" x14ac:dyDescent="0.2">
      <c r="A62" s="15">
        <v>44126</v>
      </c>
      <c r="B62" s="112">
        <v>1.0232000000000001</v>
      </c>
      <c r="C62" s="108">
        <f t="shared" si="12"/>
        <v>3.2000000000000917E-3</v>
      </c>
      <c r="D62" s="109" t="str">
        <f t="shared" si="13"/>
        <v>/</v>
      </c>
      <c r="E62" s="109">
        <f ca="1">IF(表2_3671626293038912131415232425262728[[#This Row],[累计净值]]/MAX(INDIRECT("B21:B" &amp; ROW()))-1&lt;E61,表2_3671626293038912131415232425262728[[#This Row],[累计净值]]/MAX(INDIRECT("B21:B" &amp; ROW()))-1,E61)</f>
        <v>-3.94360642807845E-3</v>
      </c>
      <c r="F62" s="110">
        <f>表2_3671626293038912131415232425262728[[#This Row],[累计净值]]</f>
        <v>1.0232000000000001</v>
      </c>
      <c r="G62" s="20">
        <f>表2_3671626293038912131415232425262728[[#This Row],[累计净值]]/$B$21-1</f>
        <v>2.4429315178214006E-2</v>
      </c>
    </row>
    <row r="63" spans="1:7" x14ac:dyDescent="0.2">
      <c r="A63" s="15">
        <v>44127</v>
      </c>
      <c r="B63" s="112">
        <v>1.0218</v>
      </c>
      <c r="C63" s="108">
        <f t="shared" si="12"/>
        <v>-1.4000000000000679E-3</v>
      </c>
      <c r="D63" s="109">
        <f t="shared" si="13"/>
        <v>-1.4000000000000679E-3</v>
      </c>
      <c r="E63" s="109">
        <f ca="1">IF(表2_3671626293038912131415232425262728[[#This Row],[累计净值]]/MAX(INDIRECT("B21:B" &amp; ROW()))-1&lt;E62,表2_3671626293038912131415232425262728[[#This Row],[累计净值]]/MAX(INDIRECT("B21:B" &amp; ROW()))-1,E62)</f>
        <v>-3.94360642807845E-3</v>
      </c>
      <c r="F63" s="110">
        <f>表2_3671626293038912131415232425262728[[#This Row],[累计净值]]</f>
        <v>1.0218</v>
      </c>
      <c r="G63" s="20">
        <f>表2_3671626293038912131415232425262728[[#This Row],[累计净值]]/$B$21-1</f>
        <v>2.3027633159791838E-2</v>
      </c>
    </row>
    <row r="64" spans="1:7" x14ac:dyDescent="0.2">
      <c r="A64" s="15">
        <v>44130</v>
      </c>
      <c r="B64" s="112">
        <v>1.0204</v>
      </c>
      <c r="C64" s="108">
        <f t="shared" si="12"/>
        <v>-1.4000000000000679E-3</v>
      </c>
      <c r="D64" s="109">
        <f t="shared" si="13"/>
        <v>-1.4000000000000679E-3</v>
      </c>
      <c r="E64" s="109">
        <f ca="1">IF(表2_3671626293038912131415232425262728[[#This Row],[累计净值]]/MAX(INDIRECT("B21:B" &amp; ROW()))-1&lt;E63,表2_3671626293038912131415232425262728[[#This Row],[累计净值]]/MAX(INDIRECT("B21:B" &amp; ROW()))-1,E63)</f>
        <v>-3.94360642807845E-3</v>
      </c>
      <c r="F64" s="110">
        <f>表2_3671626293038912131415232425262728[[#This Row],[累计净值]]</f>
        <v>1.0204</v>
      </c>
      <c r="G64" s="20">
        <f>表2_3671626293038912131415232425262728[[#This Row],[累计净值]]/$B$21-1</f>
        <v>2.162595114136967E-2</v>
      </c>
    </row>
    <row r="65" spans="1:7" x14ac:dyDescent="0.2">
      <c r="A65" s="15">
        <v>44131</v>
      </c>
      <c r="B65" s="112">
        <v>1.0241</v>
      </c>
      <c r="C65" s="108">
        <f>IFERROR(B65-B64,0)</f>
        <v>3.7000000000000366E-3</v>
      </c>
      <c r="D65" s="109" t="str">
        <f>IF(C65&lt;0,C65,"/")</f>
        <v>/</v>
      </c>
      <c r="E65" s="109">
        <f ca="1">IF(表2_3671626293038912131415232425262728[[#This Row],[累计净值]]/MAX(INDIRECT("B21:B" &amp; ROW()))-1&lt;E64,表2_3671626293038912131415232425262728[[#This Row],[累计净值]]/MAX(INDIRECT("B21:B" &amp; ROW()))-1,E64)</f>
        <v>-3.94360642807845E-3</v>
      </c>
      <c r="F65" s="110">
        <f>表2_3671626293038912131415232425262728[[#This Row],[累计净值]]</f>
        <v>1.0241</v>
      </c>
      <c r="G65" s="20">
        <f>表2_3671626293038912131415232425262728[[#This Row],[累计净值]]/$B$21-1</f>
        <v>2.5330396475770955E-2</v>
      </c>
    </row>
    <row r="66" spans="1:7" x14ac:dyDescent="0.2">
      <c r="A66" s="15">
        <v>44132</v>
      </c>
      <c r="B66" s="112">
        <v>1.0226999999999999</v>
      </c>
      <c r="C66" s="108">
        <f>IFERROR(B66-B65,0)</f>
        <v>-1.4000000000000679E-3</v>
      </c>
      <c r="D66" s="109">
        <f>IF(C66&lt;0,C66,"/")</f>
        <v>-1.4000000000000679E-3</v>
      </c>
      <c r="E66" s="109">
        <f ca="1">IF(表2_3671626293038912131415232425262728[[#This Row],[累计净值]]/MAX(INDIRECT("B21:B" &amp; ROW()))-1&lt;E65,表2_3671626293038912131415232425262728[[#This Row],[累计净值]]/MAX(INDIRECT("B21:B" &amp; ROW()))-1,E65)</f>
        <v>-3.94360642807845E-3</v>
      </c>
      <c r="F66" s="110">
        <f>表2_3671626293038912131415232425262728[[#This Row],[累计净值]]</f>
        <v>1.0226999999999999</v>
      </c>
      <c r="G66" s="20">
        <f>表2_3671626293038912131415232425262728[[#This Row],[累计净值]]/$B$21-1</f>
        <v>2.3928714457348788E-2</v>
      </c>
    </row>
    <row r="67" spans="1:7" x14ac:dyDescent="0.2">
      <c r="A67" s="15">
        <v>44133</v>
      </c>
      <c r="B67" s="112">
        <v>1.026</v>
      </c>
      <c r="C67" s="108">
        <f>IFERROR(B67-B66,0)</f>
        <v>3.3000000000000806E-3</v>
      </c>
      <c r="D67" s="109" t="str">
        <f>IF(C67&lt;0,C67,"/")</f>
        <v>/</v>
      </c>
      <c r="E67" s="109">
        <f ca="1">IF(表2_3671626293038912131415232425262728[[#This Row],[累计净值]]/MAX(INDIRECT("B21:B" &amp; ROW()))-1&lt;E66,表2_3671626293038912131415232425262728[[#This Row],[累计净值]]/MAX(INDIRECT("B21:B" &amp; ROW()))-1,E66)</f>
        <v>-3.94360642807845E-3</v>
      </c>
      <c r="F67" s="110">
        <f>表2_3671626293038912131415232425262728[[#This Row],[累计净值]]</f>
        <v>1.026</v>
      </c>
      <c r="G67" s="20">
        <f>表2_3671626293038912131415232425262728[[#This Row],[累计净值]]/$B$21-1</f>
        <v>2.723267921505812E-2</v>
      </c>
    </row>
    <row r="68" spans="1:7" x14ac:dyDescent="0.2">
      <c r="A68" s="15">
        <v>44134</v>
      </c>
      <c r="B68" s="112">
        <v>1.0239</v>
      </c>
      <c r="C68" s="108">
        <f t="shared" ref="C68:C71" si="14">IFERROR(B68-B67,0)</f>
        <v>-2.0999999999999908E-3</v>
      </c>
      <c r="D68" s="109">
        <f t="shared" ref="D68:D71" si="15">IF(C68&lt;0,C68,"/")</f>
        <v>-2.0999999999999908E-3</v>
      </c>
      <c r="E68" s="109">
        <f ca="1">IF(表2_3671626293038912131415232425262728[[#This Row],[累计净值]]/MAX(INDIRECT("B21:B" &amp; ROW()))-1&lt;E67,表2_3671626293038912131415232425262728[[#This Row],[累计净值]]/MAX(INDIRECT("B21:B" &amp; ROW()))-1,E67)</f>
        <v>-3.94360642807845E-3</v>
      </c>
      <c r="F68" s="110">
        <f>表2_3671626293038912131415232425262728[[#This Row],[累计净值]]</f>
        <v>1.0239</v>
      </c>
      <c r="G68" s="20">
        <f>表2_3671626293038912131415232425262728[[#This Row],[累计净值]]/$B$21-1</f>
        <v>2.5130156187424868E-2</v>
      </c>
    </row>
    <row r="69" spans="1:7" x14ac:dyDescent="0.2">
      <c r="A69" s="15">
        <v>44137</v>
      </c>
      <c r="B69" s="112">
        <v>1.0214000000000001</v>
      </c>
      <c r="C69" s="108">
        <f t="shared" si="14"/>
        <v>-2.4999999999999467E-3</v>
      </c>
      <c r="D69" s="109">
        <f t="shared" si="15"/>
        <v>-2.4999999999999467E-3</v>
      </c>
      <c r="E69" s="109">
        <f ca="1">IF(表2_3671626293038912131415232425262728[[#This Row],[累计净值]]/MAX(INDIRECT("B21:B" &amp; ROW()))-1&lt;E68,表2_3671626293038912131415232425262728[[#This Row],[累计净值]]/MAX(INDIRECT("B21:B" &amp; ROW()))-1,E68)</f>
        <v>-4.4834307992202005E-3</v>
      </c>
      <c r="F69" s="110">
        <f>表2_3671626293038912131415232425262728[[#This Row],[累计净值]]</f>
        <v>1.0214000000000001</v>
      </c>
      <c r="G69" s="20">
        <f>表2_3671626293038912131415232425262728[[#This Row],[累计净值]]/$B$21-1</f>
        <v>2.2627152583099885E-2</v>
      </c>
    </row>
    <row r="70" spans="1:7" x14ac:dyDescent="0.2">
      <c r="A70" s="15">
        <v>44138</v>
      </c>
      <c r="B70" s="112">
        <v>1.0256000000000001</v>
      </c>
      <c r="C70" s="108">
        <f t="shared" si="14"/>
        <v>4.1999999999999815E-3</v>
      </c>
      <c r="D70" s="109" t="str">
        <f t="shared" si="15"/>
        <v>/</v>
      </c>
      <c r="E70" s="109">
        <f ca="1">IF(表2_3671626293038912131415232425262728[[#This Row],[累计净值]]/MAX(INDIRECT("B21:B" &amp; ROW()))-1&lt;E69,表2_3671626293038912131415232425262728[[#This Row],[累计净值]]/MAX(INDIRECT("B21:B" &amp; ROW()))-1,E69)</f>
        <v>-4.4834307992202005E-3</v>
      </c>
      <c r="F70" s="110">
        <f>表2_3671626293038912131415232425262728[[#This Row],[累计净值]]</f>
        <v>1.0256000000000001</v>
      </c>
      <c r="G70" s="20">
        <f>表2_3671626293038912131415232425262728[[#This Row],[累计净值]]/$B$21-1</f>
        <v>2.6832198638366167E-2</v>
      </c>
    </row>
    <row r="71" spans="1:7" x14ac:dyDescent="0.2">
      <c r="A71" s="15">
        <v>44139</v>
      </c>
      <c r="B71" s="112">
        <v>1.0294000000000001</v>
      </c>
      <c r="C71" s="108">
        <f t="shared" si="14"/>
        <v>3.8000000000000256E-3</v>
      </c>
      <c r="D71" s="109" t="str">
        <f t="shared" si="15"/>
        <v>/</v>
      </c>
      <c r="E71" s="109">
        <f ca="1">IF(表2_3671626293038912131415232425262728[[#This Row],[累计净值]]/MAX(INDIRECT("B21:B" &amp; ROW()))-1&lt;E70,表2_3671626293038912131415232425262728[[#This Row],[累计净值]]/MAX(INDIRECT("B21:B" &amp; ROW()))-1,E70)</f>
        <v>-4.4834307992202005E-3</v>
      </c>
      <c r="F71" s="110">
        <f>表2_3671626293038912131415232425262728[[#This Row],[累计净值]]</f>
        <v>1.0294000000000001</v>
      </c>
      <c r="G71" s="20">
        <f>表2_3671626293038912131415232425262728[[#This Row],[累计净值]]/$B$21-1</f>
        <v>3.0636764116940496E-2</v>
      </c>
    </row>
    <row r="72" spans="1:7" x14ac:dyDescent="0.2">
      <c r="A72" s="15">
        <v>44140</v>
      </c>
      <c r="B72" s="112">
        <v>1.0223</v>
      </c>
      <c r="C72" s="108">
        <f t="shared" ref="C72:C77" si="16">IFERROR(B72-B71,0)</f>
        <v>-7.1000000000001062E-3</v>
      </c>
      <c r="D72" s="109">
        <f t="shared" ref="D72:D77" si="17">IF(C72&lt;0,C72,"/")</f>
        <v>-7.1000000000001062E-3</v>
      </c>
      <c r="E72" s="109">
        <f ca="1">IF(表2_3671626293038912131415232425262728[[#This Row],[累计净值]]/MAX(INDIRECT("B21:B" &amp; ROW()))-1&lt;E71,表2_3671626293038912131415232425262728[[#This Row],[累计净值]]/MAX(INDIRECT("B21:B" &amp; ROW()))-1,E71)</f>
        <v>-6.8972216825335941E-3</v>
      </c>
      <c r="F72" s="110">
        <f>表2_3671626293038912131415232425262728[[#This Row],[累计净值]]</f>
        <v>1.0223</v>
      </c>
      <c r="G72" s="20">
        <f>表2_3671626293038912131415232425262728[[#This Row],[累计净值]]/$B$21-1</f>
        <v>2.3528233880656835E-2</v>
      </c>
    </row>
    <row r="73" spans="1:7" x14ac:dyDescent="0.2">
      <c r="A73" s="15">
        <v>44141</v>
      </c>
      <c r="B73" s="112">
        <v>1.0223</v>
      </c>
      <c r="C73" s="108">
        <f t="shared" si="16"/>
        <v>0</v>
      </c>
      <c r="D73" s="109" t="str">
        <f t="shared" si="17"/>
        <v>/</v>
      </c>
      <c r="E73" s="109">
        <f ca="1">IF(表2_3671626293038912131415232425262728[[#This Row],[累计净值]]/MAX(INDIRECT("B21:B" &amp; ROW()))-1&lt;E72,表2_3671626293038912131415232425262728[[#This Row],[累计净值]]/MAX(INDIRECT("B21:B" &amp; ROW()))-1,E72)</f>
        <v>-6.8972216825335941E-3</v>
      </c>
      <c r="F73" s="110">
        <f>表2_3671626293038912131415232425262728[[#This Row],[累计净值]]</f>
        <v>1.0223</v>
      </c>
      <c r="G73" s="20">
        <f>表2_3671626293038912131415232425262728[[#This Row],[累计净值]]/$B$21-1</f>
        <v>2.3528233880656835E-2</v>
      </c>
    </row>
    <row r="74" spans="1:7" x14ac:dyDescent="0.2">
      <c r="A74" s="15">
        <v>44144</v>
      </c>
      <c r="B74" s="112">
        <v>1.026</v>
      </c>
      <c r="C74" s="108">
        <f t="shared" si="16"/>
        <v>3.7000000000000366E-3</v>
      </c>
      <c r="D74" s="109" t="str">
        <f t="shared" si="17"/>
        <v>/</v>
      </c>
      <c r="E74" s="109">
        <f ca="1">IF(表2_3671626293038912131415232425262728[[#This Row],[累计净值]]/MAX(INDIRECT("B21:B" &amp; ROW()))-1&lt;E73,表2_3671626293038912131415232425262728[[#This Row],[累计净值]]/MAX(INDIRECT("B21:B" &amp; ROW()))-1,E73)</f>
        <v>-6.8972216825335941E-3</v>
      </c>
      <c r="F74" s="110">
        <f>表2_3671626293038912131415232425262728[[#This Row],[累计净值]]</f>
        <v>1.026</v>
      </c>
      <c r="G74" s="20">
        <f>表2_3671626293038912131415232425262728[[#This Row],[累计净值]]/$B$21-1</f>
        <v>2.723267921505812E-2</v>
      </c>
    </row>
    <row r="75" spans="1:7" x14ac:dyDescent="0.2">
      <c r="A75" s="15">
        <v>44145</v>
      </c>
      <c r="B75" s="112">
        <v>1.0235000000000001</v>
      </c>
      <c r="C75" s="108">
        <f t="shared" si="16"/>
        <v>-2.4999999999999467E-3</v>
      </c>
      <c r="D75" s="109">
        <f t="shared" si="17"/>
        <v>-2.4999999999999467E-3</v>
      </c>
      <c r="E75" s="109">
        <f ca="1">IF(表2_3671626293038912131415232425262728[[#This Row],[累计净值]]/MAX(INDIRECT("B21:B" &amp; ROW()))-1&lt;E74,表2_3671626293038912131415232425262728[[#This Row],[累计净值]]/MAX(INDIRECT("B21:B" &amp; ROW()))-1,E74)</f>
        <v>-6.8972216825335941E-3</v>
      </c>
      <c r="F75" s="110">
        <f>表2_3671626293038912131415232425262728[[#This Row],[累计净值]]</f>
        <v>1.0235000000000001</v>
      </c>
      <c r="G75" s="20">
        <f>表2_3671626293038912131415232425262728[[#This Row],[累计净值]]/$B$21-1</f>
        <v>2.4729675610732915E-2</v>
      </c>
    </row>
    <row r="76" spans="1:7" x14ac:dyDescent="0.2">
      <c r="A76" s="15">
        <v>44146</v>
      </c>
      <c r="B76" s="112">
        <v>1.0239</v>
      </c>
      <c r="C76" s="108">
        <f t="shared" si="16"/>
        <v>3.9999999999995595E-4</v>
      </c>
      <c r="D76" s="109" t="str">
        <f t="shared" si="17"/>
        <v>/</v>
      </c>
      <c r="E76" s="109">
        <f ca="1">IF(表2_3671626293038912131415232425262728[[#This Row],[累计净值]]/MAX(INDIRECT("B21:B" &amp; ROW()))-1&lt;E75,表2_3671626293038912131415232425262728[[#This Row],[累计净值]]/MAX(INDIRECT("B21:B" &amp; ROW()))-1,E75)</f>
        <v>-6.8972216825335941E-3</v>
      </c>
      <c r="F76" s="110">
        <f>表2_3671626293038912131415232425262728[[#This Row],[累计净值]]</f>
        <v>1.0239</v>
      </c>
      <c r="G76" s="20">
        <f>表2_3671626293038912131415232425262728[[#This Row],[累计净值]]/$B$21-1</f>
        <v>2.5130156187424868E-2</v>
      </c>
    </row>
    <row r="77" spans="1:7" x14ac:dyDescent="0.2">
      <c r="A77" s="15">
        <v>44147</v>
      </c>
      <c r="B77" s="112">
        <v>1.0266999999999999</v>
      </c>
      <c r="C77" s="108">
        <f t="shared" si="16"/>
        <v>2.7999999999999137E-3</v>
      </c>
      <c r="D77" s="109" t="str">
        <f t="shared" si="17"/>
        <v>/</v>
      </c>
      <c r="E77" s="109">
        <f ca="1">IF(表2_3671626293038912131415232425262728[[#This Row],[累计净值]]/MAX(INDIRECT("B21:B" &amp; ROW()))-1&lt;E76,表2_3671626293038912131415232425262728[[#This Row],[累计净值]]/MAX(INDIRECT("B21:B" &amp; ROW()))-1,E76)</f>
        <v>-6.8972216825335941E-3</v>
      </c>
      <c r="F77" s="110">
        <f>表2_3671626293038912131415232425262728[[#This Row],[累计净值]]</f>
        <v>1.0266999999999999</v>
      </c>
      <c r="G77" s="20">
        <f>表2_3671626293038912131415232425262728[[#This Row],[累计净值]]/$B$21-1</f>
        <v>2.7933520224268982E-2</v>
      </c>
    </row>
    <row r="78" spans="1:7" x14ac:dyDescent="0.2">
      <c r="A78" s="15">
        <v>44148</v>
      </c>
      <c r="B78" s="112">
        <v>1.0270999999999999</v>
      </c>
      <c r="C78" s="108">
        <f t="shared" ref="C78:C83" si="18">IFERROR(B78-B77,0)</f>
        <v>3.9999999999995595E-4</v>
      </c>
      <c r="D78" s="109" t="str">
        <f t="shared" ref="D78:D83" si="19">IF(C78&lt;0,C78,"/")</f>
        <v>/</v>
      </c>
      <c r="E78" s="109">
        <f ca="1">IF(表2_3671626293038912131415232425262728[[#This Row],[累计净值]]/MAX(INDIRECT("B21:B" &amp; ROW()))-1&lt;E77,表2_3671626293038912131415232425262728[[#This Row],[累计净值]]/MAX(INDIRECT("B21:B" &amp; ROW()))-1,E77)</f>
        <v>-6.8972216825335941E-3</v>
      </c>
      <c r="F78" s="110">
        <f>表2_3671626293038912131415232425262728[[#This Row],[累计净值]]</f>
        <v>1.0270999999999999</v>
      </c>
      <c r="G78" s="20">
        <f>表2_3671626293038912131415232425262728[[#This Row],[累计净值]]/$B$21-1</f>
        <v>2.8334000800960935E-2</v>
      </c>
    </row>
    <row r="79" spans="1:7" x14ac:dyDescent="0.2">
      <c r="A79" s="15">
        <v>44151</v>
      </c>
      <c r="B79" s="112">
        <v>1.024</v>
      </c>
      <c r="C79" s="108">
        <f t="shared" si="18"/>
        <v>-3.0999999999998806E-3</v>
      </c>
      <c r="D79" s="109">
        <f t="shared" si="19"/>
        <v>-3.0999999999998806E-3</v>
      </c>
      <c r="E79" s="109">
        <f ca="1">IF(表2_3671626293038912131415232425262728[[#This Row],[累计净值]]/MAX(INDIRECT("B21:B" &amp; ROW()))-1&lt;E78,表2_3671626293038912131415232425262728[[#This Row],[累计净值]]/MAX(INDIRECT("B21:B" &amp; ROW()))-1,E78)</f>
        <v>-6.8972216825335941E-3</v>
      </c>
      <c r="F79" s="110">
        <f>表2_3671626293038912131415232425262728[[#This Row],[累计净值]]</f>
        <v>1.024</v>
      </c>
      <c r="G79" s="20">
        <f>表2_3671626293038912131415232425262728[[#This Row],[累计净值]]/$B$21-1</f>
        <v>2.5230276331597912E-2</v>
      </c>
    </row>
    <row r="80" spans="1:7" x14ac:dyDescent="0.2">
      <c r="A80" s="15">
        <v>44152</v>
      </c>
      <c r="B80" s="112">
        <v>1.0275000000000001</v>
      </c>
      <c r="C80" s="108">
        <f t="shared" si="18"/>
        <v>3.5000000000000586E-3</v>
      </c>
      <c r="D80" s="109" t="str">
        <f t="shared" si="19"/>
        <v>/</v>
      </c>
      <c r="E80" s="109">
        <f ca="1">IF(表2_3671626293038912131415232425262728[[#This Row],[累计净值]]/MAX(INDIRECT("B21:B" &amp; ROW()))-1&lt;E79,表2_3671626293038912131415232425262728[[#This Row],[累计净值]]/MAX(INDIRECT("B21:B" &amp; ROW()))-1,E79)</f>
        <v>-6.8972216825335941E-3</v>
      </c>
      <c r="F80" s="110">
        <f>表2_3671626293038912131415232425262728[[#This Row],[累计净值]]</f>
        <v>1.0275000000000001</v>
      </c>
      <c r="G80" s="20">
        <f>表2_3671626293038912131415232425262728[[#This Row],[累计净值]]/$B$21-1</f>
        <v>2.8734481377653331E-2</v>
      </c>
    </row>
    <row r="81" spans="1:7" x14ac:dyDescent="0.2">
      <c r="A81" s="15">
        <v>44153</v>
      </c>
      <c r="B81" s="112">
        <v>1.0219</v>
      </c>
      <c r="C81" s="108">
        <f t="shared" si="18"/>
        <v>-5.6000000000000494E-3</v>
      </c>
      <c r="D81" s="109">
        <f t="shared" si="19"/>
        <v>-5.6000000000000494E-3</v>
      </c>
      <c r="E81" s="109">
        <f ca="1">IF(表2_3671626293038912131415232425262728[[#This Row],[累计净值]]/MAX(INDIRECT("B21:B" &amp; ROW()))-1&lt;E80,表2_3671626293038912131415232425262728[[#This Row],[累计净值]]/MAX(INDIRECT("B21:B" &amp; ROW()))-1,E80)</f>
        <v>-7.2857975519721174E-3</v>
      </c>
      <c r="F81" s="110">
        <f>表2_3671626293038912131415232425262728[[#This Row],[累计净值]]</f>
        <v>1.0219</v>
      </c>
      <c r="G81" s="20">
        <f>表2_3671626293038912131415232425262728[[#This Row],[累计净值]]/$B$21-1</f>
        <v>2.312775330396466E-2</v>
      </c>
    </row>
    <row r="82" spans="1:7" x14ac:dyDescent="0.2">
      <c r="A82" s="15">
        <v>44154</v>
      </c>
      <c r="B82" s="112">
        <v>1.0242</v>
      </c>
      <c r="C82" s="108">
        <f t="shared" si="18"/>
        <v>2.2999999999999687E-3</v>
      </c>
      <c r="D82" s="109" t="str">
        <f t="shared" si="19"/>
        <v>/</v>
      </c>
      <c r="E82" s="109">
        <f ca="1">IF(表2_3671626293038912131415232425262728[[#This Row],[累计净值]]/MAX(INDIRECT("B21:B" &amp; ROW()))-1&lt;E81,表2_3671626293038912131415232425262728[[#This Row],[累计净值]]/MAX(INDIRECT("B21:B" &amp; ROW()))-1,E81)</f>
        <v>-7.2857975519721174E-3</v>
      </c>
      <c r="F82" s="110">
        <f>表2_3671626293038912131415232425262728[[#This Row],[累计净值]]</f>
        <v>1.0242</v>
      </c>
      <c r="G82" s="20">
        <f>表2_3671626293038912131415232425262728[[#This Row],[累计净值]]/$B$21-1</f>
        <v>2.5430516619943999E-2</v>
      </c>
    </row>
    <row r="83" spans="1:7" x14ac:dyDescent="0.2">
      <c r="A83" s="15">
        <v>44155</v>
      </c>
      <c r="B83" s="112">
        <v>1.0299</v>
      </c>
      <c r="C83" s="108">
        <f t="shared" si="18"/>
        <v>5.7000000000000384E-3</v>
      </c>
      <c r="D83" s="109" t="str">
        <f t="shared" si="19"/>
        <v>/</v>
      </c>
      <c r="E83" s="109">
        <f ca="1">IF(表2_3671626293038912131415232425262728[[#This Row],[累计净值]]/MAX(INDIRECT("B21:B" &amp; ROW()))-1&lt;E82,表2_3671626293038912131415232425262728[[#This Row],[累计净值]]/MAX(INDIRECT("B21:B" &amp; ROW()))-1,E82)</f>
        <v>-7.2857975519721174E-3</v>
      </c>
      <c r="F83" s="110">
        <f>表2_3671626293038912131415232425262728[[#This Row],[累计净值]]</f>
        <v>1.0299</v>
      </c>
      <c r="G83" s="20">
        <f>表2_3671626293038912131415232425262728[[#This Row],[累计净值]]/$B$21-1</f>
        <v>3.1137364837805492E-2</v>
      </c>
    </row>
    <row r="84" spans="1:7" x14ac:dyDescent="0.2">
      <c r="A84" s="15">
        <v>44158</v>
      </c>
      <c r="B84" s="112">
        <v>1.0333000000000001</v>
      </c>
      <c r="C84" s="108">
        <f t="shared" ref="C84:C89" si="20">IFERROR(B84-B83,0)</f>
        <v>3.4000000000000696E-3</v>
      </c>
      <c r="D84" s="109" t="str">
        <f t="shared" ref="D84:D89" si="21">IF(C84&lt;0,C84,"/")</f>
        <v>/</v>
      </c>
      <c r="E84" s="109">
        <f ca="1">IF(表2_3671626293038912131415232425262728[[#This Row],[累计净值]]/MAX(INDIRECT("B21:B" &amp; ROW()))-1&lt;E83,表2_3671626293038912131415232425262728[[#This Row],[累计净值]]/MAX(INDIRECT("B21:B" &amp; ROW()))-1,E83)</f>
        <v>-7.2857975519721174E-3</v>
      </c>
      <c r="F84" s="110">
        <f>表2_3671626293038912131415232425262728[[#This Row],[累计净值]]</f>
        <v>1.0333000000000001</v>
      </c>
      <c r="G84" s="20">
        <f>表2_3671626293038912131415232425262728[[#This Row],[累计净值]]/$B$21-1</f>
        <v>3.4541449739687646E-2</v>
      </c>
    </row>
    <row r="85" spans="1:7" x14ac:dyDescent="0.2">
      <c r="A85" s="15">
        <v>44159</v>
      </c>
      <c r="B85" s="112">
        <v>1.0295000000000001</v>
      </c>
      <c r="C85" s="108">
        <f t="shared" si="20"/>
        <v>-3.8000000000000256E-3</v>
      </c>
      <c r="D85" s="109">
        <f t="shared" si="21"/>
        <v>-3.8000000000000256E-3</v>
      </c>
      <c r="E85" s="109">
        <f ca="1">IF(表2_3671626293038912131415232425262728[[#This Row],[累计净值]]/MAX(INDIRECT("B21:B" &amp; ROW()))-1&lt;E84,表2_3671626293038912131415232425262728[[#This Row],[累计净值]]/MAX(INDIRECT("B21:B" &amp; ROW()))-1,E84)</f>
        <v>-7.2857975519721174E-3</v>
      </c>
      <c r="F85" s="110">
        <f>表2_3671626293038912131415232425262728[[#This Row],[累计净值]]</f>
        <v>1.0295000000000001</v>
      </c>
      <c r="G85" s="20">
        <f>表2_3671626293038912131415232425262728[[#This Row],[累计净值]]/$B$21-1</f>
        <v>3.0736884261113318E-2</v>
      </c>
    </row>
    <row r="86" spans="1:7" x14ac:dyDescent="0.2">
      <c r="A86" s="15">
        <v>44160</v>
      </c>
      <c r="B86" s="112">
        <v>1.0285</v>
      </c>
      <c r="C86" s="108">
        <f t="shared" si="20"/>
        <v>-1.0000000000001119E-3</v>
      </c>
      <c r="D86" s="109">
        <f t="shared" si="21"/>
        <v>-1.0000000000001119E-3</v>
      </c>
      <c r="E86" s="109">
        <f ca="1">IF(表2_3671626293038912131415232425262728[[#This Row],[累计净值]]/MAX(INDIRECT("B21:B" &amp; ROW()))-1&lt;E85,表2_3671626293038912131415232425262728[[#This Row],[累计净值]]/MAX(INDIRECT("B21:B" &amp; ROW()))-1,E85)</f>
        <v>-7.2857975519721174E-3</v>
      </c>
      <c r="F86" s="110">
        <f>表2_3671626293038912131415232425262728[[#This Row],[累计净值]]</f>
        <v>1.0285</v>
      </c>
      <c r="G86" s="20">
        <f>表2_3671626293038912131415232425262728[[#This Row],[累计净值]]/$B$21-1</f>
        <v>2.9735682819383102E-2</v>
      </c>
    </row>
    <row r="87" spans="1:7" x14ac:dyDescent="0.2">
      <c r="A87" s="15">
        <v>44161</v>
      </c>
      <c r="B87" s="112">
        <v>1.0224</v>
      </c>
      <c r="C87" s="108">
        <f t="shared" si="20"/>
        <v>-6.0999999999999943E-3</v>
      </c>
      <c r="D87" s="109">
        <f t="shared" si="21"/>
        <v>-6.0999999999999943E-3</v>
      </c>
      <c r="E87" s="109">
        <f ca="1">IF(表2_3671626293038912131415232425262728[[#This Row],[累计净值]]/MAX(INDIRECT("B21:B" &amp; ROW()))-1&lt;E86,表2_3671626293038912131415232425262728[[#This Row],[累计净值]]/MAX(INDIRECT("B21:B" &amp; ROW()))-1,E86)</f>
        <v>-1.0548727378302702E-2</v>
      </c>
      <c r="F87" s="110">
        <f>表2_3671626293038912131415232425262728[[#This Row],[累计净值]]</f>
        <v>1.0224</v>
      </c>
      <c r="G87" s="20">
        <f>表2_3671626293038912131415232425262728[[#This Row],[累计净值]]/$B$21-1</f>
        <v>2.3628354024829656E-2</v>
      </c>
    </row>
    <row r="88" spans="1:7" x14ac:dyDescent="0.2">
      <c r="A88" s="15">
        <v>44162</v>
      </c>
      <c r="B88" s="112">
        <v>1.026</v>
      </c>
      <c r="C88" s="108">
        <f t="shared" si="20"/>
        <v>3.6000000000000476E-3</v>
      </c>
      <c r="D88" s="109" t="str">
        <f t="shared" si="21"/>
        <v>/</v>
      </c>
      <c r="E88" s="109">
        <f ca="1">IF(表2_3671626293038912131415232425262728[[#This Row],[累计净值]]/MAX(INDIRECT("B21:B" &amp; ROW()))-1&lt;E87,表2_3671626293038912131415232425262728[[#This Row],[累计净值]]/MAX(INDIRECT("B21:B" &amp; ROW()))-1,E87)</f>
        <v>-1.0548727378302702E-2</v>
      </c>
      <c r="F88" s="110">
        <f>表2_3671626293038912131415232425262728[[#This Row],[累计净值]]</f>
        <v>1.026</v>
      </c>
      <c r="G88" s="20">
        <f>表2_3671626293038912131415232425262728[[#This Row],[累计净值]]/$B$21-1</f>
        <v>2.723267921505812E-2</v>
      </c>
    </row>
    <row r="89" spans="1:7" x14ac:dyDescent="0.2">
      <c r="A89" s="15">
        <v>44165</v>
      </c>
      <c r="B89" s="112">
        <v>1.03</v>
      </c>
      <c r="C89" s="108">
        <f t="shared" si="20"/>
        <v>4.0000000000000036E-3</v>
      </c>
      <c r="D89" s="109" t="str">
        <f t="shared" si="21"/>
        <v>/</v>
      </c>
      <c r="E89" s="109">
        <f ca="1">IF(表2_3671626293038912131415232425262728[[#This Row],[累计净值]]/MAX(INDIRECT("B21:B" &amp; ROW()))-1&lt;E88,表2_3671626293038912131415232425262728[[#This Row],[累计净值]]/MAX(INDIRECT("B21:B" &amp; ROW()))-1,E88)</f>
        <v>-1.0548727378302702E-2</v>
      </c>
      <c r="F89" s="110">
        <f>表2_3671626293038912131415232425262728[[#This Row],[累计净值]]</f>
        <v>1.03</v>
      </c>
      <c r="G89" s="20">
        <f>表2_3671626293038912131415232425262728[[#This Row],[累计净值]]/$B$21-1</f>
        <v>3.1237484981978314E-2</v>
      </c>
    </row>
    <row r="90" spans="1:7" x14ac:dyDescent="0.2">
      <c r="A90" s="15">
        <v>44166</v>
      </c>
      <c r="B90" s="112">
        <v>1.0351999999999999</v>
      </c>
      <c r="C90" s="108">
        <f>IFERROR(B90-B89,0)</f>
        <v>5.1999999999998714E-3</v>
      </c>
      <c r="D90" s="109" t="str">
        <f>IF(C90&lt;0,C90,"/")</f>
        <v>/</v>
      </c>
      <c r="E90" s="109">
        <f ca="1">IF(表2_3671626293038912131415232425262728[[#This Row],[累计净值]]/MAX(INDIRECT("B21:B" &amp; ROW()))-1&lt;E89,表2_3671626293038912131415232425262728[[#This Row],[累计净值]]/MAX(INDIRECT("B21:B" &amp; ROW()))-1,E89)</f>
        <v>-1.0548727378302702E-2</v>
      </c>
      <c r="F90" s="110">
        <f>表2_3671626293038912131415232425262728[[#This Row],[累计净值]]</f>
        <v>1.0351999999999999</v>
      </c>
      <c r="G90" s="20">
        <f>表2_3671626293038912131415232425262728[[#This Row],[累计净值]]/$B$21-1</f>
        <v>3.6443732478974589E-2</v>
      </c>
    </row>
    <row r="91" spans="1:7" x14ac:dyDescent="0.2">
      <c r="A91" s="15">
        <v>44167</v>
      </c>
      <c r="B91" s="112">
        <v>1.0330999999999999</v>
      </c>
      <c r="C91" s="108">
        <f t="shared" ref="C91:C92" si="22">IFERROR(B91-B90,0)</f>
        <v>-2.0999999999999908E-3</v>
      </c>
      <c r="D91" s="109">
        <f t="shared" ref="D91:D92" si="23">IF(C91&lt;0,C91,"/")</f>
        <v>-2.0999999999999908E-3</v>
      </c>
      <c r="E91" s="109">
        <f ca="1">IF(表2_3671626293038912131415232425262728[[#This Row],[累计净值]]/MAX(INDIRECT("B21:B" &amp; ROW()))-1&lt;E90,表2_3671626293038912131415232425262728[[#This Row],[累计净值]]/MAX(INDIRECT("B21:B" &amp; ROW()))-1,E90)</f>
        <v>-1.0548727378302702E-2</v>
      </c>
      <c r="F91" s="110">
        <f>表2_3671626293038912131415232425262728[[#This Row],[累计净值]]</f>
        <v>1.0330999999999999</v>
      </c>
      <c r="G91" s="20">
        <f>表2_3671626293038912131415232425262728[[#This Row],[累计净值]]/$B$21-1</f>
        <v>3.4341209451341559E-2</v>
      </c>
    </row>
    <row r="92" spans="1:7" x14ac:dyDescent="0.2">
      <c r="A92" s="15">
        <v>44168</v>
      </c>
      <c r="B92" s="112">
        <v>1.0358000000000001</v>
      </c>
      <c r="C92" s="108">
        <f t="shared" si="22"/>
        <v>2.7000000000001467E-3</v>
      </c>
      <c r="D92" s="109" t="str">
        <f t="shared" si="23"/>
        <v>/</v>
      </c>
      <c r="E92" s="109">
        <f ca="1">IF(表2_3671626293038912131415232425262728[[#This Row],[累计净值]]/MAX(INDIRECT("B21:B" &amp; ROW()))-1&lt;E91,表2_3671626293038912131415232425262728[[#This Row],[累计净值]]/MAX(INDIRECT("B21:B" &amp; ROW()))-1,E91)</f>
        <v>-1.0548727378302702E-2</v>
      </c>
      <c r="F92" s="110">
        <f>表2_3671626293038912131415232425262728[[#This Row],[累计净值]]</f>
        <v>1.0358000000000001</v>
      </c>
      <c r="G92" s="20">
        <f>表2_3671626293038912131415232425262728[[#This Row],[累计净值]]/$B$21-1</f>
        <v>3.7044453344012851E-2</v>
      </c>
    </row>
    <row r="93" spans="1:7" x14ac:dyDescent="0.2">
      <c r="A93" s="15">
        <v>44169</v>
      </c>
      <c r="B93" s="112">
        <v>1.0366</v>
      </c>
      <c r="C93" s="108">
        <f>IFERROR(B93-B92,0)</f>
        <v>7.9999999999991189E-4</v>
      </c>
      <c r="D93" s="109" t="str">
        <f>IF(C93&lt;0,C93,"/")</f>
        <v>/</v>
      </c>
      <c r="E93" s="109">
        <f ca="1">IF(表2_3671626293038912131415232425262728[[#This Row],[累计净值]]/MAX(INDIRECT("B21:B" &amp; ROW()))-1&lt;E92,表2_3671626293038912131415232425262728[[#This Row],[累计净值]]/MAX(INDIRECT("B21:B" &amp; ROW()))-1,E92)</f>
        <v>-1.0548727378302702E-2</v>
      </c>
      <c r="F93" s="110">
        <f>表2_3671626293038912131415232425262728[[#This Row],[累计净值]]</f>
        <v>1.0366</v>
      </c>
      <c r="G93" s="20">
        <f>表2_3671626293038912131415232425262728[[#This Row],[累计净值]]/$B$21-1</f>
        <v>3.7845414497396757E-2</v>
      </c>
    </row>
    <row r="94" spans="1:7" x14ac:dyDescent="0.2">
      <c r="A94" s="15">
        <v>44172</v>
      </c>
      <c r="B94" s="112">
        <v>1.0355000000000001</v>
      </c>
      <c r="C94" s="108">
        <f>IFERROR(B94-B93,0)</f>
        <v>-1.0999999999998789E-3</v>
      </c>
      <c r="D94" s="109">
        <f>IF(C94&lt;0,C94,"/")</f>
        <v>-1.0999999999998789E-3</v>
      </c>
      <c r="E94" s="109">
        <f ca="1">IF(表2_3671626293038912131415232425262728[[#This Row],[累计净值]]/MAX(INDIRECT("B21:B" &amp; ROW()))-1&lt;E93,表2_3671626293038912131415232425262728[[#This Row],[累计净值]]/MAX(INDIRECT("B21:B" &amp; ROW()))-1,E93)</f>
        <v>-1.0548727378302702E-2</v>
      </c>
      <c r="F94" s="110">
        <f>表2_3671626293038912131415232425262728[[#This Row],[累计净值]]</f>
        <v>1.0355000000000001</v>
      </c>
      <c r="G94" s="20">
        <f>表2_3671626293038912131415232425262728[[#This Row],[累计净值]]/$B$21-1</f>
        <v>3.6744092911493942E-2</v>
      </c>
    </row>
    <row r="95" spans="1:7" x14ac:dyDescent="0.2">
      <c r="A95" s="15">
        <v>44173</v>
      </c>
      <c r="B95" s="112">
        <v>1.0364</v>
      </c>
      <c r="C95" s="108">
        <f>IFERROR(B95-B94,0)</f>
        <v>8.9999999999990088E-4</v>
      </c>
      <c r="D95" s="109" t="str">
        <f>IF(C95&lt;0,C95,"/")</f>
        <v>/</v>
      </c>
      <c r="E95" s="109">
        <f ca="1">IF(表2_3671626293038912131415232425262728[[#This Row],[累计净值]]/MAX(INDIRECT("B21:B" &amp; ROW()))-1&lt;E94,表2_3671626293038912131415232425262728[[#This Row],[累计净值]]/MAX(INDIRECT("B21:B" &amp; ROW()))-1,E94)</f>
        <v>-1.0548727378302702E-2</v>
      </c>
      <c r="F95" s="110">
        <f>表2_3671626293038912131415232425262728[[#This Row],[累计净值]]</f>
        <v>1.0364</v>
      </c>
      <c r="G95" s="20">
        <f>表2_3671626293038912131415232425262728[[#This Row],[累计净值]]/$B$21-1</f>
        <v>3.7645174209050891E-2</v>
      </c>
    </row>
    <row r="96" spans="1:7" x14ac:dyDescent="0.2">
      <c r="A96" s="15">
        <v>44174</v>
      </c>
      <c r="B96" s="112">
        <v>1.0317000000000001</v>
      </c>
      <c r="C96" s="108">
        <f t="shared" ref="C96:C97" si="24">IFERROR(B96-B95,0)</f>
        <v>-4.6999999999999265E-3</v>
      </c>
      <c r="D96" s="109">
        <f t="shared" ref="D96:D97" si="25">IF(C96&lt;0,C96,"/")</f>
        <v>-4.6999999999999265E-3</v>
      </c>
      <c r="E96" s="109">
        <f ca="1">IF(表2_3671626293038912131415232425262728[[#This Row],[累计净值]]/MAX(INDIRECT("B21:B" &amp; ROW()))-1&lt;E95,表2_3671626293038912131415232425262728[[#This Row],[累计净值]]/MAX(INDIRECT("B21:B" &amp; ROW()))-1,E95)</f>
        <v>-1.0548727378302702E-2</v>
      </c>
      <c r="F96" s="110">
        <f>表2_3671626293038912131415232425262728[[#This Row],[累计净值]]</f>
        <v>1.0317000000000001</v>
      </c>
      <c r="G96" s="20">
        <f>表2_3671626293038912131415232425262728[[#This Row],[累计净值]]/$B$21-1</f>
        <v>3.2939527432919613E-2</v>
      </c>
    </row>
    <row r="97" spans="1:7" x14ac:dyDescent="0.2">
      <c r="A97" s="15">
        <v>44175</v>
      </c>
      <c r="B97" s="112">
        <v>1.0324</v>
      </c>
      <c r="C97" s="108">
        <f t="shared" si="24"/>
        <v>6.9999999999992291E-4</v>
      </c>
      <c r="D97" s="109" t="str">
        <f t="shared" si="25"/>
        <v>/</v>
      </c>
      <c r="E97" s="109">
        <f ca="1">IF(表2_3671626293038912131415232425262728[[#This Row],[累计净值]]/MAX(INDIRECT("B21:B" &amp; ROW()))-1&lt;E96,表2_3671626293038912131415232425262728[[#This Row],[累计净值]]/MAX(INDIRECT("B21:B" &amp; ROW()))-1,E96)</f>
        <v>-1.0548727378302702E-2</v>
      </c>
      <c r="F97" s="110">
        <f>表2_3671626293038912131415232425262728[[#This Row],[累计净值]]</f>
        <v>1.0324</v>
      </c>
      <c r="G97" s="20">
        <f>表2_3671626293038912131415232425262728[[#This Row],[累计净值]]/$B$21-1</f>
        <v>3.3640368442130475E-2</v>
      </c>
    </row>
    <row r="98" spans="1:7" x14ac:dyDescent="0.2">
      <c r="A98" s="15">
        <v>44176</v>
      </c>
      <c r="B98" s="112">
        <v>1.0228999999999999</v>
      </c>
      <c r="C98" s="108">
        <f t="shared" ref="C98:C103" si="26">IFERROR(B98-B97,0)</f>
        <v>-9.5000000000000639E-3</v>
      </c>
      <c r="D98" s="109">
        <f t="shared" ref="D98:D103" si="27">IF(C98&lt;0,C98,"/")</f>
        <v>-9.5000000000000639E-3</v>
      </c>
      <c r="E98" s="109">
        <f ca="1">IF(表2_3671626293038912131415232425262728[[#This Row],[累计净值]]/MAX(INDIRECT("B21:B" &amp; ROW()))-1&lt;E97,表2_3671626293038912131415232425262728[[#This Row],[累计净值]]/MAX(INDIRECT("B21:B" &amp; ROW()))-1,E97)</f>
        <v>-1.3216284005402312E-2</v>
      </c>
      <c r="F98" s="110">
        <f>表2_3671626293038912131415232425262728[[#This Row],[累计净值]]</f>
        <v>1.0228999999999999</v>
      </c>
      <c r="G98" s="20">
        <f>表2_3671626293038912131415232425262728[[#This Row],[累计净值]]/$B$21-1</f>
        <v>2.4128954745694653E-2</v>
      </c>
    </row>
    <row r="99" spans="1:7" x14ac:dyDescent="0.2">
      <c r="A99" s="15">
        <v>44179</v>
      </c>
      <c r="B99" s="112">
        <v>1.0285</v>
      </c>
      <c r="C99" s="108">
        <f t="shared" si="26"/>
        <v>5.6000000000000494E-3</v>
      </c>
      <c r="D99" s="109" t="str">
        <f t="shared" si="27"/>
        <v>/</v>
      </c>
      <c r="E99" s="109">
        <f ca="1">IF(表2_3671626293038912131415232425262728[[#This Row],[累计净值]]/MAX(INDIRECT("B21:B" &amp; ROW()))-1&lt;E98,表2_3671626293038912131415232425262728[[#This Row],[累计净值]]/MAX(INDIRECT("B21:B" &amp; ROW()))-1,E98)</f>
        <v>-1.3216284005402312E-2</v>
      </c>
      <c r="F99" s="110">
        <f>表2_3671626293038912131415232425262728[[#This Row],[累计净值]]</f>
        <v>1.0285</v>
      </c>
      <c r="G99" s="20">
        <f>表2_3671626293038912131415232425262728[[#This Row],[累计净值]]/$B$21-1</f>
        <v>2.9735682819383102E-2</v>
      </c>
    </row>
    <row r="100" spans="1:7" x14ac:dyDescent="0.2">
      <c r="A100" s="15">
        <v>44180</v>
      </c>
      <c r="B100" s="112">
        <v>1.0314000000000001</v>
      </c>
      <c r="C100" s="108">
        <f t="shared" si="26"/>
        <v>2.9000000000001247E-3</v>
      </c>
      <c r="D100" s="109" t="str">
        <f t="shared" si="27"/>
        <v>/</v>
      </c>
      <c r="E100" s="109">
        <f ca="1">IF(表2_3671626293038912131415232425262728[[#This Row],[累计净值]]/MAX(INDIRECT("B21:B" &amp; ROW()))-1&lt;E99,表2_3671626293038912131415232425262728[[#This Row],[累计净值]]/MAX(INDIRECT("B21:B" &amp; ROW()))-1,E99)</f>
        <v>-1.3216284005402312E-2</v>
      </c>
      <c r="F100" s="110">
        <f>表2_3671626293038912131415232425262728[[#This Row],[累计净值]]</f>
        <v>1.0314000000000001</v>
      </c>
      <c r="G100" s="20">
        <f>表2_3671626293038912131415232425262728[[#This Row],[累计净值]]/$B$21-1</f>
        <v>3.2639167000400482E-2</v>
      </c>
    </row>
    <row r="101" spans="1:7" x14ac:dyDescent="0.2">
      <c r="A101" s="15">
        <v>44181</v>
      </c>
      <c r="B101" s="112">
        <v>1.0295000000000001</v>
      </c>
      <c r="C101" s="108">
        <f t="shared" si="26"/>
        <v>-1.9000000000000128E-3</v>
      </c>
      <c r="D101" s="109">
        <f t="shared" si="27"/>
        <v>-1.9000000000000128E-3</v>
      </c>
      <c r="E101" s="109">
        <f ca="1">IF(表2_3671626293038912131415232425262728[[#This Row],[累计净值]]/MAX(INDIRECT("B21:B" &amp; ROW()))-1&lt;E100,表2_3671626293038912131415232425262728[[#This Row],[累计净值]]/MAX(INDIRECT("B21:B" &amp; ROW()))-1,E100)</f>
        <v>-1.3216284005402312E-2</v>
      </c>
      <c r="F101" s="110">
        <f>表2_3671626293038912131415232425262728[[#This Row],[累计净值]]</f>
        <v>1.0295000000000001</v>
      </c>
      <c r="G101" s="20">
        <f>表2_3671626293038912131415232425262728[[#This Row],[累计净值]]/$B$21-1</f>
        <v>3.0736884261113318E-2</v>
      </c>
    </row>
    <row r="102" spans="1:7" x14ac:dyDescent="0.2">
      <c r="A102" s="15">
        <v>44182</v>
      </c>
      <c r="B102" s="112">
        <v>1.0344</v>
      </c>
      <c r="C102" s="108">
        <f t="shared" si="26"/>
        <v>4.8999999999999044E-3</v>
      </c>
      <c r="D102" s="109" t="str">
        <f t="shared" si="27"/>
        <v>/</v>
      </c>
      <c r="E102" s="109">
        <f ca="1">IF(表2_3671626293038912131415232425262728[[#This Row],[累计净值]]/MAX(INDIRECT("B21:B" &amp; ROW()))-1&lt;E101,表2_3671626293038912131415232425262728[[#This Row],[累计净值]]/MAX(INDIRECT("B21:B" &amp; ROW()))-1,E101)</f>
        <v>-1.3216284005402312E-2</v>
      </c>
      <c r="F102" s="110">
        <f>表2_3671626293038912131415232425262728[[#This Row],[累计净值]]</f>
        <v>1.0344</v>
      </c>
      <c r="G102" s="20">
        <f>表2_3671626293038912131415232425262728[[#This Row],[累计净值]]/$B$21-1</f>
        <v>3.5642771325590683E-2</v>
      </c>
    </row>
    <row r="103" spans="1:7" x14ac:dyDescent="0.2">
      <c r="A103" s="15">
        <v>44183</v>
      </c>
      <c r="B103" s="112">
        <v>1.0351999999999999</v>
      </c>
      <c r="C103" s="108">
        <f t="shared" si="26"/>
        <v>7.9999999999991189E-4</v>
      </c>
      <c r="D103" s="109" t="str">
        <f t="shared" si="27"/>
        <v>/</v>
      </c>
      <c r="E103" s="109">
        <f ca="1">IF(表2_3671626293038912131415232425262728[[#This Row],[累计净值]]/MAX(INDIRECT("B21:B" &amp; ROW()))-1&lt;E102,表2_3671626293038912131415232425262728[[#This Row],[累计净值]]/MAX(INDIRECT("B21:B" &amp; ROW()))-1,E102)</f>
        <v>-1.3216284005402312E-2</v>
      </c>
      <c r="F103" s="110">
        <f>表2_3671626293038912131415232425262728[[#This Row],[累计净值]]</f>
        <v>1.0351999999999999</v>
      </c>
      <c r="G103" s="20">
        <f>表2_3671626293038912131415232425262728[[#This Row],[累计净值]]/$B$21-1</f>
        <v>3.6443732478974589E-2</v>
      </c>
    </row>
    <row r="104" spans="1:7" x14ac:dyDescent="0.2">
      <c r="A104" s="15">
        <v>44186</v>
      </c>
      <c r="B104" s="112">
        <v>1.0395000000000001</v>
      </c>
      <c r="C104" s="108">
        <f t="shared" ref="C104:C109" si="28">IFERROR(B104-B103,0)</f>
        <v>4.3000000000001926E-3</v>
      </c>
      <c r="D104" s="109" t="str">
        <f t="shared" ref="D104:D109" si="29">IF(C104&lt;0,C104,"/")</f>
        <v>/</v>
      </c>
      <c r="E104" s="109">
        <f ca="1">IF(表2_3671626293038912131415232425262728[[#This Row],[累计净值]]/MAX(INDIRECT("B21:B" &amp; ROW()))-1&lt;E103,表2_3671626293038912131415232425262728[[#This Row],[累计净值]]/MAX(INDIRECT("B21:B" &amp; ROW()))-1,E103)</f>
        <v>-1.3216284005402312E-2</v>
      </c>
      <c r="F104" s="110">
        <f>表2_3671626293038912131415232425262728[[#This Row],[累计净值]]</f>
        <v>1.0395000000000001</v>
      </c>
      <c r="G104" s="20">
        <f>表2_3671626293038912131415232425262728[[#This Row],[累计净值]]/$B$21-1</f>
        <v>4.0748898678414136E-2</v>
      </c>
    </row>
    <row r="105" spans="1:7" x14ac:dyDescent="0.2">
      <c r="A105" s="15">
        <v>44187</v>
      </c>
      <c r="B105" s="112">
        <v>1.0363</v>
      </c>
      <c r="C105" s="108">
        <f t="shared" si="28"/>
        <v>-3.2000000000000917E-3</v>
      </c>
      <c r="D105" s="109">
        <f t="shared" si="29"/>
        <v>-3.2000000000000917E-3</v>
      </c>
      <c r="E105" s="109">
        <f ca="1">IF(表2_3671626293038912131415232425262728[[#This Row],[累计净值]]/MAX(INDIRECT("B21:B" &amp; ROW()))-1&lt;E104,表2_3671626293038912131415232425262728[[#This Row],[累计净值]]/MAX(INDIRECT("B21:B" &amp; ROW()))-1,E104)</f>
        <v>-1.3216284005402312E-2</v>
      </c>
      <c r="F105" s="110">
        <f>表2_3671626293038912131415232425262728[[#This Row],[累计净值]]</f>
        <v>1.0363</v>
      </c>
      <c r="G105" s="20">
        <f>表2_3671626293038912131415232425262728[[#This Row],[累计净值]]/$B$21-1</f>
        <v>3.7545054064877847E-2</v>
      </c>
    </row>
    <row r="106" spans="1:7" x14ac:dyDescent="0.2">
      <c r="A106" s="15">
        <v>44188</v>
      </c>
      <c r="B106" s="112">
        <v>1.0390999999999999</v>
      </c>
      <c r="C106" s="108">
        <f t="shared" si="28"/>
        <v>2.7999999999999137E-3</v>
      </c>
      <c r="D106" s="109" t="str">
        <f t="shared" si="29"/>
        <v>/</v>
      </c>
      <c r="E106" s="109">
        <f ca="1">IF(表2_3671626293038912131415232425262728[[#This Row],[累计净值]]/MAX(INDIRECT("B21:B" &amp; ROW()))-1&lt;E105,表2_3671626293038912131415232425262728[[#This Row],[累计净值]]/MAX(INDIRECT("B21:B" &amp; ROW()))-1,E105)</f>
        <v>-1.3216284005402312E-2</v>
      </c>
      <c r="F106" s="110">
        <f>表2_3671626293038912131415232425262728[[#This Row],[累计净值]]</f>
        <v>1.0390999999999999</v>
      </c>
      <c r="G106" s="20">
        <f>表2_3671626293038912131415232425262728[[#This Row],[累计净值]]/$B$21-1</f>
        <v>4.0348418101721961E-2</v>
      </c>
    </row>
    <row r="107" spans="1:7" x14ac:dyDescent="0.2">
      <c r="A107" s="15">
        <v>44189</v>
      </c>
      <c r="B107" s="112">
        <v>1.0369999999999999</v>
      </c>
      <c r="C107" s="108">
        <f t="shared" si="28"/>
        <v>-2.0999999999999908E-3</v>
      </c>
      <c r="D107" s="109">
        <f t="shared" si="29"/>
        <v>-2.0999999999999908E-3</v>
      </c>
      <c r="E107" s="109">
        <f ca="1">IF(表2_3671626293038912131415232425262728[[#This Row],[累计净值]]/MAX(INDIRECT("B21:B" &amp; ROW()))-1&lt;E106,表2_3671626293038912131415232425262728[[#This Row],[累计净值]]/MAX(INDIRECT("B21:B" &amp; ROW()))-1,E106)</f>
        <v>-1.3216284005402312E-2</v>
      </c>
      <c r="F107" s="110">
        <f>表2_3671626293038912131415232425262728[[#This Row],[累计净值]]</f>
        <v>1.0369999999999999</v>
      </c>
      <c r="G107" s="20">
        <f>表2_3671626293038912131415232425262728[[#This Row],[累计净值]]/$B$21-1</f>
        <v>3.8245895074088709E-2</v>
      </c>
    </row>
    <row r="108" spans="1:7" x14ac:dyDescent="0.2">
      <c r="A108" s="15">
        <v>44190</v>
      </c>
      <c r="B108" s="112">
        <v>1.0383</v>
      </c>
      <c r="C108" s="108">
        <f t="shared" si="28"/>
        <v>1.3000000000000789E-3</v>
      </c>
      <c r="D108" s="109" t="str">
        <f t="shared" si="29"/>
        <v>/</v>
      </c>
      <c r="E108" s="109">
        <f ca="1">IF(表2_3671626293038912131415232425262728[[#This Row],[累计净值]]/MAX(INDIRECT("B21:B" &amp; ROW()))-1&lt;E107,表2_3671626293038912131415232425262728[[#This Row],[累计净值]]/MAX(INDIRECT("B21:B" &amp; ROW()))-1,E107)</f>
        <v>-1.3216284005402312E-2</v>
      </c>
      <c r="F108" s="110">
        <f>表2_3671626293038912131415232425262728[[#This Row],[累计净值]]</f>
        <v>1.0383</v>
      </c>
      <c r="G108" s="20">
        <f>表2_3671626293038912131415232425262728[[#This Row],[累计净值]]/$B$21-1</f>
        <v>3.9547456948338056E-2</v>
      </c>
    </row>
    <row r="109" spans="1:7" x14ac:dyDescent="0.2">
      <c r="A109" s="15">
        <v>44193</v>
      </c>
      <c r="B109" s="112">
        <v>1.0425</v>
      </c>
      <c r="C109" s="108">
        <f t="shared" si="28"/>
        <v>4.1999999999999815E-3</v>
      </c>
      <c r="D109" s="109" t="str">
        <f t="shared" si="29"/>
        <v>/</v>
      </c>
      <c r="E109" s="109">
        <f ca="1">IF(表2_3671626293038912131415232425262728[[#This Row],[累计净值]]/MAX(INDIRECT("B21:B" &amp; ROW()))-1&lt;E108,表2_3671626293038912131415232425262728[[#This Row],[累计净值]]/MAX(INDIRECT("B21:B" &amp; ROW()))-1,E108)</f>
        <v>-1.3216284005402312E-2</v>
      </c>
      <c r="F109" s="110">
        <f>表2_3671626293038912131415232425262728[[#This Row],[累计净值]]</f>
        <v>1.0425</v>
      </c>
      <c r="G109" s="20">
        <f>表2_3671626293038912131415232425262728[[#This Row],[累计净值]]/$B$21-1</f>
        <v>4.3752503003604337E-2</v>
      </c>
    </row>
    <row r="110" spans="1:7" x14ac:dyDescent="0.2">
      <c r="A110" s="15">
        <v>44194</v>
      </c>
      <c r="B110" s="112">
        <v>1.0425</v>
      </c>
      <c r="C110" s="108">
        <f>IFERROR(B110-B109,0)</f>
        <v>0</v>
      </c>
      <c r="D110" s="109" t="str">
        <f>IF(C110&lt;0,C110,"/")</f>
        <v>/</v>
      </c>
      <c r="E110" s="109">
        <f ca="1">IF(表2_3671626293038912131415232425262728[[#This Row],[累计净值]]/MAX(INDIRECT("B21:B" &amp; ROW()))-1&lt;E109,表2_3671626293038912131415232425262728[[#This Row],[累计净值]]/MAX(INDIRECT("B21:B" &amp; ROW()))-1,E109)</f>
        <v>-1.3216284005402312E-2</v>
      </c>
      <c r="F110" s="110">
        <f>表2_3671626293038912131415232425262728[[#This Row],[累计净值]]</f>
        <v>1.0425</v>
      </c>
      <c r="G110" s="20">
        <f>表2_3671626293038912131415232425262728[[#This Row],[累计净值]]/$B$21-1</f>
        <v>4.3752503003604337E-2</v>
      </c>
    </row>
    <row r="111" spans="1:7" x14ac:dyDescent="0.2">
      <c r="A111" s="15">
        <v>44195</v>
      </c>
      <c r="B111" s="112">
        <v>1.0425</v>
      </c>
      <c r="C111" s="108">
        <f>IFERROR(B111-B110,0)</f>
        <v>0</v>
      </c>
      <c r="D111" s="109" t="str">
        <f>IF(C111&lt;0,C111,"/")</f>
        <v>/</v>
      </c>
      <c r="E111" s="109">
        <f ca="1">IF(表2_3671626293038912131415232425262728[[#This Row],[累计净值]]/MAX(INDIRECT("B21:B" &amp; ROW()))-1&lt;E110,表2_3671626293038912131415232425262728[[#This Row],[累计净值]]/MAX(INDIRECT("B21:B" &amp; ROW()))-1,E110)</f>
        <v>-1.3216284005402312E-2</v>
      </c>
      <c r="F111" s="110">
        <f>表2_3671626293038912131415232425262728[[#This Row],[累计净值]]</f>
        <v>1.0425</v>
      </c>
      <c r="G111" s="20">
        <f>表2_3671626293038912131415232425262728[[#This Row],[累计净值]]/$B$21-1</f>
        <v>4.3752503003604337E-2</v>
      </c>
    </row>
    <row r="112" spans="1:7" x14ac:dyDescent="0.2">
      <c r="A112" s="15">
        <v>44196</v>
      </c>
      <c r="B112" s="112">
        <v>1.0428999999999999</v>
      </c>
      <c r="C112" s="108">
        <f>IFERROR(B112-B111,0)</f>
        <v>3.9999999999995595E-4</v>
      </c>
      <c r="D112" s="109" t="str">
        <f>IF(C112&lt;0,C112,"/")</f>
        <v>/</v>
      </c>
      <c r="E112" s="109">
        <f ca="1">IF(表2_3671626293038912131415232425262728[[#This Row],[累计净值]]/MAX(INDIRECT("B21:B" &amp; ROW()))-1&lt;E111,表2_3671626293038912131415232425262728[[#This Row],[累计净值]]/MAX(INDIRECT("B21:B" &amp; ROW()))-1,E111)</f>
        <v>-1.3216284005402312E-2</v>
      </c>
      <c r="F112" s="110">
        <f>表2_3671626293038912131415232425262728[[#This Row],[累计净值]]</f>
        <v>1.0428999999999999</v>
      </c>
      <c r="G112" s="20">
        <f>表2_3671626293038912131415232425262728[[#This Row],[累计净值]]/$B$21-1</f>
        <v>4.415298358029629E-2</v>
      </c>
    </row>
    <row r="113" spans="1:7" x14ac:dyDescent="0.2">
      <c r="A113" s="15">
        <v>44200</v>
      </c>
      <c r="B113" s="112">
        <v>1.0450999999999999</v>
      </c>
      <c r="C113" s="108">
        <f>IFERROR(B113-B112,0)</f>
        <v>2.1999999999999797E-3</v>
      </c>
      <c r="D113" s="109" t="str">
        <f>IF(C113&lt;0,C113,"/")</f>
        <v>/</v>
      </c>
      <c r="E113" s="109">
        <f ca="1">IF(表2_3671626293038912131415232425262728[[#This Row],[累计净值]]/MAX(INDIRECT("B21:B" &amp; ROW()))-1&lt;E112,表2_3671626293038912131415232425262728[[#This Row],[累计净值]]/MAX(INDIRECT("B21:B" &amp; ROW()))-1,E112)</f>
        <v>-1.3216284005402312E-2</v>
      </c>
      <c r="F113" s="110">
        <f>表2_3671626293038912131415232425262728[[#This Row],[累计净值]]</f>
        <v>1.0450999999999999</v>
      </c>
      <c r="G113" s="20">
        <f>表2_3671626293038912131415232425262728[[#This Row],[累计净值]]/$B$21-1</f>
        <v>4.6355626752102363E-2</v>
      </c>
    </row>
    <row r="114" spans="1:7" x14ac:dyDescent="0.2">
      <c r="A114" s="15">
        <v>44201</v>
      </c>
      <c r="B114" s="112">
        <v>1.0476000000000001</v>
      </c>
      <c r="C114" s="108">
        <f t="shared" ref="C114:C115" si="30">IFERROR(B114-B113,0)</f>
        <v>2.5000000000001688E-3</v>
      </c>
      <c r="D114" s="109" t="str">
        <f t="shared" ref="D114:D115" si="31">IF(C114&lt;0,C114,"/")</f>
        <v>/</v>
      </c>
      <c r="E114" s="109">
        <f ca="1">IF(表2_3671626293038912131415232425262728[[#This Row],[累计净值]]/MAX(INDIRECT("B21:B" &amp; ROW()))-1&lt;E113,表2_3671626293038912131415232425262728[[#This Row],[累计净值]]/MAX(INDIRECT("B21:B" &amp; ROW()))-1,E113)</f>
        <v>-1.3216284005402312E-2</v>
      </c>
      <c r="F114" s="110">
        <f>表2_3671626293038912131415232425262728[[#This Row],[累计净值]]</f>
        <v>1.0476000000000001</v>
      </c>
      <c r="G114" s="20">
        <f>表2_3671626293038912131415232425262728[[#This Row],[累计净值]]/$B$21-1</f>
        <v>4.885863035642779E-2</v>
      </c>
    </row>
    <row r="115" spans="1:7" x14ac:dyDescent="0.2">
      <c r="A115" s="15">
        <v>44202</v>
      </c>
      <c r="B115" s="112">
        <v>1.0476000000000001</v>
      </c>
      <c r="C115" s="108">
        <f t="shared" si="30"/>
        <v>0</v>
      </c>
      <c r="D115" s="109" t="str">
        <f t="shared" si="31"/>
        <v>/</v>
      </c>
      <c r="E115" s="109">
        <f ca="1">IF(表2_3671626293038912131415232425262728[[#This Row],[累计净值]]/MAX(INDIRECT("B21:B" &amp; ROW()))-1&lt;E114,表2_3671626293038912131415232425262728[[#This Row],[累计净值]]/MAX(INDIRECT("B21:B" &amp; ROW()))-1,E114)</f>
        <v>-1.3216284005402312E-2</v>
      </c>
      <c r="F115" s="110">
        <f>表2_3671626293038912131415232425262728[[#This Row],[累计净值]]</f>
        <v>1.0476000000000001</v>
      </c>
      <c r="G115" s="20">
        <f>表2_3671626293038912131415232425262728[[#This Row],[累计净值]]/$B$21-1</f>
        <v>4.885863035642779E-2</v>
      </c>
    </row>
    <row r="116" spans="1:7" x14ac:dyDescent="0.2">
      <c r="A116" s="15">
        <v>44203</v>
      </c>
      <c r="B116" s="112">
        <v>1.0468999999999999</v>
      </c>
      <c r="C116" s="108">
        <f t="shared" ref="C116:C117" si="32">IFERROR(B116-B115,0)</f>
        <v>-7.0000000000014495E-4</v>
      </c>
      <c r="D116" s="109">
        <f t="shared" ref="D116:D117" si="33">IF(C116&lt;0,C116,"/")</f>
        <v>-7.0000000000014495E-4</v>
      </c>
      <c r="E116" s="109">
        <f ca="1">IF(表2_3671626293038912131415232425262728[[#This Row],[累计净值]]/MAX(INDIRECT("B21:B" &amp; ROW()))-1&lt;E115,表2_3671626293038912131415232425262728[[#This Row],[累计净值]]/MAX(INDIRECT("B21:B" &amp; ROW()))-1,E115)</f>
        <v>-1.3216284005402312E-2</v>
      </c>
      <c r="F116" s="110">
        <f>表2_3671626293038912131415232425262728[[#This Row],[累计净值]]</f>
        <v>1.0468999999999999</v>
      </c>
      <c r="G116" s="20">
        <f>表2_3671626293038912131415232425262728[[#This Row],[累计净值]]/$B$21-1</f>
        <v>4.8157789347216484E-2</v>
      </c>
    </row>
    <row r="117" spans="1:7" x14ac:dyDescent="0.2">
      <c r="A117" s="15">
        <v>44204</v>
      </c>
      <c r="B117" s="112">
        <v>1.0456000000000001</v>
      </c>
      <c r="C117" s="108">
        <f t="shared" si="32"/>
        <v>-1.2999999999998568E-3</v>
      </c>
      <c r="D117" s="109">
        <f t="shared" si="33"/>
        <v>-1.2999999999998568E-3</v>
      </c>
      <c r="E117" s="109">
        <f ca="1">IF(表2_3671626293038912131415232425262728[[#This Row],[累计净值]]/MAX(INDIRECT("B21:B" &amp; ROW()))-1&lt;E116,表2_3671626293038912131415232425262728[[#This Row],[累计净值]]/MAX(INDIRECT("B21:B" &amp; ROW()))-1,E116)</f>
        <v>-1.3216284005402312E-2</v>
      </c>
      <c r="F117" s="110">
        <f>表2_3671626293038912131415232425262728[[#This Row],[累计净值]]</f>
        <v>1.0456000000000001</v>
      </c>
      <c r="G117" s="20">
        <f>表2_3671626293038912131415232425262728[[#This Row],[累计净值]]/$B$21-1</f>
        <v>4.6856227472967582E-2</v>
      </c>
    </row>
    <row r="118" spans="1:7" x14ac:dyDescent="0.2">
      <c r="A118" s="15">
        <v>44207</v>
      </c>
      <c r="B118" s="112">
        <v>1.0488999999999999</v>
      </c>
      <c r="C118" s="108">
        <f t="shared" ref="C118:C123" si="34">IFERROR(B118-B117,0)</f>
        <v>3.2999999999998586E-3</v>
      </c>
      <c r="D118" s="109" t="str">
        <f t="shared" ref="D118:D123" si="35">IF(C118&lt;0,C118,"/")</f>
        <v>/</v>
      </c>
      <c r="E118" s="109">
        <f ca="1">IF(表2_3671626293038912131415232425262728[[#This Row],[累计净值]]/MAX(INDIRECT("B21:B" &amp; ROW()))-1&lt;E117,表2_3671626293038912131415232425262728[[#This Row],[累计净值]]/MAX(INDIRECT("B21:B" &amp; ROW()))-1,E117)</f>
        <v>-1.3216284005402312E-2</v>
      </c>
      <c r="F118" s="110">
        <f>表2_3671626293038912131415232425262728[[#This Row],[累计净值]]</f>
        <v>1.0488999999999999</v>
      </c>
      <c r="G118" s="20">
        <f>表2_3671626293038912131415232425262728[[#This Row],[累计净值]]/$B$21-1</f>
        <v>5.0160192230676692E-2</v>
      </c>
    </row>
    <row r="119" spans="1:7" x14ac:dyDescent="0.2">
      <c r="A119" s="15">
        <v>44208</v>
      </c>
      <c r="B119" s="112">
        <v>1.0505</v>
      </c>
      <c r="C119" s="108">
        <f t="shared" si="34"/>
        <v>1.6000000000000458E-3</v>
      </c>
      <c r="D119" s="109" t="str">
        <f t="shared" si="35"/>
        <v>/</v>
      </c>
      <c r="E119" s="109">
        <f ca="1">IF(表2_3671626293038912131415232425262728[[#This Row],[累计净值]]/MAX(INDIRECT("B21:B" &amp; ROW()))-1&lt;E118,表2_3671626293038912131415232425262728[[#This Row],[累计净值]]/MAX(INDIRECT("B21:B" &amp; ROW()))-1,E118)</f>
        <v>-1.3216284005402312E-2</v>
      </c>
      <c r="F119" s="110">
        <f>表2_3671626293038912131415232425262728[[#This Row],[累计净值]]</f>
        <v>1.0505</v>
      </c>
      <c r="G119" s="20">
        <f>表2_3671626293038912131415232425262728[[#This Row],[累计净值]]/$B$21-1</f>
        <v>5.1762114537444948E-2</v>
      </c>
    </row>
    <row r="120" spans="1:7" x14ac:dyDescent="0.2">
      <c r="A120" s="15">
        <v>44209</v>
      </c>
      <c r="B120" s="112">
        <v>1.0528</v>
      </c>
      <c r="C120" s="108">
        <f t="shared" si="34"/>
        <v>2.2999999999999687E-3</v>
      </c>
      <c r="D120" s="109" t="str">
        <f t="shared" si="35"/>
        <v>/</v>
      </c>
      <c r="E120" s="109">
        <f ca="1">IF(表2_3671626293038912131415232425262728[[#This Row],[累计净值]]/MAX(INDIRECT("B21:B" &amp; ROW()))-1&lt;E119,表2_3671626293038912131415232425262728[[#This Row],[累计净值]]/MAX(INDIRECT("B21:B" &amp; ROW()))-1,E119)</f>
        <v>-1.3216284005402312E-2</v>
      </c>
      <c r="F120" s="110">
        <f>表2_3671626293038912131415232425262728[[#This Row],[累计净值]]</f>
        <v>1.0528</v>
      </c>
      <c r="G120" s="20">
        <f>表2_3671626293038912131415232425262728[[#This Row],[累计净值]]/$B$21-1</f>
        <v>5.4064877853424065E-2</v>
      </c>
    </row>
    <row r="121" spans="1:7" x14ac:dyDescent="0.2">
      <c r="A121" s="15">
        <v>44210</v>
      </c>
      <c r="B121" s="112">
        <v>1.0528</v>
      </c>
      <c r="C121" s="108">
        <f t="shared" si="34"/>
        <v>0</v>
      </c>
      <c r="D121" s="109" t="str">
        <f t="shared" si="35"/>
        <v>/</v>
      </c>
      <c r="E121" s="109">
        <f ca="1">IF(表2_3671626293038912131415232425262728[[#This Row],[累计净值]]/MAX(INDIRECT("B21:B" &amp; ROW()))-1&lt;E120,表2_3671626293038912131415232425262728[[#This Row],[累计净值]]/MAX(INDIRECT("B21:B" &amp; ROW()))-1,E120)</f>
        <v>-1.3216284005402312E-2</v>
      </c>
      <c r="F121" s="110">
        <f>表2_3671626293038912131415232425262728[[#This Row],[累计净值]]</f>
        <v>1.0528</v>
      </c>
      <c r="G121" s="20">
        <f>表2_3671626293038912131415232425262728[[#This Row],[累计净值]]/$B$21-1</f>
        <v>5.4064877853424065E-2</v>
      </c>
    </row>
    <row r="122" spans="1:7" x14ac:dyDescent="0.2">
      <c r="A122" s="15">
        <v>44211</v>
      </c>
      <c r="B122" s="112">
        <v>1.0537000000000001</v>
      </c>
      <c r="C122" s="108">
        <f t="shared" si="34"/>
        <v>9.0000000000012292E-4</v>
      </c>
      <c r="D122" s="109" t="str">
        <f t="shared" si="35"/>
        <v>/</v>
      </c>
      <c r="E122" s="109">
        <f ca="1">IF(表2_3671626293038912131415232425262728[[#This Row],[累计净值]]/MAX(INDIRECT("B21:B" &amp; ROW()))-1&lt;E121,表2_3671626293038912131415232425262728[[#This Row],[累计净值]]/MAX(INDIRECT("B21:B" &amp; ROW()))-1,E121)</f>
        <v>-1.3216284005402312E-2</v>
      </c>
      <c r="F122" s="110">
        <f>表2_3671626293038912131415232425262728[[#This Row],[累计净值]]</f>
        <v>1.0537000000000001</v>
      </c>
      <c r="G122" s="20">
        <f>表2_3671626293038912131415232425262728[[#This Row],[累计净值]]/$B$21-1</f>
        <v>5.4965959150981236E-2</v>
      </c>
    </row>
    <row r="123" spans="1:7" x14ac:dyDescent="0.2">
      <c r="A123" s="15">
        <v>44214</v>
      </c>
      <c r="B123" s="112">
        <v>1.0582</v>
      </c>
      <c r="C123" s="108">
        <f t="shared" si="34"/>
        <v>4.4999999999999485E-3</v>
      </c>
      <c r="D123" s="109" t="str">
        <f t="shared" si="35"/>
        <v>/</v>
      </c>
      <c r="E123" s="109">
        <f ca="1">IF(表2_3671626293038912131415232425262728[[#This Row],[累计净值]]/MAX(INDIRECT("B21:B" &amp; ROW()))-1&lt;E122,表2_3671626293038912131415232425262728[[#This Row],[累计净值]]/MAX(INDIRECT("B21:B" &amp; ROW()))-1,E122)</f>
        <v>-1.3216284005402312E-2</v>
      </c>
      <c r="F123" s="110">
        <f>表2_3671626293038912131415232425262728[[#This Row],[累计净值]]</f>
        <v>1.0582</v>
      </c>
      <c r="G123" s="20">
        <f>表2_3671626293038912131415232425262728[[#This Row],[累计净值]]/$B$21-1</f>
        <v>5.9471365638766427E-2</v>
      </c>
    </row>
    <row r="124" spans="1:7" x14ac:dyDescent="0.2">
      <c r="A124" s="15">
        <v>44215</v>
      </c>
      <c r="B124" s="112">
        <v>1.0492999999999999</v>
      </c>
      <c r="C124" s="108">
        <f t="shared" ref="C124:C129" si="36">IFERROR(B124-B123,0)</f>
        <v>-8.90000000000013E-3</v>
      </c>
      <c r="D124" s="109">
        <f t="shared" ref="D124:D129" si="37">IF(C124&lt;0,C124,"/")</f>
        <v>-8.90000000000013E-3</v>
      </c>
      <c r="E124" s="109">
        <f ca="1">IF(表2_3671626293038912131415232425262728[[#This Row],[累计净值]]/MAX(INDIRECT("B21:B" &amp; ROW()))-1&lt;E123,表2_3671626293038912131415232425262728[[#This Row],[累计净值]]/MAX(INDIRECT("B21:B" &amp; ROW()))-1,E123)</f>
        <v>-1.3216284005402312E-2</v>
      </c>
      <c r="F124" s="110">
        <f>表2_3671626293038912131415232425262728[[#This Row],[累计净值]]</f>
        <v>1.0492999999999999</v>
      </c>
      <c r="G124" s="20">
        <f>表2_3671626293038912131415232425262728[[#This Row],[累计净值]]/$B$21-1</f>
        <v>5.0560672807368645E-2</v>
      </c>
    </row>
    <row r="125" spans="1:7" x14ac:dyDescent="0.2">
      <c r="A125" s="15">
        <v>44216</v>
      </c>
      <c r="B125" s="112">
        <v>1.0536000000000001</v>
      </c>
      <c r="C125" s="108">
        <f t="shared" si="36"/>
        <v>4.3000000000001926E-3</v>
      </c>
      <c r="D125" s="109" t="str">
        <f t="shared" si="37"/>
        <v>/</v>
      </c>
      <c r="E125" s="109">
        <f ca="1">IF(表2_3671626293038912131415232425262728[[#This Row],[累计净值]]/MAX(INDIRECT("B21:B" &amp; ROW()))-1&lt;E124,表2_3671626293038912131415232425262728[[#This Row],[累计净值]]/MAX(INDIRECT("B21:B" &amp; ROW()))-1,E124)</f>
        <v>-1.3216284005402312E-2</v>
      </c>
      <c r="F125" s="110">
        <f>表2_3671626293038912131415232425262728[[#This Row],[累计净值]]</f>
        <v>1.0536000000000001</v>
      </c>
      <c r="G125" s="20">
        <f>表2_3671626293038912131415232425262728[[#This Row],[累计净值]]/$B$21-1</f>
        <v>5.4865839006808192E-2</v>
      </c>
    </row>
    <row r="126" spans="1:7" x14ac:dyDescent="0.2">
      <c r="A126" s="15">
        <v>44217</v>
      </c>
      <c r="B126" s="112">
        <v>1.0591999999999999</v>
      </c>
      <c r="C126" s="108">
        <f t="shared" si="36"/>
        <v>5.5999999999998273E-3</v>
      </c>
      <c r="D126" s="109" t="str">
        <f t="shared" si="37"/>
        <v>/</v>
      </c>
      <c r="E126" s="109">
        <f ca="1">IF(表2_3671626293038912131415232425262728[[#This Row],[累计净值]]/MAX(INDIRECT("B21:B" &amp; ROW()))-1&lt;E125,表2_3671626293038912131415232425262728[[#This Row],[累计净值]]/MAX(INDIRECT("B21:B" &amp; ROW()))-1,E125)</f>
        <v>-1.3216284005402312E-2</v>
      </c>
      <c r="F126" s="110">
        <f>表2_3671626293038912131415232425262728[[#This Row],[累计净值]]</f>
        <v>1.0591999999999999</v>
      </c>
      <c r="G126" s="20">
        <f>表2_3671626293038912131415232425262728[[#This Row],[累计净值]]/$B$21-1</f>
        <v>6.047256708049642E-2</v>
      </c>
    </row>
    <row r="127" spans="1:7" x14ac:dyDescent="0.2">
      <c r="A127" s="15">
        <v>44218</v>
      </c>
      <c r="B127" s="112">
        <v>1.0627</v>
      </c>
      <c r="C127" s="108">
        <f t="shared" si="36"/>
        <v>3.5000000000000586E-3</v>
      </c>
      <c r="D127" s="109" t="str">
        <f t="shared" si="37"/>
        <v>/</v>
      </c>
      <c r="E127" s="109">
        <f ca="1">IF(表2_3671626293038912131415232425262728[[#This Row],[累计净值]]/MAX(INDIRECT("B21:B" &amp; ROW()))-1&lt;E126,表2_3671626293038912131415232425262728[[#This Row],[累计净值]]/MAX(INDIRECT("B21:B" &amp; ROW()))-1,E126)</f>
        <v>-1.3216284005402312E-2</v>
      </c>
      <c r="F127" s="110">
        <f>表2_3671626293038912131415232425262728[[#This Row],[累计净值]]</f>
        <v>1.0627</v>
      </c>
      <c r="G127" s="20">
        <f>表2_3671626293038912131415232425262728[[#This Row],[累计净值]]/$B$21-1</f>
        <v>6.397677212655184E-2</v>
      </c>
    </row>
    <row r="128" spans="1:7" x14ac:dyDescent="0.2">
      <c r="A128" s="15">
        <v>44221</v>
      </c>
      <c r="B128" s="117">
        <v>1.0647</v>
      </c>
      <c r="C128" s="108">
        <f t="shared" si="36"/>
        <v>2.0000000000000018E-3</v>
      </c>
      <c r="D128" s="109" t="str">
        <f t="shared" si="37"/>
        <v>/</v>
      </c>
      <c r="E128" s="109">
        <f ca="1">IF(表2_3671626293038912131415232425262728[[#This Row],[累计净值]]/MAX(INDIRECT("B21:B" &amp; ROW()))-1&lt;E127,表2_3671626293038912131415232425262728[[#This Row],[累计净值]]/MAX(INDIRECT("B21:B" &amp; ROW()))-1,E127)</f>
        <v>-1.3216284005402312E-2</v>
      </c>
      <c r="F128" s="110">
        <f>表2_3671626293038912131415232425262728[[#This Row],[累计净值]]</f>
        <v>1.0647</v>
      </c>
      <c r="G128" s="20">
        <f>表2_3671626293038912131415232425262728[[#This Row],[累计净值]]/$B$21-1</f>
        <v>6.5979175010012048E-2</v>
      </c>
    </row>
    <row r="129" spans="1:7" x14ac:dyDescent="0.2">
      <c r="A129" s="15">
        <v>44222</v>
      </c>
      <c r="B129" s="112">
        <v>1.0622</v>
      </c>
      <c r="C129" s="108">
        <f t="shared" si="36"/>
        <v>-2.4999999999999467E-3</v>
      </c>
      <c r="D129" s="109">
        <f t="shared" si="37"/>
        <v>-2.4999999999999467E-3</v>
      </c>
      <c r="E129" s="109">
        <f ca="1">IF(表2_3671626293038912131415232425262728[[#This Row],[累计净值]]/MAX(INDIRECT("B21:B" &amp; ROW()))-1&lt;E128,表2_3671626293038912131415232425262728[[#This Row],[累计净值]]/MAX(INDIRECT("B21:B" &amp; ROW()))-1,E128)</f>
        <v>-1.3216284005402312E-2</v>
      </c>
      <c r="F129" s="110">
        <f>表2_3671626293038912131415232425262728[[#This Row],[累计净值]]</f>
        <v>1.0622</v>
      </c>
      <c r="G129" s="20">
        <f>表2_3671626293038912131415232425262728[[#This Row],[累计净值]]/$B$21-1</f>
        <v>6.3476171405686843E-2</v>
      </c>
    </row>
    <row r="130" spans="1:7" x14ac:dyDescent="0.2">
      <c r="A130" s="15">
        <v>44223</v>
      </c>
      <c r="B130" s="112">
        <v>1.0621</v>
      </c>
      <c r="C130" s="108">
        <f t="shared" ref="C130:C136" si="38">IFERROR(B130-B129,0)</f>
        <v>-9.9999999999988987E-5</v>
      </c>
      <c r="D130" s="109">
        <f t="shared" ref="D130:D136" si="39">IF(C130&lt;0,C130,"/")</f>
        <v>-9.9999999999988987E-5</v>
      </c>
      <c r="E130" s="109">
        <f ca="1">IF(表2_3671626293038912131415232425262728[[#This Row],[累计净值]]/MAX(INDIRECT("B21:B" &amp; ROW()))-1&lt;E129,表2_3671626293038912131415232425262728[[#This Row],[累计净值]]/MAX(INDIRECT("B21:B" &amp; ROW()))-1,E129)</f>
        <v>-1.3216284005402312E-2</v>
      </c>
      <c r="F130" s="110">
        <f>表2_3671626293038912131415232425262728[[#This Row],[累计净值]]</f>
        <v>1.0621</v>
      </c>
      <c r="G130" s="20">
        <f>表2_3671626293038912131415232425262728[[#This Row],[累计净值]]/$B$21-1</f>
        <v>6.3376051261513799E-2</v>
      </c>
    </row>
    <row r="131" spans="1:7" x14ac:dyDescent="0.2">
      <c r="A131" s="15">
        <v>44224</v>
      </c>
      <c r="B131" s="112">
        <v>1.0532999999999999</v>
      </c>
      <c r="C131" s="108">
        <f t="shared" si="38"/>
        <v>-8.800000000000141E-3</v>
      </c>
      <c r="D131" s="109">
        <f t="shared" si="39"/>
        <v>-8.800000000000141E-3</v>
      </c>
      <c r="E131" s="109">
        <f ca="1">IF(表2_3671626293038912131415232425262728[[#This Row],[累计净值]]/MAX(INDIRECT("B21:B" &amp; ROW()))-1&lt;E130,表2_3671626293038912131415232425262728[[#This Row],[累计净值]]/MAX(INDIRECT("B21:B" &amp; ROW()))-1,E130)</f>
        <v>-1.3216284005402312E-2</v>
      </c>
      <c r="F131" s="110">
        <f>表2_3671626293038912131415232425262728[[#This Row],[累计净值]]</f>
        <v>1.0532999999999999</v>
      </c>
      <c r="G131" s="20">
        <f>表2_3671626293038912131415232425262728[[#This Row],[累计净值]]/$B$21-1</f>
        <v>5.4565478574289061E-2</v>
      </c>
    </row>
    <row r="132" spans="1:7" x14ac:dyDescent="0.2">
      <c r="A132" s="15">
        <v>44225</v>
      </c>
      <c r="B132" s="112">
        <v>1.0510999999999999</v>
      </c>
      <c r="C132" s="108">
        <f t="shared" si="38"/>
        <v>-2.1999999999999797E-3</v>
      </c>
      <c r="D132" s="109">
        <f t="shared" si="39"/>
        <v>-2.1999999999999797E-3</v>
      </c>
      <c r="E132" s="109">
        <f ca="1">IF(表2_3671626293038912131415232425262728[[#This Row],[累计净值]]/MAX(INDIRECT("B21:B" &amp; ROW()))-1&lt;E131,表2_3671626293038912131415232425262728[[#This Row],[累计净值]]/MAX(INDIRECT("B21:B" &amp; ROW()))-1,E131)</f>
        <v>-1.3216284005402312E-2</v>
      </c>
      <c r="F132" s="110">
        <f>表2_3671626293038912131415232425262728[[#This Row],[累计净值]]</f>
        <v>1.0510999999999999</v>
      </c>
      <c r="G132" s="20">
        <f>表2_3671626293038912131415232425262728[[#This Row],[累计净值]]/$B$21-1</f>
        <v>5.2362835402482988E-2</v>
      </c>
    </row>
    <row r="133" spans="1:7" x14ac:dyDescent="0.2">
      <c r="A133" s="15">
        <v>44228</v>
      </c>
      <c r="B133" s="112">
        <v>1.0551999999999999</v>
      </c>
      <c r="C133" s="108">
        <f t="shared" si="38"/>
        <v>4.0999999999999925E-3</v>
      </c>
      <c r="D133" s="109" t="str">
        <f t="shared" si="39"/>
        <v>/</v>
      </c>
      <c r="E133" s="109">
        <f ca="1">IF(表2_3671626293038912131415232425262728[[#This Row],[累计净值]]/MAX(INDIRECT("B21:B" &amp; ROW()))-1&lt;E132,表2_3671626293038912131415232425262728[[#This Row],[累计净值]]/MAX(INDIRECT("B21:B" &amp; ROW()))-1,E132)</f>
        <v>-1.3216284005402312E-2</v>
      </c>
      <c r="F133" s="110">
        <f>表2_3671626293038912131415232425262728[[#This Row],[累计净值]]</f>
        <v>1.0551999999999999</v>
      </c>
      <c r="G133" s="20">
        <f>表2_3671626293038912131415232425262728[[#This Row],[累计净值]]/$B$21-1</f>
        <v>5.6467761313576226E-2</v>
      </c>
    </row>
    <row r="134" spans="1:7" x14ac:dyDescent="0.2">
      <c r="A134" s="15">
        <v>44229</v>
      </c>
      <c r="B134" s="112">
        <v>1.06</v>
      </c>
      <c r="C134" s="108">
        <f t="shared" si="38"/>
        <v>4.8000000000001375E-3</v>
      </c>
      <c r="D134" s="109" t="str">
        <f t="shared" si="39"/>
        <v>/</v>
      </c>
      <c r="E134" s="109">
        <f ca="1">IF(表2_3671626293038912131415232425262728[[#This Row],[累计净值]]/MAX(INDIRECT("B21:B" &amp; ROW()))-1&lt;E133,表2_3671626293038912131415232425262728[[#This Row],[累计净值]]/MAX(INDIRECT("B21:B" &amp; ROW()))-1,E133)</f>
        <v>-1.3216284005402312E-2</v>
      </c>
      <c r="F134" s="110">
        <f>表2_3671626293038912131415232425262728[[#This Row],[累计净值]]</f>
        <v>1.06</v>
      </c>
      <c r="G134" s="20">
        <f>表2_3671626293038912131415232425262728[[#This Row],[累计净值]]/$B$21-1</f>
        <v>6.127352823388077E-2</v>
      </c>
    </row>
    <row r="135" spans="1:7" x14ac:dyDescent="0.2">
      <c r="A135" s="15">
        <v>44230</v>
      </c>
      <c r="B135" s="112">
        <v>1.0630999999999999</v>
      </c>
      <c r="C135" s="108">
        <f t="shared" si="38"/>
        <v>3.0999999999998806E-3</v>
      </c>
      <c r="D135" s="109" t="str">
        <f t="shared" si="39"/>
        <v>/</v>
      </c>
      <c r="E135" s="109">
        <f ca="1">IF(表2_3671626293038912131415232425262728[[#This Row],[累计净值]]/MAX(INDIRECT("B21:B" &amp; ROW()))-1&lt;E134,表2_3671626293038912131415232425262728[[#This Row],[累计净值]]/MAX(INDIRECT("B21:B" &amp; ROW()))-1,E134)</f>
        <v>-1.3216284005402312E-2</v>
      </c>
      <c r="F135" s="110">
        <f>表2_3671626293038912131415232425262728[[#This Row],[累计净值]]</f>
        <v>1.0630999999999999</v>
      </c>
      <c r="G135" s="20">
        <f>表2_3671626293038912131415232425262728[[#This Row],[累计净值]]/$B$21-1</f>
        <v>6.4377252703243792E-2</v>
      </c>
    </row>
    <row r="136" spans="1:7" x14ac:dyDescent="0.2">
      <c r="A136" s="15">
        <v>44231</v>
      </c>
      <c r="B136" s="112">
        <v>1.0630999999999999</v>
      </c>
      <c r="C136" s="108">
        <f t="shared" si="38"/>
        <v>0</v>
      </c>
      <c r="D136" s="109" t="str">
        <f t="shared" si="39"/>
        <v>/</v>
      </c>
      <c r="E136" s="109">
        <f ca="1">IF(表2_3671626293038912131415232425262728[[#This Row],[累计净值]]/MAX(INDIRECT("B21:B" &amp; ROW()))-1&lt;E135,表2_3671626293038912131415232425262728[[#This Row],[累计净值]]/MAX(INDIRECT("B21:B" &amp; ROW()))-1,E135)</f>
        <v>-1.3216284005402312E-2</v>
      </c>
      <c r="F136" s="110">
        <f>表2_3671626293038912131415232425262728[[#This Row],[累计净值]]</f>
        <v>1.0630999999999999</v>
      </c>
      <c r="G136" s="20">
        <f>表2_3671626293038912131415232425262728[[#This Row],[累计净值]]/$B$21-1</f>
        <v>6.4377252703243792E-2</v>
      </c>
    </row>
    <row r="137" spans="1:7" x14ac:dyDescent="0.2">
      <c r="A137" s="15">
        <v>44232</v>
      </c>
      <c r="B137" s="112">
        <v>1.0624</v>
      </c>
      <c r="C137" s="108">
        <f>IFERROR(B137-B136,0)</f>
        <v>-6.9999999999992291E-4</v>
      </c>
      <c r="D137" s="109">
        <f>IF(C137&lt;0,C137,"/")</f>
        <v>-6.9999999999992291E-4</v>
      </c>
      <c r="E137" s="109">
        <f ca="1">IF(表2_3671626293038912131415232425262728[[#This Row],[累计净值]]/MAX(INDIRECT("B21:B" &amp; ROW()))-1&lt;E136,表2_3671626293038912131415232425262728[[#This Row],[累计净值]]/MAX(INDIRECT("B21:B" &amp; ROW()))-1,E136)</f>
        <v>-1.3216284005402312E-2</v>
      </c>
      <c r="F137" s="110">
        <f>表2_3671626293038912131415232425262728[[#This Row],[累计净值]]</f>
        <v>1.0624</v>
      </c>
      <c r="G137" s="20">
        <f>表2_3671626293038912131415232425262728[[#This Row],[累计净值]]/$B$21-1</f>
        <v>6.3676411694032931E-2</v>
      </c>
    </row>
    <row r="138" spans="1:7" x14ac:dyDescent="0.2">
      <c r="A138" s="15">
        <v>44235</v>
      </c>
      <c r="B138" s="112">
        <v>1.0639000000000001</v>
      </c>
      <c r="C138" s="108">
        <f>IFERROR(B138-B137,0)</f>
        <v>1.5000000000000568E-3</v>
      </c>
      <c r="D138" s="109" t="str">
        <f>IF(C138&lt;0,C138,"/")</f>
        <v>/</v>
      </c>
      <c r="E138" s="109">
        <f ca="1">IF(表2_3671626293038912131415232425262728[[#This Row],[累计净值]]/MAX(INDIRECT("B21:B" &amp; ROW()))-1&lt;E137,表2_3671626293038912131415232425262728[[#This Row],[累计净值]]/MAX(INDIRECT("B21:B" &amp; ROW()))-1,E137)</f>
        <v>-1.3216284005402312E-2</v>
      </c>
      <c r="F138" s="110">
        <f>表2_3671626293038912131415232425262728[[#This Row],[累计净值]]</f>
        <v>1.0639000000000001</v>
      </c>
      <c r="G138" s="20">
        <f>表2_3671626293038912131415232425262728[[#This Row],[累计净值]]/$B$21-1</f>
        <v>6.517821385662792E-2</v>
      </c>
    </row>
    <row r="139" spans="1:7" x14ac:dyDescent="0.2">
      <c r="A139" s="15">
        <v>44236</v>
      </c>
      <c r="B139" s="112">
        <v>1.0607</v>
      </c>
      <c r="C139" s="108">
        <f>IFERROR(B139-B138,0)</f>
        <v>-3.2000000000000917E-3</v>
      </c>
      <c r="D139" s="109">
        <f>IF(C139&lt;0,C139,"/")</f>
        <v>-3.2000000000000917E-3</v>
      </c>
      <c r="E139" s="109">
        <f ca="1">IF(表2_3671626293038912131415232425262728[[#This Row],[累计净值]]/MAX(INDIRECT("B21:B" &amp; ROW()))-1&lt;E138,表2_3671626293038912131415232425262728[[#This Row],[累计净值]]/MAX(INDIRECT("B21:B" &amp; ROW()))-1,E138)</f>
        <v>-1.3216284005402312E-2</v>
      </c>
      <c r="F139" s="110">
        <f>表2_3671626293038912131415232425262728[[#This Row],[累计净值]]</f>
        <v>1.0607</v>
      </c>
      <c r="G139" s="20">
        <f>表2_3671626293038912131415232425262728[[#This Row],[累计净值]]/$B$21-1</f>
        <v>6.1974369243091632E-2</v>
      </c>
    </row>
    <row r="140" spans="1:7" x14ac:dyDescent="0.2">
      <c r="A140" s="15">
        <v>44237</v>
      </c>
      <c r="B140" s="112">
        <v>1.0466</v>
      </c>
      <c r="C140" s="108">
        <f t="shared" ref="C140:C141" si="40">IFERROR(B140-B139,0)</f>
        <v>-1.4100000000000001E-2</v>
      </c>
      <c r="D140" s="109">
        <f t="shared" ref="D140:D141" si="41">IF(C140&lt;0,C140,"/")</f>
        <v>-1.4100000000000001E-2</v>
      </c>
      <c r="E140" s="109">
        <f ca="1">IF(表2_3671626293038912131415232425262728[[#This Row],[累计净值]]/MAX(INDIRECT("B21:B" &amp; ROW()))-1&lt;E139,表2_3671626293038912131415232425262728[[#This Row],[累计净值]]/MAX(INDIRECT("B21:B" &amp; ROW()))-1,E139)</f>
        <v>-1.7000093923170811E-2</v>
      </c>
      <c r="F140" s="110">
        <f>表2_3671626293038912131415232425262728[[#This Row],[累计净值]]</f>
        <v>1.0466</v>
      </c>
      <c r="G140" s="20">
        <f>表2_3671626293038912131415232425262728[[#This Row],[累计净值]]/$B$21-1</f>
        <v>4.7857428914697575E-2</v>
      </c>
    </row>
    <row r="141" spans="1:7" x14ac:dyDescent="0.2">
      <c r="A141" s="15">
        <v>44245</v>
      </c>
      <c r="B141" s="112">
        <v>1.0578000000000001</v>
      </c>
      <c r="C141" s="108">
        <f t="shared" si="40"/>
        <v>1.1200000000000099E-2</v>
      </c>
      <c r="D141" s="109" t="str">
        <f t="shared" si="41"/>
        <v>/</v>
      </c>
      <c r="E141" s="109">
        <f ca="1">IF(表2_3671626293038912131415232425262728[[#This Row],[累计净值]]/MAX(INDIRECT("B21:B" &amp; ROW()))-1&lt;E140,表2_3671626293038912131415232425262728[[#This Row],[累计净值]]/MAX(INDIRECT("B21:B" &amp; ROW()))-1,E140)</f>
        <v>-1.7000093923170811E-2</v>
      </c>
      <c r="F141" s="110">
        <f>表2_3671626293038912131415232425262728[[#This Row],[累计净值]]</f>
        <v>1.0578000000000001</v>
      </c>
      <c r="G141" s="20">
        <f>表2_3671626293038912131415232425262728[[#This Row],[累计净值]]/$B$21-1</f>
        <v>5.9070885062074474E-2</v>
      </c>
    </row>
    <row r="142" spans="1:7" x14ac:dyDescent="0.2">
      <c r="A142" s="15">
        <v>44246</v>
      </c>
      <c r="B142" s="112">
        <v>1.0583</v>
      </c>
      <c r="C142" s="108">
        <f>IFERROR(B142-B141,0)</f>
        <v>4.9999999999994493E-4</v>
      </c>
      <c r="D142" s="109" t="str">
        <f>IF(C142&lt;0,C142,"/")</f>
        <v>/</v>
      </c>
      <c r="E142" s="109">
        <f ca="1">IF(表2_3671626293038912131415232425262728[[#This Row],[累计净值]]/MAX(INDIRECT("B21:B" &amp; ROW()))-1&lt;E141,表2_3671626293038912131415232425262728[[#This Row],[累计净值]]/MAX(INDIRECT("B21:B" &amp; ROW()))-1,E141)</f>
        <v>-1.7000093923170811E-2</v>
      </c>
      <c r="F142" s="110">
        <f>表2_3671626293038912131415232425262728[[#This Row],[累计净值]]</f>
        <v>1.0583</v>
      </c>
      <c r="G142" s="20">
        <f>表2_3671626293038912131415232425262728[[#This Row],[累计净值]]/$B$21-1</f>
        <v>5.9571485782939471E-2</v>
      </c>
    </row>
    <row r="143" spans="1:7" x14ac:dyDescent="0.2">
      <c r="A143" s="15">
        <v>44249</v>
      </c>
      <c r="B143" s="112">
        <v>1.0679000000000001</v>
      </c>
      <c r="C143" s="108">
        <f>IFERROR(B143-B142,0)</f>
        <v>9.6000000000000529E-3</v>
      </c>
      <c r="D143" s="109" t="str">
        <f>IF(C143&lt;0,C143,"/")</f>
        <v>/</v>
      </c>
      <c r="E143" s="109">
        <f ca="1">IF(表2_3671626293038912131415232425262728[[#This Row],[累计净值]]/MAX(INDIRECT("B21:B" &amp; ROW()))-1&lt;E142,表2_3671626293038912131415232425262728[[#This Row],[累计净值]]/MAX(INDIRECT("B21:B" &amp; ROW()))-1,E142)</f>
        <v>-1.7000093923170811E-2</v>
      </c>
      <c r="F143" s="110">
        <f>表2_3671626293038912131415232425262728[[#This Row],[累计净值]]</f>
        <v>1.0679000000000001</v>
      </c>
      <c r="G143" s="20">
        <f>表2_3671626293038912131415232425262728[[#This Row],[累计净值]]/$B$21-1</f>
        <v>6.9183019623548336E-2</v>
      </c>
    </row>
    <row r="144" spans="1:7" x14ac:dyDescent="0.2">
      <c r="A144" s="15">
        <v>44250</v>
      </c>
      <c r="B144" s="112">
        <v>1.0651999999999999</v>
      </c>
      <c r="C144" s="108">
        <f>IFERROR(B144-B143,0)</f>
        <v>-2.7000000000001467E-3</v>
      </c>
      <c r="D144" s="109">
        <f>IF(C144&lt;0,C144,"/")</f>
        <v>-2.7000000000001467E-3</v>
      </c>
      <c r="E144" s="109">
        <f ca="1">IF(表2_3671626293038912131415232425262728[[#This Row],[累计净值]]/MAX(INDIRECT("B21:B" &amp; ROW()))-1&lt;E143,表2_3671626293038912131415232425262728[[#This Row],[累计净值]]/MAX(INDIRECT("B21:B" &amp; ROW()))-1,E143)</f>
        <v>-1.7000093923170811E-2</v>
      </c>
      <c r="F144" s="110">
        <f>表2_3671626293038912131415232425262728[[#This Row],[累计净值]]</f>
        <v>1.0651999999999999</v>
      </c>
      <c r="G144" s="20">
        <f>表2_3671626293038912131415232425262728[[#This Row],[累计净值]]/$B$21-1</f>
        <v>6.6479775730877044E-2</v>
      </c>
    </row>
    <row r="145" spans="1:7" x14ac:dyDescent="0.2">
      <c r="A145" s="15">
        <v>44251</v>
      </c>
      <c r="B145" s="112">
        <v>1.0544</v>
      </c>
      <c r="C145" s="108">
        <f>IFERROR(B145-B144,0)</f>
        <v>-1.0799999999999921E-2</v>
      </c>
      <c r="D145" s="109">
        <f>IF(C145&lt;0,C145,"/")</f>
        <v>-1.0799999999999921E-2</v>
      </c>
      <c r="E145" s="109">
        <f ca="1">IF(表2_3671626293038912131415232425262728[[#This Row],[累计净值]]/MAX(INDIRECT("B21:B" &amp; ROW()))-1&lt;E144,表2_3671626293038912131415232425262728[[#This Row],[累计净值]]/MAX(INDIRECT("B21:B" &amp; ROW()))-1,E144)</f>
        <v>-1.7000093923170811E-2</v>
      </c>
      <c r="F145" s="110">
        <f>表2_3671626293038912131415232425262728[[#This Row],[累计净值]]</f>
        <v>1.0544</v>
      </c>
      <c r="G145" s="20">
        <f>表2_3671626293038912131415232425262728[[#This Row],[累计净值]]/$B$21-1</f>
        <v>5.566680016019232E-2</v>
      </c>
    </row>
    <row r="146" spans="1:7" x14ac:dyDescent="0.2">
      <c r="A146" s="15">
        <v>44252</v>
      </c>
      <c r="B146" s="112">
        <v>1.0537000000000001</v>
      </c>
      <c r="C146" s="108">
        <f t="shared" ref="C146:C147" si="42">IFERROR(B146-B145,0)</f>
        <v>-6.9999999999992291E-4</v>
      </c>
      <c r="D146" s="109">
        <f t="shared" ref="D146:D147" si="43">IF(C146&lt;0,C146,"/")</f>
        <v>-6.9999999999992291E-4</v>
      </c>
      <c r="E146" s="109">
        <f ca="1">IF(表2_3671626293038912131415232425262728[[#This Row],[累计净值]]/MAX(INDIRECT("B21:B" &amp; ROW()))-1&lt;E145,表2_3671626293038912131415232425262728[[#This Row],[累计净值]]/MAX(INDIRECT("B21:B" &amp; ROW()))-1,E145)</f>
        <v>-1.7000093923170811E-2</v>
      </c>
      <c r="F146" s="110">
        <f>表2_3671626293038912131415232425262728[[#This Row],[累计净值]]</f>
        <v>1.0537000000000001</v>
      </c>
      <c r="G146" s="20">
        <f>表2_3671626293038912131415232425262728[[#This Row],[累计净值]]/$B$21-1</f>
        <v>5.4965959150981236E-2</v>
      </c>
    </row>
    <row r="147" spans="1:7" x14ac:dyDescent="0.2">
      <c r="A147" s="15">
        <v>44253</v>
      </c>
      <c r="B147" s="112">
        <v>1.0321</v>
      </c>
      <c r="C147" s="108">
        <f t="shared" si="42"/>
        <v>-2.1600000000000064E-2</v>
      </c>
      <c r="D147" s="109">
        <f t="shared" si="43"/>
        <v>-2.1600000000000064E-2</v>
      </c>
      <c r="E147" s="109">
        <f ca="1">IF(表2_3671626293038912131415232425262728[[#This Row],[累计净值]]/MAX(INDIRECT("B21:B" &amp; ROW()))-1&lt;E146,表2_3671626293038912131415232425262728[[#This Row],[累计净值]]/MAX(INDIRECT("B21:B" &amp; ROW()))-1,E146)</f>
        <v>-3.3523738177732021E-2</v>
      </c>
      <c r="F147" s="110">
        <f>表2_3671626293038912131415232425262728[[#This Row],[累计净值]]</f>
        <v>1.0321</v>
      </c>
      <c r="G147" s="20">
        <f>表2_3671626293038912131415232425262728[[#This Row],[累计净值]]/$B$21-1</f>
        <v>3.3340008009611566E-2</v>
      </c>
    </row>
    <row r="148" spans="1:7" x14ac:dyDescent="0.2">
      <c r="A148" s="15">
        <v>44256</v>
      </c>
      <c r="B148" s="112">
        <v>1.0407</v>
      </c>
      <c r="C148" s="108">
        <f>IFERROR(B148-B147,0)</f>
        <v>8.599999999999941E-3</v>
      </c>
      <c r="D148" s="109" t="str">
        <f>IF(C148&lt;0,C148,"/")</f>
        <v>/</v>
      </c>
      <c r="E148" s="109">
        <f ca="1">IF(表2_3671626293038912131415232425262728[[#This Row],[累计净值]]/MAX(INDIRECT("B21:B" &amp; ROW()))-1&lt;E147,表2_3671626293038912131415232425262728[[#This Row],[累计净值]]/MAX(INDIRECT("B21:B" &amp; ROW()))-1,E147)</f>
        <v>-3.3523738177732021E-2</v>
      </c>
      <c r="F148" s="110">
        <f>表2_3671626293038912131415232425262728[[#This Row],[累计净值]]</f>
        <v>1.0407</v>
      </c>
      <c r="G148" s="20">
        <f>表2_3671626293038912131415232425262728[[#This Row],[累计净值]]/$B$21-1</f>
        <v>4.1950340408490217E-2</v>
      </c>
    </row>
    <row r="149" spans="1:7" x14ac:dyDescent="0.2">
      <c r="A149" s="15">
        <v>44257</v>
      </c>
      <c r="B149" s="112">
        <v>1.0346</v>
      </c>
      <c r="C149" s="108">
        <f t="shared" ref="C149" si="44">IFERROR(B149-B148,0)</f>
        <v>-6.0999999999999943E-3</v>
      </c>
      <c r="D149" s="109">
        <f t="shared" ref="D149" si="45">IF(C149&lt;0,C149,"/")</f>
        <v>-6.0999999999999943E-3</v>
      </c>
      <c r="E149" s="109">
        <f ca="1">IF(表2_3671626293038912131415232425262728[[#This Row],[累计净值]]/MAX(INDIRECT("B21:B" &amp; ROW()))-1&lt;E148,表2_3671626293038912131415232425262728[[#This Row],[累计净值]]/MAX(INDIRECT("B21:B" &amp; ROW()))-1,E148)</f>
        <v>-3.3523738177732021E-2</v>
      </c>
      <c r="F149" s="110">
        <f>表2_3671626293038912131415232425262728[[#This Row],[累计净值]]</f>
        <v>1.0346</v>
      </c>
      <c r="G149" s="20">
        <f>表2_3671626293038912131415232425262728[[#This Row],[累计净值]]/$B$21-1</f>
        <v>3.584301161393677E-2</v>
      </c>
    </row>
    <row r="150" spans="1:7" x14ac:dyDescent="0.2">
      <c r="A150" s="15">
        <v>44258</v>
      </c>
      <c r="B150" s="112">
        <v>1.0474000000000001</v>
      </c>
      <c r="C150" s="108">
        <f t="shared" ref="C150" si="46">IFERROR(B150-B149,0)</f>
        <v>1.2800000000000145E-2</v>
      </c>
      <c r="D150" s="109" t="str">
        <f t="shared" ref="D150" si="47">IF(C150&lt;0,C150,"/")</f>
        <v>/</v>
      </c>
      <c r="E150" s="109">
        <f ca="1">IF(表2_3671626293038912131415232425262728[[#This Row],[累计净值]]/MAX(INDIRECT("B21:B" &amp; ROW()))-1&lt;E149,表2_3671626293038912131415232425262728[[#This Row],[累计净值]]/MAX(INDIRECT("B21:B" &amp; ROW()))-1,E149)</f>
        <v>-3.3523738177732021E-2</v>
      </c>
      <c r="F150" s="110">
        <f>表2_3671626293038912131415232425262728[[#This Row],[累计净值]]</f>
        <v>1.0474000000000001</v>
      </c>
      <c r="G150" s="20">
        <f>表2_3671626293038912131415232425262728[[#This Row],[累计净值]]/$B$21-1</f>
        <v>4.8658390068081703E-2</v>
      </c>
    </row>
    <row r="151" spans="1:7" x14ac:dyDescent="0.2">
      <c r="A151" s="15">
        <v>44259</v>
      </c>
      <c r="B151" s="228">
        <v>1.016</v>
      </c>
      <c r="C151" s="108">
        <f>IFERROR(B151-B150,0)</f>
        <v>-3.1400000000000095E-2</v>
      </c>
      <c r="D151" s="109">
        <f>IF(C151&lt;0,C151,"/")</f>
        <v>-3.1400000000000095E-2</v>
      </c>
      <c r="E151" s="109">
        <f ca="1">IF(表2_3671626293038912131415232425262728[[#This Row],[累计净值]]/MAX(INDIRECT("B21:B" &amp; ROW()))-1&lt;E150,表2_3671626293038912131415232425262728[[#This Row],[累计净值]]/MAX(INDIRECT("B21:B" &amp; ROW()))-1,E150)</f>
        <v>-4.8600056185036156E-2</v>
      </c>
      <c r="F151" s="110">
        <f>表2_3671626293038912131415232425262728[[#This Row],[累计净值]]</f>
        <v>1.016</v>
      </c>
      <c r="G151" s="20">
        <f>表2_3671626293038912131415232425262728[[#This Row],[累计净值]]/$B$21-1</f>
        <v>1.7220664797757301E-2</v>
      </c>
    </row>
    <row r="152" spans="1:7" x14ac:dyDescent="0.2">
      <c r="A152" s="15">
        <v>44260</v>
      </c>
      <c r="B152" s="112">
        <v>1.0133000000000001</v>
      </c>
      <c r="C152" s="108">
        <f t="shared" ref="C152:C158" si="48">IFERROR(B152-B151,0)</f>
        <v>-2.6999999999999247E-3</v>
      </c>
      <c r="D152" s="109">
        <f t="shared" ref="D152:D158" si="49">IF(C152&lt;0,C152,"/")</f>
        <v>-2.6999999999999247E-3</v>
      </c>
      <c r="E152" s="109">
        <f ca="1">IF(表2_3671626293038912131415232425262728[[#This Row],[累计净值]]/MAX(INDIRECT("B21:B" &amp; ROW()))-1&lt;E151,表2_3671626293038912131415232425262728[[#This Row],[累计净值]]/MAX(INDIRECT("B21:B" &amp; ROW()))-1,E151)</f>
        <v>-5.1128382807378969E-2</v>
      </c>
      <c r="F152" s="110">
        <f>表2_3671626293038912131415232425262728[[#This Row],[累计净值]]</f>
        <v>1.0133000000000001</v>
      </c>
      <c r="G152" s="20">
        <f>表2_3671626293038912131415232425262728[[#This Row],[累计净值]]/$B$21-1</f>
        <v>1.4517420905086231E-2</v>
      </c>
    </row>
    <row r="153" spans="1:7" x14ac:dyDescent="0.2">
      <c r="A153" s="15">
        <v>44263</v>
      </c>
      <c r="B153" s="112">
        <v>0.98299999999999998</v>
      </c>
      <c r="C153" s="108">
        <f t="shared" si="48"/>
        <v>-3.0300000000000105E-2</v>
      </c>
      <c r="D153" s="109">
        <f t="shared" si="49"/>
        <v>-3.0300000000000105E-2</v>
      </c>
      <c r="E153" s="109">
        <f ca="1">IF(表2_3671626293038912131415232425262728[[#This Row],[累计净值]]/MAX(INDIRECT("B21:B" &amp; ROW()))-1&lt;E152,表2_3671626293038912131415232425262728[[#This Row],[累计净值]]/MAX(INDIRECT("B21:B" &amp; ROW()))-1,E152)</f>
        <v>-7.9501826013671728E-2</v>
      </c>
      <c r="F153" s="110">
        <f>表2_3671626293038912131415232425262728[[#This Row],[累计净值]]</f>
        <v>0.98299999999999998</v>
      </c>
      <c r="G153" s="20">
        <f>表2_3671626293038912131415232425262728[[#This Row],[累计净值]]/$B$21-1</f>
        <v>-1.5818982779335244E-2</v>
      </c>
    </row>
    <row r="154" spans="1:7" x14ac:dyDescent="0.2">
      <c r="A154" s="15">
        <v>44264</v>
      </c>
      <c r="B154" s="112">
        <v>0.95099999999999996</v>
      </c>
      <c r="C154" s="108">
        <f t="shared" si="48"/>
        <v>-3.2000000000000028E-2</v>
      </c>
      <c r="D154" s="109">
        <f t="shared" si="49"/>
        <v>-3.2000000000000028E-2</v>
      </c>
      <c r="E154" s="109">
        <f ca="1">IF(表2_3671626293038912131415232425262728[[#This Row],[累计净值]]/MAX(INDIRECT("B21:B" &amp; ROW()))-1&lt;E153,表2_3671626293038912131415232425262728[[#This Row],[累计净值]]/MAX(INDIRECT("B21:B" &amp; ROW()))-1,E153)</f>
        <v>-0.10946717857477306</v>
      </c>
      <c r="F154" s="110">
        <f>表2_3671626293038912131415232425262728[[#This Row],[累计净值]]</f>
        <v>0.95099999999999996</v>
      </c>
      <c r="G154" s="20">
        <f>表2_3671626293038912131415232425262728[[#This Row],[累计净值]]/$B$21-1</f>
        <v>-4.7857428914697686E-2</v>
      </c>
    </row>
    <row r="155" spans="1:7" x14ac:dyDescent="0.2">
      <c r="A155" s="15">
        <v>44265</v>
      </c>
      <c r="B155" s="112">
        <v>0.9698</v>
      </c>
      <c r="C155" s="108">
        <f t="shared" si="48"/>
        <v>1.8800000000000039E-2</v>
      </c>
      <c r="D155" s="109" t="str">
        <f t="shared" si="49"/>
        <v>/</v>
      </c>
      <c r="E155" s="109">
        <f ca="1">IF(表2_3671626293038912131415232425262728[[#This Row],[累计净值]]/MAX(INDIRECT("B21:B" &amp; ROW()))-1&lt;E154,表2_3671626293038912131415232425262728[[#This Row],[累计净值]]/MAX(INDIRECT("B21:B" &amp; ROW()))-1,E154)</f>
        <v>-0.10946717857477306</v>
      </c>
      <c r="F155" s="110">
        <f>表2_3671626293038912131415232425262728[[#This Row],[累计净值]]</f>
        <v>0.9698</v>
      </c>
      <c r="G155" s="20">
        <f>表2_3671626293038912131415232425262728[[#This Row],[累计净值]]/$B$21-1</f>
        <v>-2.9034841810172241E-2</v>
      </c>
    </row>
    <row r="156" spans="1:7" x14ac:dyDescent="0.2">
      <c r="A156" s="15">
        <v>44266</v>
      </c>
      <c r="B156" s="112">
        <v>0.97040000000000004</v>
      </c>
      <c r="C156" s="108">
        <f t="shared" si="48"/>
        <v>6.0000000000004494E-4</v>
      </c>
      <c r="D156" s="109" t="str">
        <f t="shared" si="49"/>
        <v>/</v>
      </c>
      <c r="E156" s="109">
        <f ca="1">IF(表2_3671626293038912131415232425262728[[#This Row],[累计净值]]/MAX(INDIRECT("B21:B" &amp; ROW()))-1&lt;E155,表2_3671626293038912131415232425262728[[#This Row],[累计净值]]/MAX(INDIRECT("B21:B" &amp; ROW()))-1,E155)</f>
        <v>-0.10946717857477306</v>
      </c>
      <c r="F156" s="110">
        <f>表2_3671626293038912131415232425262728[[#This Row],[累计净值]]</f>
        <v>0.97040000000000004</v>
      </c>
      <c r="G156" s="20">
        <f>表2_3671626293038912131415232425262728[[#This Row],[累计净值]]/$B$21-1</f>
        <v>-2.8434120945134089E-2</v>
      </c>
    </row>
    <row r="157" spans="1:7" x14ac:dyDescent="0.2">
      <c r="A157" s="15">
        <v>44267</v>
      </c>
      <c r="B157" s="112">
        <v>0.97070000000000001</v>
      </c>
      <c r="C157" s="108">
        <f t="shared" si="48"/>
        <v>2.9999999999996696E-4</v>
      </c>
      <c r="D157" s="109" t="str">
        <f t="shared" si="49"/>
        <v>/</v>
      </c>
      <c r="E157" s="109">
        <f ca="1">IF(表2_3671626293038912131415232425262728[[#This Row],[累计净值]]/MAX(INDIRECT("B21:B" &amp; ROW()))-1&lt;E156,表2_3671626293038912131415232425262728[[#This Row],[累计净值]]/MAX(INDIRECT("B21:B" &amp; ROW()))-1,E156)</f>
        <v>-0.10946717857477306</v>
      </c>
      <c r="F157" s="110">
        <f>表2_3671626293038912131415232425262728[[#This Row],[累计净值]]</f>
        <v>0.97070000000000001</v>
      </c>
      <c r="G157" s="20">
        <f>表2_3671626293038912131415232425262728[[#This Row],[累计净值]]/$B$21-1</f>
        <v>-2.813376051261518E-2</v>
      </c>
    </row>
    <row r="158" spans="1:7" x14ac:dyDescent="0.2">
      <c r="A158" s="15">
        <v>44270</v>
      </c>
      <c r="B158" s="112">
        <v>0.95740000000000003</v>
      </c>
      <c r="C158" s="108">
        <f t="shared" si="48"/>
        <v>-1.3299999999999979E-2</v>
      </c>
      <c r="D158" s="109">
        <f t="shared" si="49"/>
        <v>-1.3299999999999979E-2</v>
      </c>
      <c r="E158" s="109">
        <f ca="1">IF(表2_3671626293038912131415232425262728[[#This Row],[累计净值]]/MAX(INDIRECT("B21:B" &amp; ROW()))-1&lt;E157,表2_3671626293038912131415232425262728[[#This Row],[累计净值]]/MAX(INDIRECT("B21:B" &amp; ROW()))-1,E157)</f>
        <v>-0.10946717857477306</v>
      </c>
      <c r="F158" s="110">
        <f>表2_3671626293038912131415232425262728[[#This Row],[累计净值]]</f>
        <v>0.95740000000000003</v>
      </c>
      <c r="G158" s="20">
        <f>表2_3671626293038912131415232425262728[[#This Row],[累计净值]]/$B$21-1</f>
        <v>-4.1449739687625109E-2</v>
      </c>
    </row>
    <row r="159" spans="1:7" x14ac:dyDescent="0.2">
      <c r="A159" s="15">
        <v>44271</v>
      </c>
      <c r="B159" s="112">
        <v>0.95989999999999998</v>
      </c>
      <c r="C159" s="108">
        <f>IFERROR(B159-B158,0)</f>
        <v>2.4999999999999467E-3</v>
      </c>
      <c r="D159" s="109" t="str">
        <f>IF(C159&lt;0,C159,"/")</f>
        <v>/</v>
      </c>
      <c r="E159" s="109">
        <f ca="1">IF(表2_3671626293038912131415232425262728[[#This Row],[累计净值]]/MAX(INDIRECT("B21:B" &amp; ROW()))-1&lt;E158,表2_3671626293038912131415232425262728[[#This Row],[累计净值]]/MAX(INDIRECT("B21:B" &amp; ROW()))-1,E158)</f>
        <v>-0.10946717857477306</v>
      </c>
      <c r="F159" s="110">
        <f>表2_3671626293038912131415232425262728[[#This Row],[累计净值]]</f>
        <v>0.95989999999999998</v>
      </c>
      <c r="G159" s="20">
        <f>表2_3671626293038912131415232425262728[[#This Row],[累计净值]]/$B$21-1</f>
        <v>-3.8946736083300015E-2</v>
      </c>
    </row>
    <row r="160" spans="1:7" x14ac:dyDescent="0.2">
      <c r="A160" s="15">
        <v>44272</v>
      </c>
      <c r="B160" s="112">
        <v>0.96260000000000001</v>
      </c>
      <c r="C160" s="108">
        <f>IFERROR(B160-B159,0)</f>
        <v>2.7000000000000357E-3</v>
      </c>
      <c r="D160" s="109" t="str">
        <f>IF(C160&lt;0,C160,"/")</f>
        <v>/</v>
      </c>
      <c r="E160" s="109">
        <f ca="1">IF(表2_3671626293038912131415232425262728[[#This Row],[累计净值]]/MAX(INDIRECT("B21:B" &amp; ROW()))-1&lt;E159,表2_3671626293038912131415232425262728[[#This Row],[累计净值]]/MAX(INDIRECT("B21:B" &amp; ROW()))-1,E159)</f>
        <v>-0.10946717857477306</v>
      </c>
      <c r="F160" s="110">
        <f>表2_3671626293038912131415232425262728[[#This Row],[累计净值]]</f>
        <v>0.96260000000000001</v>
      </c>
      <c r="G160" s="20">
        <f>表2_3671626293038912131415232425262728[[#This Row],[累计净值]]/$B$21-1</f>
        <v>-3.6243492190628723E-2</v>
      </c>
    </row>
    <row r="161" spans="1:7" x14ac:dyDescent="0.2">
      <c r="A161" s="15">
        <v>44273</v>
      </c>
      <c r="B161" s="112">
        <v>0.96519999999999995</v>
      </c>
      <c r="C161" s="108">
        <f>IFERROR(B161-B160,0)</f>
        <v>2.5999999999999357E-3</v>
      </c>
      <c r="D161" s="109" t="str">
        <f>IF(C161&lt;0,C161,"/")</f>
        <v>/</v>
      </c>
      <c r="E161" s="109">
        <f ca="1">IF(表2_3671626293038912131415232425262728[[#This Row],[累计净值]]/MAX(INDIRECT("B21:B" &amp; ROW()))-1&lt;E160,表2_3671626293038912131415232425262728[[#This Row],[累计净值]]/MAX(INDIRECT("B21:B" &amp; ROW()))-1,E160)</f>
        <v>-0.10946717857477306</v>
      </c>
      <c r="F161" s="110">
        <f>表2_3671626293038912131415232425262728[[#This Row],[累计净值]]</f>
        <v>0.96519999999999995</v>
      </c>
      <c r="G161" s="20">
        <f>表2_3671626293038912131415232425262728[[#This Row],[累计净值]]/$B$21-1</f>
        <v>-3.3640368442130586E-2</v>
      </c>
    </row>
    <row r="162" spans="1:7" x14ac:dyDescent="0.2">
      <c r="A162" s="15">
        <v>44274</v>
      </c>
      <c r="B162" s="112">
        <v>0.95699999999999996</v>
      </c>
      <c r="C162" s="108">
        <f>IFERROR(B162-B161,0)</f>
        <v>-8.1999999999999851E-3</v>
      </c>
      <c r="D162" s="109">
        <f>IF(C162&lt;0,C162,"/")</f>
        <v>-8.1999999999999851E-3</v>
      </c>
      <c r="E162" s="109">
        <f ca="1">IF(表2_3671626293038912131415232425262728[[#This Row],[累计净值]]/MAX(INDIRECT("B21:B" &amp; ROW()))-1&lt;E161,表2_3671626293038912131415232425262728[[#This Row],[累计净值]]/MAX(INDIRECT("B21:B" &amp; ROW()))-1,E161)</f>
        <v>-0.10946717857477306</v>
      </c>
      <c r="F162" s="110">
        <f>表2_3671626293038912131415232425262728[[#This Row],[累计净值]]</f>
        <v>0.95699999999999996</v>
      </c>
      <c r="G162" s="20">
        <f>表2_3671626293038912131415232425262728[[#This Row],[累计净值]]/$B$21-1</f>
        <v>-4.1850220264317284E-2</v>
      </c>
    </row>
    <row r="163" spans="1:7" x14ac:dyDescent="0.2">
      <c r="A163" s="15">
        <v>44277</v>
      </c>
      <c r="B163" s="112">
        <v>0.95340000000000003</v>
      </c>
      <c r="C163" s="108">
        <f>IFERROR(B163-B162,0)</f>
        <v>-3.5999999999999366E-3</v>
      </c>
      <c r="D163" s="109">
        <f>IF(C163&lt;0,C163,"/")</f>
        <v>-3.5999999999999366E-3</v>
      </c>
      <c r="E163" s="109">
        <f ca="1">IF(表2_3671626293038912131415232425262728[[#This Row],[累计净值]]/MAX(INDIRECT("B21:B" &amp; ROW()))-1&lt;E162,表2_3671626293038912131415232425262728[[#This Row],[累计净值]]/MAX(INDIRECT("B21:B" &amp; ROW()))-1,E162)</f>
        <v>-0.10946717857477306</v>
      </c>
      <c r="F163" s="110">
        <f>表2_3671626293038912131415232425262728[[#This Row],[累计净值]]</f>
        <v>0.95340000000000003</v>
      </c>
      <c r="G163" s="20">
        <f>表2_3671626293038912131415232425262728[[#This Row],[累计净值]]/$B$21-1</f>
        <v>-4.5454545454545414E-2</v>
      </c>
    </row>
    <row r="164" spans="1:7" x14ac:dyDescent="0.2">
      <c r="A164" s="15">
        <v>44278</v>
      </c>
      <c r="B164" s="112">
        <v>0.94689999999999996</v>
      </c>
      <c r="C164" s="108">
        <f t="shared" ref="C164:C167" si="50">IFERROR(B164-B163,0)</f>
        <v>-6.5000000000000613E-3</v>
      </c>
      <c r="D164" s="109">
        <f t="shared" ref="D164:D167" si="51">IF(C164&lt;0,C164,"/")</f>
        <v>-6.5000000000000613E-3</v>
      </c>
      <c r="E164" s="109">
        <f ca="1">IF(表2_3671626293038912131415232425262728[[#This Row],[累计净值]]/MAX(INDIRECT("B21:B" &amp; ROW()))-1&lt;E163,表2_3671626293038912131415232425262728[[#This Row],[累计净值]]/MAX(INDIRECT("B21:B" &amp; ROW()))-1,E163)</f>
        <v>-0.1133064893716641</v>
      </c>
      <c r="F164" s="110">
        <f>表2_3671626293038912131415232425262728[[#This Row],[累计净值]]</f>
        <v>0.94689999999999996</v>
      </c>
      <c r="G164" s="20">
        <f>表2_3671626293038912131415232425262728[[#This Row],[累计净值]]/$B$21-1</f>
        <v>-5.1962354825791035E-2</v>
      </c>
    </row>
    <row r="165" spans="1:7" x14ac:dyDescent="0.2">
      <c r="A165" s="15">
        <v>44279</v>
      </c>
      <c r="B165" s="112">
        <v>0.94199999999999995</v>
      </c>
      <c r="C165" s="108">
        <f t="shared" si="50"/>
        <v>-4.9000000000000155E-3</v>
      </c>
      <c r="D165" s="109">
        <f t="shared" si="51"/>
        <v>-4.9000000000000155E-3</v>
      </c>
      <c r="E165" s="109">
        <f ca="1">IF(表2_3671626293038912131415232425262728[[#This Row],[累计净值]]/MAX(INDIRECT("B21:B" &amp; ROW()))-1&lt;E164,表2_3671626293038912131415232425262728[[#This Row],[累计净值]]/MAX(INDIRECT("B21:B" &amp; ROW()))-1,E164)</f>
        <v>-0.11789493398258277</v>
      </c>
      <c r="F165" s="110">
        <f>表2_3671626293038912131415232425262728[[#This Row],[累计净值]]</f>
        <v>0.94199999999999995</v>
      </c>
      <c r="G165" s="20">
        <f>表2_3671626293038912131415232425262728[[#This Row],[累计净值]]/$B$21-1</f>
        <v>-5.6868241890268401E-2</v>
      </c>
    </row>
    <row r="166" spans="1:7" x14ac:dyDescent="0.2">
      <c r="A166" s="15">
        <v>44280</v>
      </c>
      <c r="B166" s="112">
        <v>0.94869999999999999</v>
      </c>
      <c r="C166" s="108">
        <f t="shared" si="50"/>
        <v>6.7000000000000393E-3</v>
      </c>
      <c r="D166" s="109" t="str">
        <f t="shared" si="51"/>
        <v>/</v>
      </c>
      <c r="E166" s="109">
        <f ca="1">IF(表2_3671626293038912131415232425262728[[#This Row],[累计净值]]/MAX(INDIRECT("B21:B" &amp; ROW()))-1&lt;E165,表2_3671626293038912131415232425262728[[#This Row],[累计净值]]/MAX(INDIRECT("B21:B" &amp; ROW()))-1,E165)</f>
        <v>-0.11789493398258277</v>
      </c>
      <c r="F166" s="110">
        <f>表2_3671626293038912131415232425262728[[#This Row],[累计净值]]</f>
        <v>0.94869999999999999</v>
      </c>
      <c r="G166" s="20">
        <f>表2_3671626293038912131415232425262728[[#This Row],[累计净值]]/$B$21-1</f>
        <v>-5.0160192230676803E-2</v>
      </c>
    </row>
    <row r="167" spans="1:7" x14ac:dyDescent="0.2">
      <c r="A167" s="15">
        <v>44281</v>
      </c>
      <c r="B167" s="112">
        <v>0.95469999999999999</v>
      </c>
      <c r="C167" s="108">
        <f t="shared" si="50"/>
        <v>6.0000000000000053E-3</v>
      </c>
      <c r="D167" s="109" t="str">
        <f t="shared" si="51"/>
        <v>/</v>
      </c>
      <c r="E167" s="109">
        <f ca="1">IF(表2_3671626293038912131415232425262728[[#This Row],[累计净值]]/MAX(INDIRECT("B21:B" &amp; ROW()))-1&lt;E166,表2_3671626293038912131415232425262728[[#This Row],[累计净值]]/MAX(INDIRECT("B21:B" &amp; ROW()))-1,E166)</f>
        <v>-0.11789493398258277</v>
      </c>
      <c r="F167" s="110">
        <f>表2_3671626293038912131415232425262728[[#This Row],[累计净值]]</f>
        <v>0.95469999999999999</v>
      </c>
      <c r="G167" s="20">
        <f>表2_3671626293038912131415232425262728[[#This Row],[累计净值]]/$B$21-1</f>
        <v>-4.4152983580296401E-2</v>
      </c>
    </row>
    <row r="168" spans="1:7" x14ac:dyDescent="0.2">
      <c r="A168" s="15">
        <v>44284</v>
      </c>
      <c r="B168" s="112">
        <v>0.95199999999999996</v>
      </c>
      <c r="C168" s="108">
        <f>IFERROR(B168-B167,0)</f>
        <v>-2.7000000000000357E-3</v>
      </c>
      <c r="D168" s="109">
        <f>IF(C168&lt;0,C168,"/")</f>
        <v>-2.7000000000000357E-3</v>
      </c>
      <c r="E168" s="109">
        <f ca="1">IF(表2_3671626293038912131415232425262728[[#This Row],[累计净值]]/MAX(INDIRECT("B21:B" &amp; ROW()))-1&lt;E167,表2_3671626293038912131415232425262728[[#This Row],[累计净值]]/MAX(INDIRECT("B21:B" &amp; ROW()))-1,E167)</f>
        <v>-0.11789493398258277</v>
      </c>
      <c r="F168" s="110">
        <f>表2_3671626293038912131415232425262728[[#This Row],[累计净值]]</f>
        <v>0.95199999999999996</v>
      </c>
      <c r="G168" s="20">
        <f>表2_3671626293038912131415232425262728[[#This Row],[累计净值]]/$B$21-1</f>
        <v>-4.6856227472967582E-2</v>
      </c>
    </row>
    <row r="169" spans="1:7" x14ac:dyDescent="0.2">
      <c r="A169" s="15">
        <v>44285</v>
      </c>
      <c r="B169" s="112">
        <v>0.95689999999999997</v>
      </c>
      <c r="C169" s="108">
        <f t="shared" ref="C169:C170" si="52">IFERROR(B169-B168,0)</f>
        <v>4.9000000000000155E-3</v>
      </c>
      <c r="D169" s="109" t="str">
        <f t="shared" ref="D169:D170" si="53">IF(C169&lt;0,C169,"/")</f>
        <v>/</v>
      </c>
      <c r="E169" s="109">
        <f ca="1">IF(表2_3671626293038912131415232425262728[[#This Row],[累计净值]]/MAX(INDIRECT("B21:B" &amp; ROW()))-1&lt;E168,表2_3671626293038912131415232425262728[[#This Row],[累计净值]]/MAX(INDIRECT("B21:B" &amp; ROW()))-1,E168)</f>
        <v>-0.11789493398258277</v>
      </c>
      <c r="F169" s="110">
        <f>表2_3671626293038912131415232425262728[[#This Row],[累计净值]]</f>
        <v>0.95689999999999997</v>
      </c>
      <c r="G169" s="20">
        <f>表2_3671626293038912131415232425262728[[#This Row],[累计净值]]/$B$21-1</f>
        <v>-4.1950340408490217E-2</v>
      </c>
    </row>
    <row r="170" spans="1:7" x14ac:dyDescent="0.2">
      <c r="A170" s="15">
        <v>44286</v>
      </c>
      <c r="B170" s="112">
        <v>0.95720000000000005</v>
      </c>
      <c r="C170" s="108">
        <f t="shared" si="52"/>
        <v>3.0000000000007798E-4</v>
      </c>
      <c r="D170" s="109" t="str">
        <f t="shared" si="53"/>
        <v>/</v>
      </c>
      <c r="E170" s="109">
        <f ca="1">IF(表2_3671626293038912131415232425262728[[#This Row],[累计净值]]/MAX(INDIRECT("B21:B" &amp; ROW()))-1&lt;E169,表2_3671626293038912131415232425262728[[#This Row],[累计净值]]/MAX(INDIRECT("B21:B" &amp; ROW()))-1,E169)</f>
        <v>-0.11789493398258277</v>
      </c>
      <c r="F170" s="110">
        <f>表2_3671626293038912131415232425262728[[#This Row],[累计净值]]</f>
        <v>0.95720000000000005</v>
      </c>
      <c r="G170" s="20">
        <f>表2_3671626293038912131415232425262728[[#This Row],[累计净值]]/$B$21-1</f>
        <v>-4.1649979975971085E-2</v>
      </c>
    </row>
    <row r="171" spans="1:7" x14ac:dyDescent="0.2">
      <c r="A171" s="15">
        <v>44287</v>
      </c>
      <c r="B171" s="112">
        <v>0.9607</v>
      </c>
      <c r="C171" s="108">
        <f t="shared" ref="C171:C176" si="54">IFERROR(B171-B170,0)</f>
        <v>3.4999999999999476E-3</v>
      </c>
      <c r="D171" s="109" t="str">
        <f t="shared" ref="D171:D176" si="55">IF(C171&lt;0,C171,"/")</f>
        <v>/</v>
      </c>
      <c r="E171" s="109">
        <f ca="1">IF(表2_3671626293038912131415232425262728[[#This Row],[累计净值]]/MAX(INDIRECT("B21:B" &amp; ROW()))-1&lt;E170,表2_3671626293038912131415232425262728[[#This Row],[累计净值]]/MAX(INDIRECT("B21:B" &amp; ROW()))-1,E170)</f>
        <v>-0.11789493398258277</v>
      </c>
      <c r="F171" s="110">
        <f>表2_3671626293038912131415232425262728[[#This Row],[累计净值]]</f>
        <v>0.9607</v>
      </c>
      <c r="G171" s="20">
        <f>表2_3671626293038912131415232425262728[[#This Row],[累计净值]]/$B$21-1</f>
        <v>-3.8145774929915888E-2</v>
      </c>
    </row>
    <row r="172" spans="1:7" x14ac:dyDescent="0.2">
      <c r="A172" s="15">
        <v>44288</v>
      </c>
      <c r="B172" s="112">
        <v>0.96020000000000005</v>
      </c>
      <c r="C172" s="108">
        <f t="shared" si="54"/>
        <v>-4.9999999999994493E-4</v>
      </c>
      <c r="D172" s="109">
        <f t="shared" si="55"/>
        <v>-4.9999999999994493E-4</v>
      </c>
      <c r="E172" s="109">
        <f ca="1">IF(表2_3671626293038912131415232425262728[[#This Row],[累计净值]]/MAX(INDIRECT("B21:B" &amp; ROW()))-1&lt;E171,表2_3671626293038912131415232425262728[[#This Row],[累计净值]]/MAX(INDIRECT("B21:B" &amp; ROW()))-1,E171)</f>
        <v>-0.11789493398258277</v>
      </c>
      <c r="F172" s="110">
        <f>表2_3671626293038912131415232425262728[[#This Row],[累计净值]]</f>
        <v>0.96020000000000005</v>
      </c>
      <c r="G172" s="20">
        <f>表2_3671626293038912131415232425262728[[#This Row],[累计净值]]/$B$21-1</f>
        <v>-3.8646375650780884E-2</v>
      </c>
    </row>
    <row r="173" spans="1:7" x14ac:dyDescent="0.2">
      <c r="A173" s="15">
        <v>44292</v>
      </c>
      <c r="B173" s="112">
        <v>0.95940000000000003</v>
      </c>
      <c r="C173" s="108">
        <f t="shared" si="54"/>
        <v>-8.0000000000002292E-4</v>
      </c>
      <c r="D173" s="109">
        <f t="shared" si="55"/>
        <v>-8.0000000000002292E-4</v>
      </c>
      <c r="E173" s="109">
        <f ca="1">IF(表2_3671626293038912131415232425262728[[#This Row],[累计净值]]/MAX(INDIRECT("B21:B" &amp; ROW()))-1&lt;E172,表2_3671626293038912131415232425262728[[#This Row],[累计净值]]/MAX(INDIRECT("B21:B" &amp; ROW()))-1,E172)</f>
        <v>-0.11789493398258277</v>
      </c>
      <c r="F173" s="110">
        <f>表2_3671626293038912131415232425262728[[#This Row],[累计净值]]</f>
        <v>0.95940000000000003</v>
      </c>
      <c r="G173" s="20">
        <f>表2_3671626293038912131415232425262728[[#This Row],[累计净值]]/$B$21-1</f>
        <v>-3.9447336804165012E-2</v>
      </c>
    </row>
    <row r="174" spans="1:7" x14ac:dyDescent="0.2">
      <c r="A174" s="15">
        <v>44293</v>
      </c>
      <c r="B174" s="112">
        <v>0.96120000000000005</v>
      </c>
      <c r="C174" s="108">
        <f t="shared" si="54"/>
        <v>1.8000000000000238E-3</v>
      </c>
      <c r="D174" s="109" t="str">
        <f t="shared" si="55"/>
        <v>/</v>
      </c>
      <c r="E174" s="109">
        <f ca="1">IF(表2_3671626293038912131415232425262728[[#This Row],[累计净值]]/MAX(INDIRECT("B21:B" &amp; ROW()))-1&lt;E173,表2_3671626293038912131415232425262728[[#This Row],[累计净值]]/MAX(INDIRECT("B21:B" &amp; ROW()))-1,E173)</f>
        <v>-0.11789493398258277</v>
      </c>
      <c r="F174" s="110">
        <f>表2_3671626293038912131415232425262728[[#This Row],[累计净值]]</f>
        <v>0.96120000000000005</v>
      </c>
      <c r="G174" s="20">
        <f>表2_3671626293038912131415232425262728[[#This Row],[累计净值]]/$B$21-1</f>
        <v>-3.764517420905078E-2</v>
      </c>
    </row>
    <row r="175" spans="1:7" x14ac:dyDescent="0.2">
      <c r="A175" s="15">
        <v>44294</v>
      </c>
      <c r="B175" s="112">
        <v>0.96460000000000001</v>
      </c>
      <c r="C175" s="108">
        <f t="shared" si="54"/>
        <v>3.3999999999999586E-3</v>
      </c>
      <c r="D175" s="109" t="str">
        <f t="shared" si="55"/>
        <v>/</v>
      </c>
      <c r="E175" s="109">
        <f ca="1">IF(表2_3671626293038912131415232425262728[[#This Row],[累计净值]]/MAX(INDIRECT("B21:B" &amp; ROW()))-1&lt;E174,表2_3671626293038912131415232425262728[[#This Row],[累计净值]]/MAX(INDIRECT("B21:B" &amp; ROW()))-1,E174)</f>
        <v>-0.11789493398258277</v>
      </c>
      <c r="F175" s="110">
        <f>表2_3671626293038912131415232425262728[[#This Row],[累计净值]]</f>
        <v>0.96460000000000001</v>
      </c>
      <c r="G175" s="20">
        <f>表2_3671626293038912131415232425262728[[#This Row],[累计净值]]/$B$21-1</f>
        <v>-3.4241089307168626E-2</v>
      </c>
    </row>
    <row r="176" spans="1:7" x14ac:dyDescent="0.2">
      <c r="A176" s="15">
        <v>44295</v>
      </c>
      <c r="B176" s="112">
        <v>0.96240000000000003</v>
      </c>
      <c r="C176" s="108">
        <f t="shared" si="54"/>
        <v>-2.1999999999999797E-3</v>
      </c>
      <c r="D176" s="109">
        <f t="shared" si="55"/>
        <v>-2.1999999999999797E-3</v>
      </c>
      <c r="E176" s="109">
        <f ca="1">IF(表2_3671626293038912131415232425262728[[#This Row],[累计净值]]/MAX(INDIRECT("B21:B" &amp; ROW()))-1&lt;E175,表2_3671626293038912131415232425262728[[#This Row],[累计净值]]/MAX(INDIRECT("B21:B" &amp; ROW()))-1,E175)</f>
        <v>-0.11789493398258277</v>
      </c>
      <c r="F176" s="110">
        <f>表2_3671626293038912131415232425262728[[#This Row],[累计净值]]</f>
        <v>0.96240000000000003</v>
      </c>
      <c r="G176" s="20">
        <f>表2_3671626293038912131415232425262728[[#This Row],[累计净值]]/$B$21-1</f>
        <v>-3.6443732478974811E-2</v>
      </c>
    </row>
    <row r="177" spans="1:7" x14ac:dyDescent="0.2">
      <c r="A177" s="15">
        <v>44298</v>
      </c>
      <c r="B177" s="112">
        <v>0.95820000000000005</v>
      </c>
      <c r="C177" s="108">
        <f t="shared" ref="C177:C183" si="56">IFERROR(B177-B176,0)</f>
        <v>-4.1999999999999815E-3</v>
      </c>
      <c r="D177" s="109">
        <f t="shared" ref="D177:D183" si="57">IF(C177&lt;0,C177,"/")</f>
        <v>-4.1999999999999815E-3</v>
      </c>
      <c r="E177" s="109">
        <f ca="1">IF(表2_3671626293038912131415232425262728[[#This Row],[累计净值]]/MAX(INDIRECT("B21:B" &amp; ROW()))-1&lt;E176,表2_3671626293038912131415232425262728[[#This Row],[累计净值]]/MAX(INDIRECT("B21:B" &amp; ROW()))-1,E176)</f>
        <v>-0.11789493398258277</v>
      </c>
      <c r="F177" s="110">
        <f>表2_3671626293038912131415232425262728[[#This Row],[累计净值]]</f>
        <v>0.95820000000000005</v>
      </c>
      <c r="G177" s="20">
        <f>表2_3671626293038912131415232425262728[[#This Row],[累计净值]]/$B$21-1</f>
        <v>-4.0648778534241092E-2</v>
      </c>
    </row>
    <row r="178" spans="1:7" x14ac:dyDescent="0.2">
      <c r="A178" s="15">
        <v>44299</v>
      </c>
      <c r="B178" s="112">
        <v>0.95199999999999996</v>
      </c>
      <c r="C178" s="108">
        <f t="shared" si="56"/>
        <v>-6.2000000000000943E-3</v>
      </c>
      <c r="D178" s="109">
        <f t="shared" si="57"/>
        <v>-6.2000000000000943E-3</v>
      </c>
      <c r="E178" s="109">
        <f ca="1">IF(表2_3671626293038912131415232425262728[[#This Row],[累计净值]]/MAX(INDIRECT("B21:B" &amp; ROW()))-1&lt;E177,表2_3671626293038912131415232425262728[[#This Row],[累计净值]]/MAX(INDIRECT("B21:B" &amp; ROW()))-1,E177)</f>
        <v>-0.11789493398258277</v>
      </c>
      <c r="F178" s="110">
        <f>表2_3671626293038912131415232425262728[[#This Row],[累计净值]]</f>
        <v>0.95199999999999996</v>
      </c>
      <c r="G178" s="20">
        <f>表2_3671626293038912131415232425262728[[#This Row],[累计净值]]/$B$21-1</f>
        <v>-4.6856227472967582E-2</v>
      </c>
    </row>
    <row r="179" spans="1:7" x14ac:dyDescent="0.2">
      <c r="A179" s="15">
        <v>44300</v>
      </c>
      <c r="B179" s="112">
        <v>0.95750000000000002</v>
      </c>
      <c r="C179" s="108">
        <f t="shared" si="56"/>
        <v>5.5000000000000604E-3</v>
      </c>
      <c r="D179" s="109" t="str">
        <f t="shared" si="57"/>
        <v>/</v>
      </c>
      <c r="E179" s="109">
        <f ca="1">IF(表2_3671626293038912131415232425262728[[#This Row],[累计净值]]/MAX(INDIRECT("B21:B" &amp; ROW()))-1&lt;E178,表2_3671626293038912131415232425262728[[#This Row],[累计净值]]/MAX(INDIRECT("B21:B" &amp; ROW()))-1,E178)</f>
        <v>-0.11789493398258277</v>
      </c>
      <c r="F179" s="110">
        <f>表2_3671626293038912131415232425262728[[#This Row],[累计净值]]</f>
        <v>0.95750000000000002</v>
      </c>
      <c r="G179" s="20">
        <f>表2_3671626293038912131415232425262728[[#This Row],[累计净值]]/$B$21-1</f>
        <v>-4.1349619543452176E-2</v>
      </c>
    </row>
    <row r="180" spans="1:7" x14ac:dyDescent="0.2">
      <c r="A180" s="15">
        <v>44301</v>
      </c>
      <c r="B180" s="112">
        <v>0.95550000000000002</v>
      </c>
      <c r="C180" s="108">
        <f t="shared" si="56"/>
        <v>-2.0000000000000018E-3</v>
      </c>
      <c r="D180" s="109">
        <f t="shared" si="57"/>
        <v>-2.0000000000000018E-3</v>
      </c>
      <c r="E180" s="109">
        <f ca="1">IF(表2_3671626293038912131415232425262728[[#This Row],[累计净值]]/MAX(INDIRECT("B21:B" &amp; ROW()))-1&lt;E179,表2_3671626293038912131415232425262728[[#This Row],[累计净值]]/MAX(INDIRECT("B21:B" &amp; ROW()))-1,E179)</f>
        <v>-0.11789493398258277</v>
      </c>
      <c r="F180" s="110">
        <f>表2_3671626293038912131415232425262728[[#This Row],[累计净值]]</f>
        <v>0.95550000000000002</v>
      </c>
      <c r="G180" s="20">
        <f>表2_3671626293038912131415232425262728[[#This Row],[累计净值]]/$B$21-1</f>
        <v>-4.3352022426912273E-2</v>
      </c>
    </row>
    <row r="181" spans="1:7" x14ac:dyDescent="0.2">
      <c r="A181" s="15">
        <v>44302</v>
      </c>
      <c r="B181" s="112">
        <v>0.95809999999999995</v>
      </c>
      <c r="C181" s="108">
        <f t="shared" si="56"/>
        <v>2.5999999999999357E-3</v>
      </c>
      <c r="D181" s="109" t="str">
        <f t="shared" si="57"/>
        <v>/</v>
      </c>
      <c r="E181" s="109">
        <f ca="1">IF(表2_3671626293038912131415232425262728[[#This Row],[累计净值]]/MAX(INDIRECT("B21:B" &amp; ROW()))-1&lt;E180,表2_3671626293038912131415232425262728[[#This Row],[累计净值]]/MAX(INDIRECT("B21:B" &amp; ROW()))-1,E180)</f>
        <v>-0.11789493398258277</v>
      </c>
      <c r="F181" s="110">
        <f>表2_3671626293038912131415232425262728[[#This Row],[累计净值]]</f>
        <v>0.95809999999999995</v>
      </c>
      <c r="G181" s="20">
        <f>表2_3671626293038912131415232425262728[[#This Row],[累计净值]]/$B$21-1</f>
        <v>-4.0748898678414136E-2</v>
      </c>
    </row>
    <row r="182" spans="1:7" x14ac:dyDescent="0.2">
      <c r="A182" s="15">
        <v>44305</v>
      </c>
      <c r="B182" s="112">
        <v>0.96689999999999998</v>
      </c>
      <c r="C182" s="108">
        <f t="shared" si="56"/>
        <v>8.80000000000003E-3</v>
      </c>
      <c r="D182" s="109" t="str">
        <f t="shared" si="57"/>
        <v>/</v>
      </c>
      <c r="E182" s="109">
        <f ca="1">IF(表2_3671626293038912131415232425262728[[#This Row],[累计净值]]/MAX(INDIRECT("B21:B" &amp; ROW()))-1&lt;E181,表2_3671626293038912131415232425262728[[#This Row],[累计净值]]/MAX(INDIRECT("B21:B" &amp; ROW()))-1,E181)</f>
        <v>-0.11789493398258277</v>
      </c>
      <c r="F182" s="110">
        <f>表2_3671626293038912131415232425262728[[#This Row],[累计净值]]</f>
        <v>0.96689999999999998</v>
      </c>
      <c r="G182" s="20">
        <f>表2_3671626293038912131415232425262728[[#This Row],[累计净值]]/$B$21-1</f>
        <v>-3.1938325991189509E-2</v>
      </c>
    </row>
    <row r="183" spans="1:7" x14ac:dyDescent="0.2">
      <c r="A183" s="15">
        <v>44306</v>
      </c>
      <c r="B183" s="112">
        <v>0.96779999999999999</v>
      </c>
      <c r="C183" s="108">
        <f t="shared" si="56"/>
        <v>9.000000000000119E-4</v>
      </c>
      <c r="D183" s="109" t="str">
        <f t="shared" si="57"/>
        <v>/</v>
      </c>
      <c r="E183" s="109">
        <f ca="1">IF(表2_3671626293038912131415232425262728[[#This Row],[累计净值]]/MAX(INDIRECT("B21:B" &amp; ROW()))-1&lt;E182,表2_3671626293038912131415232425262728[[#This Row],[累计净值]]/MAX(INDIRECT("B21:B" &amp; ROW()))-1,E182)</f>
        <v>-0.11789493398258277</v>
      </c>
      <c r="F183" s="110">
        <f>表2_3671626293038912131415232425262728[[#This Row],[累计净值]]</f>
        <v>0.96779999999999999</v>
      </c>
      <c r="G183" s="20">
        <f>表2_3671626293038912131415232425262728[[#This Row],[累计净值]]/$B$21-1</f>
        <v>-3.1037244693632338E-2</v>
      </c>
    </row>
    <row r="184" spans="1:7" x14ac:dyDescent="0.2">
      <c r="A184" s="15">
        <v>44307</v>
      </c>
      <c r="B184" s="112">
        <v>0.96889999999999998</v>
      </c>
      <c r="C184" s="108">
        <f>IFERROR(B184-B183,0)</f>
        <v>1.0999999999999899E-3</v>
      </c>
      <c r="D184" s="109" t="str">
        <f>IF(C184&lt;0,C184,"/")</f>
        <v>/</v>
      </c>
      <c r="E184" s="109">
        <f ca="1">IF(表2_3671626293038912131415232425262728[[#This Row],[累计净值]]/MAX(INDIRECT("B21:B" &amp; ROW()))-1&lt;E183,表2_3671626293038912131415232425262728[[#This Row],[累计净值]]/MAX(INDIRECT("B21:B" &amp; ROW()))-1,E183)</f>
        <v>-0.11789493398258277</v>
      </c>
      <c r="F184" s="110">
        <f>表2_3671626293038912131415232425262728[[#This Row],[累计净值]]</f>
        <v>0.96889999999999998</v>
      </c>
      <c r="G184" s="20">
        <f>表2_3671626293038912131415232425262728[[#This Row],[累计净值]]/$B$21-1</f>
        <v>-2.9935923107729301E-2</v>
      </c>
    </row>
    <row r="185" spans="1:7" x14ac:dyDescent="0.2">
      <c r="A185" s="15">
        <v>44308</v>
      </c>
      <c r="B185" s="112">
        <v>0.96799999999999997</v>
      </c>
      <c r="C185" s="108">
        <f>IFERROR(B185-B184,0)</f>
        <v>-9.000000000000119E-4</v>
      </c>
      <c r="D185" s="109">
        <f>IF(C185&lt;0,C185,"/")</f>
        <v>-9.000000000000119E-4</v>
      </c>
      <c r="E185" s="109">
        <f ca="1">IF(表2_3671626293038912131415232425262728[[#This Row],[累计净值]]/MAX(INDIRECT("B21:B" &amp; ROW()))-1&lt;E184,表2_3671626293038912131415232425262728[[#This Row],[累计净值]]/MAX(INDIRECT("B21:B" &amp; ROW()))-1,E184)</f>
        <v>-0.11789493398258277</v>
      </c>
      <c r="F185" s="110">
        <f>表2_3671626293038912131415232425262728[[#This Row],[累计净值]]</f>
        <v>0.96799999999999997</v>
      </c>
      <c r="G185" s="20">
        <f>表2_3671626293038912131415232425262728[[#This Row],[累计净值]]/$B$21-1</f>
        <v>-3.0837004405286361E-2</v>
      </c>
    </row>
    <row r="186" spans="1:7" x14ac:dyDescent="0.2">
      <c r="A186" s="15">
        <v>44309</v>
      </c>
      <c r="B186" s="112">
        <v>0.96550000000000002</v>
      </c>
      <c r="C186" s="108">
        <f t="shared" ref="C186:C187" si="58">IFERROR(B186-B185,0)</f>
        <v>-2.4999999999999467E-3</v>
      </c>
      <c r="D186" s="109">
        <f t="shared" ref="D186:D187" si="59">IF(C186&lt;0,C186,"/")</f>
        <v>-2.4999999999999467E-3</v>
      </c>
      <c r="E186" s="109">
        <f ca="1">IF(表2_3671626293038912131415232425262728[[#This Row],[累计净值]]/MAX(INDIRECT("B21:B" &amp; ROW()))-1&lt;E185,表2_3671626293038912131415232425262728[[#This Row],[累计净值]]/MAX(INDIRECT("B21:B" &amp; ROW()))-1,E185)</f>
        <v>-0.11789493398258277</v>
      </c>
      <c r="F186" s="110">
        <f>表2_3671626293038912131415232425262728[[#This Row],[累计净值]]</f>
        <v>0.96550000000000002</v>
      </c>
      <c r="G186" s="20">
        <f>表2_3671626293038912131415232425262728[[#This Row],[累计净值]]/$B$21-1</f>
        <v>-3.3340008009611566E-2</v>
      </c>
    </row>
    <row r="187" spans="1:7" x14ac:dyDescent="0.2">
      <c r="A187" s="15">
        <v>44312</v>
      </c>
      <c r="B187" s="112">
        <v>0.96909999999999996</v>
      </c>
      <c r="C187" s="108">
        <f t="shared" si="58"/>
        <v>3.5999999999999366E-3</v>
      </c>
      <c r="D187" s="109" t="str">
        <f t="shared" si="59"/>
        <v>/</v>
      </c>
      <c r="E187" s="109">
        <f ca="1">IF(表2_3671626293038912131415232425262728[[#This Row],[累计净值]]/MAX(INDIRECT("B21:B" &amp; ROW()))-1&lt;E186,表2_3671626293038912131415232425262728[[#This Row],[累计净值]]/MAX(INDIRECT("B21:B" &amp; ROW()))-1,E186)</f>
        <v>-0.11789493398258277</v>
      </c>
      <c r="F187" s="110">
        <f>表2_3671626293038912131415232425262728[[#This Row],[累计净值]]</f>
        <v>0.96909999999999996</v>
      </c>
      <c r="G187" s="20">
        <f>表2_3671626293038912131415232425262728[[#This Row],[累计净值]]/$B$21-1</f>
        <v>-2.9735682819383324E-2</v>
      </c>
    </row>
    <row r="188" spans="1:7" x14ac:dyDescent="0.2">
      <c r="A188" s="15">
        <v>44313</v>
      </c>
      <c r="B188" s="112">
        <v>0.96450000000000002</v>
      </c>
      <c r="C188" s="108">
        <f>IFERROR(B188-B187,0)</f>
        <v>-4.5999999999999375E-3</v>
      </c>
      <c r="D188" s="109">
        <f>IF(C188&lt;0,C188,"/")</f>
        <v>-4.5999999999999375E-3</v>
      </c>
      <c r="E188" s="109">
        <f ca="1">IF(表2_3671626293038912131415232425262728[[#This Row],[累计净值]]/MAX(INDIRECT("B21:B" &amp; ROW()))-1&lt;E187,表2_3671626293038912131415232425262728[[#This Row],[累计净值]]/MAX(INDIRECT("B21:B" &amp; ROW()))-1,E187)</f>
        <v>-0.11789493398258277</v>
      </c>
      <c r="F188" s="110">
        <f>表2_3671626293038912131415232425262728[[#This Row],[累计净值]]</f>
        <v>0.96450000000000002</v>
      </c>
      <c r="G188" s="20">
        <f>表2_3671626293038912131415232425262728[[#This Row],[累计净值]]/$B$21-1</f>
        <v>-3.4341209451341559E-2</v>
      </c>
    </row>
    <row r="189" spans="1:7" x14ac:dyDescent="0.2">
      <c r="A189" s="15">
        <v>44314</v>
      </c>
      <c r="B189" s="112">
        <v>0.95750000000000002</v>
      </c>
      <c r="C189" s="108">
        <f>IFERROR(B189-B188,0)</f>
        <v>-7.0000000000000062E-3</v>
      </c>
      <c r="D189" s="109">
        <f>IF(C189&lt;0,C189,"/")</f>
        <v>-7.0000000000000062E-3</v>
      </c>
      <c r="E189" s="109">
        <f ca="1">IF(表2_3671626293038912131415232425262728[[#This Row],[累计净值]]/MAX(INDIRECT("B21:B" &amp; ROW()))-1&lt;E188,表2_3671626293038912131415232425262728[[#This Row],[累计净值]]/MAX(INDIRECT("B21:B" &amp; ROW()))-1,E188)</f>
        <v>-0.11789493398258277</v>
      </c>
      <c r="F189" s="110">
        <f>表2_3671626293038912131415232425262728[[#This Row],[累计净值]]</f>
        <v>0.95750000000000002</v>
      </c>
      <c r="G189" s="20">
        <f>表2_3671626293038912131415232425262728[[#This Row],[累计净值]]/$B$21-1</f>
        <v>-4.1349619543452176E-2</v>
      </c>
    </row>
    <row r="190" spans="1:7" x14ac:dyDescent="0.2">
      <c r="A190" s="15">
        <v>44315</v>
      </c>
      <c r="B190" s="112">
        <v>0.96279999999999999</v>
      </c>
      <c r="C190" s="108">
        <f>IFERROR(B190-B189,0)</f>
        <v>5.2999999999999714E-3</v>
      </c>
      <c r="D190" s="109" t="str">
        <f>IF(C190&lt;0,C190,"/")</f>
        <v>/</v>
      </c>
      <c r="E190" s="109">
        <f ca="1">IF(表2_3671626293038912131415232425262728[[#This Row],[累计净值]]/MAX(INDIRECT("B21:B" &amp; ROW()))-1&lt;E189,表2_3671626293038912131415232425262728[[#This Row],[累计净值]]/MAX(INDIRECT("B21:B" &amp; ROW()))-1,E189)</f>
        <v>-0.11789493398258277</v>
      </c>
      <c r="F190" s="110">
        <f>表2_3671626293038912131415232425262728[[#This Row],[累计净值]]</f>
        <v>0.96279999999999999</v>
      </c>
      <c r="G190" s="20">
        <f>表2_3671626293038912131415232425262728[[#This Row],[累计净值]]/$B$21-1</f>
        <v>-3.6043251902282747E-2</v>
      </c>
    </row>
    <row r="191" spans="1:7" x14ac:dyDescent="0.2">
      <c r="A191" s="15">
        <v>44316</v>
      </c>
      <c r="B191" s="112">
        <v>0.96350000000000002</v>
      </c>
      <c r="C191" s="108">
        <f t="shared" ref="C191:C192" si="60">IFERROR(B191-B190,0)</f>
        <v>7.0000000000003393E-4</v>
      </c>
      <c r="D191" s="109" t="str">
        <f t="shared" ref="D191:D192" si="61">IF(C191&lt;0,C191,"/")</f>
        <v>/</v>
      </c>
      <c r="E191" s="109">
        <f ca="1">IF(表2_3671626293038912131415232425262728[[#This Row],[累计净值]]/MAX(INDIRECT("B21:B" &amp; ROW()))-1&lt;E190,表2_3671626293038912131415232425262728[[#This Row],[累计净值]]/MAX(INDIRECT("B21:B" &amp; ROW()))-1,E190)</f>
        <v>-0.11789493398258277</v>
      </c>
      <c r="F191" s="110">
        <f>表2_3671626293038912131415232425262728[[#This Row],[累计净值]]</f>
        <v>0.96350000000000002</v>
      </c>
      <c r="G191" s="20">
        <f>表2_3671626293038912131415232425262728[[#This Row],[累计净值]]/$B$21-1</f>
        <v>-3.5342410893071663E-2</v>
      </c>
    </row>
    <row r="192" spans="1:7" x14ac:dyDescent="0.2">
      <c r="A192" s="15">
        <v>44322</v>
      </c>
      <c r="B192" s="112">
        <v>0.96550000000000002</v>
      </c>
      <c r="C192" s="108">
        <f t="shared" si="60"/>
        <v>2.0000000000000018E-3</v>
      </c>
      <c r="D192" s="109" t="str">
        <f t="shared" si="61"/>
        <v>/</v>
      </c>
      <c r="E192" s="109">
        <f ca="1">IF(表2_3671626293038912131415232425262728[[#This Row],[累计净值]]/MAX(INDIRECT("B21:B" &amp; ROW()))-1&lt;E191,表2_3671626293038912131415232425262728[[#This Row],[累计净值]]/MAX(INDIRECT("B21:B" &amp; ROW()))-1,E191)</f>
        <v>-0.11789493398258277</v>
      </c>
      <c r="F192" s="110">
        <f>表2_3671626293038912131415232425262728[[#This Row],[累计净值]]</f>
        <v>0.96550000000000002</v>
      </c>
      <c r="G192" s="20">
        <f>表2_3671626293038912131415232425262728[[#This Row],[累计净值]]/$B$21-1</f>
        <v>-3.3340008009611566E-2</v>
      </c>
    </row>
    <row r="193" spans="1:7" x14ac:dyDescent="0.2">
      <c r="A193" s="15">
        <v>44323</v>
      </c>
      <c r="B193" s="112">
        <v>0.96060000000000001</v>
      </c>
      <c r="C193" s="108">
        <f t="shared" ref="C193:C198" si="62">IFERROR(B193-B192,0)</f>
        <v>-4.9000000000000155E-3</v>
      </c>
      <c r="D193" s="109">
        <f t="shared" ref="D193:D198" si="63">IF(C193&lt;0,C193,"/")</f>
        <v>-4.9000000000000155E-3</v>
      </c>
      <c r="E193" s="109">
        <f ca="1">IF(表2_3671626293038912131415232425262728[[#This Row],[累计净值]]/MAX(INDIRECT("B21:B" &amp; ROW()))-1&lt;E192,表2_3671626293038912131415232425262728[[#This Row],[累计净值]]/MAX(INDIRECT("B21:B" &amp; ROW()))-1,E192)</f>
        <v>-0.11789493398258277</v>
      </c>
      <c r="F193" s="110">
        <f>表2_3671626293038912131415232425262728[[#This Row],[累计净值]]</f>
        <v>0.96060000000000001</v>
      </c>
      <c r="G193" s="20">
        <f>表2_3671626293038912131415232425262728[[#This Row],[累计净值]]/$B$21-1</f>
        <v>-3.8245895074088931E-2</v>
      </c>
    </row>
    <row r="194" spans="1:7" x14ac:dyDescent="0.2">
      <c r="A194" s="15">
        <v>44326</v>
      </c>
      <c r="B194" s="112">
        <v>0.96419999999999995</v>
      </c>
      <c r="C194" s="108">
        <f t="shared" si="62"/>
        <v>3.5999999999999366E-3</v>
      </c>
      <c r="D194" s="109" t="str">
        <f t="shared" si="63"/>
        <v>/</v>
      </c>
      <c r="E194" s="109">
        <f ca="1">IF(表2_3671626293038912131415232425262728[[#This Row],[累计净值]]/MAX(INDIRECT("B21:B" &amp; ROW()))-1&lt;E193,表2_3671626293038912131415232425262728[[#This Row],[累计净值]]/MAX(INDIRECT("B21:B" &amp; ROW()))-1,E193)</f>
        <v>-0.11789493398258277</v>
      </c>
      <c r="F194" s="110">
        <f>表2_3671626293038912131415232425262728[[#This Row],[累计净值]]</f>
        <v>0.96419999999999995</v>
      </c>
      <c r="G194" s="20">
        <f>表2_3671626293038912131415232425262728[[#This Row],[累计净值]]/$B$21-1</f>
        <v>-3.464156988386069E-2</v>
      </c>
    </row>
    <row r="195" spans="1:7" x14ac:dyDescent="0.2">
      <c r="A195" s="15">
        <v>44327</v>
      </c>
      <c r="B195" s="112">
        <v>0.96799999999999997</v>
      </c>
      <c r="C195" s="108">
        <f t="shared" si="62"/>
        <v>3.8000000000000256E-3</v>
      </c>
      <c r="D195" s="109" t="str">
        <f t="shared" si="63"/>
        <v>/</v>
      </c>
      <c r="E195" s="109">
        <f ca="1">IF(表2_3671626293038912131415232425262728[[#This Row],[累计净值]]/MAX(INDIRECT("B21:B" &amp; ROW()))-1&lt;E194,表2_3671626293038912131415232425262728[[#This Row],[累计净值]]/MAX(INDIRECT("B21:B" &amp; ROW()))-1,E194)</f>
        <v>-0.11789493398258277</v>
      </c>
      <c r="F195" s="110">
        <f>表2_3671626293038912131415232425262728[[#This Row],[累计净值]]</f>
        <v>0.96799999999999997</v>
      </c>
      <c r="G195" s="20">
        <f>表2_3671626293038912131415232425262728[[#This Row],[累计净值]]/$B$21-1</f>
        <v>-3.0837004405286361E-2</v>
      </c>
    </row>
    <row r="196" spans="1:7" x14ac:dyDescent="0.2">
      <c r="A196" s="15">
        <v>44328</v>
      </c>
      <c r="B196" s="112">
        <v>0.96899999999999997</v>
      </c>
      <c r="C196" s="108">
        <f t="shared" si="62"/>
        <v>1.0000000000000009E-3</v>
      </c>
      <c r="D196" s="109" t="str">
        <f t="shared" si="63"/>
        <v>/</v>
      </c>
      <c r="E196" s="109">
        <f ca="1">IF(表2_3671626293038912131415232425262728[[#This Row],[累计净值]]/MAX(INDIRECT("B21:B" &amp; ROW()))-1&lt;E195,表2_3671626293038912131415232425262728[[#This Row],[累计净值]]/MAX(INDIRECT("B21:B" &amp; ROW()))-1,E195)</f>
        <v>-0.11789493398258277</v>
      </c>
      <c r="F196" s="110">
        <f>表2_3671626293038912131415232425262728[[#This Row],[累计净值]]</f>
        <v>0.96899999999999997</v>
      </c>
      <c r="G196" s="20">
        <f>表2_3671626293038912131415232425262728[[#This Row],[累计净值]]/$B$21-1</f>
        <v>-2.9835802963556368E-2</v>
      </c>
    </row>
    <row r="197" spans="1:7" x14ac:dyDescent="0.2">
      <c r="A197" s="15">
        <v>44329</v>
      </c>
      <c r="B197" s="112">
        <v>0.96799999999999997</v>
      </c>
      <c r="C197" s="108">
        <f t="shared" si="62"/>
        <v>-1.0000000000000009E-3</v>
      </c>
      <c r="D197" s="109">
        <f t="shared" si="63"/>
        <v>-1.0000000000000009E-3</v>
      </c>
      <c r="E197" s="109">
        <f ca="1">IF(表2_3671626293038912131415232425262728[[#This Row],[累计净值]]/MAX(INDIRECT("B21:B" &amp; ROW()))-1&lt;E196,表2_3671626293038912131415232425262728[[#This Row],[累计净值]]/MAX(INDIRECT("B21:B" &amp; ROW()))-1,E196)</f>
        <v>-0.11789493398258277</v>
      </c>
      <c r="F197" s="110">
        <f>表2_3671626293038912131415232425262728[[#This Row],[累计净值]]</f>
        <v>0.96799999999999997</v>
      </c>
      <c r="G197" s="20">
        <f>表2_3671626293038912131415232425262728[[#This Row],[累计净值]]/$B$21-1</f>
        <v>-3.0837004405286361E-2</v>
      </c>
    </row>
    <row r="198" spans="1:7" x14ac:dyDescent="0.2">
      <c r="A198" s="15">
        <v>44330</v>
      </c>
      <c r="B198" s="112">
        <v>0.97119999999999995</v>
      </c>
      <c r="C198" s="108">
        <f t="shared" si="62"/>
        <v>3.1999999999999806E-3</v>
      </c>
      <c r="D198" s="109" t="str">
        <f t="shared" si="63"/>
        <v>/</v>
      </c>
      <c r="E198" s="109">
        <f ca="1">IF(表2_3671626293038912131415232425262728[[#This Row],[累计净值]]/MAX(INDIRECT("B21:B" &amp; ROW()))-1&lt;E197,表2_3671626293038912131415232425262728[[#This Row],[累计净值]]/MAX(INDIRECT("B21:B" &amp; ROW()))-1,E197)</f>
        <v>-0.11789493398258277</v>
      </c>
      <c r="F198" s="110">
        <f>表2_3671626293038912131415232425262728[[#This Row],[累计净值]]</f>
        <v>0.97119999999999995</v>
      </c>
      <c r="G198" s="20">
        <f>表2_3671626293038912131415232425262728[[#This Row],[累计净值]]/$B$21-1</f>
        <v>-2.7633159791750184E-2</v>
      </c>
    </row>
  </sheetData>
  <mergeCells count="1">
    <mergeCell ref="G2:G3"/>
  </mergeCells>
  <phoneticPr fontId="24" type="noConversion"/>
  <pageMargins left="0.7" right="0.7" top="0.75" bottom="0.75" header="0.3" footer="0.3"/>
  <pageSetup paperSize="9" orientation="portrait" horizontalDpi="200" verticalDpi="200" r:id="rId1"/>
  <drawing r:id="rId2"/>
  <tableParts count="1">
    <tablePart r:id="rId3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1"/>
  </sheetPr>
  <dimension ref="A1:I403"/>
  <sheetViews>
    <sheetView workbookViewId="0">
      <pane xSplit="1" ySplit="20" topLeftCell="B392" activePane="bottomRight" state="frozen"/>
      <selection pane="topRight" activeCell="B1" sqref="B1"/>
      <selection pane="bottomLeft" activeCell="A21" sqref="A21"/>
      <selection pane="bottomRight" activeCell="A403" sqref="A403"/>
    </sheetView>
  </sheetViews>
  <sheetFormatPr defaultColWidth="9" defaultRowHeight="14.25" x14ac:dyDescent="0.2"/>
  <cols>
    <col min="1" max="1" width="11.625" style="1" bestFit="1" customWidth="1"/>
    <col min="2" max="2" width="13" style="1" customWidth="1"/>
    <col min="3" max="4" width="13.5" style="1" bestFit="1" customWidth="1"/>
    <col min="5" max="5" width="10.75" style="1" customWidth="1"/>
    <col min="6" max="6" width="11.125" style="1" customWidth="1"/>
    <col min="7" max="7" width="18.875" style="2" customWidth="1"/>
    <col min="8" max="8" width="9" style="1"/>
    <col min="9" max="9" width="14.25" style="1" customWidth="1"/>
    <col min="10" max="10" width="12" style="1" bestFit="1" customWidth="1"/>
    <col min="11" max="16384" width="9" style="1"/>
  </cols>
  <sheetData>
    <row r="1" spans="1:7" ht="15" thickBot="1" x14ac:dyDescent="0.25"/>
    <row r="2" spans="1:7" ht="15" thickBot="1" x14ac:dyDescent="0.25">
      <c r="A2" s="23" t="s">
        <v>0</v>
      </c>
      <c r="B2" s="24">
        <f>COUNT(表2_36716262930381011[每日盈亏])</f>
        <v>383</v>
      </c>
      <c r="C2" s="27"/>
      <c r="D2" s="3" t="s">
        <v>1</v>
      </c>
      <c r="E2" s="28"/>
      <c r="F2" s="1" t="s">
        <v>2</v>
      </c>
      <c r="G2" s="394" t="s">
        <v>3</v>
      </c>
    </row>
    <row r="3" spans="1:7" x14ac:dyDescent="0.2">
      <c r="A3" s="25" t="s">
        <v>4</v>
      </c>
      <c r="B3" s="26">
        <f>COUNTIF(表2_36716262930381011[每日盈亏],"&gt;0")</f>
        <v>208</v>
      </c>
      <c r="C3" s="29"/>
      <c r="D3" s="30" t="s">
        <v>5</v>
      </c>
      <c r="E3" s="31">
        <f>245^0.5*(B10-0.025/365)/E10</f>
        <v>1.1300882985113099</v>
      </c>
      <c r="G3" s="394"/>
    </row>
    <row r="4" spans="1:7" x14ac:dyDescent="0.2">
      <c r="A4" s="25" t="s">
        <v>6</v>
      </c>
      <c r="B4" s="26">
        <f>COUNTIF(表2_36716262930381011[每日盈亏],"&lt;0")</f>
        <v>168</v>
      </c>
      <c r="C4" s="29"/>
      <c r="D4" s="32" t="s">
        <v>7</v>
      </c>
      <c r="E4" s="31">
        <f ca="1">-B9/E8</f>
        <v>0.82606403950857155</v>
      </c>
      <c r="G4" s="2">
        <f>LOOKUP(999^10,表2_36716262930381011[累计净值])</f>
        <v>1.3607</v>
      </c>
    </row>
    <row r="5" spans="1:7" x14ac:dyDescent="0.2">
      <c r="A5" s="25" t="s">
        <v>8</v>
      </c>
      <c r="B5" s="26">
        <f>B2-B3-B4</f>
        <v>7</v>
      </c>
      <c r="C5" s="29"/>
      <c r="D5" s="33" t="s">
        <v>9</v>
      </c>
      <c r="E5" s="4">
        <f>245^0.5*(B10-0.025/365)/E9</f>
        <v>1.5326293947434044</v>
      </c>
    </row>
    <row r="6" spans="1:7" ht="15" thickBot="1" x14ac:dyDescent="0.25">
      <c r="A6" s="34"/>
      <c r="B6" s="35"/>
      <c r="C6" s="35"/>
      <c r="D6" s="35"/>
      <c r="E6" s="36"/>
    </row>
    <row r="7" spans="1:7" ht="15" thickBot="1" x14ac:dyDescent="0.25">
      <c r="A7" s="5" t="s">
        <v>10</v>
      </c>
      <c r="B7" s="35"/>
      <c r="C7" s="35"/>
      <c r="D7" s="3" t="s">
        <v>11</v>
      </c>
      <c r="E7" s="37"/>
    </row>
    <row r="8" spans="1:7" x14ac:dyDescent="0.2">
      <c r="A8" s="38" t="s">
        <v>12</v>
      </c>
      <c r="B8" s="39">
        <f>LOOKUP(999^10,表2_36716262930381011[持有涨跌幅])</f>
        <v>8.3150000000000057E-2</v>
      </c>
      <c r="C8" s="40"/>
      <c r="D8" s="30" t="s">
        <v>13</v>
      </c>
      <c r="E8" s="41">
        <f ca="1">MIN(表2_36716262930381011[最大回撤])</f>
        <v>-6.4389617798060517E-2</v>
      </c>
    </row>
    <row r="9" spans="1:7" x14ac:dyDescent="0.2">
      <c r="A9" s="25" t="s">
        <v>14</v>
      </c>
      <c r="B9" s="32">
        <f>B8*245/B2</f>
        <v>5.3189947780678884E-2</v>
      </c>
      <c r="C9" s="40"/>
      <c r="D9" s="33" t="s">
        <v>15</v>
      </c>
      <c r="E9" s="6">
        <f>STDEV(表2_36716262930381011[下跌幅度])</f>
        <v>3.8762636947151236E-3</v>
      </c>
    </row>
    <row r="10" spans="1:7" x14ac:dyDescent="0.2">
      <c r="A10" s="42" t="s">
        <v>16</v>
      </c>
      <c r="B10" s="43">
        <f>AVERAGE(表2_36716262930381011[每日盈亏])</f>
        <v>4.4804177545691899E-4</v>
      </c>
      <c r="C10" s="44"/>
      <c r="D10" s="33" t="s">
        <v>17</v>
      </c>
      <c r="E10" s="6">
        <f>STDEV(表2_36716262930381011[每日盈亏])</f>
        <v>5.2570013229259324E-3</v>
      </c>
    </row>
    <row r="11" spans="1:7" x14ac:dyDescent="0.2">
      <c r="A11" s="7" t="s">
        <v>18</v>
      </c>
      <c r="B11" s="32">
        <f>B3/B2</f>
        <v>0.54308093994778073</v>
      </c>
      <c r="C11" s="40"/>
      <c r="D11" s="32" t="s">
        <v>19</v>
      </c>
      <c r="E11" s="41">
        <f>245^0.5*E10</f>
        <v>8.2285086211080966E-2</v>
      </c>
    </row>
    <row r="12" spans="1:7" ht="15" thickBot="1" x14ac:dyDescent="0.25">
      <c r="A12" s="45" t="s">
        <v>20</v>
      </c>
      <c r="B12" s="46">
        <f>-(SUMIF(表2_36716262930381011[每日盈亏],"&gt;=0")/B3)/(SUMIF(表2_36716262930381011[每日盈亏],"&lt;0")/B4)</f>
        <v>1.0181706676011917</v>
      </c>
      <c r="C12" s="47"/>
      <c r="D12" s="48"/>
      <c r="E12" s="49"/>
    </row>
    <row r="14" spans="1:7" ht="28.5" x14ac:dyDescent="0.2">
      <c r="A14" s="50" t="s">
        <v>21</v>
      </c>
      <c r="B14" s="50" t="s">
        <v>14</v>
      </c>
      <c r="C14" s="51" t="s">
        <v>19</v>
      </c>
      <c r="D14" s="51" t="s">
        <v>13</v>
      </c>
      <c r="E14" s="51" t="s">
        <v>5</v>
      </c>
      <c r="F14" s="51" t="s">
        <v>7</v>
      </c>
    </row>
    <row r="15" spans="1:7" x14ac:dyDescent="0.2">
      <c r="A15" s="52">
        <f>B2</f>
        <v>383</v>
      </c>
      <c r="B15" s="53">
        <f>B9</f>
        <v>5.3189947780678884E-2</v>
      </c>
      <c r="C15" s="53">
        <f>E11</f>
        <v>8.2285086211080966E-2</v>
      </c>
      <c r="D15" s="53">
        <f ca="1">E8</f>
        <v>-6.4389617798060517E-2</v>
      </c>
      <c r="E15" s="54">
        <f>E3</f>
        <v>1.1300882985113099</v>
      </c>
      <c r="F15" s="54">
        <f ca="1">E4</f>
        <v>0.82606403950857155</v>
      </c>
    </row>
    <row r="19" spans="1:7" x14ac:dyDescent="0.2">
      <c r="A19" s="8"/>
      <c r="B19" s="1" t="s">
        <v>22</v>
      </c>
    </row>
    <row r="20" spans="1:7" ht="15.75" x14ac:dyDescent="0.2">
      <c r="A20" s="22" t="s">
        <v>23</v>
      </c>
      <c r="B20" s="22" t="s">
        <v>24</v>
      </c>
      <c r="C20" s="22" t="s">
        <v>25</v>
      </c>
      <c r="D20" s="22" t="s">
        <v>26</v>
      </c>
      <c r="E20" s="22" t="s">
        <v>27</v>
      </c>
      <c r="F20" s="22" t="s">
        <v>28</v>
      </c>
      <c r="G20" s="22" t="s">
        <v>29</v>
      </c>
    </row>
    <row r="21" spans="1:7" x14ac:dyDescent="0.2">
      <c r="A21" s="15">
        <v>43747</v>
      </c>
      <c r="B21" s="10">
        <v>1.1866000000000001</v>
      </c>
      <c r="C21" s="11">
        <f>IFERROR(B21-B20,0)</f>
        <v>0</v>
      </c>
      <c r="D21" s="12" t="str">
        <f>IF(C21&lt;0,C21,"/")</f>
        <v>/</v>
      </c>
      <c r="E21" s="12">
        <f ca="1">IF(表2_36716262930381011[[#This Row],[累计净值]]/MAX(INDIRECT("B21:B" &amp; ROW()))-1&lt;E20,表2_36716262930381011[[#This Row],[累计净值]]/MAX(INDIRECT("B21:B" &amp; ROW()))-1,E20)</f>
        <v>0</v>
      </c>
      <c r="F21" s="13">
        <v>1.0851</v>
      </c>
      <c r="G21" s="14" t="s">
        <v>30</v>
      </c>
    </row>
    <row r="22" spans="1:7" x14ac:dyDescent="0.2">
      <c r="A22" s="77">
        <v>43748</v>
      </c>
      <c r="B22" s="76">
        <v>1.194</v>
      </c>
      <c r="C22" s="17">
        <f>IFERROR(B22-B21,0)</f>
        <v>7.3999999999998511E-3</v>
      </c>
      <c r="D22" s="18" t="str">
        <f>IF(C22&lt;0,C22,"/")</f>
        <v>/</v>
      </c>
      <c r="E22" s="18">
        <f ca="1">IF(表2_36716262930381011[[#This Row],[累计净值]]/MAX(INDIRECT("B21:B" &amp; ROW()))-1&lt;E21,表2_36716262930381011[[#This Row],[累计净值]]/MAX(INDIRECT("B21:B" &amp; ROW()))-1,E21)</f>
        <v>0</v>
      </c>
      <c r="F22" s="21">
        <v>1.0925</v>
      </c>
      <c r="G22" s="20">
        <f>IF(F22/$F$21-1&gt;0,0.5*(F22/$F$21-1),F22/$F$21-1)</f>
        <v>3.4098239793567409E-3</v>
      </c>
    </row>
    <row r="23" spans="1:7" x14ac:dyDescent="0.2">
      <c r="A23" s="15">
        <v>43749</v>
      </c>
      <c r="B23" s="16">
        <v>1.1895</v>
      </c>
      <c r="C23" s="17">
        <f>IFERROR(B23-B22,0)</f>
        <v>-4.4999999999999485E-3</v>
      </c>
      <c r="D23" s="18">
        <f>IF(C23&lt;0,C23,"/")</f>
        <v>-4.4999999999999485E-3</v>
      </c>
      <c r="E23" s="18">
        <f ca="1">IF(表2_36716262930381011[[#This Row],[累计净值]]/MAX(INDIRECT("B21:B" &amp; ROW()))-1&lt;E22,表2_36716262930381011[[#This Row],[累计净值]]/MAX(INDIRECT("B21:B" &amp; ROW()))-1,E22)</f>
        <v>-3.7688442211054607E-3</v>
      </c>
      <c r="F23" s="21">
        <v>1.0880000000000001</v>
      </c>
      <c r="G23" s="20">
        <f t="shared" ref="G23:G52" si="0">IF(F23/$F$21-1&gt;0,0.5*(F23/$F$21-1),F23/$F$21-1)</f>
        <v>1.3362823702884885E-3</v>
      </c>
    </row>
    <row r="24" spans="1:7" x14ac:dyDescent="0.2">
      <c r="A24" s="15">
        <v>43752</v>
      </c>
      <c r="B24" s="16">
        <v>1.1919999999999999</v>
      </c>
      <c r="C24" s="17">
        <f>IFERROR(B24-#REF!,0)</f>
        <v>0</v>
      </c>
      <c r="D24" s="18" t="str">
        <f t="shared" ref="D24:D29" si="1">IF(C24&lt;0,C24,"/")</f>
        <v>/</v>
      </c>
      <c r="E24" s="18">
        <f ca="1">IF(表2_36716262930381011[[#This Row],[累计净值]]/MAX(INDIRECT("B21:B" &amp; ROW()))-1&lt;E23,表2_36716262930381011[[#This Row],[累计净值]]/MAX(INDIRECT("B21:B" &amp; ROW()))-1,E23)</f>
        <v>-3.7688442211054607E-3</v>
      </c>
      <c r="F24" s="62">
        <v>1.0905</v>
      </c>
      <c r="G24" s="20">
        <f t="shared" si="0"/>
        <v>2.488249930881925E-3</v>
      </c>
    </row>
    <row r="25" spans="1:7" x14ac:dyDescent="0.2">
      <c r="A25" s="15">
        <v>43753</v>
      </c>
      <c r="B25" s="16">
        <v>1.1865000000000001</v>
      </c>
      <c r="C25" s="61">
        <f t="shared" ref="C25:C30" si="2">IFERROR(B25-B24,0)</f>
        <v>-5.4999999999998384E-3</v>
      </c>
      <c r="D25" s="18">
        <f t="shared" si="1"/>
        <v>-5.4999999999998384E-3</v>
      </c>
      <c r="E25" s="18">
        <f ca="1">IF(表2_36716262930381011[[#This Row],[累计净值]]/MAX(INDIRECT("B21:B" &amp; ROW()))-1&lt;E24,表2_36716262930381011[[#This Row],[累计净值]]/MAX(INDIRECT("B21:B" &amp; ROW()))-1,E24)</f>
        <v>-6.2814070351757678E-3</v>
      </c>
      <c r="F25" s="62">
        <v>1.085</v>
      </c>
      <c r="G25" s="20">
        <f t="shared" si="0"/>
        <v>-9.2157404847470481E-5</v>
      </c>
    </row>
    <row r="26" spans="1:7" x14ac:dyDescent="0.2">
      <c r="A26" s="15">
        <v>43754</v>
      </c>
      <c r="B26" s="16">
        <v>1.1878</v>
      </c>
      <c r="C26" s="61">
        <f t="shared" si="2"/>
        <v>1.2999999999998568E-3</v>
      </c>
      <c r="D26" s="18" t="str">
        <f t="shared" si="1"/>
        <v>/</v>
      </c>
      <c r="E26" s="18">
        <f ca="1">IF(表2_36716262930381011[[#This Row],[累计净值]]/MAX(INDIRECT("B21:B" &amp; ROW()))-1&lt;E25,表2_36716262930381011[[#This Row],[累计净值]]/MAX(INDIRECT("B21:B" &amp; ROW()))-1,E25)</f>
        <v>-6.2814070351757678E-3</v>
      </c>
      <c r="F26" s="62">
        <v>1.0863</v>
      </c>
      <c r="G26" s="20">
        <f t="shared" si="0"/>
        <v>5.5294442908493391E-4</v>
      </c>
    </row>
    <row r="27" spans="1:7" x14ac:dyDescent="0.2">
      <c r="A27" s="15">
        <v>43755</v>
      </c>
      <c r="B27" s="16">
        <v>1.1907000000000001</v>
      </c>
      <c r="C27" s="61">
        <f t="shared" si="2"/>
        <v>2.9000000000001247E-3</v>
      </c>
      <c r="D27" s="18" t="str">
        <f t="shared" si="1"/>
        <v>/</v>
      </c>
      <c r="E27" s="18">
        <f ca="1">IF(表2_36716262930381011[[#This Row],[累计净值]]/MAX(INDIRECT("B21:B" &amp; ROW()))-1&lt;E26,表2_36716262930381011[[#This Row],[累计净值]]/MAX(INDIRECT("B21:B" &amp; ROW()))-1,E26)</f>
        <v>-6.2814070351757678E-3</v>
      </c>
      <c r="F27" s="62">
        <v>1.0891999999999999</v>
      </c>
      <c r="G27" s="20">
        <f t="shared" si="0"/>
        <v>1.8892267993733114E-3</v>
      </c>
    </row>
    <row r="28" spans="1:7" x14ac:dyDescent="0.2">
      <c r="A28" s="15">
        <v>43756</v>
      </c>
      <c r="B28" s="16">
        <v>1.1907000000000001</v>
      </c>
      <c r="C28" s="61">
        <f t="shared" si="2"/>
        <v>0</v>
      </c>
      <c r="D28" s="18" t="str">
        <f t="shared" si="1"/>
        <v>/</v>
      </c>
      <c r="E28" s="18">
        <f ca="1">IF(表2_36716262930381011[[#This Row],[累计净值]]/MAX(INDIRECT("B21:B" &amp; ROW()))-1&lt;E27,表2_36716262930381011[[#This Row],[累计净值]]/MAX(INDIRECT("B21:B" &amp; ROW()))-1,E27)</f>
        <v>-6.2814070351757678E-3</v>
      </c>
      <c r="F28" s="62">
        <v>1.0891999999999999</v>
      </c>
      <c r="G28" s="20">
        <f t="shared" si="0"/>
        <v>1.8892267993733114E-3</v>
      </c>
    </row>
    <row r="29" spans="1:7" x14ac:dyDescent="0.2">
      <c r="A29" s="15">
        <v>43759</v>
      </c>
      <c r="B29" s="16">
        <v>1.1888000000000001</v>
      </c>
      <c r="C29" s="73">
        <f t="shared" si="2"/>
        <v>-1.9000000000000128E-3</v>
      </c>
      <c r="D29" s="18">
        <f t="shared" si="1"/>
        <v>-1.9000000000000128E-3</v>
      </c>
      <c r="E29" s="18">
        <f ca="1">IF(表2_36716262930381011[[#This Row],[累计净值]]/MAX(INDIRECT("B21:B" &amp; ROW()))-1&lt;E28,表2_36716262930381011[[#This Row],[累计净值]]/MAX(INDIRECT("B21:B" &amp; ROW()))-1,E28)</f>
        <v>-6.2814070351757678E-3</v>
      </c>
      <c r="F29" s="62">
        <v>1.0872999999999999</v>
      </c>
      <c r="G29" s="20">
        <f t="shared" si="0"/>
        <v>1.0137314533222863E-3</v>
      </c>
    </row>
    <row r="30" spans="1:7" x14ac:dyDescent="0.2">
      <c r="A30" s="15">
        <v>43760</v>
      </c>
      <c r="B30" s="16">
        <v>1.1913</v>
      </c>
      <c r="C30" s="73">
        <f t="shared" si="2"/>
        <v>2.4999999999999467E-3</v>
      </c>
      <c r="D30" s="18" t="str">
        <f t="shared" ref="D30:D36" si="3">IF(C30&lt;0,C30,"/")</f>
        <v>/</v>
      </c>
      <c r="E30" s="18">
        <f ca="1">IF(表2_36716262930381011[[#This Row],[累计净值]]/MAX(INDIRECT("B21:B" &amp; ROW()))-1&lt;E29,表2_36716262930381011[[#This Row],[累计净值]]/MAX(INDIRECT("B21:B" &amp; ROW()))-1,E29)</f>
        <v>-6.2814070351757678E-3</v>
      </c>
      <c r="F30" s="62">
        <v>1.0898000000000001</v>
      </c>
      <c r="G30" s="20">
        <f t="shared" si="0"/>
        <v>2.1656990139158339E-3</v>
      </c>
    </row>
    <row r="31" spans="1:7" x14ac:dyDescent="0.2">
      <c r="A31" s="15">
        <v>43761</v>
      </c>
      <c r="B31" s="16">
        <v>1.1896</v>
      </c>
      <c r="C31" s="73">
        <f t="shared" ref="C31:C36" si="4">IFERROR(B31-B30,0)</f>
        <v>-1.7000000000000348E-3</v>
      </c>
      <c r="D31" s="18">
        <f t="shared" si="3"/>
        <v>-1.7000000000000348E-3</v>
      </c>
      <c r="E31" s="18">
        <f ca="1">IF(表2_36716262930381011[[#This Row],[累计净值]]/MAX(INDIRECT("B21:B" &amp; ROW()))-1&lt;E30,表2_36716262930381011[[#This Row],[累计净值]]/MAX(INDIRECT("B21:B" &amp; ROW()))-1,E30)</f>
        <v>-6.2814070351757678E-3</v>
      </c>
      <c r="F31" s="62">
        <v>1.0881000000000001</v>
      </c>
      <c r="G31" s="20">
        <f t="shared" si="0"/>
        <v>1.3823610727122793E-3</v>
      </c>
    </row>
    <row r="32" spans="1:7" x14ac:dyDescent="0.2">
      <c r="A32" s="15">
        <v>43762</v>
      </c>
      <c r="B32" s="16">
        <v>1.1884999999999999</v>
      </c>
      <c r="C32" s="73">
        <f t="shared" si="4"/>
        <v>-1.1000000000001009E-3</v>
      </c>
      <c r="D32" s="18">
        <f t="shared" si="3"/>
        <v>-1.1000000000001009E-3</v>
      </c>
      <c r="E32" s="18">
        <f ca="1">IF(表2_36716262930381011[[#This Row],[累计净值]]/MAX(INDIRECT("B21:B" &amp; ROW()))-1&lt;E31,表2_36716262930381011[[#This Row],[累计净值]]/MAX(INDIRECT("B21:B" &amp; ROW()))-1,E31)</f>
        <v>-6.2814070351757678E-3</v>
      </c>
      <c r="F32" s="62">
        <v>1.087</v>
      </c>
      <c r="G32" s="20">
        <f t="shared" si="0"/>
        <v>8.7549534605102508E-4</v>
      </c>
    </row>
    <row r="33" spans="1:9" x14ac:dyDescent="0.2">
      <c r="A33" s="15">
        <v>43763</v>
      </c>
      <c r="B33" s="16">
        <v>1.1896</v>
      </c>
      <c r="C33" s="73">
        <f t="shared" si="4"/>
        <v>1.1000000000001009E-3</v>
      </c>
      <c r="D33" s="18" t="str">
        <f t="shared" si="3"/>
        <v>/</v>
      </c>
      <c r="E33" s="18">
        <f ca="1">IF(表2_36716262930381011[[#This Row],[累计净值]]/MAX(INDIRECT("B21:B" &amp; ROW()))-1&lt;E32,表2_36716262930381011[[#This Row],[累计净值]]/MAX(INDIRECT("B21:B" &amp; ROW()))-1,E32)</f>
        <v>-6.2814070351757678E-3</v>
      </c>
      <c r="F33" s="62">
        <v>1.0881000000000001</v>
      </c>
      <c r="G33" s="20">
        <f t="shared" si="0"/>
        <v>1.3823610727122793E-3</v>
      </c>
    </row>
    <row r="34" spans="1:9" x14ac:dyDescent="0.2">
      <c r="A34" s="15">
        <v>43766</v>
      </c>
      <c r="B34" s="16">
        <v>1.1970000000000001</v>
      </c>
      <c r="C34" s="73">
        <f t="shared" si="4"/>
        <v>7.4000000000000732E-3</v>
      </c>
      <c r="D34" s="18" t="str">
        <f t="shared" si="3"/>
        <v>/</v>
      </c>
      <c r="E34" s="18">
        <f ca="1">IF(表2_36716262930381011[[#This Row],[累计净值]]/MAX(INDIRECT("B21:B" &amp; ROW()))-1&lt;E33,表2_36716262930381011[[#This Row],[累计净值]]/MAX(INDIRECT("B21:B" &amp; ROW()))-1,E33)</f>
        <v>-6.2814070351757678E-3</v>
      </c>
      <c r="F34" s="62">
        <v>1.0954999999999999</v>
      </c>
      <c r="G34" s="20">
        <f t="shared" si="0"/>
        <v>4.7921850520689091E-3</v>
      </c>
    </row>
    <row r="35" spans="1:9" x14ac:dyDescent="0.2">
      <c r="A35" s="15">
        <v>43767</v>
      </c>
      <c r="B35" s="16">
        <v>1.1953</v>
      </c>
      <c r="C35" s="73">
        <f t="shared" si="4"/>
        <v>-1.7000000000000348E-3</v>
      </c>
      <c r="D35" s="18">
        <f t="shared" si="3"/>
        <v>-1.7000000000000348E-3</v>
      </c>
      <c r="E35" s="18">
        <f ca="1">IF(表2_36716262930381011[[#This Row],[累计净值]]/MAX(INDIRECT("B21:B" &amp; ROW()))-1&lt;E34,表2_36716262930381011[[#This Row],[累计净值]]/MAX(INDIRECT("B21:B" &amp; ROW()))-1,E34)</f>
        <v>-6.2814070351757678E-3</v>
      </c>
      <c r="F35" s="62">
        <v>1.0938000000000001</v>
      </c>
      <c r="G35" s="20">
        <f t="shared" si="0"/>
        <v>4.0088471108654655E-3</v>
      </c>
    </row>
    <row r="36" spans="1:9" x14ac:dyDescent="0.2">
      <c r="A36" s="15">
        <v>43768</v>
      </c>
      <c r="B36" s="76">
        <v>1.1996</v>
      </c>
      <c r="C36" s="73">
        <f t="shared" si="4"/>
        <v>4.2999999999999705E-3</v>
      </c>
      <c r="D36" s="18" t="str">
        <f t="shared" si="3"/>
        <v>/</v>
      </c>
      <c r="E36" s="18">
        <f ca="1">IF(表2_36716262930381011[[#This Row],[累计净值]]/MAX(INDIRECT("B21:B" &amp; ROW()))-1&lt;E35,表2_36716262930381011[[#This Row],[累计净值]]/MAX(INDIRECT("B21:B" &amp; ROW()))-1,E35)</f>
        <v>-6.2814070351757678E-3</v>
      </c>
      <c r="F36" s="62">
        <v>1.0981000000000001</v>
      </c>
      <c r="G36" s="20">
        <f t="shared" si="0"/>
        <v>5.9902313150862474E-3</v>
      </c>
    </row>
    <row r="37" spans="1:9" x14ac:dyDescent="0.2">
      <c r="A37" s="15">
        <v>43769</v>
      </c>
      <c r="B37" s="16">
        <v>1.1956</v>
      </c>
      <c r="C37" s="73">
        <f t="shared" ref="C37:C42" si="5">IFERROR(B37-B36,0)</f>
        <v>-4.0000000000000036E-3</v>
      </c>
      <c r="D37" s="18">
        <f t="shared" ref="D37:D42" si="6">IF(C37&lt;0,C37,"/")</f>
        <v>-4.0000000000000036E-3</v>
      </c>
      <c r="E37" s="18">
        <f ca="1">IF(表2_36716262930381011[[#This Row],[累计净值]]/MAX(INDIRECT("B21:B" &amp; ROW()))-1&lt;E36,表2_36716262930381011[[#This Row],[累计净值]]/MAX(INDIRECT("B21:B" &amp; ROW()))-1,E36)</f>
        <v>-6.2814070351757678E-3</v>
      </c>
      <c r="F37" s="62">
        <v>1.0941000000000001</v>
      </c>
      <c r="G37" s="20">
        <f t="shared" si="0"/>
        <v>4.1470832181366157E-3</v>
      </c>
    </row>
    <row r="38" spans="1:9" x14ac:dyDescent="0.2">
      <c r="A38" s="15">
        <v>43770</v>
      </c>
      <c r="B38" s="16">
        <v>1.1966000000000001</v>
      </c>
      <c r="C38" s="73">
        <f t="shared" si="5"/>
        <v>1.0000000000001119E-3</v>
      </c>
      <c r="D38" s="18" t="str">
        <f t="shared" si="6"/>
        <v>/</v>
      </c>
      <c r="E38" s="18">
        <f ca="1">IF(表2_36716262930381011[[#This Row],[累计净值]]/MAX(INDIRECT("B21:B" &amp; ROW()))-1&lt;E37,表2_36716262930381011[[#This Row],[累计净值]]/MAX(INDIRECT("B21:B" &amp; ROW()))-1,E37)</f>
        <v>-6.2814070351757678E-3</v>
      </c>
      <c r="F38" s="62">
        <v>1.0951</v>
      </c>
      <c r="G38" s="20">
        <f t="shared" si="0"/>
        <v>4.6078702423739681E-3</v>
      </c>
      <c r="I38" s="60"/>
    </row>
    <row r="39" spans="1:9" x14ac:dyDescent="0.2">
      <c r="A39" s="15">
        <v>43773</v>
      </c>
      <c r="B39" s="76">
        <v>1.2010000000000001</v>
      </c>
      <c r="C39" s="73">
        <f t="shared" si="5"/>
        <v>4.3999999999999595E-3</v>
      </c>
      <c r="D39" s="18" t="str">
        <f t="shared" si="6"/>
        <v>/</v>
      </c>
      <c r="E39" s="18">
        <f ca="1">IF(表2_36716262930381011[[#This Row],[累计净值]]/MAX(INDIRECT("B21:B" &amp; ROW()))-1&lt;E38,表2_36716262930381011[[#This Row],[累计净值]]/MAX(INDIRECT("B21:B" &amp; ROW()))-1,E38)</f>
        <v>-6.2814070351757678E-3</v>
      </c>
      <c r="F39" s="62">
        <v>1.0994999999999999</v>
      </c>
      <c r="G39" s="20">
        <f t="shared" si="0"/>
        <v>6.6353331490185408E-3</v>
      </c>
    </row>
    <row r="40" spans="1:9" x14ac:dyDescent="0.2">
      <c r="A40" s="15">
        <v>43774</v>
      </c>
      <c r="B40" s="16">
        <v>1.1980999999999999</v>
      </c>
      <c r="C40" s="73">
        <f t="shared" si="5"/>
        <v>-2.9000000000001247E-3</v>
      </c>
      <c r="D40" s="18">
        <f t="shared" si="6"/>
        <v>-2.9000000000001247E-3</v>
      </c>
      <c r="E40" s="18">
        <f ca="1">IF(表2_36716262930381011[[#This Row],[累计净值]]/MAX(INDIRECT("B21:B" &amp; ROW()))-1&lt;E39,表2_36716262930381011[[#This Row],[累计净值]]/MAX(INDIRECT("B21:B" &amp; ROW()))-1,E39)</f>
        <v>-6.2814070351757678E-3</v>
      </c>
      <c r="F40" s="62">
        <v>1.0966</v>
      </c>
      <c r="G40" s="20">
        <f t="shared" si="0"/>
        <v>5.2990507787300523E-3</v>
      </c>
    </row>
    <row r="41" spans="1:9" x14ac:dyDescent="0.2">
      <c r="A41" s="15">
        <v>43775</v>
      </c>
      <c r="B41" s="16">
        <v>1.196</v>
      </c>
      <c r="C41" s="73">
        <f t="shared" si="5"/>
        <v>-2.0999999999999908E-3</v>
      </c>
      <c r="D41" s="18">
        <f t="shared" si="6"/>
        <v>-2.0999999999999908E-3</v>
      </c>
      <c r="E41" s="18">
        <f ca="1">IF(表2_36716262930381011[[#This Row],[累计净值]]/MAX(INDIRECT("B21:B" &amp; ROW()))-1&lt;E40,表2_36716262930381011[[#This Row],[累计净值]]/MAX(INDIRECT("B21:B" &amp; ROW()))-1,E40)</f>
        <v>-6.2814070351757678E-3</v>
      </c>
      <c r="F41" s="62">
        <v>1.0945</v>
      </c>
      <c r="G41" s="20">
        <f t="shared" si="0"/>
        <v>4.3313980278315567E-3</v>
      </c>
    </row>
    <row r="42" spans="1:9" x14ac:dyDescent="0.2">
      <c r="A42" s="15">
        <v>43776</v>
      </c>
      <c r="B42" s="16">
        <v>1.1963999999999999</v>
      </c>
      <c r="C42" s="73">
        <f t="shared" si="5"/>
        <v>3.9999999999995595E-4</v>
      </c>
      <c r="D42" s="18" t="str">
        <f t="shared" si="6"/>
        <v>/</v>
      </c>
      <c r="E42" s="18">
        <f ca="1">IF(表2_36716262930381011[[#This Row],[累计净值]]/MAX(INDIRECT("B21:B" &amp; ROW()))-1&lt;E41,表2_36716262930381011[[#This Row],[累计净值]]/MAX(INDIRECT("B21:B" &amp; ROW()))-1,E41)</f>
        <v>-6.2814070351757678E-3</v>
      </c>
      <c r="F42" s="62">
        <v>1.0949</v>
      </c>
      <c r="G42" s="20">
        <f t="shared" si="0"/>
        <v>4.5157128375264977E-3</v>
      </c>
    </row>
    <row r="43" spans="1:9" x14ac:dyDescent="0.2">
      <c r="A43" s="15">
        <v>43777</v>
      </c>
      <c r="B43" s="16">
        <v>1.1953</v>
      </c>
      <c r="C43" s="73">
        <f t="shared" ref="C43:C48" si="7">IFERROR(B43-B42,0)</f>
        <v>-1.0999999999998789E-3</v>
      </c>
      <c r="D43" s="18">
        <f t="shared" ref="D43:D48" si="8">IF(C43&lt;0,C43,"/")</f>
        <v>-1.0999999999998789E-3</v>
      </c>
      <c r="E43" s="18">
        <f ca="1">IF(表2_36716262930381011[[#This Row],[累计净值]]/MAX(INDIRECT("B21:B" &amp; ROW()))-1&lt;E42,表2_36716262930381011[[#This Row],[累计净值]]/MAX(INDIRECT("B21:B" &amp; ROW()))-1,E42)</f>
        <v>-6.2814070351757678E-3</v>
      </c>
      <c r="F43" s="62">
        <v>1.0938000000000001</v>
      </c>
      <c r="G43" s="20">
        <f t="shared" si="0"/>
        <v>4.0088471108654655E-3</v>
      </c>
    </row>
    <row r="44" spans="1:9" x14ac:dyDescent="0.2">
      <c r="A44" s="15">
        <v>43780</v>
      </c>
      <c r="B44" s="16">
        <v>1.1938</v>
      </c>
      <c r="C44" s="73">
        <f t="shared" si="7"/>
        <v>-1.5000000000000568E-3</v>
      </c>
      <c r="D44" s="18">
        <f t="shared" si="8"/>
        <v>-1.5000000000000568E-3</v>
      </c>
      <c r="E44" s="18">
        <f ca="1">IF(表2_36716262930381011[[#This Row],[累计净值]]/MAX(INDIRECT("B21:B" &amp; ROW()))-1&lt;E43,表2_36716262930381011[[#This Row],[累计净值]]/MAX(INDIRECT("B21:B" &amp; ROW()))-1,E43)</f>
        <v>-6.2814070351757678E-3</v>
      </c>
      <c r="F44" s="62">
        <f>表2_36716262930381011[[#This Row],[累计净值]]-0.1015</f>
        <v>1.0923</v>
      </c>
      <c r="G44" s="20">
        <f t="shared" si="0"/>
        <v>3.3176665745092704E-3</v>
      </c>
    </row>
    <row r="45" spans="1:9" x14ac:dyDescent="0.2">
      <c r="A45" s="15">
        <v>43781</v>
      </c>
      <c r="B45" s="16">
        <v>1.1978</v>
      </c>
      <c r="C45" s="73">
        <f t="shared" si="7"/>
        <v>4.0000000000000036E-3</v>
      </c>
      <c r="D45" s="18" t="str">
        <f t="shared" si="8"/>
        <v>/</v>
      </c>
      <c r="E45" s="18">
        <f ca="1">IF(表2_36716262930381011[[#This Row],[累计净值]]/MAX(INDIRECT("B21:B" &amp; ROW()))-1&lt;E44,表2_36716262930381011[[#This Row],[累计净值]]/MAX(INDIRECT("B21:B" &amp; ROW()))-1,E44)</f>
        <v>-6.2814070351757678E-3</v>
      </c>
      <c r="F45" s="62">
        <f>表2_36716262930381011[[#This Row],[累计净值]]-0.1015</f>
        <v>1.0963000000000001</v>
      </c>
      <c r="G45" s="20">
        <f t="shared" si="0"/>
        <v>5.160814671458902E-3</v>
      </c>
    </row>
    <row r="46" spans="1:9" x14ac:dyDescent="0.2">
      <c r="A46" s="15">
        <v>43782</v>
      </c>
      <c r="B46" s="16">
        <v>1.1976</v>
      </c>
      <c r="C46" s="73">
        <f t="shared" si="7"/>
        <v>-1.9999999999997797E-4</v>
      </c>
      <c r="D46" s="18">
        <f t="shared" si="8"/>
        <v>-1.9999999999997797E-4</v>
      </c>
      <c r="E46" s="18">
        <f ca="1">IF(表2_36716262930381011[[#This Row],[累计净值]]/MAX(INDIRECT("B21:B" &amp; ROW()))-1&lt;E45,表2_36716262930381011[[#This Row],[累计净值]]/MAX(INDIRECT("B21:B" &amp; ROW()))-1,E45)</f>
        <v>-6.2814070351757678E-3</v>
      </c>
      <c r="F46" s="62">
        <f>表2_36716262930381011[[#This Row],[累计净值]]-0.1015</f>
        <v>1.0961000000000001</v>
      </c>
      <c r="G46" s="20">
        <f t="shared" si="0"/>
        <v>5.0686572666114316E-3</v>
      </c>
    </row>
    <row r="47" spans="1:9" x14ac:dyDescent="0.2">
      <c r="A47" s="15">
        <v>43783</v>
      </c>
      <c r="B47" s="16">
        <v>1.2030000000000001</v>
      </c>
      <c r="C47" s="73">
        <f t="shared" si="7"/>
        <v>5.4000000000000714E-3</v>
      </c>
      <c r="D47" s="18" t="str">
        <f t="shared" si="8"/>
        <v>/</v>
      </c>
      <c r="E47" s="18">
        <f ca="1">IF(表2_36716262930381011[[#This Row],[累计净值]]/MAX(INDIRECT("B21:B" &amp; ROW()))-1&lt;E46,表2_36716262930381011[[#This Row],[累计净值]]/MAX(INDIRECT("B21:B" &amp; ROW()))-1,E46)</f>
        <v>-6.2814070351757678E-3</v>
      </c>
      <c r="F47" s="62">
        <f>表2_36716262930381011[[#This Row],[累计净值]]-0.1015</f>
        <v>1.1015000000000001</v>
      </c>
      <c r="G47" s="20">
        <f t="shared" si="0"/>
        <v>7.5569071974933566E-3</v>
      </c>
    </row>
    <row r="48" spans="1:9" x14ac:dyDescent="0.2">
      <c r="A48" s="15">
        <v>43784</v>
      </c>
      <c r="B48" s="16">
        <v>1.1994</v>
      </c>
      <c r="C48" s="73">
        <f t="shared" si="7"/>
        <v>-3.6000000000000476E-3</v>
      </c>
      <c r="D48" s="18">
        <f t="shared" si="8"/>
        <v>-3.6000000000000476E-3</v>
      </c>
      <c r="E48" s="18">
        <f ca="1">IF(表2_36716262930381011[[#This Row],[累计净值]]/MAX(INDIRECT("B21:B" &amp; ROW()))-1&lt;E47,表2_36716262930381011[[#This Row],[累计净值]]/MAX(INDIRECT("B21:B" &amp; ROW()))-1,E47)</f>
        <v>-6.2814070351757678E-3</v>
      </c>
      <c r="F48" s="62">
        <f>表2_36716262930381011[[#This Row],[累计净值]]-0.1015</f>
        <v>1.0979000000000001</v>
      </c>
      <c r="G48" s="20">
        <f t="shared" si="0"/>
        <v>5.8980739102387769E-3</v>
      </c>
    </row>
    <row r="49" spans="1:7" x14ac:dyDescent="0.2">
      <c r="A49" s="15">
        <v>43787</v>
      </c>
      <c r="B49" s="16">
        <v>1.2039</v>
      </c>
      <c r="C49" s="73">
        <f t="shared" ref="C49:C54" si="9">IFERROR(B49-B48,0)</f>
        <v>4.4999999999999485E-3</v>
      </c>
      <c r="D49" s="18" t="str">
        <f t="shared" ref="D49:D54" si="10">IF(C49&lt;0,C49,"/")</f>
        <v>/</v>
      </c>
      <c r="E49" s="18">
        <f ca="1">IF(表2_36716262930381011[[#This Row],[累计净值]]/MAX(INDIRECT("B21:B" &amp; ROW()))-1&lt;E48,表2_36716262930381011[[#This Row],[累计净值]]/MAX(INDIRECT("B21:B" &amp; ROW()))-1,E48)</f>
        <v>-6.2814070351757678E-3</v>
      </c>
      <c r="F49" s="62">
        <f>表2_36716262930381011[[#This Row],[累计净值]]-0.1015</f>
        <v>1.1024</v>
      </c>
      <c r="G49" s="20">
        <f t="shared" si="0"/>
        <v>7.9716155193070293E-3</v>
      </c>
    </row>
    <row r="50" spans="1:7" x14ac:dyDescent="0.2">
      <c r="A50" s="15">
        <v>43788</v>
      </c>
      <c r="B50" s="76">
        <v>1.2088000000000001</v>
      </c>
      <c r="C50" s="73">
        <f t="shared" si="9"/>
        <v>4.9000000000001265E-3</v>
      </c>
      <c r="D50" s="18" t="str">
        <f t="shared" si="10"/>
        <v>/</v>
      </c>
      <c r="E50" s="18">
        <f ca="1">IF(表2_36716262930381011[[#This Row],[累计净值]]/MAX(INDIRECT("B21:B" &amp; ROW()))-1&lt;E49,表2_36716262930381011[[#This Row],[累计净值]]/MAX(INDIRECT("B21:B" &amp; ROW()))-1,E49)</f>
        <v>-6.2814070351757678E-3</v>
      </c>
      <c r="F50" s="62">
        <f>表2_36716262930381011[[#This Row],[累计净值]]-0.1015</f>
        <v>1.1073000000000002</v>
      </c>
      <c r="G50" s="20">
        <f t="shared" si="0"/>
        <v>1.0229471938070334E-2</v>
      </c>
    </row>
    <row r="51" spans="1:7" x14ac:dyDescent="0.2">
      <c r="A51" s="15">
        <v>43789</v>
      </c>
      <c r="B51" s="16">
        <v>1.2067000000000001</v>
      </c>
      <c r="C51" s="73">
        <f t="shared" si="9"/>
        <v>-2.0999999999999908E-3</v>
      </c>
      <c r="D51" s="18">
        <f t="shared" si="10"/>
        <v>-2.0999999999999908E-3</v>
      </c>
      <c r="E51" s="18">
        <f ca="1">IF(表2_36716262930381011[[#This Row],[累计净值]]/MAX(INDIRECT("B21:B" &amp; ROW()))-1&lt;E50,表2_36716262930381011[[#This Row],[累计净值]]/MAX(INDIRECT("B21:B" &amp; ROW()))-1,E50)</f>
        <v>-6.2814070351757678E-3</v>
      </c>
      <c r="F51" s="62">
        <f>表2_36716262930381011[[#This Row],[累计净值]]-0.1015</f>
        <v>1.1052000000000002</v>
      </c>
      <c r="G51" s="20">
        <f t="shared" si="0"/>
        <v>9.2618191871718381E-3</v>
      </c>
    </row>
    <row r="52" spans="1:7" x14ac:dyDescent="0.2">
      <c r="A52" s="15">
        <v>43790</v>
      </c>
      <c r="B52" s="16">
        <v>1.2038</v>
      </c>
      <c r="C52" s="73">
        <f t="shared" si="9"/>
        <v>-2.9000000000001247E-3</v>
      </c>
      <c r="D52" s="18">
        <f t="shared" si="10"/>
        <v>-2.9000000000001247E-3</v>
      </c>
      <c r="E52" s="18">
        <f ca="1">IF(表2_36716262930381011[[#This Row],[累计净值]]/MAX(INDIRECT("B21:B" &amp; ROW()))-1&lt;E51,表2_36716262930381011[[#This Row],[累计净值]]/MAX(INDIRECT("B21:B" &amp; ROW()))-1,E51)</f>
        <v>-6.2814070351757678E-3</v>
      </c>
      <c r="F52" s="62">
        <f>表2_36716262930381011[[#This Row],[累计净值]]-0.1015</f>
        <v>1.1023000000000001</v>
      </c>
      <c r="G52" s="20">
        <f t="shared" si="0"/>
        <v>7.9255368168832385E-3</v>
      </c>
    </row>
    <row r="53" spans="1:7" x14ac:dyDescent="0.2">
      <c r="A53" s="15">
        <v>43791</v>
      </c>
      <c r="B53" s="16">
        <v>1.1957</v>
      </c>
      <c r="C53" s="73">
        <f t="shared" si="9"/>
        <v>-8.0999999999999961E-3</v>
      </c>
      <c r="D53" s="18">
        <f t="shared" si="10"/>
        <v>-8.0999999999999961E-3</v>
      </c>
      <c r="E53" s="18">
        <f ca="1">IF(表2_36716262930381011[[#This Row],[累计净值]]/MAX(INDIRECT("B21:B" &amp; ROW()))-1&lt;E52,表2_36716262930381011[[#This Row],[累计净值]]/MAX(INDIRECT("B21:B" &amp; ROW()))-1,E52)</f>
        <v>-1.08371939113171E-2</v>
      </c>
      <c r="F53" s="62">
        <f>表2_36716262930381011[[#This Row],[累计净值]]-0.1015</f>
        <v>1.0942000000000001</v>
      </c>
      <c r="G53" s="20">
        <f t="shared" ref="G53:G75" si="11">IF(F53/$F$21-1&gt;0,0.5*(F53/$F$21-1),F53/$F$21-1)</f>
        <v>4.1931619205604065E-3</v>
      </c>
    </row>
    <row r="54" spans="1:7" x14ac:dyDescent="0.2">
      <c r="A54" s="15">
        <v>43794</v>
      </c>
      <c r="B54" s="16">
        <v>1.1794</v>
      </c>
      <c r="C54" s="73">
        <f t="shared" si="9"/>
        <v>-1.6299999999999981E-2</v>
      </c>
      <c r="D54" s="18">
        <f t="shared" si="10"/>
        <v>-1.6299999999999981E-2</v>
      </c>
      <c r="E54" s="18">
        <f ca="1">IF(表2_36716262930381011[[#This Row],[累计净值]]/MAX(INDIRECT("B21:B" &amp; ROW()))-1&lt;E53,表2_36716262930381011[[#This Row],[累计净值]]/MAX(INDIRECT("B21:B" &amp; ROW()))-1,E53)</f>
        <v>-2.4321641297154306E-2</v>
      </c>
      <c r="F54" s="62">
        <f>表2_36716262930381011[[#This Row],[累计净值]]-0.1015</f>
        <v>1.0779000000000001</v>
      </c>
      <c r="G54" s="20">
        <f t="shared" si="11"/>
        <v>-6.6353331490184297E-3</v>
      </c>
    </row>
    <row r="55" spans="1:7" x14ac:dyDescent="0.2">
      <c r="A55" s="15">
        <v>43795</v>
      </c>
      <c r="B55" s="16">
        <v>1.1816</v>
      </c>
      <c r="C55" s="73">
        <f t="shared" ref="C55:C60" si="12">IFERROR(B55-B54,0)</f>
        <v>2.1999999999999797E-3</v>
      </c>
      <c r="D55" s="18" t="str">
        <f t="shared" ref="D55:D60" si="13">IF(C55&lt;0,C55,"/")</f>
        <v>/</v>
      </c>
      <c r="E55" s="18">
        <f ca="1">IF(表2_36716262930381011[[#This Row],[累计净值]]/MAX(INDIRECT("B21:B" &amp; ROW()))-1&lt;E54,表2_36716262930381011[[#This Row],[累计净值]]/MAX(INDIRECT("B21:B" &amp; ROW()))-1,E54)</f>
        <v>-2.4321641297154306E-2</v>
      </c>
      <c r="F55" s="62">
        <f>表2_36716262930381011[[#This Row],[累计净值]]-0.1015</f>
        <v>1.0801000000000001</v>
      </c>
      <c r="G55" s="20">
        <f t="shared" si="11"/>
        <v>-4.6078702423738571E-3</v>
      </c>
    </row>
    <row r="56" spans="1:7" x14ac:dyDescent="0.2">
      <c r="A56" s="15">
        <v>43796</v>
      </c>
      <c r="B56" s="16">
        <v>1.1811</v>
      </c>
      <c r="C56" s="73">
        <f t="shared" si="12"/>
        <v>-4.9999999999994493E-4</v>
      </c>
      <c r="D56" s="18">
        <f t="shared" si="13"/>
        <v>-4.9999999999994493E-4</v>
      </c>
      <c r="E56" s="18">
        <f ca="1">IF(表2_36716262930381011[[#This Row],[累计净值]]/MAX(INDIRECT("B21:B" &amp; ROW()))-1&lt;E55,表2_36716262930381011[[#This Row],[累计净值]]/MAX(INDIRECT("B21:B" &amp; ROW()))-1,E55)</f>
        <v>-2.4321641297154306E-2</v>
      </c>
      <c r="F56" s="62">
        <f>表2_36716262930381011[[#This Row],[累计净值]]-0.1015</f>
        <v>1.0796000000000001</v>
      </c>
      <c r="G56" s="20">
        <f t="shared" si="11"/>
        <v>-5.0686572666112095E-3</v>
      </c>
    </row>
    <row r="57" spans="1:7" x14ac:dyDescent="0.2">
      <c r="A57" s="15">
        <v>43797</v>
      </c>
      <c r="B57" s="16">
        <v>1.1815</v>
      </c>
      <c r="C57" s="73">
        <f t="shared" si="12"/>
        <v>3.9999999999995595E-4</v>
      </c>
      <c r="D57" s="18" t="str">
        <f t="shared" si="13"/>
        <v>/</v>
      </c>
      <c r="E57" s="18">
        <f ca="1">IF(表2_36716262930381011[[#This Row],[累计净值]]/MAX(INDIRECT("B21:B" &amp; ROW()))-1&lt;E56,表2_36716262930381011[[#This Row],[累计净值]]/MAX(INDIRECT("B21:B" &amp; ROW()))-1,E56)</f>
        <v>-2.4321641297154306E-2</v>
      </c>
      <c r="F57" s="62">
        <f>表2_36716262930381011[[#This Row],[累计净值]]-0.1015</f>
        <v>1.08</v>
      </c>
      <c r="G57" s="20">
        <f t="shared" si="11"/>
        <v>-4.7000276472213276E-3</v>
      </c>
    </row>
    <row r="58" spans="1:7" x14ac:dyDescent="0.2">
      <c r="A58" s="15">
        <v>43798</v>
      </c>
      <c r="B58" s="16">
        <v>1.1797</v>
      </c>
      <c r="C58" s="73">
        <f t="shared" si="12"/>
        <v>-1.8000000000000238E-3</v>
      </c>
      <c r="D58" s="18">
        <f t="shared" si="13"/>
        <v>-1.8000000000000238E-3</v>
      </c>
      <c r="E58" s="18">
        <f ca="1">IF(表2_36716262930381011[[#This Row],[累计净值]]/MAX(INDIRECT("B21:B" &amp; ROW()))-1&lt;E57,表2_36716262930381011[[#This Row],[累计净值]]/MAX(INDIRECT("B21:B" &amp; ROW()))-1,E57)</f>
        <v>-2.4321641297154306E-2</v>
      </c>
      <c r="F58" s="62">
        <f>表2_36716262930381011[[#This Row],[累计净值]]-0.1015</f>
        <v>1.0782</v>
      </c>
      <c r="G58" s="20">
        <f t="shared" si="11"/>
        <v>-6.3588609344760183E-3</v>
      </c>
    </row>
    <row r="59" spans="1:7" x14ac:dyDescent="0.2">
      <c r="A59" s="15">
        <v>43801</v>
      </c>
      <c r="B59" s="63">
        <v>1.1802999999999999</v>
      </c>
      <c r="C59" s="64">
        <f t="shared" si="12"/>
        <v>5.9999999999993392E-4</v>
      </c>
      <c r="D59" s="65" t="str">
        <f t="shared" si="13"/>
        <v>/</v>
      </c>
      <c r="E59" s="65">
        <f ca="1">IF(表2_36716262930381011[[#This Row],[累计净值]]/MAX(INDIRECT("B21:B" &amp; ROW()))-1&lt;E58,表2_36716262930381011[[#This Row],[累计净值]]/MAX(INDIRECT("B21:B" &amp; ROW()))-1,E58)</f>
        <v>-2.4321641297154306E-2</v>
      </c>
      <c r="F59" s="62">
        <f>表2_36716262930381011[[#This Row],[累计净值]]-0.1015</f>
        <v>1.0788</v>
      </c>
      <c r="G59" s="20">
        <f t="shared" si="11"/>
        <v>-5.8059165053911954E-3</v>
      </c>
    </row>
    <row r="60" spans="1:7" x14ac:dyDescent="0.2">
      <c r="A60" s="15">
        <v>43802</v>
      </c>
      <c r="B60" s="16">
        <v>1.1826000000000001</v>
      </c>
      <c r="C60" s="73">
        <f t="shared" si="12"/>
        <v>2.3000000000001908E-3</v>
      </c>
      <c r="D60" s="18" t="str">
        <f t="shared" si="13"/>
        <v>/</v>
      </c>
      <c r="E60" s="18">
        <f ca="1">IF(表2_36716262930381011[[#This Row],[累计净值]]/MAX(INDIRECT("B21:B" &amp; ROW()))-1&lt;E59,表2_36716262930381011[[#This Row],[累计净值]]/MAX(INDIRECT("B21:B" &amp; ROW()))-1,E59)</f>
        <v>-2.4321641297154306E-2</v>
      </c>
      <c r="F60" s="62">
        <f>表2_36716262930381011[[#This Row],[累计净值]]-0.1015</f>
        <v>1.0811000000000002</v>
      </c>
      <c r="G60" s="20">
        <f t="shared" si="11"/>
        <v>-3.6862961938989303E-3</v>
      </c>
    </row>
    <row r="61" spans="1:7" x14ac:dyDescent="0.2">
      <c r="A61" s="15">
        <v>43803</v>
      </c>
      <c r="B61" s="16">
        <v>1.1849000000000001</v>
      </c>
      <c r="C61" s="73">
        <f t="shared" ref="C61:C78" si="14">IFERROR(B61-B60,0)</f>
        <v>2.2999999999999687E-3</v>
      </c>
      <c r="D61" s="18" t="str">
        <f t="shared" ref="D61:D78" si="15">IF(C61&lt;0,C61,"/")</f>
        <v>/</v>
      </c>
      <c r="E61" s="18">
        <f ca="1">IF(表2_36716262930381011[[#This Row],[累计净值]]/MAX(INDIRECT("B21:B" &amp; ROW()))-1&lt;E60,表2_36716262930381011[[#This Row],[累计净值]]/MAX(INDIRECT("B21:B" &amp; ROW()))-1,E60)</f>
        <v>-2.4321641297154306E-2</v>
      </c>
      <c r="F61" s="62">
        <f>表2_36716262930381011[[#This Row],[累计净值]]-0.1015</f>
        <v>1.0834000000000001</v>
      </c>
      <c r="G61" s="20">
        <f t="shared" si="11"/>
        <v>-1.5666758824069982E-3</v>
      </c>
    </row>
    <row r="62" spans="1:7" x14ac:dyDescent="0.2">
      <c r="A62" s="15">
        <v>43804</v>
      </c>
      <c r="B62" s="16">
        <v>1.1890000000000001</v>
      </c>
      <c r="C62" s="73">
        <f t="shared" si="14"/>
        <v>4.0999999999999925E-3</v>
      </c>
      <c r="D62" s="18" t="str">
        <f t="shared" si="15"/>
        <v>/</v>
      </c>
      <c r="E62" s="18">
        <f ca="1">IF(表2_36716262930381011[[#This Row],[累计净值]]/MAX(INDIRECT("B21:B" &amp; ROW()))-1&lt;E61,表2_36716262930381011[[#This Row],[累计净值]]/MAX(INDIRECT("B21:B" &amp; ROW()))-1,E61)</f>
        <v>-2.4321641297154306E-2</v>
      </c>
      <c r="F62" s="62">
        <f>表2_36716262930381011[[#This Row],[累计净值]]-0.1015</f>
        <v>1.0875000000000001</v>
      </c>
      <c r="G62" s="20">
        <f t="shared" si="11"/>
        <v>1.1058888581698678E-3</v>
      </c>
    </row>
    <row r="63" spans="1:7" x14ac:dyDescent="0.2">
      <c r="A63" s="15">
        <v>43805</v>
      </c>
      <c r="B63" s="16">
        <v>1.1888000000000001</v>
      </c>
      <c r="C63" s="73">
        <f t="shared" si="14"/>
        <v>-1.9999999999997797E-4</v>
      </c>
      <c r="D63" s="18">
        <f t="shared" si="15"/>
        <v>-1.9999999999997797E-4</v>
      </c>
      <c r="E63" s="18">
        <f ca="1">IF(表2_36716262930381011[[#This Row],[累计净值]]/MAX(INDIRECT("B21:B" &amp; ROW()))-1&lt;E62,表2_36716262930381011[[#This Row],[累计净值]]/MAX(INDIRECT("B21:B" &amp; ROW()))-1,E62)</f>
        <v>-2.4321641297154306E-2</v>
      </c>
      <c r="F63" s="62">
        <f>表2_36716262930381011[[#This Row],[累计净值]]-0.1015</f>
        <v>1.0873000000000002</v>
      </c>
      <c r="G63" s="20">
        <f t="shared" si="11"/>
        <v>1.0137314533223973E-3</v>
      </c>
    </row>
    <row r="64" spans="1:7" x14ac:dyDescent="0.2">
      <c r="A64" s="15">
        <v>43808</v>
      </c>
      <c r="B64" s="16">
        <v>1.1877</v>
      </c>
      <c r="C64" s="73">
        <f t="shared" si="14"/>
        <v>-1.1000000000001009E-3</v>
      </c>
      <c r="D64" s="18">
        <f t="shared" si="15"/>
        <v>-1.1000000000001009E-3</v>
      </c>
      <c r="E64" s="18">
        <f ca="1">IF(表2_36716262930381011[[#This Row],[累计净值]]/MAX(INDIRECT("B21:B" &amp; ROW()))-1&lt;E63,表2_36716262930381011[[#This Row],[累计净值]]/MAX(INDIRECT("B21:B" &amp; ROW()))-1,E63)</f>
        <v>-2.4321641297154306E-2</v>
      </c>
      <c r="F64" s="62">
        <f>表2_36716262930381011[[#This Row],[累计净值]]-0.1015</f>
        <v>1.0862000000000001</v>
      </c>
      <c r="G64" s="20">
        <f t="shared" si="11"/>
        <v>5.0686572666114316E-4</v>
      </c>
    </row>
    <row r="65" spans="1:9" x14ac:dyDescent="0.2">
      <c r="A65" s="15">
        <v>43809</v>
      </c>
      <c r="B65" s="16">
        <v>1.1879999999999999</v>
      </c>
      <c r="C65" s="73">
        <f t="shared" si="14"/>
        <v>2.9999999999996696E-4</v>
      </c>
      <c r="D65" s="18" t="str">
        <f t="shared" si="15"/>
        <v>/</v>
      </c>
      <c r="E65" s="18">
        <f ca="1">IF(表2_36716262930381011[[#This Row],[累计净值]]/MAX(INDIRECT("B21:B" &amp; ROW()))-1&lt;E64,表2_36716262930381011[[#This Row],[累计净值]]/MAX(INDIRECT("B21:B" &amp; ROW()))-1,E64)</f>
        <v>-2.4321641297154306E-2</v>
      </c>
      <c r="F65" s="62">
        <f>表2_36716262930381011[[#This Row],[累计净值]]-0.1015</f>
        <v>1.0865</v>
      </c>
      <c r="G65" s="20">
        <f t="shared" si="11"/>
        <v>6.4510183393240439E-4</v>
      </c>
    </row>
    <row r="66" spans="1:9" x14ac:dyDescent="0.2">
      <c r="A66" s="15">
        <v>43810</v>
      </c>
      <c r="B66" s="16">
        <v>1.1898</v>
      </c>
      <c r="C66" s="73">
        <f t="shared" si="14"/>
        <v>1.8000000000000238E-3</v>
      </c>
      <c r="D66" s="18" t="str">
        <f t="shared" si="15"/>
        <v>/</v>
      </c>
      <c r="E66" s="18">
        <f ca="1">IF(表2_36716262930381011[[#This Row],[累计净值]]/MAX(INDIRECT("B21:B" &amp; ROW()))-1&lt;E65,表2_36716262930381011[[#This Row],[累计净值]]/MAX(INDIRECT("B21:B" &amp; ROW()))-1,E65)</f>
        <v>-2.4321641297154306E-2</v>
      </c>
      <c r="F66" s="62">
        <f>表2_36716262930381011[[#This Row],[累计净值]]-0.1015</f>
        <v>1.0883</v>
      </c>
      <c r="G66" s="20">
        <f t="shared" si="11"/>
        <v>1.4745184775597497E-3</v>
      </c>
    </row>
    <row r="67" spans="1:9" x14ac:dyDescent="0.2">
      <c r="A67" s="15">
        <v>43811</v>
      </c>
      <c r="B67" s="16">
        <v>1.1930000000000001</v>
      </c>
      <c r="C67" s="73">
        <f t="shared" si="14"/>
        <v>3.2000000000000917E-3</v>
      </c>
      <c r="D67" s="18" t="str">
        <f t="shared" si="15"/>
        <v>/</v>
      </c>
      <c r="E67" s="18">
        <f ca="1">IF(表2_36716262930381011[[#This Row],[累计净值]]/MAX(INDIRECT("B21:B" &amp; ROW()))-1&lt;E66,表2_36716262930381011[[#This Row],[累计净值]]/MAX(INDIRECT("B21:B" &amp; ROW()))-1,E66)</f>
        <v>-2.4321641297154306E-2</v>
      </c>
      <c r="F67" s="62">
        <f>表2_36716262930381011[[#This Row],[累计净值]]-0.1015</f>
        <v>1.0915000000000001</v>
      </c>
      <c r="G67" s="20">
        <f t="shared" si="11"/>
        <v>2.9490369551193885E-3</v>
      </c>
    </row>
    <row r="68" spans="1:9" x14ac:dyDescent="0.2">
      <c r="A68" s="15">
        <v>43812</v>
      </c>
      <c r="B68" s="16">
        <v>1.1961999999999999</v>
      </c>
      <c r="C68" s="73">
        <f t="shared" si="14"/>
        <v>3.1999999999998696E-3</v>
      </c>
      <c r="D68" s="18" t="str">
        <f t="shared" si="15"/>
        <v>/</v>
      </c>
      <c r="E68" s="18">
        <f ca="1">IF(表2_36716262930381011[[#This Row],[累计净值]]/MAX(INDIRECT("B21:B" &amp; ROW()))-1&lt;E67,表2_36716262930381011[[#This Row],[累计净值]]/MAX(INDIRECT("B21:B" &amp; ROW()))-1,E67)</f>
        <v>-2.4321641297154306E-2</v>
      </c>
      <c r="F68" s="62">
        <f>表2_36716262930381011[[#This Row],[累计净值]]-0.1015</f>
        <v>1.0947</v>
      </c>
      <c r="G68" s="20">
        <f t="shared" si="11"/>
        <v>4.4235554326790272E-3</v>
      </c>
    </row>
    <row r="69" spans="1:9" x14ac:dyDescent="0.2">
      <c r="A69" s="15">
        <v>43815</v>
      </c>
      <c r="B69" s="16">
        <v>1.1994</v>
      </c>
      <c r="C69" s="73">
        <f t="shared" si="14"/>
        <v>3.2000000000000917E-3</v>
      </c>
      <c r="D69" s="18" t="str">
        <f t="shared" si="15"/>
        <v>/</v>
      </c>
      <c r="E69" s="18">
        <f ca="1">IF(表2_36716262930381011[[#This Row],[累计净值]]/MAX(INDIRECT("B21:B" &amp; ROW()))-1&lt;E68,表2_36716262930381011[[#This Row],[累计净值]]/MAX(INDIRECT("B21:B" &amp; ROW()))-1,E68)</f>
        <v>-2.4321641297154306E-2</v>
      </c>
      <c r="F69" s="62">
        <f>表2_36716262930381011[[#This Row],[累计净值]]-0.1015</f>
        <v>1.0979000000000001</v>
      </c>
      <c r="G69" s="20">
        <f t="shared" si="11"/>
        <v>5.8980739102387769E-3</v>
      </c>
    </row>
    <row r="70" spans="1:9" x14ac:dyDescent="0.2">
      <c r="A70" s="15">
        <v>43816</v>
      </c>
      <c r="B70" s="16">
        <v>1.1973</v>
      </c>
      <c r="C70" s="73">
        <f t="shared" si="14"/>
        <v>-2.0999999999999908E-3</v>
      </c>
      <c r="D70" s="18">
        <f t="shared" si="15"/>
        <v>-2.0999999999999908E-3</v>
      </c>
      <c r="E70" s="18">
        <f ca="1">IF(表2_36716262930381011[[#This Row],[累计净值]]/MAX(INDIRECT("B21:B" &amp; ROW()))-1&lt;E69,表2_36716262930381011[[#This Row],[累计净值]]/MAX(INDIRECT("B21:B" &amp; ROW()))-1,E69)</f>
        <v>-2.4321641297154306E-2</v>
      </c>
      <c r="F70" s="62">
        <f>表2_36716262930381011[[#This Row],[累计净值]]-0.1015</f>
        <v>1.0958000000000001</v>
      </c>
      <c r="G70" s="20">
        <f t="shared" si="11"/>
        <v>4.9304211593401703E-3</v>
      </c>
    </row>
    <row r="71" spans="1:9" x14ac:dyDescent="0.2">
      <c r="A71" s="15">
        <v>43817</v>
      </c>
      <c r="B71" s="16">
        <v>1.1994</v>
      </c>
      <c r="C71" s="73">
        <f t="shared" si="14"/>
        <v>2.0999999999999908E-3</v>
      </c>
      <c r="D71" s="18" t="str">
        <f t="shared" si="15"/>
        <v>/</v>
      </c>
      <c r="E71" s="18">
        <f ca="1">IF(表2_36716262930381011[[#This Row],[累计净值]]/MAX(INDIRECT("B21:B" &amp; ROW()))-1&lt;E70,表2_36716262930381011[[#This Row],[累计净值]]/MAX(INDIRECT("B21:B" &amp; ROW()))-1,E70)</f>
        <v>-2.4321641297154306E-2</v>
      </c>
      <c r="F71" s="62">
        <f>表2_36716262930381011[[#This Row],[累计净值]]-0.1015</f>
        <v>1.0979000000000001</v>
      </c>
      <c r="G71" s="20">
        <f t="shared" si="11"/>
        <v>5.8980739102387769E-3</v>
      </c>
    </row>
    <row r="72" spans="1:9" x14ac:dyDescent="0.2">
      <c r="A72" s="15">
        <v>43818</v>
      </c>
      <c r="B72" s="16">
        <v>1.1975</v>
      </c>
      <c r="C72" s="73">
        <f t="shared" si="14"/>
        <v>-1.9000000000000128E-3</v>
      </c>
      <c r="D72" s="18">
        <f t="shared" si="15"/>
        <v>-1.9000000000000128E-3</v>
      </c>
      <c r="E72" s="18">
        <f ca="1">IF(表2_36716262930381011[[#This Row],[累计净值]]/MAX(INDIRECT("B21:B" &amp; ROW()))-1&lt;E71,表2_36716262930381011[[#This Row],[累计净值]]/MAX(INDIRECT("B21:B" &amp; ROW()))-1,E71)</f>
        <v>-2.4321641297154306E-2</v>
      </c>
      <c r="F72" s="62">
        <f>表2_36716262930381011[[#This Row],[累计净值]]-0.1015</f>
        <v>1.0960000000000001</v>
      </c>
      <c r="G72" s="20">
        <f t="shared" si="11"/>
        <v>5.0225785641876408E-3</v>
      </c>
    </row>
    <row r="73" spans="1:9" x14ac:dyDescent="0.2">
      <c r="A73" s="15">
        <v>43819</v>
      </c>
      <c r="B73" s="16">
        <v>1.1908000000000001</v>
      </c>
      <c r="C73" s="73">
        <f t="shared" si="14"/>
        <v>-6.6999999999999282E-3</v>
      </c>
      <c r="D73" s="18">
        <f t="shared" si="15"/>
        <v>-6.6999999999999282E-3</v>
      </c>
      <c r="E73" s="18">
        <f ca="1">IF(表2_36716262930381011[[#This Row],[累计净值]]/MAX(INDIRECT("B21:B" &amp; ROW()))-1&lt;E72,表2_36716262930381011[[#This Row],[累计净值]]/MAX(INDIRECT("B21:B" &amp; ROW()))-1,E72)</f>
        <v>-2.4321641297154306E-2</v>
      </c>
      <c r="F73" s="62">
        <f>表2_36716262930381011[[#This Row],[累计净值]]-0.1015</f>
        <v>1.0893000000000002</v>
      </c>
      <c r="G73" s="20">
        <f t="shared" si="11"/>
        <v>1.9353055017972132E-3</v>
      </c>
    </row>
    <row r="74" spans="1:9" x14ac:dyDescent="0.2">
      <c r="A74" s="15">
        <v>43822</v>
      </c>
      <c r="B74" s="16">
        <v>1.1907000000000001</v>
      </c>
      <c r="C74" s="73">
        <f t="shared" si="14"/>
        <v>-9.9999999999988987E-5</v>
      </c>
      <c r="D74" s="18">
        <f t="shared" si="15"/>
        <v>-9.9999999999988987E-5</v>
      </c>
      <c r="E74" s="18">
        <f ca="1">IF(表2_36716262930381011[[#This Row],[累计净值]]/MAX(INDIRECT("B21:B" &amp; ROW()))-1&lt;E73,表2_36716262930381011[[#This Row],[累计净值]]/MAX(INDIRECT("B21:B" &amp; ROW()))-1,E73)</f>
        <v>-2.4321641297154306E-2</v>
      </c>
      <c r="F74" s="62">
        <f>表2_36716262930381011[[#This Row],[累计净值]]-0.1015</f>
        <v>1.0892000000000002</v>
      </c>
      <c r="G74" s="20">
        <f t="shared" si="11"/>
        <v>1.8892267993734224E-3</v>
      </c>
    </row>
    <row r="75" spans="1:9" x14ac:dyDescent="0.2">
      <c r="A75" s="9">
        <v>43823</v>
      </c>
      <c r="B75" s="10">
        <v>1.1952</v>
      </c>
      <c r="C75" s="80">
        <f t="shared" si="14"/>
        <v>4.4999999999999485E-3</v>
      </c>
      <c r="D75" s="12" t="str">
        <f t="shared" si="15"/>
        <v>/</v>
      </c>
      <c r="E75" s="12">
        <f ca="1">IF(表2_36716262930381011[[#This Row],[累计净值]]/MAX(INDIRECT("B21:B" &amp; ROW()))-1&lt;E74,表2_36716262930381011[[#This Row],[累计净值]]/MAX(INDIRECT("B21:B" &amp; ROW()))-1,E74)</f>
        <v>-2.4321641297154306E-2</v>
      </c>
      <c r="F75" s="81">
        <f>表2_36716262930381011[[#This Row],[累计净值]]-0.1015</f>
        <v>1.0937000000000001</v>
      </c>
      <c r="G75" s="82">
        <f t="shared" si="11"/>
        <v>3.9627684084416748E-3</v>
      </c>
    </row>
    <row r="76" spans="1:9" x14ac:dyDescent="0.2">
      <c r="A76" s="15">
        <v>43824</v>
      </c>
      <c r="B76" s="16">
        <v>1.2014</v>
      </c>
      <c r="C76" s="73">
        <f t="shared" si="14"/>
        <v>6.1999999999999833E-3</v>
      </c>
      <c r="D76" s="18" t="str">
        <f t="shared" si="15"/>
        <v>/</v>
      </c>
      <c r="E76" s="18">
        <f ca="1">IF(表2_36716262930381011[[#This Row],[累计净值]]/MAX(INDIRECT("B21:B" &amp; ROW()))-1&lt;E75,表2_36716262930381011[[#This Row],[累计净值]]/MAX(INDIRECT("B21:B" &amp; ROW()))-1,E75)</f>
        <v>-2.4321641297154306E-2</v>
      </c>
      <c r="F76" s="62">
        <v>1.0362</v>
      </c>
      <c r="G76" s="20">
        <f>$G$75*(1+IF(F76&gt;1.03,0.5*(F76-1.03),F76-1.03))</f>
        <v>3.9750529905078439E-3</v>
      </c>
      <c r="I76" s="60"/>
    </row>
    <row r="77" spans="1:9" x14ac:dyDescent="0.2">
      <c r="A77" s="15">
        <v>43825</v>
      </c>
      <c r="B77" s="16">
        <v>1.2020999999999999</v>
      </c>
      <c r="C77" s="73">
        <f t="shared" si="14"/>
        <v>6.9999999999992291E-4</v>
      </c>
      <c r="D77" s="18" t="str">
        <f t="shared" si="15"/>
        <v>/</v>
      </c>
      <c r="E77" s="18">
        <f ca="1">IF(表2_36716262930381011[[#This Row],[累计净值]]/MAX(INDIRECT("B21:B" &amp; ROW()))-1&lt;E76,表2_36716262930381011[[#This Row],[累计净值]]/MAX(INDIRECT("B21:B" &amp; ROW()))-1,E76)</f>
        <v>-2.4321641297154306E-2</v>
      </c>
      <c r="F77" s="62">
        <f>表2_36716262930381011[[#This Row],[累计净值]]-0.1652</f>
        <v>1.0368999999999999</v>
      </c>
      <c r="G77" s="20">
        <f>$G$75*(1+IF(F77&gt;1.03,0.5*(F77-1.03),F77-1.03))</f>
        <v>3.9764399594507983E-3</v>
      </c>
    </row>
    <row r="78" spans="1:9" x14ac:dyDescent="0.2">
      <c r="A78" s="15">
        <v>43826</v>
      </c>
      <c r="B78" s="16">
        <v>1.1960999999999999</v>
      </c>
      <c r="C78" s="73">
        <f t="shared" si="14"/>
        <v>-6.0000000000000053E-3</v>
      </c>
      <c r="D78" s="18">
        <f t="shared" si="15"/>
        <v>-6.0000000000000053E-3</v>
      </c>
      <c r="E78" s="18">
        <f ca="1">IF(表2_36716262930381011[[#This Row],[累计净值]]/MAX(INDIRECT("B21:B" &amp; ROW()))-1&lt;E77,表2_36716262930381011[[#This Row],[累计净值]]/MAX(INDIRECT("B21:B" &amp; ROW()))-1,E77)</f>
        <v>-2.4321641297154306E-2</v>
      </c>
      <c r="F78" s="62">
        <f>表2_36716262930381011[[#This Row],[累计净值]]-0.1652</f>
        <v>1.0308999999999999</v>
      </c>
      <c r="G78" s="20">
        <f>IF(F78&gt;1.0292,0.5*(F78-1.0292),F78-1.0292)</f>
        <v>8.5000000000001741E-4</v>
      </c>
    </row>
    <row r="79" spans="1:9" x14ac:dyDescent="0.2">
      <c r="A79" s="15">
        <v>43829</v>
      </c>
      <c r="B79" s="16">
        <v>1.1871</v>
      </c>
      <c r="C79" s="73">
        <f t="shared" ref="C79:C84" si="16">IFERROR(B79-B78,0)</f>
        <v>-8.999999999999897E-3</v>
      </c>
      <c r="D79" s="18">
        <f t="shared" ref="D79:D84" si="17">IF(C79&lt;0,C79,"/")</f>
        <v>-8.999999999999897E-3</v>
      </c>
      <c r="E79" s="18">
        <f ca="1">IF(表2_36716262930381011[[#This Row],[累计净值]]/MAX(INDIRECT("B21:B" &amp; ROW()))-1&lt;E78,表2_36716262930381011[[#This Row],[累计净值]]/MAX(INDIRECT("B21:B" &amp; ROW()))-1,E78)</f>
        <v>-2.4321641297154306E-2</v>
      </c>
      <c r="F79" s="62">
        <f>表2_36716262930381011[[#This Row],[累计净值]]-0.1652</f>
        <v>1.0219</v>
      </c>
      <c r="G79" s="20">
        <f t="shared" ref="G79:G85" si="18">IF(F79&gt;1.0292,0.5*(F79-1.0292),F79-1.0292)</f>
        <v>-7.2999999999998622E-3</v>
      </c>
    </row>
    <row r="80" spans="1:9" x14ac:dyDescent="0.2">
      <c r="A80" s="15">
        <v>43830</v>
      </c>
      <c r="B80" s="16">
        <v>1.1902999999999999</v>
      </c>
      <c r="C80" s="73">
        <f t="shared" si="16"/>
        <v>3.1999999999998696E-3</v>
      </c>
      <c r="D80" s="18" t="str">
        <f t="shared" si="17"/>
        <v>/</v>
      </c>
      <c r="E80" s="18">
        <f ca="1">IF(表2_36716262930381011[[#This Row],[累计净值]]/MAX(INDIRECT("B21:B" &amp; ROW()))-1&lt;E79,表2_36716262930381011[[#This Row],[累计净值]]/MAX(INDIRECT("B21:B" &amp; ROW()))-1,E79)</f>
        <v>-2.4321641297154306E-2</v>
      </c>
      <c r="F80" s="62">
        <f>表2_36716262930381011[[#This Row],[累计净值]]-0.1652</f>
        <v>1.0250999999999999</v>
      </c>
      <c r="G80" s="20">
        <f t="shared" si="18"/>
        <v>-4.0999999999999925E-3</v>
      </c>
    </row>
    <row r="81" spans="1:7" x14ac:dyDescent="0.2">
      <c r="A81" s="15">
        <v>43832</v>
      </c>
      <c r="B81" s="16">
        <v>1.1937</v>
      </c>
      <c r="C81" s="73">
        <f t="shared" si="16"/>
        <v>3.4000000000000696E-3</v>
      </c>
      <c r="D81" s="18" t="str">
        <f t="shared" si="17"/>
        <v>/</v>
      </c>
      <c r="E81" s="18">
        <f ca="1">IF(表2_36716262930381011[[#This Row],[累计净值]]/MAX(INDIRECT("B21:B" &amp; ROW()))-1&lt;E80,表2_36716262930381011[[#This Row],[累计净值]]/MAX(INDIRECT("B21:B" &amp; ROW()))-1,E80)</f>
        <v>-2.4321641297154306E-2</v>
      </c>
      <c r="F81" s="62">
        <f>表2_36716262930381011[[#This Row],[累计净值]]-0.1652</f>
        <v>1.0285</v>
      </c>
      <c r="G81" s="20">
        <f t="shared" si="18"/>
        <v>-6.9999999999992291E-4</v>
      </c>
    </row>
    <row r="82" spans="1:7" x14ac:dyDescent="0.2">
      <c r="A82" s="15">
        <v>43833</v>
      </c>
      <c r="B82" s="16">
        <v>1.1976</v>
      </c>
      <c r="C82" s="73">
        <f t="shared" si="16"/>
        <v>3.9000000000000146E-3</v>
      </c>
      <c r="D82" s="18" t="str">
        <f t="shared" si="17"/>
        <v>/</v>
      </c>
      <c r="E82" s="18">
        <f ca="1">IF(表2_36716262930381011[[#This Row],[累计净值]]/MAX(INDIRECT("B21:B" &amp; ROW()))-1&lt;E81,表2_36716262930381011[[#This Row],[累计净值]]/MAX(INDIRECT("B21:B" &amp; ROW()))-1,E81)</f>
        <v>-2.4321641297154306E-2</v>
      </c>
      <c r="F82" s="62">
        <f>表2_36716262930381011[[#This Row],[累计净值]]-0.1652</f>
        <v>1.0324</v>
      </c>
      <c r="G82" s="20">
        <f t="shared" si="18"/>
        <v>1.6000000000000458E-3</v>
      </c>
    </row>
    <row r="83" spans="1:7" x14ac:dyDescent="0.2">
      <c r="A83" s="15">
        <v>43836</v>
      </c>
      <c r="B83" s="16">
        <v>1.1966000000000001</v>
      </c>
      <c r="C83" s="73">
        <f t="shared" si="16"/>
        <v>-9.9999999999988987E-4</v>
      </c>
      <c r="D83" s="18">
        <f t="shared" si="17"/>
        <v>-9.9999999999988987E-4</v>
      </c>
      <c r="E83" s="18">
        <f ca="1">IF(表2_36716262930381011[[#This Row],[累计净值]]/MAX(INDIRECT("B21:B" &amp; ROW()))-1&lt;E82,表2_36716262930381011[[#This Row],[累计净值]]/MAX(INDIRECT("B21:B" &amp; ROW()))-1,E82)</f>
        <v>-2.4321641297154306E-2</v>
      </c>
      <c r="F83" s="62">
        <f>表2_36716262930381011[[#This Row],[累计净值]]-0.1652</f>
        <v>1.0314000000000001</v>
      </c>
      <c r="G83" s="20">
        <f t="shared" si="18"/>
        <v>1.1000000000001009E-3</v>
      </c>
    </row>
    <row r="84" spans="1:7" x14ac:dyDescent="0.2">
      <c r="A84" s="15">
        <v>43837</v>
      </c>
      <c r="B84" s="16">
        <v>1.1969000000000001</v>
      </c>
      <c r="C84" s="73">
        <f t="shared" si="16"/>
        <v>2.9999999999996696E-4</v>
      </c>
      <c r="D84" s="18" t="str">
        <f t="shared" si="17"/>
        <v>/</v>
      </c>
      <c r="E84" s="18">
        <f ca="1">IF(表2_36716262930381011[[#This Row],[累计净值]]/MAX(INDIRECT("B21:B" &amp; ROW()))-1&lt;E83,表2_36716262930381011[[#This Row],[累计净值]]/MAX(INDIRECT("B21:B" &amp; ROW()))-1,E83)</f>
        <v>-2.4321641297154306E-2</v>
      </c>
      <c r="F84" s="62">
        <f>表2_36716262930381011[[#This Row],[累计净值]]-0.1652</f>
        <v>1.0317000000000001</v>
      </c>
      <c r="G84" s="20">
        <f t="shared" si="18"/>
        <v>1.2500000000000844E-3</v>
      </c>
    </row>
    <row r="85" spans="1:7" x14ac:dyDescent="0.2">
      <c r="A85" s="15">
        <v>43838</v>
      </c>
      <c r="B85" s="16">
        <v>1.1947000000000001</v>
      </c>
      <c r="C85" s="73">
        <f t="shared" ref="C85:C91" si="19">IFERROR(B85-B84,0)</f>
        <v>-2.1999999999999797E-3</v>
      </c>
      <c r="D85" s="18">
        <f t="shared" ref="D85:D91" si="20">IF(C85&lt;0,C85,"/")</f>
        <v>-2.1999999999999797E-3</v>
      </c>
      <c r="E85" s="18">
        <f ca="1">IF(表2_36716262930381011[[#This Row],[累计净值]]/MAX(INDIRECT("B21:B" &amp; ROW()))-1&lt;E84,表2_36716262930381011[[#This Row],[累计净值]]/MAX(INDIRECT("B21:B" &amp; ROW()))-1,E84)</f>
        <v>-2.4321641297154306E-2</v>
      </c>
      <c r="F85" s="62">
        <f>表2_36716262930381011[[#This Row],[累计净值]]-0.1652</f>
        <v>1.0295000000000001</v>
      </c>
      <c r="G85" s="20">
        <f t="shared" si="18"/>
        <v>1.500000000000945E-4</v>
      </c>
    </row>
    <row r="86" spans="1:7" x14ac:dyDescent="0.2">
      <c r="A86" s="15">
        <v>43839</v>
      </c>
      <c r="B86" s="16">
        <v>1.202</v>
      </c>
      <c r="C86" s="73">
        <f t="shared" si="19"/>
        <v>7.2999999999998622E-3</v>
      </c>
      <c r="D86" s="18" t="str">
        <f t="shared" si="20"/>
        <v>/</v>
      </c>
      <c r="E86" s="18">
        <f ca="1">IF(表2_36716262930381011[[#This Row],[累计净值]]/MAX(INDIRECT("B21:B" &amp; ROW()))-1&lt;E85,表2_36716262930381011[[#This Row],[累计净值]]/MAX(INDIRECT("B21:B" &amp; ROW()))-1,E85)</f>
        <v>-2.4321641297154306E-2</v>
      </c>
      <c r="F86" s="62">
        <f>表2_36716262930381011[[#This Row],[累计净值]]-0.1652</f>
        <v>1.0367999999999999</v>
      </c>
      <c r="G86" s="20">
        <f t="shared" ref="G86:G117" si="21">IF(F86&gt;1.0292,0.5*(F86-1.0292),F86-1.0292)</f>
        <v>3.8000000000000256E-3</v>
      </c>
    </row>
    <row r="87" spans="1:7" x14ac:dyDescent="0.2">
      <c r="A87" s="15">
        <v>43840</v>
      </c>
      <c r="B87" s="16">
        <v>1.2047000000000001</v>
      </c>
      <c r="C87" s="73">
        <f t="shared" si="19"/>
        <v>2.7000000000001467E-3</v>
      </c>
      <c r="D87" s="18" t="str">
        <f t="shared" si="20"/>
        <v>/</v>
      </c>
      <c r="E87" s="18">
        <f ca="1">IF(表2_36716262930381011[[#This Row],[累计净值]]/MAX(INDIRECT("B21:B" &amp; ROW()))-1&lt;E86,表2_36716262930381011[[#This Row],[累计净值]]/MAX(INDIRECT("B21:B" &amp; ROW()))-1,E86)</f>
        <v>-2.4321641297154306E-2</v>
      </c>
      <c r="F87" s="62">
        <f>表2_36716262930381011[[#This Row],[累计净值]]-0.1652</f>
        <v>1.0395000000000001</v>
      </c>
      <c r="G87" s="20">
        <f t="shared" si="21"/>
        <v>5.1500000000000989E-3</v>
      </c>
    </row>
    <row r="88" spans="1:7" x14ac:dyDescent="0.2">
      <c r="A88" s="15">
        <v>43843</v>
      </c>
      <c r="B88" s="16">
        <v>1.2070000000000001</v>
      </c>
      <c r="C88" s="73">
        <f t="shared" si="19"/>
        <v>2.2999999999999687E-3</v>
      </c>
      <c r="D88" s="18" t="str">
        <f t="shared" si="20"/>
        <v>/</v>
      </c>
      <c r="E88" s="18">
        <f ca="1">IF(表2_36716262930381011[[#This Row],[累计净值]]/MAX(INDIRECT("B21:B" &amp; ROW()))-1&lt;E87,表2_36716262930381011[[#This Row],[累计净值]]/MAX(INDIRECT("B21:B" &amp; ROW()))-1,E87)</f>
        <v>-2.4321641297154306E-2</v>
      </c>
      <c r="F88" s="62">
        <f>表2_36716262930381011[[#This Row],[累计净值]]-0.1652</f>
        <v>1.0418000000000001</v>
      </c>
      <c r="G88" s="20">
        <f t="shared" si="21"/>
        <v>6.3000000000000833E-3</v>
      </c>
    </row>
    <row r="89" spans="1:7" x14ac:dyDescent="0.2">
      <c r="A89" s="15">
        <v>43844</v>
      </c>
      <c r="B89" s="16">
        <v>1.2058</v>
      </c>
      <c r="C89" s="73">
        <f t="shared" si="19"/>
        <v>-1.2000000000000899E-3</v>
      </c>
      <c r="D89" s="18">
        <f t="shared" si="20"/>
        <v>-1.2000000000000899E-3</v>
      </c>
      <c r="E89" s="18">
        <f ca="1">IF(表2_36716262930381011[[#This Row],[累计净值]]/MAX(INDIRECT("B21:B" &amp; ROW()))-1&lt;E88,表2_36716262930381011[[#This Row],[累计净值]]/MAX(INDIRECT("B21:B" &amp; ROW()))-1,E88)</f>
        <v>-2.4321641297154306E-2</v>
      </c>
      <c r="F89" s="62">
        <f>表2_36716262930381011[[#This Row],[累计净值]]-0.1652</f>
        <v>1.0406</v>
      </c>
      <c r="G89" s="20">
        <f t="shared" si="21"/>
        <v>5.7000000000000384E-3</v>
      </c>
    </row>
    <row r="90" spans="1:7" x14ac:dyDescent="0.2">
      <c r="A90" s="15">
        <v>43845</v>
      </c>
      <c r="B90" s="16">
        <v>1.2121999999999999</v>
      </c>
      <c r="C90" s="73">
        <f t="shared" si="19"/>
        <v>6.3999999999999613E-3</v>
      </c>
      <c r="D90" s="18" t="str">
        <f t="shared" si="20"/>
        <v>/</v>
      </c>
      <c r="E90" s="18">
        <f ca="1">IF(表2_36716262930381011[[#This Row],[累计净值]]/MAX(INDIRECT("B21:B" &amp; ROW()))-1&lt;E89,表2_36716262930381011[[#This Row],[累计净值]]/MAX(INDIRECT("B21:B" &amp; ROW()))-1,E89)</f>
        <v>-2.4321641297154306E-2</v>
      </c>
      <c r="F90" s="62">
        <f>表2_36716262930381011[[#This Row],[累计净值]]-0.1652</f>
        <v>1.0469999999999999</v>
      </c>
      <c r="G90" s="20">
        <f t="shared" si="21"/>
        <v>8.900000000000019E-3</v>
      </c>
    </row>
    <row r="91" spans="1:7" x14ac:dyDescent="0.2">
      <c r="A91" s="15">
        <v>43846</v>
      </c>
      <c r="B91" s="16">
        <v>1.2119</v>
      </c>
      <c r="C91" s="73">
        <f t="shared" si="19"/>
        <v>-2.9999999999996696E-4</v>
      </c>
      <c r="D91" s="18">
        <f t="shared" si="20"/>
        <v>-2.9999999999996696E-4</v>
      </c>
      <c r="E91" s="18">
        <f ca="1">IF(表2_36716262930381011[[#This Row],[累计净值]]/MAX(INDIRECT("B21:B" &amp; ROW()))-1&lt;E90,表2_36716262930381011[[#This Row],[累计净值]]/MAX(INDIRECT("B21:B" &amp; ROW()))-1,E90)</f>
        <v>-2.4321641297154306E-2</v>
      </c>
      <c r="F91" s="62">
        <f>表2_36716262930381011[[#This Row],[累计净值]]-0.1652</f>
        <v>1.0467</v>
      </c>
      <c r="G91" s="20">
        <f t="shared" si="21"/>
        <v>8.7500000000000355E-3</v>
      </c>
    </row>
    <row r="92" spans="1:7" x14ac:dyDescent="0.2">
      <c r="A92" s="15">
        <v>43847</v>
      </c>
      <c r="B92" s="16">
        <v>1.2126999999999999</v>
      </c>
      <c r="C92" s="73">
        <f t="shared" ref="C92:C99" si="22">IFERROR(B92-B91,0)</f>
        <v>7.9999999999991189E-4</v>
      </c>
      <c r="D92" s="18" t="str">
        <f t="shared" ref="D92:D99" si="23">IF(C92&lt;0,C92,"/")</f>
        <v>/</v>
      </c>
      <c r="E92" s="18">
        <f ca="1">IF(表2_36716262930381011[[#This Row],[累计净值]]/MAX(INDIRECT("B21:B" &amp; ROW()))-1&lt;E91,表2_36716262930381011[[#This Row],[累计净值]]/MAX(INDIRECT("B21:B" &amp; ROW()))-1,E91)</f>
        <v>-2.4321641297154306E-2</v>
      </c>
      <c r="F92" s="62">
        <f>表2_36716262930381011[[#This Row],[累计净值]]-0.1652</f>
        <v>1.0474999999999999</v>
      </c>
      <c r="G92" s="20">
        <f t="shared" si="21"/>
        <v>9.1499999999999915E-3</v>
      </c>
    </row>
    <row r="93" spans="1:7" x14ac:dyDescent="0.2">
      <c r="A93" s="15">
        <v>43850</v>
      </c>
      <c r="B93" s="16">
        <v>1.2132000000000001</v>
      </c>
      <c r="C93" s="73">
        <f t="shared" si="22"/>
        <v>5.0000000000016698E-4</v>
      </c>
      <c r="D93" s="18" t="str">
        <f t="shared" si="23"/>
        <v>/</v>
      </c>
      <c r="E93" s="18">
        <f ca="1">IF(表2_36716262930381011[[#This Row],[累计净值]]/MAX(INDIRECT("B21:B" &amp; ROW()))-1&lt;E92,表2_36716262930381011[[#This Row],[累计净值]]/MAX(INDIRECT("B21:B" &amp; ROW()))-1,E92)</f>
        <v>-2.4321641297154306E-2</v>
      </c>
      <c r="F93" s="62">
        <f>表2_36716262930381011[[#This Row],[累计净值]]-0.1652</f>
        <v>1.048</v>
      </c>
      <c r="G93" s="20">
        <f t="shared" si="21"/>
        <v>9.400000000000075E-3</v>
      </c>
    </row>
    <row r="94" spans="1:7" x14ac:dyDescent="0.2">
      <c r="A94" s="15">
        <v>43851</v>
      </c>
      <c r="B94" s="16">
        <v>1.2157</v>
      </c>
      <c r="C94" s="73">
        <f t="shared" si="22"/>
        <v>2.4999999999999467E-3</v>
      </c>
      <c r="D94" s="18" t="str">
        <f t="shared" si="23"/>
        <v>/</v>
      </c>
      <c r="E94" s="18">
        <f ca="1">IF(表2_36716262930381011[[#This Row],[累计净值]]/MAX(INDIRECT("B21:B" &amp; ROW()))-1&lt;E93,表2_36716262930381011[[#This Row],[累计净值]]/MAX(INDIRECT("B21:B" &amp; ROW()))-1,E93)</f>
        <v>-2.4321641297154306E-2</v>
      </c>
      <c r="F94" s="62">
        <f>表2_36716262930381011[[#This Row],[累计净值]]-0.1652</f>
        <v>1.0505</v>
      </c>
      <c r="G94" s="20">
        <f t="shared" si="21"/>
        <v>1.0650000000000048E-2</v>
      </c>
    </row>
    <row r="95" spans="1:7" x14ac:dyDescent="0.2">
      <c r="A95" s="15">
        <v>43852</v>
      </c>
      <c r="B95" s="16">
        <v>1.2172000000000001</v>
      </c>
      <c r="C95" s="73">
        <f t="shared" si="22"/>
        <v>1.5000000000000568E-3</v>
      </c>
      <c r="D95" s="18" t="str">
        <f t="shared" si="23"/>
        <v>/</v>
      </c>
      <c r="E95" s="18">
        <f ca="1">IF(表2_36716262930381011[[#This Row],[累计净值]]/MAX(INDIRECT("B21:B" &amp; ROW()))-1&lt;E94,表2_36716262930381011[[#This Row],[累计净值]]/MAX(INDIRECT("B21:B" &amp; ROW()))-1,E94)</f>
        <v>-2.4321641297154306E-2</v>
      </c>
      <c r="F95" s="62">
        <f>表2_36716262930381011[[#This Row],[累计净值]]-0.1652</f>
        <v>1.052</v>
      </c>
      <c r="G95" s="20">
        <f t="shared" si="21"/>
        <v>1.1400000000000077E-2</v>
      </c>
    </row>
    <row r="96" spans="1:7" x14ac:dyDescent="0.2">
      <c r="A96" s="15">
        <v>43853</v>
      </c>
      <c r="B96" s="76">
        <v>1.2184999999999999</v>
      </c>
      <c r="C96" s="73">
        <f t="shared" si="22"/>
        <v>1.2999999999998568E-3</v>
      </c>
      <c r="D96" s="18" t="str">
        <f t="shared" si="23"/>
        <v>/</v>
      </c>
      <c r="E96" s="18">
        <f ca="1">IF(表2_36716262930381011[[#This Row],[累计净值]]/MAX(INDIRECT("B21:B" &amp; ROW()))-1&lt;E95,表2_36716262930381011[[#This Row],[累计净值]]/MAX(INDIRECT("B21:B" &amp; ROW()))-1,E95)</f>
        <v>-2.4321641297154306E-2</v>
      </c>
      <c r="F96" s="62">
        <f>表2_36716262930381011[[#This Row],[累计净值]]-0.1652</f>
        <v>1.0532999999999999</v>
      </c>
      <c r="G96" s="20">
        <f t="shared" si="21"/>
        <v>1.2050000000000005E-2</v>
      </c>
    </row>
    <row r="97" spans="1:7" x14ac:dyDescent="0.2">
      <c r="A97" s="15">
        <v>43864</v>
      </c>
      <c r="B97" s="16">
        <v>1.2156</v>
      </c>
      <c r="C97" s="73">
        <f t="shared" si="22"/>
        <v>-2.8999999999999027E-3</v>
      </c>
      <c r="D97" s="18">
        <f t="shared" si="23"/>
        <v>-2.8999999999999027E-3</v>
      </c>
      <c r="E97" s="18">
        <f ca="1">IF(表2_36716262930381011[[#This Row],[累计净值]]/MAX(INDIRECT("B21:B" &amp; ROW()))-1&lt;E96,表2_36716262930381011[[#This Row],[累计净值]]/MAX(INDIRECT("B21:B" &amp; ROW()))-1,E96)</f>
        <v>-2.4321641297154306E-2</v>
      </c>
      <c r="F97" s="62">
        <f>表2_36716262930381011[[#This Row],[累计净值]]-0.1652</f>
        <v>1.0504</v>
      </c>
      <c r="G97" s="20">
        <f t="shared" si="21"/>
        <v>1.0600000000000054E-2</v>
      </c>
    </row>
    <row r="98" spans="1:7" x14ac:dyDescent="0.2">
      <c r="A98" s="15">
        <v>43865</v>
      </c>
      <c r="B98" s="16">
        <v>1.206</v>
      </c>
      <c r="C98" s="73">
        <f t="shared" si="22"/>
        <v>-9.6000000000000529E-3</v>
      </c>
      <c r="D98" s="18">
        <f t="shared" si="23"/>
        <v>-9.6000000000000529E-3</v>
      </c>
      <c r="E98" s="18">
        <f ca="1">IF(表2_36716262930381011[[#This Row],[累计净值]]/MAX(INDIRECT("B21:B" &amp; ROW()))-1&lt;E97,表2_36716262930381011[[#This Row],[累计净值]]/MAX(INDIRECT("B21:B" &amp; ROW()))-1,E97)</f>
        <v>-2.4321641297154306E-2</v>
      </c>
      <c r="F98" s="62">
        <f>表2_36716262930381011[[#This Row],[累计净值]]-0.1652</f>
        <v>1.0407999999999999</v>
      </c>
      <c r="G98" s="20">
        <f t="shared" si="21"/>
        <v>5.8000000000000274E-3</v>
      </c>
    </row>
    <row r="99" spans="1:7" x14ac:dyDescent="0.2">
      <c r="A99" s="15">
        <v>43866</v>
      </c>
      <c r="B99" s="16">
        <v>1.2097</v>
      </c>
      <c r="C99" s="73">
        <f t="shared" si="22"/>
        <v>3.7000000000000366E-3</v>
      </c>
      <c r="D99" s="18" t="str">
        <f t="shared" si="23"/>
        <v>/</v>
      </c>
      <c r="E99" s="18">
        <f ca="1">IF(表2_36716262930381011[[#This Row],[累计净值]]/MAX(INDIRECT("B21:B" &amp; ROW()))-1&lt;E98,表2_36716262930381011[[#This Row],[累计净值]]/MAX(INDIRECT("B21:B" &amp; ROW()))-1,E98)</f>
        <v>-2.4321641297154306E-2</v>
      </c>
      <c r="F99" s="62">
        <f>表2_36716262930381011[[#This Row],[累计净值]]-0.1652</f>
        <v>1.0445</v>
      </c>
      <c r="G99" s="20">
        <f t="shared" si="21"/>
        <v>7.6500000000000457E-3</v>
      </c>
    </row>
    <row r="100" spans="1:7" x14ac:dyDescent="0.2">
      <c r="A100" s="15">
        <v>43867</v>
      </c>
      <c r="B100" s="16">
        <v>1.2130000000000001</v>
      </c>
      <c r="C100" s="73">
        <f t="shared" ref="C100:C105" si="24">IFERROR(B100-B99,0)</f>
        <v>3.3000000000000806E-3</v>
      </c>
      <c r="D100" s="18" t="str">
        <f t="shared" ref="D100:D105" si="25">IF(C100&lt;0,C100,"/")</f>
        <v>/</v>
      </c>
      <c r="E100" s="18">
        <f ca="1">IF(表2_36716262930381011[[#This Row],[累计净值]]/MAX(INDIRECT("B21:B" &amp; ROW()))-1&lt;E99,表2_36716262930381011[[#This Row],[累计净值]]/MAX(INDIRECT("B21:B" &amp; ROW()))-1,E99)</f>
        <v>-2.4321641297154306E-2</v>
      </c>
      <c r="F100" s="62">
        <f>表2_36716262930381011[[#This Row],[累计净值]]-0.1652</f>
        <v>1.0478000000000001</v>
      </c>
      <c r="G100" s="20">
        <f t="shared" si="21"/>
        <v>9.300000000000086E-3</v>
      </c>
    </row>
    <row r="101" spans="1:7" x14ac:dyDescent="0.2">
      <c r="A101" s="15">
        <v>43868</v>
      </c>
      <c r="B101" s="16">
        <v>1.2183999999999999</v>
      </c>
      <c r="C101" s="73">
        <f t="shared" si="24"/>
        <v>5.3999999999998494E-3</v>
      </c>
      <c r="D101" s="18" t="str">
        <f t="shared" si="25"/>
        <v>/</v>
      </c>
      <c r="E101" s="18">
        <f ca="1">IF(表2_36716262930381011[[#This Row],[累计净值]]/MAX(INDIRECT("B21:B" &amp; ROW()))-1&lt;E100,表2_36716262930381011[[#This Row],[累计净值]]/MAX(INDIRECT("B21:B" &amp; ROW()))-1,E100)</f>
        <v>-2.4321641297154306E-2</v>
      </c>
      <c r="F101" s="62">
        <f>表2_36716262930381011[[#This Row],[累计净值]]-0.1652</f>
        <v>1.0531999999999999</v>
      </c>
      <c r="G101" s="20">
        <f t="shared" si="21"/>
        <v>1.2000000000000011E-2</v>
      </c>
    </row>
    <row r="102" spans="1:7" x14ac:dyDescent="0.2">
      <c r="A102" s="15">
        <v>43871</v>
      </c>
      <c r="B102" s="16">
        <v>1.224</v>
      </c>
      <c r="C102" s="73">
        <f t="shared" si="24"/>
        <v>5.6000000000000494E-3</v>
      </c>
      <c r="D102" s="18" t="str">
        <f t="shared" si="25"/>
        <v>/</v>
      </c>
      <c r="E102" s="18">
        <f ca="1">IF(表2_36716262930381011[[#This Row],[累计净值]]/MAX(INDIRECT("B21:B" &amp; ROW()))-1&lt;E101,表2_36716262930381011[[#This Row],[累计净值]]/MAX(INDIRECT("B21:B" &amp; ROW()))-1,E101)</f>
        <v>-2.4321641297154306E-2</v>
      </c>
      <c r="F102" s="62">
        <f>表2_36716262930381011[[#This Row],[累计净值]]-0.1652</f>
        <v>1.0588</v>
      </c>
      <c r="G102" s="20">
        <f t="shared" si="21"/>
        <v>1.4800000000000035E-2</v>
      </c>
    </row>
    <row r="103" spans="1:7" x14ac:dyDescent="0.2">
      <c r="A103" s="15">
        <v>43872</v>
      </c>
      <c r="B103" s="16">
        <v>1.2270000000000001</v>
      </c>
      <c r="C103" s="73">
        <f t="shared" si="24"/>
        <v>3.0000000000001137E-3</v>
      </c>
      <c r="D103" s="18" t="str">
        <f t="shared" si="25"/>
        <v>/</v>
      </c>
      <c r="E103" s="18">
        <f ca="1">IF(表2_36716262930381011[[#This Row],[累计净值]]/MAX(INDIRECT("B21:B" &amp; ROW()))-1&lt;E102,表2_36716262930381011[[#This Row],[累计净值]]/MAX(INDIRECT("B21:B" &amp; ROW()))-1,E102)</f>
        <v>-2.4321641297154306E-2</v>
      </c>
      <c r="F103" s="62">
        <f>表2_36716262930381011[[#This Row],[累计净值]]-0.1652</f>
        <v>1.0618000000000001</v>
      </c>
      <c r="G103" s="20">
        <f t="shared" si="21"/>
        <v>1.6300000000000092E-2</v>
      </c>
    </row>
    <row r="104" spans="1:7" x14ac:dyDescent="0.2">
      <c r="A104" s="15">
        <v>43873</v>
      </c>
      <c r="B104" s="16">
        <v>1.2303999999999999</v>
      </c>
      <c r="C104" s="73">
        <f t="shared" si="24"/>
        <v>3.3999999999998476E-3</v>
      </c>
      <c r="D104" s="18" t="str">
        <f t="shared" si="25"/>
        <v>/</v>
      </c>
      <c r="E104" s="18">
        <f ca="1">IF(表2_36716262930381011[[#This Row],[累计净值]]/MAX(INDIRECT("B21:B" &amp; ROW()))-1&lt;E103,表2_36716262930381011[[#This Row],[累计净值]]/MAX(INDIRECT("B21:B" &amp; ROW()))-1,E103)</f>
        <v>-2.4321641297154306E-2</v>
      </c>
      <c r="F104" s="62">
        <f>表2_36716262930381011[[#This Row],[累计净值]]-0.1652</f>
        <v>1.0651999999999999</v>
      </c>
      <c r="G104" s="20">
        <f t="shared" si="21"/>
        <v>1.8000000000000016E-2</v>
      </c>
    </row>
    <row r="105" spans="1:7" x14ac:dyDescent="0.2">
      <c r="A105" s="15">
        <v>43874</v>
      </c>
      <c r="B105" s="16">
        <v>1.2355</v>
      </c>
      <c r="C105" s="73">
        <f t="shared" si="24"/>
        <v>5.1000000000001044E-3</v>
      </c>
      <c r="D105" s="18" t="str">
        <f t="shared" si="25"/>
        <v>/</v>
      </c>
      <c r="E105" s="18">
        <f ca="1">IF(表2_36716262930381011[[#This Row],[累计净值]]/MAX(INDIRECT("B21:B" &amp; ROW()))-1&lt;E104,表2_36716262930381011[[#This Row],[累计净值]]/MAX(INDIRECT("B21:B" &amp; ROW()))-1,E104)</f>
        <v>-2.4321641297154306E-2</v>
      </c>
      <c r="F105" s="62">
        <f>表2_36716262930381011[[#This Row],[累计净值]]-0.1652</f>
        <v>1.0703</v>
      </c>
      <c r="G105" s="20">
        <f t="shared" si="21"/>
        <v>2.0550000000000068E-2</v>
      </c>
    </row>
    <row r="106" spans="1:7" x14ac:dyDescent="0.2">
      <c r="A106" s="15">
        <v>43875</v>
      </c>
      <c r="B106" s="16">
        <v>1.2419</v>
      </c>
      <c r="C106" s="73">
        <f t="shared" ref="C106:C111" si="26">IFERROR(B106-B105,0)</f>
        <v>6.3999999999999613E-3</v>
      </c>
      <c r="D106" s="18" t="str">
        <f t="shared" ref="D106:D111" si="27">IF(C106&lt;0,C106,"/")</f>
        <v>/</v>
      </c>
      <c r="E106" s="18">
        <f ca="1">IF(表2_36716262930381011[[#This Row],[累计净值]]/MAX(INDIRECT("B21:B" &amp; ROW()))-1&lt;E105,表2_36716262930381011[[#This Row],[累计净值]]/MAX(INDIRECT("B21:B" &amp; ROW()))-1,E105)</f>
        <v>-2.4321641297154306E-2</v>
      </c>
      <c r="F106" s="62">
        <f>表2_36716262930381011[[#This Row],[累计净值]]-0.1652</f>
        <v>1.0767</v>
      </c>
      <c r="G106" s="20">
        <f t="shared" si="21"/>
        <v>2.3750000000000049E-2</v>
      </c>
    </row>
    <row r="107" spans="1:7" x14ac:dyDescent="0.2">
      <c r="A107" s="15">
        <v>43878</v>
      </c>
      <c r="B107" s="90">
        <v>1.2484</v>
      </c>
      <c r="C107" s="73">
        <f t="shared" si="26"/>
        <v>6.4999999999999503E-3</v>
      </c>
      <c r="D107" s="18" t="str">
        <f t="shared" si="27"/>
        <v>/</v>
      </c>
      <c r="E107" s="18">
        <f ca="1">IF(表2_36716262930381011[[#This Row],[累计净值]]/MAX(INDIRECT("B21:B" &amp; ROW()))-1&lt;E106,表2_36716262930381011[[#This Row],[累计净值]]/MAX(INDIRECT("B21:B" &amp; ROW()))-1,E106)</f>
        <v>-2.4321641297154306E-2</v>
      </c>
      <c r="F107" s="62">
        <f>表2_36716262930381011[[#This Row],[累计净值]]-0.1652</f>
        <v>1.0831999999999999</v>
      </c>
      <c r="G107" s="20">
        <f t="shared" si="21"/>
        <v>2.7000000000000024E-2</v>
      </c>
    </row>
    <row r="108" spans="1:7" x14ac:dyDescent="0.2">
      <c r="A108" s="15">
        <v>43879</v>
      </c>
      <c r="B108" s="90">
        <v>1.2676000000000001</v>
      </c>
      <c r="C108" s="73">
        <f t="shared" si="26"/>
        <v>1.9200000000000106E-2</v>
      </c>
      <c r="D108" s="18" t="str">
        <f t="shared" si="27"/>
        <v>/</v>
      </c>
      <c r="E108" s="18">
        <f ca="1">IF(表2_36716262930381011[[#This Row],[累计净值]]/MAX(INDIRECT("B21:B" &amp; ROW()))-1&lt;E107,表2_36716262930381011[[#This Row],[累计净值]]/MAX(INDIRECT("B21:B" &amp; ROW()))-1,E107)</f>
        <v>-2.4321641297154306E-2</v>
      </c>
      <c r="F108" s="62">
        <f>表2_36716262930381011[[#This Row],[累计净值]]-0.1652</f>
        <v>1.1024</v>
      </c>
      <c r="G108" s="20">
        <f t="shared" si="21"/>
        <v>3.6600000000000077E-2</v>
      </c>
    </row>
    <row r="109" spans="1:7" x14ac:dyDescent="0.2">
      <c r="A109" s="15">
        <v>43880</v>
      </c>
      <c r="B109" s="90">
        <v>1.2705</v>
      </c>
      <c r="C109" s="73">
        <f t="shared" si="26"/>
        <v>2.8999999999999027E-3</v>
      </c>
      <c r="D109" s="18" t="str">
        <f t="shared" si="27"/>
        <v>/</v>
      </c>
      <c r="E109" s="18">
        <f ca="1">IF(表2_36716262930381011[[#This Row],[累计净值]]/MAX(INDIRECT("B21:B" &amp; ROW()))-1&lt;E108,表2_36716262930381011[[#This Row],[累计净值]]/MAX(INDIRECT("B21:B" &amp; ROW()))-1,E108)</f>
        <v>-2.4321641297154306E-2</v>
      </c>
      <c r="F109" s="62">
        <f>表2_36716262930381011[[#This Row],[累计净值]]-0.1652</f>
        <v>1.1052999999999999</v>
      </c>
      <c r="G109" s="20">
        <f t="shared" si="21"/>
        <v>3.8050000000000028E-2</v>
      </c>
    </row>
    <row r="110" spans="1:7" x14ac:dyDescent="0.2">
      <c r="A110" s="15">
        <v>43881</v>
      </c>
      <c r="B110" s="90">
        <v>1.2776000000000001</v>
      </c>
      <c r="C110" s="73">
        <f t="shared" si="26"/>
        <v>7.1000000000001062E-3</v>
      </c>
      <c r="D110" s="18" t="str">
        <f t="shared" si="27"/>
        <v>/</v>
      </c>
      <c r="E110" s="18">
        <f ca="1">IF(表2_36716262930381011[[#This Row],[累计净值]]/MAX(INDIRECT("B21:B" &amp; ROW()))-1&lt;E109,表2_36716262930381011[[#This Row],[累计净值]]/MAX(INDIRECT("B21:B" &amp; ROW()))-1,E109)</f>
        <v>-2.4321641297154306E-2</v>
      </c>
      <c r="F110" s="62">
        <f>表2_36716262930381011[[#This Row],[累计净值]]-0.1652</f>
        <v>1.1124000000000001</v>
      </c>
      <c r="G110" s="20">
        <f t="shared" si="21"/>
        <v>4.1600000000000081E-2</v>
      </c>
    </row>
    <row r="111" spans="1:7" x14ac:dyDescent="0.2">
      <c r="A111" s="15">
        <v>43882</v>
      </c>
      <c r="B111" s="90">
        <v>1.28</v>
      </c>
      <c r="C111" s="73">
        <f t="shared" si="26"/>
        <v>2.3999999999999577E-3</v>
      </c>
      <c r="D111" s="18" t="str">
        <f t="shared" si="27"/>
        <v>/</v>
      </c>
      <c r="E111" s="18">
        <f ca="1">IF(表2_36716262930381011[[#This Row],[累计净值]]/MAX(INDIRECT("B21:B" &amp; ROW()))-1&lt;E110,表2_36716262930381011[[#This Row],[累计净值]]/MAX(INDIRECT("B21:B" &amp; ROW()))-1,E110)</f>
        <v>-2.4321641297154306E-2</v>
      </c>
      <c r="F111" s="62">
        <f>表2_36716262930381011[[#This Row],[累计净值]]-0.1652</f>
        <v>1.1148</v>
      </c>
      <c r="G111" s="20">
        <f t="shared" si="21"/>
        <v>4.280000000000006E-2</v>
      </c>
    </row>
    <row r="112" spans="1:7" x14ac:dyDescent="0.2">
      <c r="A112" s="15">
        <v>43885</v>
      </c>
      <c r="B112" s="76">
        <v>1.2988</v>
      </c>
      <c r="C112" s="73">
        <f t="shared" ref="C112:C117" si="28">IFERROR(B112-B111,0)</f>
        <v>1.8799999999999928E-2</v>
      </c>
      <c r="D112" s="18" t="str">
        <f t="shared" ref="D112:D117" si="29">IF(C112&lt;0,C112,"/")</f>
        <v>/</v>
      </c>
      <c r="E112" s="18">
        <f ca="1">IF(表2_36716262930381011[[#This Row],[累计净值]]/MAX(INDIRECT("B21:B" &amp; ROW()))-1&lt;E111,表2_36716262930381011[[#This Row],[累计净值]]/MAX(INDIRECT("B21:B" &amp; ROW()))-1,E111)</f>
        <v>-2.4321641297154306E-2</v>
      </c>
      <c r="F112" s="62">
        <f>表2_36716262930381011[[#This Row],[累计净值]]-0.1652</f>
        <v>1.1335999999999999</v>
      </c>
      <c r="G112" s="20">
        <f t="shared" si="21"/>
        <v>5.2200000000000024E-2</v>
      </c>
    </row>
    <row r="113" spans="1:7" x14ac:dyDescent="0.2">
      <c r="A113" s="15">
        <v>43886</v>
      </c>
      <c r="B113" s="90">
        <v>1.2967</v>
      </c>
      <c r="C113" s="73">
        <f t="shared" si="28"/>
        <v>-2.0999999999999908E-3</v>
      </c>
      <c r="D113" s="18">
        <f t="shared" si="29"/>
        <v>-2.0999999999999908E-3</v>
      </c>
      <c r="E113" s="18">
        <f ca="1">IF(表2_36716262930381011[[#This Row],[累计净值]]/MAX(INDIRECT("B21:B" &amp; ROW()))-1&lt;E112,表2_36716262930381011[[#This Row],[累计净值]]/MAX(INDIRECT("B21:B" &amp; ROW()))-1,E112)</f>
        <v>-2.4321641297154306E-2</v>
      </c>
      <c r="F113" s="62">
        <f>表2_36716262930381011[[#This Row],[累计净值]]-0.1652</f>
        <v>1.1315</v>
      </c>
      <c r="G113" s="20">
        <f t="shared" si="21"/>
        <v>5.1150000000000029E-2</v>
      </c>
    </row>
    <row r="114" spans="1:7" x14ac:dyDescent="0.2">
      <c r="A114" s="15">
        <v>43887</v>
      </c>
      <c r="B114" s="90">
        <v>1.2814000000000001</v>
      </c>
      <c r="C114" s="73">
        <f t="shared" si="28"/>
        <v>-1.5299999999999869E-2</v>
      </c>
      <c r="D114" s="18">
        <f t="shared" si="29"/>
        <v>-1.5299999999999869E-2</v>
      </c>
      <c r="E114" s="18">
        <f ca="1">IF(表2_36716262930381011[[#This Row],[累计净值]]/MAX(INDIRECT("B21:B" &amp; ROW()))-1&lt;E113,表2_36716262930381011[[#This Row],[累计净值]]/MAX(INDIRECT("B21:B" &amp; ROW()))-1,E113)</f>
        <v>-2.4321641297154306E-2</v>
      </c>
      <c r="F114" s="62">
        <f>表2_36716262930381011[[#This Row],[累计净值]]-0.1652</f>
        <v>1.1162000000000001</v>
      </c>
      <c r="G114" s="20">
        <f t="shared" si="21"/>
        <v>4.3500000000000094E-2</v>
      </c>
    </row>
    <row r="115" spans="1:7" x14ac:dyDescent="0.2">
      <c r="A115" s="15">
        <v>43888</v>
      </c>
      <c r="B115" s="90">
        <v>1.2859</v>
      </c>
      <c r="C115" s="73">
        <f t="shared" si="28"/>
        <v>4.4999999999999485E-3</v>
      </c>
      <c r="D115" s="18" t="str">
        <f t="shared" si="29"/>
        <v>/</v>
      </c>
      <c r="E115" s="18">
        <f ca="1">IF(表2_36716262930381011[[#This Row],[累计净值]]/MAX(INDIRECT("B21:B" &amp; ROW()))-1&lt;E114,表2_36716262930381011[[#This Row],[累计净值]]/MAX(INDIRECT("B21:B" &amp; ROW()))-1,E114)</f>
        <v>-2.4321641297154306E-2</v>
      </c>
      <c r="F115" s="62">
        <f>表2_36716262930381011[[#This Row],[累计净值]]-0.1652</f>
        <v>1.1207</v>
      </c>
      <c r="G115" s="20">
        <f t="shared" si="21"/>
        <v>4.5750000000000068E-2</v>
      </c>
    </row>
    <row r="116" spans="1:7" x14ac:dyDescent="0.2">
      <c r="A116" s="15">
        <v>43889</v>
      </c>
      <c r="B116" s="90">
        <v>1.2679</v>
      </c>
      <c r="C116" s="73">
        <f t="shared" si="28"/>
        <v>-1.8000000000000016E-2</v>
      </c>
      <c r="D116" s="18">
        <f t="shared" si="29"/>
        <v>-1.8000000000000016E-2</v>
      </c>
      <c r="E116" s="18">
        <f ca="1">IF(表2_36716262930381011[[#This Row],[累计净值]]/MAX(INDIRECT("B21:B" &amp; ROW()))-1&lt;E115,表2_36716262930381011[[#This Row],[累计净值]]/MAX(INDIRECT("B21:B" &amp; ROW()))-1,E115)</f>
        <v>-2.4321641297154306E-2</v>
      </c>
      <c r="F116" s="62">
        <f>表2_36716262930381011[[#This Row],[累计净值]]-0.1652</f>
        <v>1.1027</v>
      </c>
      <c r="G116" s="20">
        <f t="shared" si="21"/>
        <v>3.675000000000006E-2</v>
      </c>
    </row>
    <row r="117" spans="1:7" x14ac:dyDescent="0.2">
      <c r="A117" s="15">
        <v>43892</v>
      </c>
      <c r="B117" s="90">
        <v>1.2764</v>
      </c>
      <c r="C117" s="73">
        <f t="shared" si="28"/>
        <v>8.499999999999952E-3</v>
      </c>
      <c r="D117" s="18" t="str">
        <f t="shared" si="29"/>
        <v>/</v>
      </c>
      <c r="E117" s="18">
        <f ca="1">IF(表2_36716262930381011[[#This Row],[累计净值]]/MAX(INDIRECT("B21:B" &amp; ROW()))-1&lt;E116,表2_36716262930381011[[#This Row],[累计净值]]/MAX(INDIRECT("B21:B" &amp; ROW()))-1,E116)</f>
        <v>-2.4321641297154306E-2</v>
      </c>
      <c r="F117" s="62">
        <f>表2_36716262930381011[[#This Row],[累计净值]]-0.1652</f>
        <v>1.1112</v>
      </c>
      <c r="G117" s="20">
        <f t="shared" si="21"/>
        <v>4.1000000000000036E-2</v>
      </c>
    </row>
    <row r="118" spans="1:7" x14ac:dyDescent="0.2">
      <c r="A118" s="15">
        <v>43893</v>
      </c>
      <c r="B118" s="90">
        <v>1.2866</v>
      </c>
      <c r="C118" s="73">
        <f t="shared" ref="C118:C123" si="30">IFERROR(B118-B117,0)</f>
        <v>1.0199999999999987E-2</v>
      </c>
      <c r="D118" s="18" t="str">
        <f t="shared" ref="D118:D123" si="31">IF(C118&lt;0,C118,"/")</f>
        <v>/</v>
      </c>
      <c r="E118" s="18">
        <f ca="1">IF(表2_36716262930381011[[#This Row],[累计净值]]/MAX(INDIRECT("B21:B" &amp; ROW()))-1&lt;E117,表2_36716262930381011[[#This Row],[累计净值]]/MAX(INDIRECT("B21:B" &amp; ROW()))-1,E117)</f>
        <v>-2.4321641297154306E-2</v>
      </c>
      <c r="F118" s="62">
        <f>表2_36716262930381011[[#This Row],[累计净值]]-0.1652</f>
        <v>1.1214</v>
      </c>
      <c r="G118" s="20">
        <f t="shared" ref="G118:G149" si="32">IF(F118&gt;1.0292,0.5*(F118-1.0292),F118-1.0292)</f>
        <v>4.610000000000003E-2</v>
      </c>
    </row>
    <row r="119" spans="1:7" x14ac:dyDescent="0.2">
      <c r="A119" s="15">
        <v>43894</v>
      </c>
      <c r="B119" s="90">
        <v>1.2916000000000001</v>
      </c>
      <c r="C119" s="73">
        <f t="shared" si="30"/>
        <v>5.0000000000001155E-3</v>
      </c>
      <c r="D119" s="18" t="str">
        <f t="shared" si="31"/>
        <v>/</v>
      </c>
      <c r="E119" s="18">
        <f ca="1">IF(表2_36716262930381011[[#This Row],[累计净值]]/MAX(INDIRECT("B21:B" &amp; ROW()))-1&lt;E118,表2_36716262930381011[[#This Row],[累计净值]]/MAX(INDIRECT("B21:B" &amp; ROW()))-1,E118)</f>
        <v>-2.4321641297154306E-2</v>
      </c>
      <c r="F119" s="62">
        <f>表2_36716262930381011[[#This Row],[累计净值]]-0.1652</f>
        <v>1.1264000000000001</v>
      </c>
      <c r="G119" s="20">
        <f t="shared" si="32"/>
        <v>4.8600000000000088E-2</v>
      </c>
    </row>
    <row r="120" spans="1:7" x14ac:dyDescent="0.2">
      <c r="A120" s="15">
        <v>43895</v>
      </c>
      <c r="B120" s="90">
        <v>1.2942</v>
      </c>
      <c r="C120" s="73">
        <f t="shared" si="30"/>
        <v>2.5999999999999357E-3</v>
      </c>
      <c r="D120" s="18" t="str">
        <f t="shared" si="31"/>
        <v>/</v>
      </c>
      <c r="E120" s="18">
        <f ca="1">IF(表2_36716262930381011[[#This Row],[累计净值]]/MAX(INDIRECT("B21:B" &amp; ROW()))-1&lt;E119,表2_36716262930381011[[#This Row],[累计净值]]/MAX(INDIRECT("B21:B" &amp; ROW()))-1,E119)</f>
        <v>-2.4321641297154306E-2</v>
      </c>
      <c r="F120" s="62">
        <f>表2_36716262930381011[[#This Row],[累计净值]]-0.1652</f>
        <v>1.129</v>
      </c>
      <c r="G120" s="20">
        <f t="shared" si="32"/>
        <v>4.9900000000000055E-2</v>
      </c>
    </row>
    <row r="121" spans="1:7" x14ac:dyDescent="0.2">
      <c r="A121" s="15">
        <v>43896</v>
      </c>
      <c r="B121" s="90">
        <v>1.2870999999999999</v>
      </c>
      <c r="C121" s="73">
        <f t="shared" si="30"/>
        <v>-7.1000000000001062E-3</v>
      </c>
      <c r="D121" s="18">
        <f t="shared" si="31"/>
        <v>-7.1000000000001062E-3</v>
      </c>
      <c r="E121" s="18">
        <f ca="1">IF(表2_36716262930381011[[#This Row],[累计净值]]/MAX(INDIRECT("B21:B" &amp; ROW()))-1&lt;E120,表2_36716262930381011[[#This Row],[累计净值]]/MAX(INDIRECT("B21:B" &amp; ROW()))-1,E120)</f>
        <v>-2.4321641297154306E-2</v>
      </c>
      <c r="F121" s="62">
        <f>表2_36716262930381011[[#This Row],[累计净值]]-0.1652</f>
        <v>1.1218999999999999</v>
      </c>
      <c r="G121" s="20">
        <f t="shared" si="32"/>
        <v>4.6350000000000002E-2</v>
      </c>
    </row>
    <row r="122" spans="1:7" x14ac:dyDescent="0.2">
      <c r="A122" s="9">
        <v>43899</v>
      </c>
      <c r="B122" s="93">
        <v>1.2827</v>
      </c>
      <c r="C122" s="80">
        <f t="shared" si="30"/>
        <v>-4.3999999999999595E-3</v>
      </c>
      <c r="D122" s="12">
        <f t="shared" si="31"/>
        <v>-4.3999999999999595E-3</v>
      </c>
      <c r="E122" s="12">
        <f ca="1">IF(表2_36716262930381011[[#This Row],[累计净值]]/MAX(INDIRECT("B21:B" &amp; ROW()))-1&lt;E121,表2_36716262930381011[[#This Row],[累计净值]]/MAX(INDIRECT("B21:B" &amp; ROW()))-1,E121)</f>
        <v>-2.4321641297154306E-2</v>
      </c>
      <c r="F122" s="81">
        <f>表2_36716262930381011[[#This Row],[累计净值]]-0.1652</f>
        <v>1.1174999999999999</v>
      </c>
      <c r="G122" s="82">
        <f t="shared" si="32"/>
        <v>4.4150000000000023E-2</v>
      </c>
    </row>
    <row r="123" spans="1:7" x14ac:dyDescent="0.2">
      <c r="A123" s="15">
        <v>43900</v>
      </c>
      <c r="B123" s="90">
        <v>1.2948999999999999</v>
      </c>
      <c r="C123" s="73">
        <f t="shared" si="30"/>
        <v>1.2199999999999989E-2</v>
      </c>
      <c r="D123" s="18" t="str">
        <f t="shared" si="31"/>
        <v>/</v>
      </c>
      <c r="E123" s="18">
        <f ca="1">IF(表2_36716262930381011[[#This Row],[累计净值]]/MAX(INDIRECT("B21:B" &amp; ROW()))-1&lt;E122,表2_36716262930381011[[#This Row],[累计净值]]/MAX(INDIRECT("B21:B" &amp; ROW()))-1,E122)</f>
        <v>-2.4321641297154306E-2</v>
      </c>
      <c r="F123" s="62">
        <f>表2_36716262930381011[[#This Row],[累计净值]]-0.1652</f>
        <v>1.1296999999999999</v>
      </c>
      <c r="G123" s="20">
        <f t="shared" si="32"/>
        <v>5.0250000000000017E-2</v>
      </c>
    </row>
    <row r="124" spans="1:7" x14ac:dyDescent="0.2">
      <c r="A124" s="15">
        <v>43901</v>
      </c>
      <c r="B124" s="90">
        <v>1.2921</v>
      </c>
      <c r="C124" s="73">
        <f t="shared" ref="C124:C129" si="33">IFERROR(B124-B123,0)</f>
        <v>-2.7999999999999137E-3</v>
      </c>
      <c r="D124" s="18">
        <f t="shared" ref="D124:D129" si="34">IF(C124&lt;0,C124,"/")</f>
        <v>-2.7999999999999137E-3</v>
      </c>
      <c r="E124" s="18">
        <f ca="1">IF(表2_36716262930381011[[#This Row],[累计净值]]/MAX(INDIRECT("B21:B" &amp; ROW()))-1&lt;E123,表2_36716262930381011[[#This Row],[累计净值]]/MAX(INDIRECT("B21:B" &amp; ROW()))-1,E123)</f>
        <v>-2.4321641297154306E-2</v>
      </c>
      <c r="F124" s="62">
        <f>表2_36716262930381011[[#This Row],[累计净值]]-0.1652</f>
        <v>1.1269</v>
      </c>
      <c r="G124" s="20">
        <f t="shared" si="32"/>
        <v>4.885000000000006E-2</v>
      </c>
    </row>
    <row r="125" spans="1:7" x14ac:dyDescent="0.2">
      <c r="A125" s="15">
        <v>43902</v>
      </c>
      <c r="B125" s="90">
        <v>1.2894000000000001</v>
      </c>
      <c r="C125" s="73">
        <f t="shared" si="33"/>
        <v>-2.6999999999999247E-3</v>
      </c>
      <c r="D125" s="18">
        <f t="shared" si="34"/>
        <v>-2.6999999999999247E-3</v>
      </c>
      <c r="E125" s="18">
        <f ca="1">IF(表2_36716262930381011[[#This Row],[累计净值]]/MAX(INDIRECT("B21:B" &amp; ROW()))-1&lt;E124,表2_36716262930381011[[#This Row],[累计净值]]/MAX(INDIRECT("B21:B" &amp; ROW()))-1,E124)</f>
        <v>-2.4321641297154306E-2</v>
      </c>
      <c r="F125" s="62">
        <f>表2_36716262930381011[[#This Row],[累计净值]]-0.1652</f>
        <v>1.1242000000000001</v>
      </c>
      <c r="G125" s="20">
        <f t="shared" si="32"/>
        <v>4.7500000000000098E-2</v>
      </c>
    </row>
    <row r="126" spans="1:7" x14ac:dyDescent="0.2">
      <c r="A126" s="15">
        <v>43903</v>
      </c>
      <c r="B126" s="90">
        <v>1.292</v>
      </c>
      <c r="C126" s="73">
        <f t="shared" si="33"/>
        <v>2.5999999999999357E-3</v>
      </c>
      <c r="D126" s="18" t="str">
        <f t="shared" si="34"/>
        <v>/</v>
      </c>
      <c r="E126" s="18">
        <f ca="1">IF(表2_36716262930381011[[#This Row],[累计净值]]/MAX(INDIRECT("B21:B" &amp; ROW()))-1&lt;E125,表2_36716262930381011[[#This Row],[累计净值]]/MAX(INDIRECT("B21:B" &amp; ROW()))-1,E125)</f>
        <v>-2.4321641297154306E-2</v>
      </c>
      <c r="F126" s="62">
        <f>表2_36716262930381011[[#This Row],[累计净值]]-0.1652</f>
        <v>1.1268</v>
      </c>
      <c r="G126" s="20">
        <f t="shared" si="32"/>
        <v>4.8800000000000066E-2</v>
      </c>
    </row>
    <row r="127" spans="1:7" x14ac:dyDescent="0.2">
      <c r="A127" s="15">
        <v>43906</v>
      </c>
      <c r="B127" s="90">
        <v>1.2858000000000001</v>
      </c>
      <c r="C127" s="73">
        <f t="shared" si="33"/>
        <v>-6.1999999999999833E-3</v>
      </c>
      <c r="D127" s="18">
        <f t="shared" si="34"/>
        <v>-6.1999999999999833E-3</v>
      </c>
      <c r="E127" s="18">
        <f ca="1">IF(表2_36716262930381011[[#This Row],[累计净值]]/MAX(INDIRECT("B21:B" &amp; ROW()))-1&lt;E126,表2_36716262930381011[[#This Row],[累计净值]]/MAX(INDIRECT("B21:B" &amp; ROW()))-1,E126)</f>
        <v>-2.4321641297154306E-2</v>
      </c>
      <c r="F127" s="62">
        <f>表2_36716262930381011[[#This Row],[累计净值]]-0.1652</f>
        <v>1.1206</v>
      </c>
      <c r="G127" s="20">
        <f t="shared" si="32"/>
        <v>4.5700000000000074E-2</v>
      </c>
    </row>
    <row r="128" spans="1:7" x14ac:dyDescent="0.2">
      <c r="A128" s="15">
        <v>43907</v>
      </c>
      <c r="B128" s="90">
        <v>1.2903</v>
      </c>
      <c r="C128" s="73">
        <f t="shared" si="33"/>
        <v>4.4999999999999485E-3</v>
      </c>
      <c r="D128" s="18" t="str">
        <f t="shared" si="34"/>
        <v>/</v>
      </c>
      <c r="E128" s="18">
        <f ca="1">IF(表2_36716262930381011[[#This Row],[累计净值]]/MAX(INDIRECT("B21:B" &amp; ROW()))-1&lt;E127,表2_36716262930381011[[#This Row],[累计净值]]/MAX(INDIRECT("B21:B" &amp; ROW()))-1,E127)</f>
        <v>-2.4321641297154306E-2</v>
      </c>
      <c r="F128" s="62">
        <f>表2_36716262930381011[[#This Row],[累计净值]]-0.1652</f>
        <v>1.1251</v>
      </c>
      <c r="G128" s="20">
        <f t="shared" si="32"/>
        <v>4.7950000000000048E-2</v>
      </c>
    </row>
    <row r="129" spans="1:7" x14ac:dyDescent="0.2">
      <c r="A129" s="15">
        <v>43908</v>
      </c>
      <c r="B129" s="90">
        <v>1.2911999999999999</v>
      </c>
      <c r="C129" s="73">
        <f t="shared" si="33"/>
        <v>8.9999999999990088E-4</v>
      </c>
      <c r="D129" s="18" t="str">
        <f t="shared" si="34"/>
        <v>/</v>
      </c>
      <c r="E129" s="18">
        <f ca="1">IF(表2_36716262930381011[[#This Row],[累计净值]]/MAX(INDIRECT("B21:B" &amp; ROW()))-1&lt;E128,表2_36716262930381011[[#This Row],[累计净值]]/MAX(INDIRECT("B21:B" &amp; ROW()))-1,E128)</f>
        <v>-2.4321641297154306E-2</v>
      </c>
      <c r="F129" s="62">
        <f>表2_36716262930381011[[#This Row],[累计净值]]-0.1652</f>
        <v>1.1259999999999999</v>
      </c>
      <c r="G129" s="20">
        <f t="shared" si="32"/>
        <v>4.8399999999999999E-2</v>
      </c>
    </row>
    <row r="130" spans="1:7" x14ac:dyDescent="0.2">
      <c r="A130" s="15">
        <v>43909</v>
      </c>
      <c r="B130" s="90">
        <v>1.2998000000000001</v>
      </c>
      <c r="C130" s="73">
        <f t="shared" ref="C130:C135" si="35">IFERROR(B130-B129,0)</f>
        <v>8.6000000000001631E-3</v>
      </c>
      <c r="D130" s="18" t="str">
        <f t="shared" ref="D130:D135" si="36">IF(C130&lt;0,C130,"/")</f>
        <v>/</v>
      </c>
      <c r="E130" s="18">
        <f ca="1">IF(表2_36716262930381011[[#This Row],[累计净值]]/MAX(INDIRECT("B21:B" &amp; ROW()))-1&lt;E129,表2_36716262930381011[[#This Row],[累计净值]]/MAX(INDIRECT("B21:B" &amp; ROW()))-1,E129)</f>
        <v>-2.4321641297154306E-2</v>
      </c>
      <c r="F130" s="62">
        <f>表2_36716262930381011[[#This Row],[累计净值]]-0.1652</f>
        <v>1.1346000000000001</v>
      </c>
      <c r="G130" s="20">
        <f t="shared" si="32"/>
        <v>5.270000000000008E-2</v>
      </c>
    </row>
    <row r="131" spans="1:7" x14ac:dyDescent="0.2">
      <c r="A131" s="15">
        <v>43910</v>
      </c>
      <c r="B131" s="90">
        <v>1.3012999999999999</v>
      </c>
      <c r="C131" s="73">
        <f t="shared" si="35"/>
        <v>1.4999999999998348E-3</v>
      </c>
      <c r="D131" s="18" t="str">
        <f t="shared" si="36"/>
        <v>/</v>
      </c>
      <c r="E131" s="18">
        <f ca="1">IF(表2_36716262930381011[[#This Row],[累计净值]]/MAX(INDIRECT("B21:B" &amp; ROW()))-1&lt;E130,表2_36716262930381011[[#This Row],[累计净值]]/MAX(INDIRECT("B21:B" &amp; ROW()))-1,E130)</f>
        <v>-2.4321641297154306E-2</v>
      </c>
      <c r="F131" s="62">
        <f>表2_36716262930381011[[#This Row],[累计净值]]-0.1652</f>
        <v>1.1360999999999999</v>
      </c>
      <c r="G131" s="20">
        <f t="shared" si="32"/>
        <v>5.3449999999999998E-2</v>
      </c>
    </row>
    <row r="132" spans="1:7" x14ac:dyDescent="0.2">
      <c r="A132" s="15">
        <v>43913</v>
      </c>
      <c r="B132" s="90">
        <v>1.2946</v>
      </c>
      <c r="C132" s="73">
        <f t="shared" si="35"/>
        <v>-6.6999999999999282E-3</v>
      </c>
      <c r="D132" s="18">
        <f t="shared" si="36"/>
        <v>-6.6999999999999282E-3</v>
      </c>
      <c r="E132" s="18">
        <f ca="1">IF(表2_36716262930381011[[#This Row],[累计净值]]/MAX(INDIRECT("B21:B" &amp; ROW()))-1&lt;E131,表2_36716262930381011[[#This Row],[累计净值]]/MAX(INDIRECT("B21:B" &amp; ROW()))-1,E131)</f>
        <v>-2.4321641297154306E-2</v>
      </c>
      <c r="F132" s="62">
        <f>表2_36716262930381011[[#This Row],[累计净值]]-0.1652</f>
        <v>1.1294</v>
      </c>
      <c r="G132" s="20">
        <f t="shared" si="32"/>
        <v>5.0100000000000033E-2</v>
      </c>
    </row>
    <row r="133" spans="1:7" x14ac:dyDescent="0.2">
      <c r="A133" s="15">
        <v>43914</v>
      </c>
      <c r="B133" s="16">
        <v>1.3024</v>
      </c>
      <c r="C133" s="73">
        <f t="shared" si="35"/>
        <v>7.8000000000000291E-3</v>
      </c>
      <c r="D133" s="18" t="str">
        <f t="shared" si="36"/>
        <v>/</v>
      </c>
      <c r="E133" s="18">
        <f ca="1">IF(表2_36716262930381011[[#This Row],[累计净值]]/MAX(INDIRECT("B21:B" &amp; ROW()))-1&lt;E132,表2_36716262930381011[[#This Row],[累计净值]]/MAX(INDIRECT("B21:B" &amp; ROW()))-1,E132)</f>
        <v>-2.4321641297154306E-2</v>
      </c>
      <c r="F133" s="62">
        <f>表2_36716262930381011[[#This Row],[累计净值]]-0.1652</f>
        <v>1.1372</v>
      </c>
      <c r="G133" s="20">
        <f t="shared" si="32"/>
        <v>5.4000000000000048E-2</v>
      </c>
    </row>
    <row r="134" spans="1:7" x14ac:dyDescent="0.2">
      <c r="A134" s="15">
        <v>43915</v>
      </c>
      <c r="B134" s="16">
        <v>1.3059000000000001</v>
      </c>
      <c r="C134" s="73">
        <f t="shared" si="35"/>
        <v>3.5000000000000586E-3</v>
      </c>
      <c r="D134" s="18" t="str">
        <f t="shared" si="36"/>
        <v>/</v>
      </c>
      <c r="E134" s="18">
        <f ca="1">IF(表2_36716262930381011[[#This Row],[累计净值]]/MAX(INDIRECT("B21:B" &amp; ROW()))-1&lt;E133,表2_36716262930381011[[#This Row],[累计净值]]/MAX(INDIRECT("B21:B" &amp; ROW()))-1,E133)</f>
        <v>-2.4321641297154306E-2</v>
      </c>
      <c r="F134" s="62">
        <f>表2_36716262930381011[[#This Row],[累计净值]]-0.1652</f>
        <v>1.1407</v>
      </c>
      <c r="G134" s="20">
        <f t="shared" si="32"/>
        <v>5.5750000000000077E-2</v>
      </c>
    </row>
    <row r="135" spans="1:7" x14ac:dyDescent="0.2">
      <c r="A135" s="15">
        <v>43916</v>
      </c>
      <c r="B135" s="76">
        <v>1.3073999999999999</v>
      </c>
      <c r="C135" s="73">
        <f t="shared" si="35"/>
        <v>1.4999999999998348E-3</v>
      </c>
      <c r="D135" s="18" t="str">
        <f t="shared" si="36"/>
        <v>/</v>
      </c>
      <c r="E135" s="18">
        <f ca="1">IF(表2_36716262930381011[[#This Row],[累计净值]]/MAX(INDIRECT("B21:B" &amp; ROW()))-1&lt;E134,表2_36716262930381011[[#This Row],[累计净值]]/MAX(INDIRECT("B21:B" &amp; ROW()))-1,E134)</f>
        <v>-2.4321641297154306E-2</v>
      </c>
      <c r="F135" s="62">
        <f>表2_36716262930381011[[#This Row],[累计净值]]-0.1652</f>
        <v>1.1421999999999999</v>
      </c>
      <c r="G135" s="20">
        <f t="shared" si="32"/>
        <v>5.6499999999999995E-2</v>
      </c>
    </row>
    <row r="136" spans="1:7" x14ac:dyDescent="0.2">
      <c r="A136" s="15">
        <v>43917</v>
      </c>
      <c r="B136" s="16">
        <v>1.3039000000000001</v>
      </c>
      <c r="C136" s="73">
        <f t="shared" ref="C136:C141" si="37">IFERROR(B136-B135,0)</f>
        <v>-3.4999999999998366E-3</v>
      </c>
      <c r="D136" s="18">
        <f t="shared" ref="D136:D141" si="38">IF(C136&lt;0,C136,"/")</f>
        <v>-3.4999999999998366E-3</v>
      </c>
      <c r="E136" s="18">
        <f ca="1">IF(表2_36716262930381011[[#This Row],[累计净值]]/MAX(INDIRECT("B21:B" &amp; ROW()))-1&lt;E135,表2_36716262930381011[[#This Row],[累计净值]]/MAX(INDIRECT("B21:B" &amp; ROW()))-1,E135)</f>
        <v>-2.4321641297154306E-2</v>
      </c>
      <c r="F136" s="62">
        <f>表2_36716262930381011[[#This Row],[累计净值]]-0.1652</f>
        <v>1.1387</v>
      </c>
      <c r="G136" s="20">
        <f t="shared" si="32"/>
        <v>5.4750000000000076E-2</v>
      </c>
    </row>
    <row r="137" spans="1:7" x14ac:dyDescent="0.2">
      <c r="A137" s="15">
        <v>43920</v>
      </c>
      <c r="B137" s="16">
        <v>1.3</v>
      </c>
      <c r="C137" s="73">
        <f t="shared" si="37"/>
        <v>-3.9000000000000146E-3</v>
      </c>
      <c r="D137" s="18">
        <f t="shared" si="38"/>
        <v>-3.9000000000000146E-3</v>
      </c>
      <c r="E137" s="18">
        <f ca="1">IF(表2_36716262930381011[[#This Row],[累计净值]]/MAX(INDIRECT("B21:B" &amp; ROW()))-1&lt;E136,表2_36716262930381011[[#This Row],[累计净值]]/MAX(INDIRECT("B21:B" &amp; ROW()))-1,E136)</f>
        <v>-2.4321641297154306E-2</v>
      </c>
      <c r="F137" s="62">
        <f>表2_36716262930381011[[#This Row],[累计净值]]-0.1652</f>
        <v>1.1348</v>
      </c>
      <c r="G137" s="20">
        <f t="shared" si="32"/>
        <v>5.2800000000000069E-2</v>
      </c>
    </row>
    <row r="138" spans="1:7" x14ac:dyDescent="0.2">
      <c r="A138" s="15">
        <v>43921</v>
      </c>
      <c r="B138" s="16">
        <v>1.3042</v>
      </c>
      <c r="C138" s="73">
        <f t="shared" si="37"/>
        <v>4.1999999999999815E-3</v>
      </c>
      <c r="D138" s="18" t="str">
        <f t="shared" si="38"/>
        <v>/</v>
      </c>
      <c r="E138" s="18">
        <f ca="1">IF(表2_36716262930381011[[#This Row],[累计净值]]/MAX(INDIRECT("B21:B" &amp; ROW()))-1&lt;E137,表2_36716262930381011[[#This Row],[累计净值]]/MAX(INDIRECT("B21:B" &amp; ROW()))-1,E137)</f>
        <v>-2.4321641297154306E-2</v>
      </c>
      <c r="F138" s="62">
        <f>表2_36716262930381011[[#This Row],[累计净值]]-0.1652</f>
        <v>1.139</v>
      </c>
      <c r="G138" s="20">
        <f t="shared" si="32"/>
        <v>5.490000000000006E-2</v>
      </c>
    </row>
    <row r="139" spans="1:7" x14ac:dyDescent="0.2">
      <c r="A139" s="15">
        <v>43922</v>
      </c>
      <c r="B139" s="16">
        <v>1.3078000000000001</v>
      </c>
      <c r="C139" s="73">
        <f t="shared" si="37"/>
        <v>3.6000000000000476E-3</v>
      </c>
      <c r="D139" s="18" t="str">
        <f t="shared" si="38"/>
        <v>/</v>
      </c>
      <c r="E139" s="18">
        <f ca="1">IF(表2_36716262930381011[[#This Row],[累计净值]]/MAX(INDIRECT("B21:B" &amp; ROW()))-1&lt;E138,表2_36716262930381011[[#This Row],[累计净值]]/MAX(INDIRECT("B21:B" &amp; ROW()))-1,E138)</f>
        <v>-2.4321641297154306E-2</v>
      </c>
      <c r="F139" s="62">
        <f>表2_36716262930381011[[#This Row],[累计净值]]-0.1652</f>
        <v>1.1426000000000001</v>
      </c>
      <c r="G139" s="20">
        <f t="shared" si="32"/>
        <v>5.6700000000000084E-2</v>
      </c>
    </row>
    <row r="140" spans="1:7" x14ac:dyDescent="0.2">
      <c r="A140" s="15">
        <v>43923</v>
      </c>
      <c r="B140" s="16">
        <v>1.3082</v>
      </c>
      <c r="C140" s="73">
        <f t="shared" si="37"/>
        <v>3.9999999999995595E-4</v>
      </c>
      <c r="D140" s="18" t="str">
        <f t="shared" si="38"/>
        <v>/</v>
      </c>
      <c r="E140" s="18">
        <f ca="1">IF(表2_36716262930381011[[#This Row],[累计净值]]/MAX(INDIRECT("B21:B" &amp; ROW()))-1&lt;E139,表2_36716262930381011[[#This Row],[累计净值]]/MAX(INDIRECT("B21:B" &amp; ROW()))-1,E139)</f>
        <v>-2.4321641297154306E-2</v>
      </c>
      <c r="F140" s="62">
        <f>表2_36716262930381011[[#This Row],[累计净值]]-0.1652</f>
        <v>1.143</v>
      </c>
      <c r="G140" s="20">
        <f t="shared" si="32"/>
        <v>5.6900000000000062E-2</v>
      </c>
    </row>
    <row r="141" spans="1:7" x14ac:dyDescent="0.2">
      <c r="A141" s="15">
        <v>43924</v>
      </c>
      <c r="B141" s="16">
        <v>1.3120000000000001</v>
      </c>
      <c r="C141" s="73">
        <f t="shared" si="37"/>
        <v>3.8000000000000256E-3</v>
      </c>
      <c r="D141" s="18" t="str">
        <f t="shared" si="38"/>
        <v>/</v>
      </c>
      <c r="E141" s="18">
        <f ca="1">IF(表2_36716262930381011[[#This Row],[累计净值]]/MAX(INDIRECT("B21:B" &amp; ROW()))-1&lt;E140,表2_36716262930381011[[#This Row],[累计净值]]/MAX(INDIRECT("B21:B" &amp; ROW()))-1,E140)</f>
        <v>-2.4321641297154306E-2</v>
      </c>
      <c r="F141" s="62">
        <f>表2_36716262930381011[[#This Row],[累计净值]]-0.1652</f>
        <v>1.1468</v>
      </c>
      <c r="G141" s="20">
        <f t="shared" si="32"/>
        <v>5.8800000000000074E-2</v>
      </c>
    </row>
    <row r="142" spans="1:7" x14ac:dyDescent="0.2">
      <c r="A142" s="15">
        <v>43928</v>
      </c>
      <c r="B142" s="16">
        <v>1.3183</v>
      </c>
      <c r="C142" s="73">
        <f t="shared" ref="C142:C147" si="39">IFERROR(B142-B141,0)</f>
        <v>6.2999999999999723E-3</v>
      </c>
      <c r="D142" s="18" t="str">
        <f t="shared" ref="D142:D147" si="40">IF(C142&lt;0,C142,"/")</f>
        <v>/</v>
      </c>
      <c r="E142" s="18">
        <f ca="1">IF(表2_36716262930381011[[#This Row],[累计净值]]/MAX(INDIRECT("B21:B" &amp; ROW()))-1&lt;E141,表2_36716262930381011[[#This Row],[累计净值]]/MAX(INDIRECT("B21:B" &amp; ROW()))-1,E141)</f>
        <v>-2.4321641297154306E-2</v>
      </c>
      <c r="F142" s="62">
        <f>表2_36716262930381011[[#This Row],[累计净值]]-0.1652</f>
        <v>1.1531</v>
      </c>
      <c r="G142" s="20">
        <f t="shared" si="32"/>
        <v>6.1950000000000061E-2</v>
      </c>
    </row>
    <row r="143" spans="1:7" x14ac:dyDescent="0.2">
      <c r="A143" s="15">
        <v>43929</v>
      </c>
      <c r="B143" s="16">
        <v>1.3159000000000001</v>
      </c>
      <c r="C143" s="73">
        <f t="shared" si="39"/>
        <v>-2.3999999999999577E-3</v>
      </c>
      <c r="D143" s="18">
        <f t="shared" si="40"/>
        <v>-2.3999999999999577E-3</v>
      </c>
      <c r="E143" s="18">
        <f ca="1">IF(表2_36716262930381011[[#This Row],[累计净值]]/MAX(INDIRECT("B21:B" &amp; ROW()))-1&lt;E142,表2_36716262930381011[[#This Row],[累计净值]]/MAX(INDIRECT("B21:B" &amp; ROW()))-1,E142)</f>
        <v>-2.4321641297154306E-2</v>
      </c>
      <c r="F143" s="62">
        <f>表2_36716262930381011[[#This Row],[累计净值]]-0.1652</f>
        <v>1.1507000000000001</v>
      </c>
      <c r="G143" s="20">
        <f t="shared" si="32"/>
        <v>6.0750000000000082E-2</v>
      </c>
    </row>
    <row r="144" spans="1:7" x14ac:dyDescent="0.2">
      <c r="A144" s="15">
        <v>43930</v>
      </c>
      <c r="B144" s="76">
        <v>1.3184</v>
      </c>
      <c r="C144" s="73">
        <f t="shared" si="39"/>
        <v>2.4999999999999467E-3</v>
      </c>
      <c r="D144" s="18" t="str">
        <f t="shared" si="40"/>
        <v>/</v>
      </c>
      <c r="E144" s="18">
        <f ca="1">IF(表2_36716262930381011[[#This Row],[累计净值]]/MAX(INDIRECT("B21:B" &amp; ROW()))-1&lt;E143,表2_36716262930381011[[#This Row],[累计净值]]/MAX(INDIRECT("B21:B" &amp; ROW()))-1,E143)</f>
        <v>-2.4321641297154306E-2</v>
      </c>
      <c r="F144" s="62">
        <f>表2_36716262930381011[[#This Row],[累计净值]]-0.1652</f>
        <v>1.1532</v>
      </c>
      <c r="G144" s="20">
        <f t="shared" si="32"/>
        <v>6.2000000000000055E-2</v>
      </c>
    </row>
    <row r="145" spans="1:7" x14ac:dyDescent="0.2">
      <c r="A145" s="15">
        <v>43931</v>
      </c>
      <c r="B145" s="16">
        <v>1.3067</v>
      </c>
      <c r="C145" s="73">
        <f t="shared" si="39"/>
        <v>-1.1700000000000044E-2</v>
      </c>
      <c r="D145" s="18">
        <f t="shared" si="40"/>
        <v>-1.1700000000000044E-2</v>
      </c>
      <c r="E145" s="18">
        <f ca="1">IF(表2_36716262930381011[[#This Row],[累计净值]]/MAX(INDIRECT("B21:B" &amp; ROW()))-1&lt;E144,表2_36716262930381011[[#This Row],[累计净值]]/MAX(INDIRECT("B21:B" &amp; ROW()))-1,E144)</f>
        <v>-2.4321641297154306E-2</v>
      </c>
      <c r="F145" s="62">
        <f>表2_36716262930381011[[#This Row],[累计净值]]-0.1652</f>
        <v>1.1415</v>
      </c>
      <c r="G145" s="20">
        <f t="shared" si="32"/>
        <v>5.6150000000000033E-2</v>
      </c>
    </row>
    <row r="146" spans="1:7" x14ac:dyDescent="0.2">
      <c r="A146" s="15">
        <v>43934</v>
      </c>
      <c r="B146" s="16">
        <v>1.3047</v>
      </c>
      <c r="C146" s="73">
        <f t="shared" si="39"/>
        <v>-2.0000000000000018E-3</v>
      </c>
      <c r="D146" s="18">
        <f t="shared" si="40"/>
        <v>-2.0000000000000018E-3</v>
      </c>
      <c r="E146" s="18">
        <f ca="1">IF(表2_36716262930381011[[#This Row],[累计净值]]/MAX(INDIRECT("B21:B" &amp; ROW()))-1&lt;E145,表2_36716262930381011[[#This Row],[累计净值]]/MAX(INDIRECT("B21:B" &amp; ROW()))-1,E145)</f>
        <v>-2.4321641297154306E-2</v>
      </c>
      <c r="F146" s="62">
        <f>表2_36716262930381011[[#This Row],[累计净值]]-0.1652</f>
        <v>1.1395</v>
      </c>
      <c r="G146" s="20">
        <f t="shared" si="32"/>
        <v>5.5150000000000032E-2</v>
      </c>
    </row>
    <row r="147" spans="1:7" x14ac:dyDescent="0.2">
      <c r="A147" s="15">
        <v>43935</v>
      </c>
      <c r="B147" s="16">
        <v>1.3089999999999999</v>
      </c>
      <c r="C147" s="73">
        <f t="shared" si="39"/>
        <v>4.2999999999999705E-3</v>
      </c>
      <c r="D147" s="18" t="str">
        <f t="shared" si="40"/>
        <v>/</v>
      </c>
      <c r="E147" s="18">
        <f ca="1">IF(表2_36716262930381011[[#This Row],[累计净值]]/MAX(INDIRECT("B21:B" &amp; ROW()))-1&lt;E146,表2_36716262930381011[[#This Row],[累计净值]]/MAX(INDIRECT("B21:B" &amp; ROW()))-1,E146)</f>
        <v>-2.4321641297154306E-2</v>
      </c>
      <c r="F147" s="62">
        <f>表2_36716262930381011[[#This Row],[累计净值]]-0.1652</f>
        <v>1.1437999999999999</v>
      </c>
      <c r="G147" s="20">
        <f t="shared" si="32"/>
        <v>5.7300000000000018E-2</v>
      </c>
    </row>
    <row r="148" spans="1:7" x14ac:dyDescent="0.2">
      <c r="A148" s="15">
        <v>43936</v>
      </c>
      <c r="B148" s="96">
        <v>1.3073999999999999</v>
      </c>
      <c r="C148" s="94">
        <f t="shared" ref="C148:C153" si="41">IFERROR(B148-B147,0)</f>
        <v>-1.6000000000000458E-3</v>
      </c>
      <c r="D148" s="95">
        <f t="shared" ref="D148:D153" si="42">IF(C148&lt;0,C148,"/")</f>
        <v>-1.6000000000000458E-3</v>
      </c>
      <c r="E148" s="95">
        <f ca="1">IF(表2_36716262930381011[[#This Row],[累计净值]]/MAX(INDIRECT("B21:B" &amp; ROW()))-1&lt;E147,表2_36716262930381011[[#This Row],[累计净值]]/MAX(INDIRECT("B21:B" &amp; ROW()))-1,E147)</f>
        <v>-2.4321641297154306E-2</v>
      </c>
      <c r="F148" s="62">
        <f>表2_36716262930381011[[#This Row],[累计净值]]-0.1652</f>
        <v>1.1421999999999999</v>
      </c>
      <c r="G148" s="20">
        <f t="shared" si="32"/>
        <v>5.6499999999999995E-2</v>
      </c>
    </row>
    <row r="149" spans="1:7" x14ac:dyDescent="0.2">
      <c r="A149" s="15">
        <v>43937</v>
      </c>
      <c r="B149" s="96">
        <v>1.3091999999999999</v>
      </c>
      <c r="C149" s="94">
        <f t="shared" si="41"/>
        <v>1.8000000000000238E-3</v>
      </c>
      <c r="D149" s="95" t="str">
        <f t="shared" si="42"/>
        <v>/</v>
      </c>
      <c r="E149" s="95">
        <f ca="1">IF(表2_36716262930381011[[#This Row],[累计净值]]/MAX(INDIRECT("B21:B" &amp; ROW()))-1&lt;E148,表2_36716262930381011[[#This Row],[累计净值]]/MAX(INDIRECT("B21:B" &amp; ROW()))-1,E148)</f>
        <v>-2.4321641297154306E-2</v>
      </c>
      <c r="F149" s="62">
        <f>表2_36716262930381011[[#This Row],[累计净值]]-0.1652</f>
        <v>1.1439999999999999</v>
      </c>
      <c r="G149" s="20">
        <f t="shared" si="32"/>
        <v>5.7400000000000007E-2</v>
      </c>
    </row>
    <row r="150" spans="1:7" x14ac:dyDescent="0.2">
      <c r="A150" s="15">
        <v>43938</v>
      </c>
      <c r="B150" s="96">
        <v>1.3084</v>
      </c>
      <c r="C150" s="94">
        <f t="shared" si="41"/>
        <v>-7.9999999999991189E-4</v>
      </c>
      <c r="D150" s="95">
        <f t="shared" si="42"/>
        <v>-7.9999999999991189E-4</v>
      </c>
      <c r="E150" s="95">
        <f ca="1">IF(表2_36716262930381011[[#This Row],[累计净值]]/MAX(INDIRECT("B21:B" &amp; ROW()))-1&lt;E149,表2_36716262930381011[[#This Row],[累计净值]]/MAX(INDIRECT("B21:B" &amp; ROW()))-1,E149)</f>
        <v>-2.4321641297154306E-2</v>
      </c>
      <c r="F150" s="62">
        <f>表2_36716262930381011[[#This Row],[累计净值]]-0.1652</f>
        <v>1.1432</v>
      </c>
      <c r="G150" s="20">
        <f t="shared" ref="G150:G181" si="43">IF(F150&gt;1.0292,0.5*(F150-1.0292),F150-1.0292)</f>
        <v>5.7000000000000051E-2</v>
      </c>
    </row>
    <row r="151" spans="1:7" x14ac:dyDescent="0.2">
      <c r="A151" s="15">
        <v>43941</v>
      </c>
      <c r="B151" s="96">
        <v>1.3150999999999999</v>
      </c>
      <c r="C151" s="94">
        <f t="shared" si="41"/>
        <v>6.6999999999999282E-3</v>
      </c>
      <c r="D151" s="95" t="str">
        <f t="shared" si="42"/>
        <v>/</v>
      </c>
      <c r="E151" s="95">
        <f ca="1">IF(表2_36716262930381011[[#This Row],[累计净值]]/MAX(INDIRECT("B21:B" &amp; ROW()))-1&lt;E150,表2_36716262930381011[[#This Row],[累计净值]]/MAX(INDIRECT("B21:B" &amp; ROW()))-1,E150)</f>
        <v>-2.4321641297154306E-2</v>
      </c>
      <c r="F151" s="62">
        <f>表2_36716262930381011[[#This Row],[累计净值]]-0.1652</f>
        <v>1.1498999999999999</v>
      </c>
      <c r="G151" s="20">
        <f t="shared" si="43"/>
        <v>6.0350000000000015E-2</v>
      </c>
    </row>
    <row r="152" spans="1:7" x14ac:dyDescent="0.2">
      <c r="A152" s="15">
        <v>43942</v>
      </c>
      <c r="B152" s="96">
        <v>1.3150999999999999</v>
      </c>
      <c r="C152" s="94">
        <f t="shared" si="41"/>
        <v>0</v>
      </c>
      <c r="D152" s="95" t="str">
        <f t="shared" si="42"/>
        <v>/</v>
      </c>
      <c r="E152" s="95">
        <f ca="1">IF(表2_36716262930381011[[#This Row],[累计净值]]/MAX(INDIRECT("B21:B" &amp; ROW()))-1&lt;E151,表2_36716262930381011[[#This Row],[累计净值]]/MAX(INDIRECT("B21:B" &amp; ROW()))-1,E151)</f>
        <v>-2.4321641297154306E-2</v>
      </c>
      <c r="F152" s="62">
        <f>表2_36716262930381011[[#This Row],[累计净值]]-0.1652</f>
        <v>1.1498999999999999</v>
      </c>
      <c r="G152" s="20">
        <f t="shared" si="43"/>
        <v>6.0350000000000015E-2</v>
      </c>
    </row>
    <row r="153" spans="1:7" x14ac:dyDescent="0.2">
      <c r="A153" s="15">
        <v>43943</v>
      </c>
      <c r="B153" s="96">
        <v>1.3178000000000001</v>
      </c>
      <c r="C153" s="94">
        <f t="shared" si="41"/>
        <v>2.7000000000001467E-3</v>
      </c>
      <c r="D153" s="95" t="str">
        <f t="shared" si="42"/>
        <v>/</v>
      </c>
      <c r="E153" s="95">
        <f ca="1">IF(表2_36716262930381011[[#This Row],[累计净值]]/MAX(INDIRECT("B21:B" &amp; ROW()))-1&lt;E152,表2_36716262930381011[[#This Row],[累计净值]]/MAX(INDIRECT("B21:B" &amp; ROW()))-1,E152)</f>
        <v>-2.4321641297154306E-2</v>
      </c>
      <c r="F153" s="62">
        <f>表2_36716262930381011[[#This Row],[累计净值]]-0.1652</f>
        <v>1.1526000000000001</v>
      </c>
      <c r="G153" s="20">
        <f t="shared" si="43"/>
        <v>6.1700000000000088E-2</v>
      </c>
    </row>
    <row r="154" spans="1:7" x14ac:dyDescent="0.2">
      <c r="A154" s="15">
        <v>43944</v>
      </c>
      <c r="B154" s="96">
        <v>1.3150999999999999</v>
      </c>
      <c r="C154" s="94">
        <f t="shared" ref="C154:C159" si="44">IFERROR(B154-B153,0)</f>
        <v>-2.7000000000001467E-3</v>
      </c>
      <c r="D154" s="95">
        <f t="shared" ref="D154:D159" si="45">IF(C154&lt;0,C154,"/")</f>
        <v>-2.7000000000001467E-3</v>
      </c>
      <c r="E154" s="95">
        <f ca="1">IF(表2_36716262930381011[[#This Row],[累计净值]]/MAX(INDIRECT("B21:B" &amp; ROW()))-1&lt;E153,表2_36716262930381011[[#This Row],[累计净值]]/MAX(INDIRECT("B21:B" &amp; ROW()))-1,E153)</f>
        <v>-2.4321641297154306E-2</v>
      </c>
      <c r="F154" s="62">
        <f>表2_36716262930381011[[#This Row],[累计净值]]-0.1652</f>
        <v>1.1498999999999999</v>
      </c>
      <c r="G154" s="20">
        <f t="shared" si="43"/>
        <v>6.0350000000000015E-2</v>
      </c>
    </row>
    <row r="155" spans="1:7" x14ac:dyDescent="0.2">
      <c r="A155" s="15">
        <v>43945</v>
      </c>
      <c r="B155" s="96">
        <v>1.3081</v>
      </c>
      <c r="C155" s="94">
        <f t="shared" si="44"/>
        <v>-6.9999999999998952E-3</v>
      </c>
      <c r="D155" s="95">
        <f t="shared" si="45"/>
        <v>-6.9999999999998952E-3</v>
      </c>
      <c r="E155" s="95">
        <f ca="1">IF(表2_36716262930381011[[#This Row],[累计净值]]/MAX(INDIRECT("B21:B" &amp; ROW()))-1&lt;E154,表2_36716262930381011[[#This Row],[累计净值]]/MAX(INDIRECT("B21:B" &amp; ROW()))-1,E154)</f>
        <v>-2.4321641297154306E-2</v>
      </c>
      <c r="F155" s="62">
        <f>表2_36716262930381011[[#This Row],[累计净值]]-0.1652</f>
        <v>1.1429</v>
      </c>
      <c r="G155" s="20">
        <f t="shared" si="43"/>
        <v>5.6850000000000067E-2</v>
      </c>
    </row>
    <row r="156" spans="1:7" x14ac:dyDescent="0.2">
      <c r="A156" s="15">
        <v>43948</v>
      </c>
      <c r="B156" s="96">
        <v>1.3082</v>
      </c>
      <c r="C156" s="94">
        <f t="shared" si="44"/>
        <v>9.9999999999988987E-5</v>
      </c>
      <c r="D156" s="95" t="str">
        <f t="shared" si="45"/>
        <v>/</v>
      </c>
      <c r="E156" s="95">
        <f ca="1">IF(表2_36716262930381011[[#This Row],[累计净值]]/MAX(INDIRECT("B21:B" &amp; ROW()))-1&lt;E155,表2_36716262930381011[[#This Row],[累计净值]]/MAX(INDIRECT("B21:B" &amp; ROW()))-1,E155)</f>
        <v>-2.4321641297154306E-2</v>
      </c>
      <c r="F156" s="62">
        <f>表2_36716262930381011[[#This Row],[累计净值]]-0.1652</f>
        <v>1.143</v>
      </c>
      <c r="G156" s="20">
        <f t="shared" si="43"/>
        <v>5.6900000000000062E-2</v>
      </c>
    </row>
    <row r="157" spans="1:7" x14ac:dyDescent="0.2">
      <c r="A157" s="15">
        <v>43949</v>
      </c>
      <c r="B157" s="96">
        <v>1.3109999999999999</v>
      </c>
      <c r="C157" s="94">
        <f t="shared" si="44"/>
        <v>2.7999999999999137E-3</v>
      </c>
      <c r="D157" s="95" t="str">
        <f t="shared" si="45"/>
        <v>/</v>
      </c>
      <c r="E157" s="95">
        <f ca="1">IF(表2_36716262930381011[[#This Row],[累计净值]]/MAX(INDIRECT("B21:B" &amp; ROW()))-1&lt;E156,表2_36716262930381011[[#This Row],[累计净值]]/MAX(INDIRECT("B21:B" &amp; ROW()))-1,E156)</f>
        <v>-2.4321641297154306E-2</v>
      </c>
      <c r="F157" s="62">
        <f>表2_36716262930381011[[#This Row],[累计净值]]-0.1652</f>
        <v>1.1457999999999999</v>
      </c>
      <c r="G157" s="20">
        <f t="shared" si="43"/>
        <v>5.8300000000000018E-2</v>
      </c>
    </row>
    <row r="158" spans="1:7" x14ac:dyDescent="0.2">
      <c r="A158" s="15">
        <v>43950</v>
      </c>
      <c r="B158" s="96">
        <v>1.3048</v>
      </c>
      <c r="C158" s="94">
        <f t="shared" si="44"/>
        <v>-6.1999999999999833E-3</v>
      </c>
      <c r="D158" s="95">
        <f t="shared" si="45"/>
        <v>-6.1999999999999833E-3</v>
      </c>
      <c r="E158" s="95">
        <f ca="1">IF(表2_36716262930381011[[#This Row],[累计净值]]/MAX(INDIRECT("B21:B" &amp; ROW()))-1&lt;E157,表2_36716262930381011[[#This Row],[累计净值]]/MAX(INDIRECT("B21:B" &amp; ROW()))-1,E157)</f>
        <v>-2.4321641297154306E-2</v>
      </c>
      <c r="F158" s="62">
        <f>表2_36716262930381011[[#This Row],[累计净值]]-0.1652</f>
        <v>1.1395999999999999</v>
      </c>
      <c r="G158" s="20">
        <f t="shared" si="43"/>
        <v>5.5200000000000027E-2</v>
      </c>
    </row>
    <row r="159" spans="1:7" x14ac:dyDescent="0.2">
      <c r="A159" s="15">
        <v>43951</v>
      </c>
      <c r="B159" s="96">
        <v>1.3046</v>
      </c>
      <c r="C159" s="94">
        <f t="shared" si="44"/>
        <v>-1.9999999999997797E-4</v>
      </c>
      <c r="D159" s="95">
        <f t="shared" si="45"/>
        <v>-1.9999999999997797E-4</v>
      </c>
      <c r="E159" s="95">
        <f ca="1">IF(表2_36716262930381011[[#This Row],[累计净值]]/MAX(INDIRECT("B21:B" &amp; ROW()))-1&lt;E158,表2_36716262930381011[[#This Row],[累计净值]]/MAX(INDIRECT("B21:B" &amp; ROW()))-1,E158)</f>
        <v>-2.4321641297154306E-2</v>
      </c>
      <c r="F159" s="62">
        <f>表2_36716262930381011[[#This Row],[累计净值]]-0.1652</f>
        <v>1.1394</v>
      </c>
      <c r="G159" s="20">
        <f t="shared" si="43"/>
        <v>5.5100000000000038E-2</v>
      </c>
    </row>
    <row r="160" spans="1:7" x14ac:dyDescent="0.2">
      <c r="A160" s="15">
        <v>43957</v>
      </c>
      <c r="B160" s="96">
        <v>1.3160000000000001</v>
      </c>
      <c r="C160" s="94">
        <f t="shared" ref="C160:C165" si="46">IFERROR(B160-B159,0)</f>
        <v>1.1400000000000077E-2</v>
      </c>
      <c r="D160" s="95" t="str">
        <f t="shared" ref="D160:D165" si="47">IF(C160&lt;0,C160,"/")</f>
        <v>/</v>
      </c>
      <c r="E160" s="95">
        <f ca="1">IF(表2_36716262930381011[[#This Row],[累计净值]]/MAX(INDIRECT("B21:B" &amp; ROW()))-1&lt;E159,表2_36716262930381011[[#This Row],[累计净值]]/MAX(INDIRECT("B21:B" &amp; ROW()))-1,E159)</f>
        <v>-2.4321641297154306E-2</v>
      </c>
      <c r="F160" s="62">
        <f>表2_36716262930381011[[#This Row],[累计净值]]-0.1652</f>
        <v>1.1508</v>
      </c>
      <c r="G160" s="20">
        <f t="shared" si="43"/>
        <v>6.0800000000000076E-2</v>
      </c>
    </row>
    <row r="161" spans="1:7" x14ac:dyDescent="0.2">
      <c r="A161" s="15">
        <v>43958</v>
      </c>
      <c r="B161" s="104">
        <v>1.3174999999999999</v>
      </c>
      <c r="C161" s="101">
        <f t="shared" si="46"/>
        <v>1.4999999999998348E-3</v>
      </c>
      <c r="D161" s="102" t="str">
        <f t="shared" si="47"/>
        <v>/</v>
      </c>
      <c r="E161" s="102">
        <f ca="1">IF(表2_36716262930381011[[#This Row],[累计净值]]/MAX(INDIRECT("B21:B" &amp; ROW()))-1&lt;E160,表2_36716262930381011[[#This Row],[累计净值]]/MAX(INDIRECT("B21:B" &amp; ROW()))-1,E160)</f>
        <v>-2.4321641297154306E-2</v>
      </c>
      <c r="F161" s="62">
        <f>表2_36716262930381011[[#This Row],[累计净值]]-0.1652</f>
        <v>1.1522999999999999</v>
      </c>
      <c r="G161" s="20">
        <f t="shared" si="43"/>
        <v>6.1549999999999994E-2</v>
      </c>
    </row>
    <row r="162" spans="1:7" x14ac:dyDescent="0.2">
      <c r="A162" s="15">
        <v>43959</v>
      </c>
      <c r="B162" s="104">
        <v>1.3180000000000001</v>
      </c>
      <c r="C162" s="101">
        <f t="shared" si="46"/>
        <v>5.0000000000016698E-4</v>
      </c>
      <c r="D162" s="102" t="str">
        <f t="shared" si="47"/>
        <v>/</v>
      </c>
      <c r="E162" s="102">
        <f ca="1">IF(表2_36716262930381011[[#This Row],[累计净值]]/MAX(INDIRECT("B21:B" &amp; ROW()))-1&lt;E161,表2_36716262930381011[[#This Row],[累计净值]]/MAX(INDIRECT("B21:B" &amp; ROW()))-1,E161)</f>
        <v>-2.4321641297154306E-2</v>
      </c>
      <c r="F162" s="62">
        <f>表2_36716262930381011[[#This Row],[累计净值]]-0.1652</f>
        <v>1.1528</v>
      </c>
      <c r="G162" s="20">
        <f t="shared" si="43"/>
        <v>6.1800000000000077E-2</v>
      </c>
    </row>
    <row r="163" spans="1:7" x14ac:dyDescent="0.2">
      <c r="A163" s="15">
        <v>43962</v>
      </c>
      <c r="B163" s="104">
        <v>1.3197000000000001</v>
      </c>
      <c r="C163" s="101">
        <f t="shared" si="46"/>
        <v>1.7000000000000348E-3</v>
      </c>
      <c r="D163" s="102" t="str">
        <f t="shared" si="47"/>
        <v>/</v>
      </c>
      <c r="E163" s="102">
        <f ca="1">IF(表2_36716262930381011[[#This Row],[累计净值]]/MAX(INDIRECT("B21:B" &amp; ROW()))-1&lt;E162,表2_36716262930381011[[#This Row],[累计净值]]/MAX(INDIRECT("B21:B" &amp; ROW()))-1,E162)</f>
        <v>-2.4321641297154306E-2</v>
      </c>
      <c r="F163" s="62">
        <f>表2_36716262930381011[[#This Row],[累计净值]]-0.1652</f>
        <v>1.1545000000000001</v>
      </c>
      <c r="G163" s="20">
        <f t="shared" si="43"/>
        <v>6.2650000000000095E-2</v>
      </c>
    </row>
    <row r="164" spans="1:7" x14ac:dyDescent="0.2">
      <c r="A164" s="15">
        <v>43963</v>
      </c>
      <c r="B164" s="104">
        <v>1.3229</v>
      </c>
      <c r="C164" s="101">
        <f t="shared" si="46"/>
        <v>3.1999999999998696E-3</v>
      </c>
      <c r="D164" s="102" t="str">
        <f t="shared" si="47"/>
        <v>/</v>
      </c>
      <c r="E164" s="102">
        <f ca="1">IF(表2_36716262930381011[[#This Row],[累计净值]]/MAX(INDIRECT("B21:B" &amp; ROW()))-1&lt;E163,表2_36716262930381011[[#This Row],[累计净值]]/MAX(INDIRECT("B21:B" &amp; ROW()))-1,E163)</f>
        <v>-2.4321641297154306E-2</v>
      </c>
      <c r="F164" s="62">
        <f>表2_36716262930381011[[#This Row],[累计净值]]-0.1652</f>
        <v>1.1577</v>
      </c>
      <c r="G164" s="20">
        <f t="shared" si="43"/>
        <v>6.4250000000000029E-2</v>
      </c>
    </row>
    <row r="165" spans="1:7" x14ac:dyDescent="0.2">
      <c r="A165" s="15">
        <v>43964</v>
      </c>
      <c r="B165" s="104">
        <v>1.3270999999999999</v>
      </c>
      <c r="C165" s="101">
        <f t="shared" si="46"/>
        <v>4.1999999999999815E-3</v>
      </c>
      <c r="D165" s="102" t="str">
        <f t="shared" si="47"/>
        <v>/</v>
      </c>
      <c r="E165" s="102">
        <f ca="1">IF(表2_36716262930381011[[#This Row],[累计净值]]/MAX(INDIRECT("B21:B" &amp; ROW()))-1&lt;E164,表2_36716262930381011[[#This Row],[累计净值]]/MAX(INDIRECT("B21:B" &amp; ROW()))-1,E164)</f>
        <v>-2.4321641297154306E-2</v>
      </c>
      <c r="F165" s="62">
        <f>表2_36716262930381011[[#This Row],[累计净值]]-0.1652</f>
        <v>1.1618999999999999</v>
      </c>
      <c r="G165" s="20">
        <f t="shared" si="43"/>
        <v>6.635000000000002E-2</v>
      </c>
    </row>
    <row r="166" spans="1:7" x14ac:dyDescent="0.2">
      <c r="A166" s="15">
        <v>43965</v>
      </c>
      <c r="B166" s="104">
        <v>1.3249</v>
      </c>
      <c r="C166" s="101">
        <f t="shared" ref="C166:C171" si="48">IFERROR(B166-B165,0)</f>
        <v>-2.1999999999999797E-3</v>
      </c>
      <c r="D166" s="102">
        <f t="shared" ref="D166:D171" si="49">IF(C166&lt;0,C166,"/")</f>
        <v>-2.1999999999999797E-3</v>
      </c>
      <c r="E166" s="102">
        <f ca="1">IF(表2_36716262930381011[[#This Row],[累计净值]]/MAX(INDIRECT("B21:B" &amp; ROW()))-1&lt;E165,表2_36716262930381011[[#This Row],[累计净值]]/MAX(INDIRECT("B21:B" &amp; ROW()))-1,E165)</f>
        <v>-2.4321641297154306E-2</v>
      </c>
      <c r="F166" s="62">
        <f>表2_36716262930381011[[#This Row],[累计净值]]-0.1652</f>
        <v>1.1597</v>
      </c>
      <c r="G166" s="20">
        <f t="shared" si="43"/>
        <v>6.525000000000003E-2</v>
      </c>
    </row>
    <row r="167" spans="1:7" x14ac:dyDescent="0.2">
      <c r="A167" s="15">
        <v>43966</v>
      </c>
      <c r="B167" s="104">
        <v>1.3304</v>
      </c>
      <c r="C167" s="101">
        <f t="shared" si="48"/>
        <v>5.5000000000000604E-3</v>
      </c>
      <c r="D167" s="102" t="str">
        <f t="shared" si="49"/>
        <v>/</v>
      </c>
      <c r="E167" s="102">
        <f ca="1">IF(表2_36716262930381011[[#This Row],[累计净值]]/MAX(INDIRECT("B21:B" &amp; ROW()))-1&lt;E166,表2_36716262930381011[[#This Row],[累计净值]]/MAX(INDIRECT("B21:B" &amp; ROW()))-1,E166)</f>
        <v>-2.4321641297154306E-2</v>
      </c>
      <c r="F167" s="62">
        <f>表2_36716262930381011[[#This Row],[累计净值]]-0.1652</f>
        <v>1.1652</v>
      </c>
      <c r="G167" s="20">
        <f t="shared" si="43"/>
        <v>6.800000000000006E-2</v>
      </c>
    </row>
    <row r="168" spans="1:7" x14ac:dyDescent="0.2">
      <c r="A168" s="15">
        <v>43969</v>
      </c>
      <c r="B168" s="104">
        <v>1.3322000000000001</v>
      </c>
      <c r="C168" s="101">
        <f t="shared" si="48"/>
        <v>1.8000000000000238E-3</v>
      </c>
      <c r="D168" s="102" t="str">
        <f t="shared" si="49"/>
        <v>/</v>
      </c>
      <c r="E168" s="102">
        <f ca="1">IF(表2_36716262930381011[[#This Row],[累计净值]]/MAX(INDIRECT("B21:B" &amp; ROW()))-1&lt;E167,表2_36716262930381011[[#This Row],[累计净值]]/MAX(INDIRECT("B21:B" &amp; ROW()))-1,E167)</f>
        <v>-2.4321641297154306E-2</v>
      </c>
      <c r="F168" s="62">
        <f>表2_36716262930381011[[#This Row],[累计净值]]-0.1652</f>
        <v>1.167</v>
      </c>
      <c r="G168" s="20">
        <f t="shared" si="43"/>
        <v>6.8900000000000072E-2</v>
      </c>
    </row>
    <row r="169" spans="1:7" x14ac:dyDescent="0.2">
      <c r="A169" s="15">
        <v>43970</v>
      </c>
      <c r="B169" s="76">
        <v>1.3376999999999999</v>
      </c>
      <c r="C169" s="101">
        <f t="shared" si="48"/>
        <v>5.4999999999998384E-3</v>
      </c>
      <c r="D169" s="102" t="str">
        <f t="shared" si="49"/>
        <v>/</v>
      </c>
      <c r="E169" s="102">
        <f ca="1">IF(表2_36716262930381011[[#This Row],[累计净值]]/MAX(INDIRECT("B21:B" &amp; ROW()))-1&lt;E168,表2_36716262930381011[[#This Row],[累计净值]]/MAX(INDIRECT("B21:B" &amp; ROW()))-1,E168)</f>
        <v>-2.4321641297154306E-2</v>
      </c>
      <c r="F169" s="62">
        <f>表2_36716262930381011[[#This Row],[累计净值]]-0.1652</f>
        <v>1.1724999999999999</v>
      </c>
      <c r="G169" s="20">
        <f t="shared" si="43"/>
        <v>7.1649999999999991E-2</v>
      </c>
    </row>
    <row r="170" spans="1:7" x14ac:dyDescent="0.2">
      <c r="A170" s="15">
        <v>43971</v>
      </c>
      <c r="B170" s="104">
        <v>1.3319000000000001</v>
      </c>
      <c r="C170" s="101">
        <f t="shared" si="48"/>
        <v>-5.7999999999998053E-3</v>
      </c>
      <c r="D170" s="102">
        <f t="shared" si="49"/>
        <v>-5.7999999999998053E-3</v>
      </c>
      <c r="E170" s="102">
        <f ca="1">IF(表2_36716262930381011[[#This Row],[累计净值]]/MAX(INDIRECT("B21:B" &amp; ROW()))-1&lt;E169,表2_36716262930381011[[#This Row],[累计净值]]/MAX(INDIRECT("B21:B" &amp; ROW()))-1,E169)</f>
        <v>-2.4321641297154306E-2</v>
      </c>
      <c r="F170" s="62">
        <f>表2_36716262930381011[[#This Row],[累计净值]]-0.1652</f>
        <v>1.1667000000000001</v>
      </c>
      <c r="G170" s="20">
        <f t="shared" si="43"/>
        <v>6.8750000000000089E-2</v>
      </c>
    </row>
    <row r="171" spans="1:7" x14ac:dyDescent="0.2">
      <c r="A171" s="15">
        <v>43972</v>
      </c>
      <c r="B171" s="112">
        <v>1.325</v>
      </c>
      <c r="C171" s="108">
        <f t="shared" si="48"/>
        <v>-6.9000000000001283E-3</v>
      </c>
      <c r="D171" s="109">
        <f t="shared" si="49"/>
        <v>-6.9000000000001283E-3</v>
      </c>
      <c r="E171" s="109">
        <f ca="1">IF(表2_36716262930381011[[#This Row],[累计净值]]/MAX(INDIRECT("B21:B" &amp; ROW()))-1&lt;E170,表2_36716262930381011[[#This Row],[累计净值]]/MAX(INDIRECT("B21:B" &amp; ROW()))-1,E170)</f>
        <v>-2.4321641297154306E-2</v>
      </c>
      <c r="F171" s="62">
        <f>表2_36716262930381011[[#This Row],[累计净值]]-0.1652</f>
        <v>1.1597999999999999</v>
      </c>
      <c r="G171" s="20">
        <f t="shared" si="43"/>
        <v>6.5300000000000025E-2</v>
      </c>
    </row>
    <row r="172" spans="1:7" x14ac:dyDescent="0.2">
      <c r="A172" s="15">
        <v>43973</v>
      </c>
      <c r="B172" s="112">
        <v>1.3228</v>
      </c>
      <c r="C172" s="108">
        <f t="shared" ref="C172:C178" si="50">IFERROR(B172-B171,0)</f>
        <v>-2.1999999999999797E-3</v>
      </c>
      <c r="D172" s="109">
        <f t="shared" ref="D172:D178" si="51">IF(C172&lt;0,C172,"/")</f>
        <v>-2.1999999999999797E-3</v>
      </c>
      <c r="E172" s="109">
        <f ca="1">IF(表2_36716262930381011[[#This Row],[累计净值]]/MAX(INDIRECT("B21:B" &amp; ROW()))-1&lt;E171,表2_36716262930381011[[#This Row],[累计净值]]/MAX(INDIRECT("B21:B" &amp; ROW()))-1,E171)</f>
        <v>-2.4321641297154306E-2</v>
      </c>
      <c r="F172" s="62">
        <f>表2_36716262930381011[[#This Row],[累计净值]]-0.1652</f>
        <v>1.1576</v>
      </c>
      <c r="G172" s="20">
        <f t="shared" si="43"/>
        <v>6.4200000000000035E-2</v>
      </c>
    </row>
    <row r="173" spans="1:7" x14ac:dyDescent="0.2">
      <c r="A173" s="15">
        <v>43976</v>
      </c>
      <c r="B173" s="112">
        <v>1.3260000000000001</v>
      </c>
      <c r="C173" s="108">
        <f t="shared" si="50"/>
        <v>3.2000000000000917E-3</v>
      </c>
      <c r="D173" s="109" t="str">
        <f t="shared" si="51"/>
        <v>/</v>
      </c>
      <c r="E173" s="109">
        <f ca="1">IF(表2_36716262930381011[[#This Row],[累计净值]]/MAX(INDIRECT("B21:B" &amp; ROW()))-1&lt;E172,表2_36716262930381011[[#This Row],[累计净值]]/MAX(INDIRECT("B21:B" &amp; ROW()))-1,E172)</f>
        <v>-2.4321641297154306E-2</v>
      </c>
      <c r="F173" s="62">
        <f>表2_36716262930381011[[#This Row],[累计净值]]-0.1652</f>
        <v>1.1608000000000001</v>
      </c>
      <c r="G173" s="20">
        <f t="shared" si="43"/>
        <v>6.5800000000000081E-2</v>
      </c>
    </row>
    <row r="174" spans="1:7" x14ac:dyDescent="0.2">
      <c r="A174" s="15">
        <v>43977</v>
      </c>
      <c r="B174" s="112">
        <v>1.3354999999999999</v>
      </c>
      <c r="C174" s="108">
        <f t="shared" si="50"/>
        <v>9.4999999999998419E-3</v>
      </c>
      <c r="D174" s="109" t="str">
        <f t="shared" si="51"/>
        <v>/</v>
      </c>
      <c r="E174" s="109">
        <f ca="1">IF(表2_36716262930381011[[#This Row],[累计净值]]/MAX(INDIRECT("B21:B" &amp; ROW()))-1&lt;E173,表2_36716262930381011[[#This Row],[累计净值]]/MAX(INDIRECT("B21:B" &amp; ROW()))-1,E173)</f>
        <v>-2.4321641297154306E-2</v>
      </c>
      <c r="F174" s="62">
        <f>表2_36716262930381011[[#This Row],[累计净值]]-0.1652</f>
        <v>1.1702999999999999</v>
      </c>
      <c r="G174" s="20">
        <f t="shared" si="43"/>
        <v>7.0550000000000002E-2</v>
      </c>
    </row>
    <row r="175" spans="1:7" x14ac:dyDescent="0.2">
      <c r="A175" s="15">
        <v>43978</v>
      </c>
      <c r="B175" s="112">
        <v>1.3303</v>
      </c>
      <c r="C175" s="108">
        <f t="shared" si="50"/>
        <v>-5.1999999999998714E-3</v>
      </c>
      <c r="D175" s="109">
        <f t="shared" si="51"/>
        <v>-5.1999999999998714E-3</v>
      </c>
      <c r="E175" s="109">
        <f ca="1">IF(表2_36716262930381011[[#This Row],[累计净值]]/MAX(INDIRECT("B21:B" &amp; ROW()))-1&lt;E174,表2_36716262930381011[[#This Row],[累计净值]]/MAX(INDIRECT("B21:B" &amp; ROW()))-1,E174)</f>
        <v>-2.4321641297154306E-2</v>
      </c>
      <c r="F175" s="62">
        <f>表2_36716262930381011[[#This Row],[累计净值]]-0.1652</f>
        <v>1.1651</v>
      </c>
      <c r="G175" s="20">
        <f t="shared" si="43"/>
        <v>6.7950000000000066E-2</v>
      </c>
    </row>
    <row r="176" spans="1:7" x14ac:dyDescent="0.2">
      <c r="A176" s="15">
        <v>43979</v>
      </c>
      <c r="B176" s="112">
        <v>1.3310999999999999</v>
      </c>
      <c r="C176" s="108">
        <f t="shared" si="50"/>
        <v>7.9999999999991189E-4</v>
      </c>
      <c r="D176" s="109" t="str">
        <f t="shared" si="51"/>
        <v>/</v>
      </c>
      <c r="E176" s="109">
        <f ca="1">IF(表2_36716262930381011[[#This Row],[累计净值]]/MAX(INDIRECT("B21:B" &amp; ROW()))-1&lt;E175,表2_36716262930381011[[#This Row],[累计净值]]/MAX(INDIRECT("B21:B" &amp; ROW()))-1,E175)</f>
        <v>-2.4321641297154306E-2</v>
      </c>
      <c r="F176" s="62">
        <f>表2_36716262930381011[[#This Row],[累计净值]]-0.1652</f>
        <v>1.1658999999999999</v>
      </c>
      <c r="G176" s="20">
        <f t="shared" si="43"/>
        <v>6.8350000000000022E-2</v>
      </c>
    </row>
    <row r="177" spans="1:7" x14ac:dyDescent="0.2">
      <c r="A177" s="15">
        <v>43980</v>
      </c>
      <c r="B177" s="112">
        <v>1.3347</v>
      </c>
      <c r="C177" s="108">
        <f t="shared" si="50"/>
        <v>3.6000000000000476E-3</v>
      </c>
      <c r="D177" s="109" t="str">
        <f t="shared" si="51"/>
        <v>/</v>
      </c>
      <c r="E177" s="109">
        <f ca="1">IF(表2_36716262930381011[[#This Row],[累计净值]]/MAX(INDIRECT("B21:B" &amp; ROW()))-1&lt;E176,表2_36716262930381011[[#This Row],[累计净值]]/MAX(INDIRECT("B21:B" &amp; ROW()))-1,E176)</f>
        <v>-2.4321641297154306E-2</v>
      </c>
      <c r="F177" s="62">
        <f>表2_36716262930381011[[#This Row],[累计净值]]-0.1652</f>
        <v>1.1695</v>
      </c>
      <c r="G177" s="20">
        <f t="shared" si="43"/>
        <v>7.0150000000000046E-2</v>
      </c>
    </row>
    <row r="178" spans="1:7" x14ac:dyDescent="0.2">
      <c r="A178" s="15">
        <v>43983</v>
      </c>
      <c r="B178" s="112">
        <v>1.3380000000000001</v>
      </c>
      <c r="C178" s="108">
        <f t="shared" si="50"/>
        <v>3.3000000000000806E-3</v>
      </c>
      <c r="D178" s="109" t="str">
        <f t="shared" si="51"/>
        <v>/</v>
      </c>
      <c r="E178" s="109">
        <f ca="1">IF(表2_36716262930381011[[#This Row],[累计净值]]/MAX(INDIRECT("B21:B" &amp; ROW()))-1&lt;E177,表2_36716262930381011[[#This Row],[累计净值]]/MAX(INDIRECT("B21:B" &amp; ROW()))-1,E177)</f>
        <v>-2.4321641297154306E-2</v>
      </c>
      <c r="F178" s="62">
        <f>表2_36716262930381011[[#This Row],[累计净值]]-0.1652</f>
        <v>1.1728000000000001</v>
      </c>
      <c r="G178" s="20">
        <f t="shared" si="43"/>
        <v>7.1800000000000086E-2</v>
      </c>
    </row>
    <row r="179" spans="1:7" x14ac:dyDescent="0.2">
      <c r="A179" s="15">
        <v>43984</v>
      </c>
      <c r="B179" s="112">
        <v>1.3376999999999999</v>
      </c>
      <c r="C179" s="108">
        <f t="shared" ref="C179:C184" si="52">IFERROR(B179-B178,0)</f>
        <v>-3.00000000000189E-4</v>
      </c>
      <c r="D179" s="109">
        <f t="shared" ref="D179:D184" si="53">IF(C179&lt;0,C179,"/")</f>
        <v>-3.00000000000189E-4</v>
      </c>
      <c r="E179" s="109">
        <f ca="1">IF(表2_36716262930381011[[#This Row],[累计净值]]/MAX(INDIRECT("B21:B" &amp; ROW()))-1&lt;E178,表2_36716262930381011[[#This Row],[累计净值]]/MAX(INDIRECT("B21:B" &amp; ROW()))-1,E178)</f>
        <v>-2.4321641297154306E-2</v>
      </c>
      <c r="F179" s="62">
        <f>表2_36716262930381011[[#This Row],[累计净值]]-0.1652</f>
        <v>1.1724999999999999</v>
      </c>
      <c r="G179" s="20">
        <f t="shared" si="43"/>
        <v>7.1649999999999991E-2</v>
      </c>
    </row>
    <row r="180" spans="1:7" x14ac:dyDescent="0.2">
      <c r="A180" s="15">
        <v>43985</v>
      </c>
      <c r="B180" s="76">
        <v>1.3443000000000001</v>
      </c>
      <c r="C180" s="108">
        <f t="shared" si="52"/>
        <v>6.6000000000001613E-3</v>
      </c>
      <c r="D180" s="109" t="str">
        <f t="shared" si="53"/>
        <v>/</v>
      </c>
      <c r="E180" s="109">
        <f ca="1">IF(表2_36716262930381011[[#This Row],[累计净值]]/MAX(INDIRECT("B21:B" &amp; ROW()))-1&lt;E179,表2_36716262930381011[[#This Row],[累计净值]]/MAX(INDIRECT("B21:B" &amp; ROW()))-1,E179)</f>
        <v>-2.4321641297154306E-2</v>
      </c>
      <c r="F180" s="62">
        <f>表2_36716262930381011[[#This Row],[累计净值]]-0.1652</f>
        <v>1.1791</v>
      </c>
      <c r="G180" s="20">
        <f t="shared" si="43"/>
        <v>7.4950000000000072E-2</v>
      </c>
    </row>
    <row r="181" spans="1:7" x14ac:dyDescent="0.2">
      <c r="A181" s="15">
        <v>43986</v>
      </c>
      <c r="B181" s="112">
        <v>1.3416999999999999</v>
      </c>
      <c r="C181" s="108">
        <f t="shared" si="52"/>
        <v>-2.6000000000001577E-3</v>
      </c>
      <c r="D181" s="109">
        <f t="shared" si="53"/>
        <v>-2.6000000000001577E-3</v>
      </c>
      <c r="E181" s="109">
        <f ca="1">IF(表2_36716262930381011[[#This Row],[累计净值]]/MAX(INDIRECT("B21:B" &amp; ROW()))-1&lt;E180,表2_36716262930381011[[#This Row],[累计净值]]/MAX(INDIRECT("B21:B" &amp; ROW()))-1,E180)</f>
        <v>-2.4321641297154306E-2</v>
      </c>
      <c r="F181" s="62">
        <f>表2_36716262930381011[[#This Row],[累计净值]]-0.1652</f>
        <v>1.1764999999999999</v>
      </c>
      <c r="G181" s="20">
        <f t="shared" si="43"/>
        <v>7.3649999999999993E-2</v>
      </c>
    </row>
    <row r="182" spans="1:7" x14ac:dyDescent="0.2">
      <c r="A182" s="15">
        <v>43987</v>
      </c>
      <c r="B182" s="112">
        <v>1.3405</v>
      </c>
      <c r="C182" s="108">
        <f t="shared" si="52"/>
        <v>-1.1999999999998678E-3</v>
      </c>
      <c r="D182" s="109">
        <f t="shared" si="53"/>
        <v>-1.1999999999998678E-3</v>
      </c>
      <c r="E182" s="109">
        <f ca="1">IF(表2_36716262930381011[[#This Row],[累计净值]]/MAX(INDIRECT("B21:B" &amp; ROW()))-1&lt;E181,表2_36716262930381011[[#This Row],[累计净值]]/MAX(INDIRECT("B21:B" &amp; ROW()))-1,E181)</f>
        <v>-2.4321641297154306E-2</v>
      </c>
      <c r="F182" s="62">
        <f>表2_36716262930381011[[#This Row],[累计净值]]-0.1652</f>
        <v>1.1753</v>
      </c>
      <c r="G182" s="20">
        <f t="shared" ref="G182:G187" si="54">IF(F182&gt;1.0292,0.5*(F182-1.0292),F182-1.0292)</f>
        <v>7.3050000000000059E-2</v>
      </c>
    </row>
    <row r="183" spans="1:7" x14ac:dyDescent="0.2">
      <c r="A183" s="15">
        <v>43990</v>
      </c>
      <c r="B183" s="112">
        <v>1.3382000000000001</v>
      </c>
      <c r="C183" s="108">
        <f t="shared" si="52"/>
        <v>-2.2999999999999687E-3</v>
      </c>
      <c r="D183" s="109">
        <f t="shared" si="53"/>
        <v>-2.2999999999999687E-3</v>
      </c>
      <c r="E183" s="109">
        <f ca="1">IF(表2_36716262930381011[[#This Row],[累计净值]]/MAX(INDIRECT("B21:B" &amp; ROW()))-1&lt;E182,表2_36716262930381011[[#This Row],[累计净值]]/MAX(INDIRECT("B21:B" &amp; ROW()))-1,E182)</f>
        <v>-2.4321641297154306E-2</v>
      </c>
      <c r="F183" s="62">
        <f>表2_36716262930381011[[#This Row],[累计净值]]-0.1652</f>
        <v>1.173</v>
      </c>
      <c r="G183" s="20">
        <f t="shared" si="54"/>
        <v>7.1900000000000075E-2</v>
      </c>
    </row>
    <row r="184" spans="1:7" x14ac:dyDescent="0.2">
      <c r="A184" s="15">
        <v>43991</v>
      </c>
      <c r="B184" s="112">
        <v>1.3379000000000001</v>
      </c>
      <c r="C184" s="108">
        <f t="shared" si="52"/>
        <v>-2.9999999999996696E-4</v>
      </c>
      <c r="D184" s="109">
        <f t="shared" si="53"/>
        <v>-2.9999999999996696E-4</v>
      </c>
      <c r="E184" s="109">
        <f ca="1">IF(表2_36716262930381011[[#This Row],[累计净值]]/MAX(INDIRECT("B21:B" &amp; ROW()))-1&lt;E183,表2_36716262930381011[[#This Row],[累计净值]]/MAX(INDIRECT("B21:B" &amp; ROW()))-1,E183)</f>
        <v>-2.4321641297154306E-2</v>
      </c>
      <c r="F184" s="62">
        <f>表2_36716262930381011[[#This Row],[累计净值]]-0.1652</f>
        <v>1.1727000000000001</v>
      </c>
      <c r="G184" s="20">
        <f t="shared" si="54"/>
        <v>7.1750000000000091E-2</v>
      </c>
    </row>
    <row r="185" spans="1:7" x14ac:dyDescent="0.2">
      <c r="A185" s="15">
        <v>43992</v>
      </c>
      <c r="B185" s="112">
        <v>1.3389</v>
      </c>
      <c r="C185" s="108">
        <f t="shared" ref="C185:C190" si="55">IFERROR(B185-B184,0)</f>
        <v>9.9999999999988987E-4</v>
      </c>
      <c r="D185" s="109" t="str">
        <f t="shared" ref="D185:D190" si="56">IF(C185&lt;0,C185,"/")</f>
        <v>/</v>
      </c>
      <c r="E185" s="109">
        <f ca="1">IF(表2_36716262930381011[[#This Row],[累计净值]]/MAX(INDIRECT("B21:B" &amp; ROW()))-1&lt;E184,表2_36716262930381011[[#This Row],[累计净值]]/MAX(INDIRECT("B21:B" &amp; ROW()))-1,E184)</f>
        <v>-2.4321641297154306E-2</v>
      </c>
      <c r="F185" s="62">
        <f>表2_36716262930381011[[#This Row],[累计净值]]-0.1652</f>
        <v>1.1737</v>
      </c>
      <c r="G185" s="20">
        <f t="shared" si="54"/>
        <v>7.2250000000000036E-2</v>
      </c>
    </row>
    <row r="186" spans="1:7" x14ac:dyDescent="0.2">
      <c r="A186" s="15">
        <v>43993</v>
      </c>
      <c r="B186" s="112">
        <v>1.341</v>
      </c>
      <c r="C186" s="108">
        <f t="shared" si="55"/>
        <v>2.0999999999999908E-3</v>
      </c>
      <c r="D186" s="109" t="str">
        <f t="shared" si="56"/>
        <v>/</v>
      </c>
      <c r="E186" s="109">
        <f ca="1">IF(表2_36716262930381011[[#This Row],[累计净值]]/MAX(INDIRECT("B21:B" &amp; ROW()))-1&lt;E185,表2_36716262930381011[[#This Row],[累计净值]]/MAX(INDIRECT("B21:B" &amp; ROW()))-1,E185)</f>
        <v>-2.4321641297154306E-2</v>
      </c>
      <c r="F186" s="62">
        <f>表2_36716262930381011[[#This Row],[累计净值]]-0.1652</f>
        <v>1.1758</v>
      </c>
      <c r="G186" s="20">
        <f t="shared" si="54"/>
        <v>7.3300000000000032E-2</v>
      </c>
    </row>
    <row r="187" spans="1:7" x14ac:dyDescent="0.2">
      <c r="A187" s="15">
        <v>43994</v>
      </c>
      <c r="B187" s="112">
        <v>1.3421000000000001</v>
      </c>
      <c r="C187" s="108">
        <f t="shared" si="55"/>
        <v>1.1000000000001009E-3</v>
      </c>
      <c r="D187" s="109" t="str">
        <f t="shared" si="56"/>
        <v>/</v>
      </c>
      <c r="E187" s="109">
        <f ca="1">IF(表2_36716262930381011[[#This Row],[累计净值]]/MAX(INDIRECT("B21:B" &amp; ROW()))-1&lt;E186,表2_36716262930381011[[#This Row],[累计净值]]/MAX(INDIRECT("B21:B" &amp; ROW()))-1,E186)</f>
        <v>-2.4321641297154306E-2</v>
      </c>
      <c r="F187" s="62">
        <f>表2_36716262930381011[[#This Row],[累计净值]]-0.1652</f>
        <v>1.1769000000000001</v>
      </c>
      <c r="G187" s="20">
        <f t="shared" si="54"/>
        <v>7.3850000000000082E-2</v>
      </c>
    </row>
    <row r="188" spans="1:7" x14ac:dyDescent="0.2">
      <c r="A188" s="15">
        <v>43997</v>
      </c>
      <c r="B188" s="112">
        <v>1.3424</v>
      </c>
      <c r="C188" s="108">
        <f t="shared" si="55"/>
        <v>2.9999999999996696E-4</v>
      </c>
      <c r="D188" s="109" t="str">
        <f t="shared" si="56"/>
        <v>/</v>
      </c>
      <c r="E188" s="109">
        <f ca="1">IF(表2_36716262930381011[[#This Row],[累计净值]]/MAX(INDIRECT("B21:B" &amp; ROW()))-1&lt;E187,表2_36716262930381011[[#This Row],[累计净值]]/MAX(INDIRECT("B21:B" &amp; ROW()))-1,E187)</f>
        <v>-2.4321641297154306E-2</v>
      </c>
      <c r="F188" s="62">
        <f>表2_36716262930381011[[#This Row],[累计净值]]-0.1652</f>
        <v>1.1772</v>
      </c>
      <c r="G188" s="20">
        <f t="shared" ref="G188:G219" si="57">IF(F188&gt;1.0292,0.5*(F188-1.0292),F188-1.0292)</f>
        <v>7.4000000000000066E-2</v>
      </c>
    </row>
    <row r="189" spans="1:7" x14ac:dyDescent="0.2">
      <c r="A189" s="15">
        <v>43998</v>
      </c>
      <c r="B189" s="76">
        <v>1.3506</v>
      </c>
      <c r="C189" s="108">
        <f t="shared" si="55"/>
        <v>8.1999999999999851E-3</v>
      </c>
      <c r="D189" s="109" t="str">
        <f t="shared" si="56"/>
        <v>/</v>
      </c>
      <c r="E189" s="109">
        <f ca="1">IF(表2_36716262930381011[[#This Row],[累计净值]]/MAX(INDIRECT("B21:B" &amp; ROW()))-1&lt;E188,表2_36716262930381011[[#This Row],[累计净值]]/MAX(INDIRECT("B21:B" &amp; ROW()))-1,E188)</f>
        <v>-2.4321641297154306E-2</v>
      </c>
      <c r="F189" s="62">
        <f>表2_36716262930381011[[#This Row],[累计净值]]-0.1652</f>
        <v>1.1854</v>
      </c>
      <c r="G189" s="20">
        <f t="shared" si="57"/>
        <v>7.8100000000000058E-2</v>
      </c>
    </row>
    <row r="190" spans="1:7" x14ac:dyDescent="0.2">
      <c r="A190" s="15">
        <v>43999</v>
      </c>
      <c r="B190" s="112">
        <v>1.3452</v>
      </c>
      <c r="C190" s="108">
        <f t="shared" si="55"/>
        <v>-5.4000000000000714E-3</v>
      </c>
      <c r="D190" s="109">
        <f t="shared" si="56"/>
        <v>-5.4000000000000714E-3</v>
      </c>
      <c r="E190" s="109">
        <f ca="1">IF(表2_36716262930381011[[#This Row],[累计净值]]/MAX(INDIRECT("B21:B" &amp; ROW()))-1&lt;E189,表2_36716262930381011[[#This Row],[累计净值]]/MAX(INDIRECT("B21:B" &amp; ROW()))-1,E189)</f>
        <v>-2.4321641297154306E-2</v>
      </c>
      <c r="F190" s="62">
        <f>表2_36716262930381011[[#This Row],[累计净值]]-0.1652</f>
        <v>1.18</v>
      </c>
      <c r="G190" s="20">
        <f t="shared" si="57"/>
        <v>7.5400000000000023E-2</v>
      </c>
    </row>
    <row r="191" spans="1:7" x14ac:dyDescent="0.2">
      <c r="A191" s="15">
        <v>44000</v>
      </c>
      <c r="B191" s="112">
        <v>1.3414999999999999</v>
      </c>
      <c r="C191" s="108">
        <f t="shared" ref="C191:C197" si="58">IFERROR(B191-B190,0)</f>
        <v>-3.7000000000000366E-3</v>
      </c>
      <c r="D191" s="109">
        <f t="shared" ref="D191:D197" si="59">IF(C191&lt;0,C191,"/")</f>
        <v>-3.7000000000000366E-3</v>
      </c>
      <c r="E191" s="109">
        <f ca="1">IF(表2_36716262930381011[[#This Row],[累计净值]]/MAX(INDIRECT("B21:B" &amp; ROW()))-1&lt;E190,表2_36716262930381011[[#This Row],[累计净值]]/MAX(INDIRECT("B21:B" &amp; ROW()))-1,E190)</f>
        <v>-2.4321641297154306E-2</v>
      </c>
      <c r="F191" s="62">
        <f>表2_36716262930381011[[#This Row],[累计净值]]-0.1652</f>
        <v>1.1762999999999999</v>
      </c>
      <c r="G191" s="20">
        <f t="shared" si="57"/>
        <v>7.3550000000000004E-2</v>
      </c>
    </row>
    <row r="192" spans="1:7" x14ac:dyDescent="0.2">
      <c r="A192" s="15">
        <v>44001</v>
      </c>
      <c r="B192" s="112">
        <v>1.3438000000000001</v>
      </c>
      <c r="C192" s="108">
        <f t="shared" si="58"/>
        <v>2.3000000000001908E-3</v>
      </c>
      <c r="D192" s="109" t="str">
        <f t="shared" si="59"/>
        <v>/</v>
      </c>
      <c r="E192" s="109">
        <f ca="1">IF(表2_36716262930381011[[#This Row],[累计净值]]/MAX(INDIRECT("B21:B" &amp; ROW()))-1&lt;E191,表2_36716262930381011[[#This Row],[累计净值]]/MAX(INDIRECT("B21:B" &amp; ROW()))-1,E191)</f>
        <v>-2.4321641297154306E-2</v>
      </c>
      <c r="F192" s="62">
        <f>表2_36716262930381011[[#This Row],[累计净值]]-0.1652</f>
        <v>1.1786000000000001</v>
      </c>
      <c r="G192" s="20">
        <f t="shared" si="57"/>
        <v>7.47000000000001E-2</v>
      </c>
    </row>
    <row r="193" spans="1:7" x14ac:dyDescent="0.2">
      <c r="A193" s="15">
        <v>44004</v>
      </c>
      <c r="B193" s="112">
        <v>1.3553999999999999</v>
      </c>
      <c r="C193" s="108">
        <f t="shared" si="58"/>
        <v>1.1599999999999833E-2</v>
      </c>
      <c r="D193" s="109" t="str">
        <f t="shared" si="59"/>
        <v>/</v>
      </c>
      <c r="E193" s="109">
        <f ca="1">IF(表2_36716262930381011[[#This Row],[累计净值]]/MAX(INDIRECT("B21:B" &amp; ROW()))-1&lt;E192,表2_36716262930381011[[#This Row],[累计净值]]/MAX(INDIRECT("B21:B" &amp; ROW()))-1,E192)</f>
        <v>-2.4321641297154306E-2</v>
      </c>
      <c r="F193" s="62">
        <f>表2_36716262930381011[[#This Row],[累计净值]]-0.1652</f>
        <v>1.1901999999999999</v>
      </c>
      <c r="G193" s="20">
        <f t="shared" si="57"/>
        <v>8.0500000000000016E-2</v>
      </c>
    </row>
    <row r="194" spans="1:7" x14ac:dyDescent="0.2">
      <c r="A194" s="15">
        <v>44005</v>
      </c>
      <c r="B194" s="112">
        <v>1.3566</v>
      </c>
      <c r="C194" s="108">
        <f t="shared" si="58"/>
        <v>1.2000000000000899E-3</v>
      </c>
      <c r="D194" s="109" t="str">
        <f t="shared" si="59"/>
        <v>/</v>
      </c>
      <c r="E194" s="109">
        <f ca="1">IF(表2_36716262930381011[[#This Row],[累计净值]]/MAX(INDIRECT("B21:B" &amp; ROW()))-1&lt;E193,表2_36716262930381011[[#This Row],[累计净值]]/MAX(INDIRECT("B21:B" &amp; ROW()))-1,E193)</f>
        <v>-2.4321641297154306E-2</v>
      </c>
      <c r="F194" s="62">
        <f>表2_36716262930381011[[#This Row],[累计净值]]-0.1652</f>
        <v>1.1914</v>
      </c>
      <c r="G194" s="20">
        <f t="shared" si="57"/>
        <v>8.1100000000000061E-2</v>
      </c>
    </row>
    <row r="195" spans="1:7" x14ac:dyDescent="0.2">
      <c r="A195" s="15">
        <v>44006</v>
      </c>
      <c r="B195" s="112">
        <v>1.3544</v>
      </c>
      <c r="C195" s="108">
        <f t="shared" si="58"/>
        <v>-2.1999999999999797E-3</v>
      </c>
      <c r="D195" s="109">
        <f t="shared" si="59"/>
        <v>-2.1999999999999797E-3</v>
      </c>
      <c r="E195" s="109">
        <f ca="1">IF(表2_36716262930381011[[#This Row],[累计净值]]/MAX(INDIRECT("B21:B" &amp; ROW()))-1&lt;E194,表2_36716262930381011[[#This Row],[累计净值]]/MAX(INDIRECT("B21:B" &amp; ROW()))-1,E194)</f>
        <v>-2.4321641297154306E-2</v>
      </c>
      <c r="F195" s="62">
        <f>表2_36716262930381011[[#This Row],[累计净值]]-0.1652</f>
        <v>1.1892</v>
      </c>
      <c r="G195" s="20">
        <f t="shared" si="57"/>
        <v>8.0000000000000071E-2</v>
      </c>
    </row>
    <row r="196" spans="1:7" x14ac:dyDescent="0.2">
      <c r="A196" s="15">
        <v>44011</v>
      </c>
      <c r="B196" s="112">
        <v>1.3584000000000001</v>
      </c>
      <c r="C196" s="108">
        <f t="shared" si="58"/>
        <v>4.0000000000000036E-3</v>
      </c>
      <c r="D196" s="109" t="str">
        <f t="shared" si="59"/>
        <v>/</v>
      </c>
      <c r="E196" s="109">
        <f ca="1">IF(表2_36716262930381011[[#This Row],[累计净值]]/MAX(INDIRECT("B21:B" &amp; ROW()))-1&lt;E195,表2_36716262930381011[[#This Row],[累计净值]]/MAX(INDIRECT("B21:B" &amp; ROW()))-1,E195)</f>
        <v>-2.4321641297154306E-2</v>
      </c>
      <c r="F196" s="62">
        <f>表2_36716262930381011[[#This Row],[累计净值]]-0.1652</f>
        <v>1.1932</v>
      </c>
      <c r="G196" s="20">
        <f t="shared" si="57"/>
        <v>8.2000000000000073E-2</v>
      </c>
    </row>
    <row r="197" spans="1:7" x14ac:dyDescent="0.2">
      <c r="A197" s="15">
        <v>44012</v>
      </c>
      <c r="B197" s="112">
        <v>1.3641000000000001</v>
      </c>
      <c r="C197" s="108">
        <f t="shared" si="58"/>
        <v>5.7000000000000384E-3</v>
      </c>
      <c r="D197" s="109" t="str">
        <f t="shared" si="59"/>
        <v>/</v>
      </c>
      <c r="E197" s="109">
        <f ca="1">IF(表2_36716262930381011[[#This Row],[累计净值]]/MAX(INDIRECT("B21:B" &amp; ROW()))-1&lt;E196,表2_36716262930381011[[#This Row],[累计净值]]/MAX(INDIRECT("B21:B" &amp; ROW()))-1,E196)</f>
        <v>-2.4321641297154306E-2</v>
      </c>
      <c r="F197" s="62">
        <f>表2_36716262930381011[[#This Row],[累计净值]]-0.1652</f>
        <v>1.1989000000000001</v>
      </c>
      <c r="G197" s="20">
        <f t="shared" si="57"/>
        <v>8.4850000000000092E-2</v>
      </c>
    </row>
    <row r="198" spans="1:7" x14ac:dyDescent="0.2">
      <c r="A198" s="15">
        <v>44013</v>
      </c>
      <c r="B198" s="112">
        <v>1.3613</v>
      </c>
      <c r="C198" s="108">
        <f>IFERROR(B198-B197,0)</f>
        <v>-2.8000000000001357E-3</v>
      </c>
      <c r="D198" s="109">
        <f>IF(C198&lt;0,C198,"/")</f>
        <v>-2.8000000000001357E-3</v>
      </c>
      <c r="E198" s="109">
        <f ca="1">IF(表2_36716262930381011[[#This Row],[累计净值]]/MAX(INDIRECT("B21:B" &amp; ROW()))-1&lt;E197,表2_36716262930381011[[#This Row],[累计净值]]/MAX(INDIRECT("B21:B" &amp; ROW()))-1,E197)</f>
        <v>-2.4321641297154306E-2</v>
      </c>
      <c r="F198" s="62">
        <f>表2_36716262930381011[[#This Row],[累计净值]]-0.1652</f>
        <v>1.1960999999999999</v>
      </c>
      <c r="G198" s="20">
        <f t="shared" si="57"/>
        <v>8.3450000000000024E-2</v>
      </c>
    </row>
    <row r="199" spans="1:7" x14ac:dyDescent="0.2">
      <c r="A199" s="15">
        <v>44014</v>
      </c>
      <c r="B199" s="112">
        <v>1.3503000000000001</v>
      </c>
      <c r="C199" s="108">
        <f>IFERROR(B199-B198,0)</f>
        <v>-1.0999999999999899E-2</v>
      </c>
      <c r="D199" s="109">
        <f>IF(C199&lt;0,C199,"/")</f>
        <v>-1.0999999999999899E-2</v>
      </c>
      <c r="E199" s="109">
        <f ca="1">IF(表2_36716262930381011[[#This Row],[累计净值]]/MAX(INDIRECT("B21:B" &amp; ROW()))-1&lt;E198,表2_36716262930381011[[#This Row],[累计净值]]/MAX(INDIRECT("B21:B" &amp; ROW()))-1,E198)</f>
        <v>-2.4321641297154306E-2</v>
      </c>
      <c r="F199" s="62">
        <f>表2_36716262930381011[[#This Row],[累计净值]]-0.1652</f>
        <v>1.1851</v>
      </c>
      <c r="G199" s="20">
        <f t="shared" si="57"/>
        <v>7.7950000000000075E-2</v>
      </c>
    </row>
    <row r="200" spans="1:7" x14ac:dyDescent="0.2">
      <c r="A200" s="15">
        <v>44015</v>
      </c>
      <c r="B200" s="112">
        <v>1.3466</v>
      </c>
      <c r="C200" s="108">
        <f>IFERROR(B200-B199,0)</f>
        <v>-3.7000000000000366E-3</v>
      </c>
      <c r="D200" s="109">
        <f>IF(C200&lt;0,C200,"/")</f>
        <v>-3.7000000000000366E-3</v>
      </c>
      <c r="E200" s="109">
        <f ca="1">IF(表2_36716262930381011[[#This Row],[累计净值]]/MAX(INDIRECT("B21:B" &amp; ROW()))-1&lt;E199,表2_36716262930381011[[#This Row],[累计净值]]/MAX(INDIRECT("B21:B" &amp; ROW()))-1,E199)</f>
        <v>-2.4321641297154306E-2</v>
      </c>
      <c r="F200" s="62">
        <f>表2_36716262930381011[[#This Row],[累计净值]]-0.1652</f>
        <v>1.1814</v>
      </c>
      <c r="G200" s="20">
        <f t="shared" si="57"/>
        <v>7.6100000000000056E-2</v>
      </c>
    </row>
    <row r="201" spans="1:7" x14ac:dyDescent="0.2">
      <c r="A201" s="15">
        <v>44018</v>
      </c>
      <c r="B201" s="112">
        <v>1.3337000000000001</v>
      </c>
      <c r="C201" s="108">
        <f t="shared" ref="C201:C206" si="60">IFERROR(B201-B200,0)</f>
        <v>-1.2899999999999912E-2</v>
      </c>
      <c r="D201" s="109">
        <f t="shared" ref="D201:D206" si="61">IF(C201&lt;0,C201,"/")</f>
        <v>-1.2899999999999912E-2</v>
      </c>
      <c r="E201" s="109">
        <f ca="1">IF(表2_36716262930381011[[#This Row],[累计净值]]/MAX(INDIRECT("B21:B" &amp; ROW()))-1&lt;E200,表2_36716262930381011[[#This Row],[累计净值]]/MAX(INDIRECT("B21:B" &amp; ROW()))-1,E200)</f>
        <v>-2.4321641297154306E-2</v>
      </c>
      <c r="F201" s="62">
        <f>表2_36716262930381011[[#This Row],[累计净值]]-0.1652</f>
        <v>1.1685000000000001</v>
      </c>
      <c r="G201" s="20">
        <f t="shared" si="57"/>
        <v>6.9650000000000101E-2</v>
      </c>
    </row>
    <row r="202" spans="1:7" x14ac:dyDescent="0.2">
      <c r="A202" s="15">
        <v>44019</v>
      </c>
      <c r="B202" s="112">
        <v>1.3411999999999999</v>
      </c>
      <c r="C202" s="108">
        <f t="shared" si="60"/>
        <v>7.4999999999998401E-3</v>
      </c>
      <c r="D202" s="109" t="str">
        <f t="shared" si="61"/>
        <v>/</v>
      </c>
      <c r="E202" s="109">
        <f ca="1">IF(表2_36716262930381011[[#This Row],[累计净值]]/MAX(INDIRECT("B21:B" &amp; ROW()))-1&lt;E201,表2_36716262930381011[[#This Row],[累计净值]]/MAX(INDIRECT("B21:B" &amp; ROW()))-1,E201)</f>
        <v>-2.4321641297154306E-2</v>
      </c>
      <c r="F202" s="62">
        <f>表2_36716262930381011[[#This Row],[累计净值]]-0.1652</f>
        <v>1.1759999999999999</v>
      </c>
      <c r="G202" s="20">
        <f t="shared" si="57"/>
        <v>7.3400000000000021E-2</v>
      </c>
    </row>
    <row r="203" spans="1:7" x14ac:dyDescent="0.2">
      <c r="A203" s="15">
        <v>44020</v>
      </c>
      <c r="B203" s="112">
        <v>1.3525</v>
      </c>
      <c r="C203" s="108">
        <f t="shared" si="60"/>
        <v>1.1300000000000088E-2</v>
      </c>
      <c r="D203" s="109" t="str">
        <f t="shared" si="61"/>
        <v>/</v>
      </c>
      <c r="E203" s="109">
        <f ca="1">IF(表2_36716262930381011[[#This Row],[累计净值]]/MAX(INDIRECT("B21:B" &amp; ROW()))-1&lt;E202,表2_36716262930381011[[#This Row],[累计净值]]/MAX(INDIRECT("B21:B" &amp; ROW()))-1,E202)</f>
        <v>-2.4321641297154306E-2</v>
      </c>
      <c r="F203" s="62">
        <f>表2_36716262930381011[[#This Row],[累计净值]]-0.1652</f>
        <v>1.1873</v>
      </c>
      <c r="G203" s="20">
        <f t="shared" si="57"/>
        <v>7.9050000000000065E-2</v>
      </c>
    </row>
    <row r="204" spans="1:7" x14ac:dyDescent="0.2">
      <c r="A204" s="15">
        <v>44021</v>
      </c>
      <c r="B204" s="112">
        <v>1.3641000000000001</v>
      </c>
      <c r="C204" s="108">
        <f t="shared" si="60"/>
        <v>1.1600000000000055E-2</v>
      </c>
      <c r="D204" s="109" t="str">
        <f t="shared" si="61"/>
        <v>/</v>
      </c>
      <c r="E204" s="109">
        <f ca="1">IF(表2_36716262930381011[[#This Row],[累计净值]]/MAX(INDIRECT("B21:B" &amp; ROW()))-1&lt;E203,表2_36716262930381011[[#This Row],[累计净值]]/MAX(INDIRECT("B21:B" &amp; ROW()))-1,E203)</f>
        <v>-2.4321641297154306E-2</v>
      </c>
      <c r="F204" s="62">
        <f>表2_36716262930381011[[#This Row],[累计净值]]-0.1652</f>
        <v>1.1989000000000001</v>
      </c>
      <c r="G204" s="20">
        <f t="shared" si="57"/>
        <v>8.4850000000000092E-2</v>
      </c>
    </row>
    <row r="205" spans="1:7" x14ac:dyDescent="0.2">
      <c r="A205" s="15">
        <v>44022</v>
      </c>
      <c r="B205" s="112">
        <v>1.3720000000000001</v>
      </c>
      <c r="C205" s="108">
        <f t="shared" si="60"/>
        <v>7.9000000000000181E-3</v>
      </c>
      <c r="D205" s="109" t="str">
        <f t="shared" si="61"/>
        <v>/</v>
      </c>
      <c r="E205" s="109">
        <f ca="1">IF(表2_36716262930381011[[#This Row],[累计净值]]/MAX(INDIRECT("B21:B" &amp; ROW()))-1&lt;E204,表2_36716262930381011[[#This Row],[累计净值]]/MAX(INDIRECT("B21:B" &amp; ROW()))-1,E204)</f>
        <v>-2.4321641297154306E-2</v>
      </c>
      <c r="F205" s="62">
        <f>表2_36716262930381011[[#This Row],[累计净值]]-0.1652</f>
        <v>1.2068000000000001</v>
      </c>
      <c r="G205" s="20">
        <f t="shared" si="57"/>
        <v>8.8800000000000101E-2</v>
      </c>
    </row>
    <row r="206" spans="1:7" x14ac:dyDescent="0.2">
      <c r="A206" s="15">
        <v>44025</v>
      </c>
      <c r="B206" s="112">
        <v>1.3791</v>
      </c>
      <c r="C206" s="108">
        <f t="shared" si="60"/>
        <v>7.0999999999998842E-3</v>
      </c>
      <c r="D206" s="109" t="str">
        <f t="shared" si="61"/>
        <v>/</v>
      </c>
      <c r="E206" s="109">
        <f ca="1">IF(表2_36716262930381011[[#This Row],[累计净值]]/MAX(INDIRECT("B21:B" &amp; ROW()))-1&lt;E205,表2_36716262930381011[[#This Row],[累计净值]]/MAX(INDIRECT("B21:B" &amp; ROW()))-1,E205)</f>
        <v>-2.4321641297154306E-2</v>
      </c>
      <c r="F206" s="62">
        <f>表2_36716262930381011[[#This Row],[累计净值]]-0.1652</f>
        <v>1.2139</v>
      </c>
      <c r="G206" s="20">
        <f t="shared" si="57"/>
        <v>9.2350000000000043E-2</v>
      </c>
    </row>
    <row r="207" spans="1:7" x14ac:dyDescent="0.2">
      <c r="A207" s="15">
        <v>44026</v>
      </c>
      <c r="B207" s="76">
        <v>1.3867</v>
      </c>
      <c r="C207" s="108">
        <f t="shared" ref="C207:C212" si="62">IFERROR(B207-B206,0)</f>
        <v>7.6000000000000512E-3</v>
      </c>
      <c r="D207" s="109" t="str">
        <f t="shared" ref="D207:D212" si="63">IF(C207&lt;0,C207,"/")</f>
        <v>/</v>
      </c>
      <c r="E207" s="109">
        <f ca="1">IF(表2_36716262930381011[[#This Row],[累计净值]]/MAX(INDIRECT("B21:B" &amp; ROW()))-1&lt;E206,表2_36716262930381011[[#This Row],[累计净值]]/MAX(INDIRECT("B21:B" &amp; ROW()))-1,E206)</f>
        <v>-2.4321641297154306E-2</v>
      </c>
      <c r="F207" s="62">
        <f>表2_36716262930381011[[#This Row],[累计净值]]-0.1652</f>
        <v>1.2215</v>
      </c>
      <c r="G207" s="20">
        <f t="shared" si="57"/>
        <v>9.6150000000000069E-2</v>
      </c>
    </row>
    <row r="208" spans="1:7" x14ac:dyDescent="0.2">
      <c r="A208" s="15">
        <v>44027</v>
      </c>
      <c r="B208" s="112">
        <v>1.3774999999999999</v>
      </c>
      <c r="C208" s="108">
        <f t="shared" si="62"/>
        <v>-9.200000000000097E-3</v>
      </c>
      <c r="D208" s="109">
        <f t="shared" si="63"/>
        <v>-9.200000000000097E-3</v>
      </c>
      <c r="E208" s="109">
        <f ca="1">IF(表2_36716262930381011[[#This Row],[累计净值]]/MAX(INDIRECT("B21:B" &amp; ROW()))-1&lt;E207,表2_36716262930381011[[#This Row],[累计净值]]/MAX(INDIRECT("B21:B" &amp; ROW()))-1,E207)</f>
        <v>-2.4321641297154306E-2</v>
      </c>
      <c r="F208" s="62">
        <f>表2_36716262930381011[[#This Row],[累计净值]]-0.1652</f>
        <v>1.2122999999999999</v>
      </c>
      <c r="G208" s="20">
        <f t="shared" si="57"/>
        <v>9.155000000000002E-2</v>
      </c>
    </row>
    <row r="209" spans="1:7" x14ac:dyDescent="0.2">
      <c r="A209" s="15">
        <v>44028</v>
      </c>
      <c r="B209" s="112">
        <v>1.3619000000000001</v>
      </c>
      <c r="C209" s="108">
        <f t="shared" si="62"/>
        <v>-1.5599999999999836E-2</v>
      </c>
      <c r="D209" s="109">
        <f t="shared" si="63"/>
        <v>-1.5599999999999836E-2</v>
      </c>
      <c r="E209" s="109">
        <f ca="1">IF(表2_36716262930381011[[#This Row],[累计净值]]/MAX(INDIRECT("B21:B" &amp; ROW()))-1&lt;E208,表2_36716262930381011[[#This Row],[累计净值]]/MAX(INDIRECT("B21:B" &amp; ROW()))-1,E208)</f>
        <v>-2.4321641297154306E-2</v>
      </c>
      <c r="F209" s="62">
        <f>表2_36716262930381011[[#This Row],[累计净值]]-0.1652</f>
        <v>1.1967000000000001</v>
      </c>
      <c r="G209" s="20">
        <f t="shared" si="57"/>
        <v>8.3750000000000102E-2</v>
      </c>
    </row>
    <row r="210" spans="1:7" x14ac:dyDescent="0.2">
      <c r="A210" s="15">
        <v>44029</v>
      </c>
      <c r="B210" s="112">
        <v>1.3644000000000001</v>
      </c>
      <c r="C210" s="108">
        <f t="shared" si="62"/>
        <v>2.4999999999999467E-3</v>
      </c>
      <c r="D210" s="109" t="str">
        <f t="shared" si="63"/>
        <v>/</v>
      </c>
      <c r="E210" s="109">
        <f ca="1">IF(表2_36716262930381011[[#This Row],[累计净值]]/MAX(INDIRECT("B21:B" &amp; ROW()))-1&lt;E209,表2_36716262930381011[[#This Row],[累计净值]]/MAX(INDIRECT("B21:B" &amp; ROW()))-1,E209)</f>
        <v>-2.4321641297154306E-2</v>
      </c>
      <c r="F210" s="62">
        <f>表2_36716262930381011[[#This Row],[累计净值]]-0.1652</f>
        <v>1.1992</v>
      </c>
      <c r="G210" s="20">
        <f t="shared" si="57"/>
        <v>8.5000000000000075E-2</v>
      </c>
    </row>
    <row r="211" spans="1:7" x14ac:dyDescent="0.2">
      <c r="A211" s="15">
        <v>44032</v>
      </c>
      <c r="B211" s="112">
        <v>1.3675999999999999</v>
      </c>
      <c r="C211" s="108">
        <f t="shared" si="62"/>
        <v>3.1999999999998696E-3</v>
      </c>
      <c r="D211" s="109" t="str">
        <f t="shared" si="63"/>
        <v>/</v>
      </c>
      <c r="E211" s="109">
        <f ca="1">IF(表2_36716262930381011[[#This Row],[累计净值]]/MAX(INDIRECT("B21:B" &amp; ROW()))-1&lt;E210,表2_36716262930381011[[#This Row],[累计净值]]/MAX(INDIRECT("B21:B" &amp; ROW()))-1,E210)</f>
        <v>-2.4321641297154306E-2</v>
      </c>
      <c r="F211" s="62">
        <f>表2_36716262930381011[[#This Row],[累计净值]]-0.1652</f>
        <v>1.2023999999999999</v>
      </c>
      <c r="G211" s="20">
        <f t="shared" si="57"/>
        <v>8.660000000000001E-2</v>
      </c>
    </row>
    <row r="212" spans="1:7" x14ac:dyDescent="0.2">
      <c r="A212" s="15">
        <v>44033</v>
      </c>
      <c r="B212" s="112">
        <v>1.3728</v>
      </c>
      <c r="C212" s="108">
        <f t="shared" si="62"/>
        <v>5.2000000000000934E-3</v>
      </c>
      <c r="D212" s="109" t="str">
        <f t="shared" si="63"/>
        <v>/</v>
      </c>
      <c r="E212" s="109">
        <f ca="1">IF(表2_36716262930381011[[#This Row],[累计净值]]/MAX(INDIRECT("B21:B" &amp; ROW()))-1&lt;E211,表2_36716262930381011[[#This Row],[累计净值]]/MAX(INDIRECT("B21:B" &amp; ROW()))-1,E211)</f>
        <v>-2.4321641297154306E-2</v>
      </c>
      <c r="F212" s="62">
        <f>表2_36716262930381011[[#This Row],[累计净值]]-0.1652</f>
        <v>1.2076</v>
      </c>
      <c r="G212" s="20">
        <f t="shared" si="57"/>
        <v>8.9200000000000057E-2</v>
      </c>
    </row>
    <row r="213" spans="1:7" x14ac:dyDescent="0.2">
      <c r="A213" s="15">
        <v>44034</v>
      </c>
      <c r="B213" s="112">
        <v>1.3747</v>
      </c>
      <c r="C213" s="108">
        <f>IFERROR(B213-B212,0)</f>
        <v>1.9000000000000128E-3</v>
      </c>
      <c r="D213" s="109" t="str">
        <f>IF(C213&lt;0,C213,"/")</f>
        <v>/</v>
      </c>
      <c r="E213" s="109">
        <f ca="1">IF(表2_36716262930381011[[#This Row],[累计净值]]/MAX(INDIRECT("B21:B" &amp; ROW()))-1&lt;E212,表2_36716262930381011[[#This Row],[累计净值]]/MAX(INDIRECT("B21:B" &amp; ROW()))-1,E212)</f>
        <v>-2.4321641297154306E-2</v>
      </c>
      <c r="F213" s="62">
        <f>表2_36716262930381011[[#This Row],[累计净值]]-0.1652</f>
        <v>1.2095</v>
      </c>
      <c r="G213" s="20">
        <f t="shared" si="57"/>
        <v>9.0150000000000063E-2</v>
      </c>
    </row>
    <row r="214" spans="1:7" x14ac:dyDescent="0.2">
      <c r="A214" s="15">
        <v>44035</v>
      </c>
      <c r="B214" s="112">
        <v>1.3752</v>
      </c>
      <c r="C214" s="108">
        <f>IFERROR(B214-B213,0)</f>
        <v>4.9999999999994493E-4</v>
      </c>
      <c r="D214" s="109" t="str">
        <f>IF(C214&lt;0,C214,"/")</f>
        <v>/</v>
      </c>
      <c r="E214" s="109">
        <f ca="1">IF(表2_36716262930381011[[#This Row],[累计净值]]/MAX(INDIRECT("B21:B" &amp; ROW()))-1&lt;E213,表2_36716262930381011[[#This Row],[累计净值]]/MAX(INDIRECT("B21:B" &amp; ROW()))-1,E213)</f>
        <v>-2.4321641297154306E-2</v>
      </c>
      <c r="F214" s="62">
        <f>表2_36716262930381011[[#This Row],[累计净值]]-0.1652</f>
        <v>1.21</v>
      </c>
      <c r="G214" s="20">
        <f t="shared" si="57"/>
        <v>9.0400000000000036E-2</v>
      </c>
    </row>
    <row r="215" spans="1:7" x14ac:dyDescent="0.2">
      <c r="A215" s="15">
        <v>44036</v>
      </c>
      <c r="B215" s="112">
        <v>1.3686</v>
      </c>
      <c r="C215" s="108">
        <f>IFERROR(B215-B214,0)</f>
        <v>-6.5999999999999392E-3</v>
      </c>
      <c r="D215" s="109">
        <f>IF(C215&lt;0,C215,"/")</f>
        <v>-6.5999999999999392E-3</v>
      </c>
      <c r="E215" s="109">
        <f ca="1">IF(表2_36716262930381011[[#This Row],[累计净值]]/MAX(INDIRECT("B21:B" &amp; ROW()))-1&lt;E214,表2_36716262930381011[[#This Row],[累计净值]]/MAX(INDIRECT("B21:B" &amp; ROW()))-1,E214)</f>
        <v>-2.4321641297154306E-2</v>
      </c>
      <c r="F215" s="62">
        <f>表2_36716262930381011[[#This Row],[累计净值]]-0.1652</f>
        <v>1.2034</v>
      </c>
      <c r="G215" s="20">
        <f t="shared" si="57"/>
        <v>8.7100000000000066E-2</v>
      </c>
    </row>
    <row r="216" spans="1:7" x14ac:dyDescent="0.2">
      <c r="A216" s="15">
        <v>44039</v>
      </c>
      <c r="B216" s="112">
        <v>1.3758999999999999</v>
      </c>
      <c r="C216" s="108">
        <f t="shared" ref="C216:C221" si="64">IFERROR(B216-B215,0)</f>
        <v>7.2999999999998622E-3</v>
      </c>
      <c r="D216" s="109" t="str">
        <f t="shared" ref="D216:D221" si="65">IF(C216&lt;0,C216,"/")</f>
        <v>/</v>
      </c>
      <c r="E216" s="109">
        <f ca="1">IF(表2_36716262930381011[[#This Row],[累计净值]]/MAX(INDIRECT("B21:B" &amp; ROW()))-1&lt;E215,表2_36716262930381011[[#This Row],[累计净值]]/MAX(INDIRECT("B21:B" &amp; ROW()))-1,E215)</f>
        <v>-2.4321641297154306E-2</v>
      </c>
      <c r="F216" s="62">
        <f>表2_36716262930381011[[#This Row],[累计净值]]-0.1652</f>
        <v>1.2106999999999999</v>
      </c>
      <c r="G216" s="20">
        <f t="shared" si="57"/>
        <v>9.0749999999999997E-2</v>
      </c>
    </row>
    <row r="217" spans="1:7" x14ac:dyDescent="0.2">
      <c r="A217" s="15">
        <v>44040</v>
      </c>
      <c r="B217" s="112">
        <v>1.3834</v>
      </c>
      <c r="C217" s="108">
        <f t="shared" si="64"/>
        <v>7.5000000000000622E-3</v>
      </c>
      <c r="D217" s="109" t="str">
        <f t="shared" si="65"/>
        <v>/</v>
      </c>
      <c r="E217" s="109">
        <f ca="1">IF(表2_36716262930381011[[#This Row],[累计净值]]/MAX(INDIRECT("B21:B" &amp; ROW()))-1&lt;E216,表2_36716262930381011[[#This Row],[累计净值]]/MAX(INDIRECT("B21:B" &amp; ROW()))-1,E216)</f>
        <v>-2.4321641297154306E-2</v>
      </c>
      <c r="F217" s="62">
        <f>表2_36716262930381011[[#This Row],[累计净值]]-0.1652</f>
        <v>1.2181999999999999</v>
      </c>
      <c r="G217" s="20">
        <f t="shared" si="57"/>
        <v>9.4500000000000028E-2</v>
      </c>
    </row>
    <row r="218" spans="1:7" x14ac:dyDescent="0.2">
      <c r="A218" s="15">
        <v>44041</v>
      </c>
      <c r="B218" s="112">
        <v>1.3854</v>
      </c>
      <c r="C218" s="108">
        <f t="shared" si="64"/>
        <v>2.0000000000000018E-3</v>
      </c>
      <c r="D218" s="109" t="str">
        <f t="shared" si="65"/>
        <v>/</v>
      </c>
      <c r="E218" s="109">
        <f ca="1">IF(表2_36716262930381011[[#This Row],[累计净值]]/MAX(INDIRECT("B21:B" &amp; ROW()))-1&lt;E217,表2_36716262930381011[[#This Row],[累计净值]]/MAX(INDIRECT("B21:B" &amp; ROW()))-1,E217)</f>
        <v>-2.4321641297154306E-2</v>
      </c>
      <c r="F218" s="62">
        <f>表2_36716262930381011[[#This Row],[累计净值]]-0.1652</f>
        <v>1.2202</v>
      </c>
      <c r="G218" s="20">
        <f t="shared" si="57"/>
        <v>9.5500000000000029E-2</v>
      </c>
    </row>
    <row r="219" spans="1:7" x14ac:dyDescent="0.2">
      <c r="A219" s="15">
        <v>44042</v>
      </c>
      <c r="B219" s="112">
        <v>1.3806</v>
      </c>
      <c r="C219" s="108">
        <f t="shared" si="64"/>
        <v>-4.7999999999999154E-3</v>
      </c>
      <c r="D219" s="109">
        <f t="shared" si="65"/>
        <v>-4.7999999999999154E-3</v>
      </c>
      <c r="E219" s="109">
        <f ca="1">IF(表2_36716262930381011[[#This Row],[累计净值]]/MAX(INDIRECT("B21:B" &amp; ROW()))-1&lt;E218,表2_36716262930381011[[#This Row],[累计净值]]/MAX(INDIRECT("B21:B" &amp; ROW()))-1,E218)</f>
        <v>-2.4321641297154306E-2</v>
      </c>
      <c r="F219" s="62">
        <f>表2_36716262930381011[[#This Row],[累计净值]]-0.1652</f>
        <v>1.2154</v>
      </c>
      <c r="G219" s="20">
        <f t="shared" si="57"/>
        <v>9.3100000000000072E-2</v>
      </c>
    </row>
    <row r="220" spans="1:7" x14ac:dyDescent="0.2">
      <c r="A220" s="15">
        <v>44043</v>
      </c>
      <c r="B220" s="112">
        <v>1.3876999999999999</v>
      </c>
      <c r="C220" s="108">
        <f t="shared" si="64"/>
        <v>7.0999999999998842E-3</v>
      </c>
      <c r="D220" s="109" t="str">
        <f t="shared" si="65"/>
        <v>/</v>
      </c>
      <c r="E220" s="109">
        <f ca="1">IF(表2_36716262930381011[[#This Row],[累计净值]]/MAX(INDIRECT("B21:B" &amp; ROW()))-1&lt;E219,表2_36716262930381011[[#This Row],[累计净值]]/MAX(INDIRECT("B21:B" &amp; ROW()))-1,E219)</f>
        <v>-2.4321641297154306E-2</v>
      </c>
      <c r="F220" s="62">
        <f>表2_36716262930381011[[#This Row],[累计净值]]-0.1652</f>
        <v>1.2224999999999999</v>
      </c>
      <c r="G220" s="20">
        <f t="shared" ref="G220:G251" si="66">IF(F220&gt;1.0292,0.5*(F220-1.0292),F220-1.0292)</f>
        <v>9.6650000000000014E-2</v>
      </c>
    </row>
    <row r="221" spans="1:7" x14ac:dyDescent="0.2">
      <c r="A221" s="15">
        <v>44046</v>
      </c>
      <c r="B221" s="112">
        <v>1.3971</v>
      </c>
      <c r="C221" s="108">
        <f t="shared" si="64"/>
        <v>9.400000000000075E-3</v>
      </c>
      <c r="D221" s="109" t="str">
        <f t="shared" si="65"/>
        <v>/</v>
      </c>
      <c r="E221" s="109">
        <f ca="1">IF(表2_36716262930381011[[#This Row],[累计净值]]/MAX(INDIRECT("B21:B" &amp; ROW()))-1&lt;E220,表2_36716262930381011[[#This Row],[累计净值]]/MAX(INDIRECT("B21:B" &amp; ROW()))-1,E220)</f>
        <v>-2.4321641297154306E-2</v>
      </c>
      <c r="F221" s="62">
        <f>表2_36716262930381011[[#This Row],[累计净值]]-0.1652</f>
        <v>1.2319</v>
      </c>
      <c r="G221" s="20">
        <f t="shared" si="66"/>
        <v>0.10135000000000005</v>
      </c>
    </row>
    <row r="222" spans="1:7" x14ac:dyDescent="0.2">
      <c r="A222" s="15">
        <v>44047</v>
      </c>
      <c r="B222" s="112">
        <v>1.3936999999999999</v>
      </c>
      <c r="C222" s="108">
        <f t="shared" ref="C222:C227" si="67">IFERROR(B222-B221,0)</f>
        <v>-3.4000000000000696E-3</v>
      </c>
      <c r="D222" s="109">
        <f t="shared" ref="D222:D227" si="68">IF(C222&lt;0,C222,"/")</f>
        <v>-3.4000000000000696E-3</v>
      </c>
      <c r="E222" s="109">
        <f ca="1">IF(表2_36716262930381011[[#This Row],[累计净值]]/MAX(INDIRECT("B21:B" &amp; ROW()))-1&lt;E221,表2_36716262930381011[[#This Row],[累计净值]]/MAX(INDIRECT("B21:B" &amp; ROW()))-1,E221)</f>
        <v>-2.4321641297154306E-2</v>
      </c>
      <c r="F222" s="62">
        <f>表2_36716262930381011[[#This Row],[累计净值]]-0.1652</f>
        <v>1.2284999999999999</v>
      </c>
      <c r="G222" s="20">
        <f t="shared" si="66"/>
        <v>9.9650000000000016E-2</v>
      </c>
    </row>
    <row r="223" spans="1:7" x14ac:dyDescent="0.2">
      <c r="A223" s="15">
        <v>44048</v>
      </c>
      <c r="B223" s="76">
        <v>1.4024000000000001</v>
      </c>
      <c r="C223" s="108">
        <f t="shared" si="67"/>
        <v>8.7000000000001521E-3</v>
      </c>
      <c r="D223" s="109" t="str">
        <f t="shared" si="68"/>
        <v>/</v>
      </c>
      <c r="E223" s="109">
        <f ca="1">IF(表2_36716262930381011[[#This Row],[累计净值]]/MAX(INDIRECT("B21:B" &amp; ROW()))-1&lt;E222,表2_36716262930381011[[#This Row],[累计净值]]/MAX(INDIRECT("B21:B" &amp; ROW()))-1,E222)</f>
        <v>-2.4321641297154306E-2</v>
      </c>
      <c r="F223" s="62">
        <f>表2_36716262930381011[[#This Row],[累计净值]]-0.1652</f>
        <v>1.2372000000000001</v>
      </c>
      <c r="G223" s="20">
        <f t="shared" si="66"/>
        <v>0.10400000000000009</v>
      </c>
    </row>
    <row r="224" spans="1:7" x14ac:dyDescent="0.2">
      <c r="A224" s="15">
        <v>44049</v>
      </c>
      <c r="B224" s="112">
        <v>1.4016999999999999</v>
      </c>
      <c r="C224" s="108">
        <f t="shared" si="67"/>
        <v>-7.0000000000014495E-4</v>
      </c>
      <c r="D224" s="109">
        <f t="shared" si="68"/>
        <v>-7.0000000000014495E-4</v>
      </c>
      <c r="E224" s="109">
        <f ca="1">IF(表2_36716262930381011[[#This Row],[累计净值]]/MAX(INDIRECT("B21:B" &amp; ROW()))-1&lt;E223,表2_36716262930381011[[#This Row],[累计净值]]/MAX(INDIRECT("B21:B" &amp; ROW()))-1,E223)</f>
        <v>-2.4321641297154306E-2</v>
      </c>
      <c r="F224" s="62">
        <f>表2_36716262930381011[[#This Row],[累计净值]]-0.1652</f>
        <v>1.2364999999999999</v>
      </c>
      <c r="G224" s="20">
        <f t="shared" si="66"/>
        <v>0.10365000000000002</v>
      </c>
    </row>
    <row r="225" spans="1:7" x14ac:dyDescent="0.2">
      <c r="A225" s="15">
        <v>44050</v>
      </c>
      <c r="B225" s="112">
        <v>1.3998999999999999</v>
      </c>
      <c r="C225" s="108">
        <f t="shared" si="67"/>
        <v>-1.8000000000000238E-3</v>
      </c>
      <c r="D225" s="109">
        <f t="shared" si="68"/>
        <v>-1.8000000000000238E-3</v>
      </c>
      <c r="E225" s="109">
        <f ca="1">IF(表2_36716262930381011[[#This Row],[累计净值]]/MAX(INDIRECT("B21:B" &amp; ROW()))-1&lt;E224,表2_36716262930381011[[#This Row],[累计净值]]/MAX(INDIRECT("B21:B" &amp; ROW()))-1,E224)</f>
        <v>-2.4321641297154306E-2</v>
      </c>
      <c r="F225" s="62">
        <f>表2_36716262930381011[[#This Row],[累计净值]]-0.1652</f>
        <v>1.2346999999999999</v>
      </c>
      <c r="G225" s="20">
        <f t="shared" si="66"/>
        <v>0.10275000000000001</v>
      </c>
    </row>
    <row r="226" spans="1:7" x14ac:dyDescent="0.2">
      <c r="A226" s="15">
        <v>44053</v>
      </c>
      <c r="B226" s="112">
        <v>1.3928</v>
      </c>
      <c r="C226" s="108">
        <f t="shared" si="67"/>
        <v>-7.0999999999998842E-3</v>
      </c>
      <c r="D226" s="109">
        <f t="shared" si="68"/>
        <v>-7.0999999999998842E-3</v>
      </c>
      <c r="E226" s="109">
        <f ca="1">IF(表2_36716262930381011[[#This Row],[累计净值]]/MAX(INDIRECT("B21:B" &amp; ROW()))-1&lt;E225,表2_36716262930381011[[#This Row],[累计净值]]/MAX(INDIRECT("B21:B" &amp; ROW()))-1,E225)</f>
        <v>-2.4321641297154306E-2</v>
      </c>
      <c r="F226" s="62">
        <f>表2_36716262930381011[[#This Row],[累计净值]]-0.1652</f>
        <v>1.2276</v>
      </c>
      <c r="G226" s="20">
        <f t="shared" si="66"/>
        <v>9.9200000000000066E-2</v>
      </c>
    </row>
    <row r="227" spans="1:7" x14ac:dyDescent="0.2">
      <c r="A227" s="15">
        <v>44054</v>
      </c>
      <c r="B227" s="112">
        <v>1.3891</v>
      </c>
      <c r="C227" s="108">
        <f t="shared" si="67"/>
        <v>-3.7000000000000366E-3</v>
      </c>
      <c r="D227" s="109">
        <f t="shared" si="68"/>
        <v>-3.7000000000000366E-3</v>
      </c>
      <c r="E227" s="109">
        <f ca="1">IF(表2_36716262930381011[[#This Row],[累计净值]]/MAX(INDIRECT("B21:B" &amp; ROW()))-1&lt;E226,表2_36716262930381011[[#This Row],[累计净值]]/MAX(INDIRECT("B21:B" &amp; ROW()))-1,E226)</f>
        <v>-2.4321641297154306E-2</v>
      </c>
      <c r="F227" s="62">
        <f>表2_36716262930381011[[#This Row],[累计净值]]-0.1652</f>
        <v>1.2239</v>
      </c>
      <c r="G227" s="20">
        <f t="shared" si="66"/>
        <v>9.7350000000000048E-2</v>
      </c>
    </row>
    <row r="228" spans="1:7" x14ac:dyDescent="0.2">
      <c r="A228" s="15">
        <v>44055</v>
      </c>
      <c r="B228" s="112">
        <v>1.3889</v>
      </c>
      <c r="C228" s="108">
        <f t="shared" ref="C228:C233" si="69">IFERROR(B228-B227,0)</f>
        <v>-1.9999999999997797E-4</v>
      </c>
      <c r="D228" s="109">
        <f t="shared" ref="D228:D233" si="70">IF(C228&lt;0,C228,"/")</f>
        <v>-1.9999999999997797E-4</v>
      </c>
      <c r="E228" s="109">
        <f ca="1">IF(表2_36716262930381011[[#This Row],[累计净值]]/MAX(INDIRECT("B21:B" &amp; ROW()))-1&lt;E227,表2_36716262930381011[[#This Row],[累计净值]]/MAX(INDIRECT("B21:B" &amp; ROW()))-1,E227)</f>
        <v>-2.4321641297154306E-2</v>
      </c>
      <c r="F228" s="62">
        <f>表2_36716262930381011[[#This Row],[累计净值]]-0.1652</f>
        <v>1.2237</v>
      </c>
      <c r="G228" s="20">
        <f t="shared" si="66"/>
        <v>9.7250000000000059E-2</v>
      </c>
    </row>
    <row r="229" spans="1:7" x14ac:dyDescent="0.2">
      <c r="A229" s="15">
        <v>44056</v>
      </c>
      <c r="B229" s="112">
        <v>1.3861000000000001</v>
      </c>
      <c r="C229" s="108">
        <f t="shared" si="69"/>
        <v>-2.7999999999999137E-3</v>
      </c>
      <c r="D229" s="109">
        <f t="shared" si="70"/>
        <v>-2.7999999999999137E-3</v>
      </c>
      <c r="E229" s="109">
        <f ca="1">IF(表2_36716262930381011[[#This Row],[累计净值]]/MAX(INDIRECT("B21:B" &amp; ROW()))-1&lt;E228,表2_36716262930381011[[#This Row],[累计净值]]/MAX(INDIRECT("B21:B" &amp; ROW()))-1,E228)</f>
        <v>-2.4321641297154306E-2</v>
      </c>
      <c r="F229" s="62">
        <f>表2_36716262930381011[[#This Row],[累计净值]]-0.1652</f>
        <v>1.2209000000000001</v>
      </c>
      <c r="G229" s="20">
        <f t="shared" si="66"/>
        <v>9.5850000000000102E-2</v>
      </c>
    </row>
    <row r="230" spans="1:7" x14ac:dyDescent="0.2">
      <c r="A230" s="15">
        <v>44057</v>
      </c>
      <c r="B230" s="112">
        <v>1.3811</v>
      </c>
      <c r="C230" s="108">
        <f t="shared" si="69"/>
        <v>-5.0000000000001155E-3</v>
      </c>
      <c r="D230" s="109">
        <f t="shared" si="70"/>
        <v>-5.0000000000001155E-3</v>
      </c>
      <c r="E230" s="109">
        <f ca="1">IF(表2_36716262930381011[[#This Row],[累计净值]]/MAX(INDIRECT("B21:B" &amp; ROW()))-1&lt;E229,表2_36716262930381011[[#This Row],[累计净值]]/MAX(INDIRECT("B21:B" &amp; ROW()))-1,E229)</f>
        <v>-2.4321641297154306E-2</v>
      </c>
      <c r="F230" s="62">
        <f>表2_36716262930381011[[#This Row],[累计净值]]-0.1652</f>
        <v>1.2159</v>
      </c>
      <c r="G230" s="20">
        <f t="shared" si="66"/>
        <v>9.3350000000000044E-2</v>
      </c>
    </row>
    <row r="231" spans="1:7" x14ac:dyDescent="0.2">
      <c r="A231" s="15">
        <v>44060</v>
      </c>
      <c r="B231" s="112">
        <v>1.3907</v>
      </c>
      <c r="C231" s="108">
        <f t="shared" si="69"/>
        <v>9.6000000000000529E-3</v>
      </c>
      <c r="D231" s="109" t="str">
        <f t="shared" si="70"/>
        <v>/</v>
      </c>
      <c r="E231" s="109">
        <f ca="1">IF(表2_36716262930381011[[#This Row],[累计净值]]/MAX(INDIRECT("B21:B" &amp; ROW()))-1&lt;E230,表2_36716262930381011[[#This Row],[累计净值]]/MAX(INDIRECT("B21:B" &amp; ROW()))-1,E230)</f>
        <v>-2.4321641297154306E-2</v>
      </c>
      <c r="F231" s="62">
        <f>表2_36716262930381011[[#This Row],[累计净值]]-0.1652</f>
        <v>1.2255</v>
      </c>
      <c r="G231" s="20">
        <f t="shared" si="66"/>
        <v>9.8150000000000071E-2</v>
      </c>
    </row>
    <row r="232" spans="1:7" x14ac:dyDescent="0.2">
      <c r="A232" s="15">
        <v>44061</v>
      </c>
      <c r="B232" s="112">
        <v>1.3953</v>
      </c>
      <c r="C232" s="108">
        <f t="shared" si="69"/>
        <v>4.5999999999999375E-3</v>
      </c>
      <c r="D232" s="109" t="str">
        <f t="shared" si="70"/>
        <v>/</v>
      </c>
      <c r="E232" s="109">
        <f ca="1">IF(表2_36716262930381011[[#This Row],[累计净值]]/MAX(INDIRECT("B21:B" &amp; ROW()))-1&lt;E231,表2_36716262930381011[[#This Row],[累计净值]]/MAX(INDIRECT("B21:B" &amp; ROW()))-1,E231)</f>
        <v>-2.4321641297154306E-2</v>
      </c>
      <c r="F232" s="62">
        <f>表2_36716262930381011[[#This Row],[累计净值]]-0.1652</f>
        <v>1.2301</v>
      </c>
      <c r="G232" s="20">
        <f t="shared" si="66"/>
        <v>0.10045000000000004</v>
      </c>
    </row>
    <row r="233" spans="1:7" x14ac:dyDescent="0.2">
      <c r="A233" s="15">
        <v>44062</v>
      </c>
      <c r="B233" s="112">
        <v>1.3909</v>
      </c>
      <c r="C233" s="108">
        <f t="shared" si="69"/>
        <v>-4.3999999999999595E-3</v>
      </c>
      <c r="D233" s="109">
        <f t="shared" si="70"/>
        <v>-4.3999999999999595E-3</v>
      </c>
      <c r="E233" s="109">
        <f ca="1">IF(表2_36716262930381011[[#This Row],[累计净值]]/MAX(INDIRECT("B21:B" &amp; ROW()))-1&lt;E232,表2_36716262930381011[[#This Row],[累计净值]]/MAX(INDIRECT("B21:B" &amp; ROW()))-1,E232)</f>
        <v>-2.4321641297154306E-2</v>
      </c>
      <c r="F233" s="62">
        <f>表2_36716262930381011[[#This Row],[累计净值]]-0.1652</f>
        <v>1.2257</v>
      </c>
      <c r="G233" s="20">
        <f t="shared" si="66"/>
        <v>9.825000000000006E-2</v>
      </c>
    </row>
    <row r="234" spans="1:7" x14ac:dyDescent="0.2">
      <c r="A234" s="15">
        <v>44063</v>
      </c>
      <c r="B234" s="112">
        <v>1.3863000000000001</v>
      </c>
      <c r="C234" s="108">
        <f>IFERROR(B234-B233,0)</f>
        <v>-4.5999999999999375E-3</v>
      </c>
      <c r="D234" s="109">
        <f>IF(C234&lt;0,C234,"/")</f>
        <v>-4.5999999999999375E-3</v>
      </c>
      <c r="E234" s="109">
        <f ca="1">IF(表2_36716262930381011[[#This Row],[累计净值]]/MAX(INDIRECT("B21:B" &amp; ROW()))-1&lt;E233,表2_36716262930381011[[#This Row],[累计净值]]/MAX(INDIRECT("B21:B" &amp; ROW()))-1,E233)</f>
        <v>-2.4321641297154306E-2</v>
      </c>
      <c r="F234" s="62">
        <f>表2_36716262930381011[[#This Row],[累计净值]]-0.1652</f>
        <v>1.2211000000000001</v>
      </c>
      <c r="G234" s="20">
        <f t="shared" si="66"/>
        <v>9.5950000000000091E-2</v>
      </c>
    </row>
    <row r="235" spans="1:7" x14ac:dyDescent="0.2">
      <c r="A235" s="15">
        <v>44064</v>
      </c>
      <c r="B235" s="112">
        <v>1.3866000000000001</v>
      </c>
      <c r="C235" s="108">
        <f>IFERROR(B235-B234,0)</f>
        <v>2.9999999999996696E-4</v>
      </c>
      <c r="D235" s="109" t="str">
        <f>IF(C235&lt;0,C235,"/")</f>
        <v>/</v>
      </c>
      <c r="E235" s="109">
        <f ca="1">IF(表2_36716262930381011[[#This Row],[累计净值]]/MAX(INDIRECT("B21:B" &amp; ROW()))-1&lt;E234,表2_36716262930381011[[#This Row],[累计净值]]/MAX(INDIRECT("B21:B" &amp; ROW()))-1,E234)</f>
        <v>-2.4321641297154306E-2</v>
      </c>
      <c r="F235" s="62">
        <f>表2_36716262930381011[[#This Row],[累计净值]]-0.1652</f>
        <v>1.2214</v>
      </c>
      <c r="G235" s="20">
        <f t="shared" si="66"/>
        <v>9.6100000000000074E-2</v>
      </c>
    </row>
    <row r="236" spans="1:7" x14ac:dyDescent="0.2">
      <c r="A236" s="15">
        <v>44067</v>
      </c>
      <c r="B236" s="112">
        <v>1.3925000000000001</v>
      </c>
      <c r="C236" s="108">
        <f>IFERROR(B236-B235,0)</f>
        <v>5.9000000000000163E-3</v>
      </c>
      <c r="D236" s="109" t="str">
        <f>IF(C236&lt;0,C236,"/")</f>
        <v>/</v>
      </c>
      <c r="E236" s="109">
        <f ca="1">IF(表2_36716262930381011[[#This Row],[累计净值]]/MAX(INDIRECT("B21:B" &amp; ROW()))-1&lt;E235,表2_36716262930381011[[#This Row],[累计净值]]/MAX(INDIRECT("B21:B" &amp; ROW()))-1,E235)</f>
        <v>-2.4321641297154306E-2</v>
      </c>
      <c r="F236" s="62">
        <f>表2_36716262930381011[[#This Row],[累计净值]]-0.1652</f>
        <v>1.2273000000000001</v>
      </c>
      <c r="G236" s="20">
        <f t="shared" si="66"/>
        <v>9.9050000000000082E-2</v>
      </c>
    </row>
    <row r="237" spans="1:7" x14ac:dyDescent="0.2">
      <c r="A237" s="15">
        <v>44068</v>
      </c>
      <c r="B237" s="112">
        <v>1.3936999999999999</v>
      </c>
      <c r="C237" s="108">
        <f>IFERROR(B237-B236,0)</f>
        <v>1.1999999999998678E-3</v>
      </c>
      <c r="D237" s="109" t="str">
        <f>IF(C237&lt;0,C237,"/")</f>
        <v>/</v>
      </c>
      <c r="E237" s="109">
        <f ca="1">IF(表2_36716262930381011[[#This Row],[累计净值]]/MAX(INDIRECT("B21:B" &amp; ROW()))-1&lt;E236,表2_36716262930381011[[#This Row],[累计净值]]/MAX(INDIRECT("B21:B" &amp; ROW()))-1,E236)</f>
        <v>-2.4321641297154306E-2</v>
      </c>
      <c r="F237" s="62">
        <f>表2_36716262930381011[[#This Row],[累计净值]]-0.1652</f>
        <v>1.2284999999999999</v>
      </c>
      <c r="G237" s="20">
        <f t="shared" si="66"/>
        <v>9.9650000000000016E-2</v>
      </c>
    </row>
    <row r="238" spans="1:7" x14ac:dyDescent="0.2">
      <c r="A238" s="15">
        <v>44069</v>
      </c>
      <c r="B238" s="112">
        <v>1.3789</v>
      </c>
      <c r="C238" s="108">
        <f>IFERROR(B238-B237,0)</f>
        <v>-1.4799999999999924E-2</v>
      </c>
      <c r="D238" s="109">
        <f>IF(C238&lt;0,C238,"/")</f>
        <v>-1.4799999999999924E-2</v>
      </c>
      <c r="E238" s="109">
        <f ca="1">IF(表2_36716262930381011[[#This Row],[累计净值]]/MAX(INDIRECT("B21:B" &amp; ROW()))-1&lt;E237,表2_36716262930381011[[#This Row],[累计净值]]/MAX(INDIRECT("B21:B" &amp; ROW()))-1,E237)</f>
        <v>-2.4321641297154306E-2</v>
      </c>
      <c r="F238" s="62">
        <f>表2_36716262930381011[[#This Row],[累计净值]]-0.1652</f>
        <v>1.2137</v>
      </c>
      <c r="G238" s="20">
        <f t="shared" si="66"/>
        <v>9.2250000000000054E-2</v>
      </c>
    </row>
    <row r="239" spans="1:7" x14ac:dyDescent="0.2">
      <c r="A239" s="15">
        <v>44070</v>
      </c>
      <c r="B239" s="112">
        <v>1.3854</v>
      </c>
      <c r="C239" s="108">
        <f t="shared" ref="C239:C245" si="71">IFERROR(B239-B238,0)</f>
        <v>6.4999999999999503E-3</v>
      </c>
      <c r="D239" s="109" t="str">
        <f t="shared" ref="D239:D245" si="72">IF(C239&lt;0,C239,"/")</f>
        <v>/</v>
      </c>
      <c r="E239" s="109">
        <f ca="1">IF(表2_36716262930381011[[#This Row],[累计净值]]/MAX(INDIRECT("B21:B" &amp; ROW()))-1&lt;E238,表2_36716262930381011[[#This Row],[累计净值]]/MAX(INDIRECT("B21:B" &amp; ROW()))-1,E238)</f>
        <v>-2.4321641297154306E-2</v>
      </c>
      <c r="F239" s="62">
        <f>表2_36716262930381011[[#This Row],[累计净值]]-0.1652</f>
        <v>1.2202</v>
      </c>
      <c r="G239" s="20">
        <f t="shared" si="66"/>
        <v>9.5500000000000029E-2</v>
      </c>
    </row>
    <row r="240" spans="1:7" x14ac:dyDescent="0.2">
      <c r="A240" s="15">
        <v>44071</v>
      </c>
      <c r="B240" s="112">
        <v>1.3839999999999999</v>
      </c>
      <c r="C240" s="108">
        <f t="shared" si="71"/>
        <v>-1.4000000000000679E-3</v>
      </c>
      <c r="D240" s="109">
        <f t="shared" si="72"/>
        <v>-1.4000000000000679E-3</v>
      </c>
      <c r="E240" s="109">
        <f ca="1">IF(表2_36716262930381011[[#This Row],[累计净值]]/MAX(INDIRECT("B21:B" &amp; ROW()))-1&lt;E239,表2_36716262930381011[[#This Row],[累计净值]]/MAX(INDIRECT("B21:B" &amp; ROW()))-1,E239)</f>
        <v>-2.4321641297154306E-2</v>
      </c>
      <c r="F240" s="62">
        <f>表2_36716262930381011[[#This Row],[累计净值]]-0.1652</f>
        <v>1.2187999999999999</v>
      </c>
      <c r="G240" s="20">
        <f t="shared" si="66"/>
        <v>9.4799999999999995E-2</v>
      </c>
    </row>
    <row r="241" spans="1:7" x14ac:dyDescent="0.2">
      <c r="A241" s="15">
        <v>44074</v>
      </c>
      <c r="B241" s="112">
        <v>1.3904000000000001</v>
      </c>
      <c r="C241" s="108">
        <f t="shared" si="71"/>
        <v>6.4000000000001833E-3</v>
      </c>
      <c r="D241" s="109" t="str">
        <f t="shared" si="72"/>
        <v>/</v>
      </c>
      <c r="E241" s="109">
        <f ca="1">IF(表2_36716262930381011[[#This Row],[累计净值]]/MAX(INDIRECT("B21:B" &amp; ROW()))-1&lt;E240,表2_36716262930381011[[#This Row],[累计净值]]/MAX(INDIRECT("B21:B" &amp; ROW()))-1,E240)</f>
        <v>-2.4321641297154306E-2</v>
      </c>
      <c r="F241" s="62">
        <f>表2_36716262930381011[[#This Row],[累计净值]]-0.1652</f>
        <v>1.2252000000000001</v>
      </c>
      <c r="G241" s="20">
        <f t="shared" si="66"/>
        <v>9.8000000000000087E-2</v>
      </c>
    </row>
    <row r="242" spans="1:7" x14ac:dyDescent="0.2">
      <c r="A242" s="15">
        <v>44075</v>
      </c>
      <c r="B242" s="112">
        <v>1.3895999999999999</v>
      </c>
      <c r="C242" s="108">
        <f t="shared" si="71"/>
        <v>-8.0000000000013394E-4</v>
      </c>
      <c r="D242" s="109">
        <f t="shared" si="72"/>
        <v>-8.0000000000013394E-4</v>
      </c>
      <c r="E242" s="109">
        <f ca="1">IF(表2_36716262930381011[[#This Row],[累计净值]]/MAX(INDIRECT("B21:B" &amp; ROW()))-1&lt;E241,表2_36716262930381011[[#This Row],[累计净值]]/MAX(INDIRECT("B21:B" &amp; ROW()))-1,E241)</f>
        <v>-2.4321641297154306E-2</v>
      </c>
      <c r="F242" s="62">
        <f>表2_36716262930381011[[#This Row],[累计净值]]-0.1652</f>
        <v>1.2243999999999999</v>
      </c>
      <c r="G242" s="20">
        <f t="shared" si="66"/>
        <v>9.760000000000002E-2</v>
      </c>
    </row>
    <row r="243" spans="1:7" x14ac:dyDescent="0.2">
      <c r="A243" s="15">
        <v>44076</v>
      </c>
      <c r="B243" s="112">
        <v>1.3912</v>
      </c>
      <c r="C243" s="108">
        <f t="shared" si="71"/>
        <v>1.6000000000000458E-3</v>
      </c>
      <c r="D243" s="109" t="str">
        <f t="shared" si="72"/>
        <v>/</v>
      </c>
      <c r="E243" s="109">
        <f ca="1">IF(表2_36716262930381011[[#This Row],[累计净值]]/MAX(INDIRECT("B21:B" &amp; ROW()))-1&lt;E242,表2_36716262930381011[[#This Row],[累计净值]]/MAX(INDIRECT("B21:B" &amp; ROW()))-1,E242)</f>
        <v>-2.4321641297154306E-2</v>
      </c>
      <c r="F243" s="62">
        <f>表2_36716262930381011[[#This Row],[累计净值]]-0.1652</f>
        <v>1.226</v>
      </c>
      <c r="G243" s="20">
        <f t="shared" si="66"/>
        <v>9.8400000000000043E-2</v>
      </c>
    </row>
    <row r="244" spans="1:7" x14ac:dyDescent="0.2">
      <c r="A244" s="15">
        <v>44077</v>
      </c>
      <c r="B244" s="112">
        <v>1.3869</v>
      </c>
      <c r="C244" s="108">
        <f t="shared" si="71"/>
        <v>-4.2999999999999705E-3</v>
      </c>
      <c r="D244" s="109">
        <f t="shared" si="72"/>
        <v>-4.2999999999999705E-3</v>
      </c>
      <c r="E244" s="109">
        <f ca="1">IF(表2_36716262930381011[[#This Row],[累计净值]]/MAX(INDIRECT("B21:B" &amp; ROW()))-1&lt;E243,表2_36716262930381011[[#This Row],[累计净值]]/MAX(INDIRECT("B21:B" &amp; ROW()))-1,E243)</f>
        <v>-2.4321641297154306E-2</v>
      </c>
      <c r="F244" s="62">
        <f>表2_36716262930381011[[#This Row],[累计净值]]-0.1652</f>
        <v>1.2217</v>
      </c>
      <c r="G244" s="20">
        <f t="shared" si="66"/>
        <v>9.6250000000000058E-2</v>
      </c>
    </row>
    <row r="245" spans="1:7" x14ac:dyDescent="0.2">
      <c r="A245" s="15">
        <v>44078</v>
      </c>
      <c r="B245" s="112">
        <v>1.3911</v>
      </c>
      <c r="C245" s="108">
        <f t="shared" si="71"/>
        <v>4.1999999999999815E-3</v>
      </c>
      <c r="D245" s="109" t="str">
        <f t="shared" si="72"/>
        <v>/</v>
      </c>
      <c r="E245" s="109">
        <f ca="1">IF(表2_36716262930381011[[#This Row],[累计净值]]/MAX(INDIRECT("B21:B" &amp; ROW()))-1&lt;E244,表2_36716262930381011[[#This Row],[累计净值]]/MAX(INDIRECT("B21:B" &amp; ROW()))-1,E244)</f>
        <v>-2.4321641297154306E-2</v>
      </c>
      <c r="F245" s="62">
        <f>表2_36716262930381011[[#This Row],[累计净值]]-0.1652</f>
        <v>1.2259</v>
      </c>
      <c r="G245" s="20">
        <f t="shared" si="66"/>
        <v>9.8350000000000048E-2</v>
      </c>
    </row>
    <row r="246" spans="1:7" x14ac:dyDescent="0.2">
      <c r="A246" s="15">
        <v>44081</v>
      </c>
      <c r="B246" s="112">
        <v>1.3885000000000001</v>
      </c>
      <c r="C246" s="108">
        <f t="shared" ref="C246:C251" si="73">IFERROR(B246-B245,0)</f>
        <v>-2.5999999999999357E-3</v>
      </c>
      <c r="D246" s="109">
        <f t="shared" ref="D246:D251" si="74">IF(C246&lt;0,C246,"/")</f>
        <v>-2.5999999999999357E-3</v>
      </c>
      <c r="E246" s="109">
        <f ca="1">IF(表2_36716262930381011[[#This Row],[累计净值]]/MAX(INDIRECT("B21:B" &amp; ROW()))-1&lt;E245,表2_36716262930381011[[#This Row],[累计净值]]/MAX(INDIRECT("B21:B" &amp; ROW()))-1,E245)</f>
        <v>-2.4321641297154306E-2</v>
      </c>
      <c r="F246" s="62">
        <f>表2_36716262930381011[[#This Row],[累计净值]]-0.1652</f>
        <v>1.2233000000000001</v>
      </c>
      <c r="G246" s="20">
        <f t="shared" si="66"/>
        <v>9.7050000000000081E-2</v>
      </c>
    </row>
    <row r="247" spans="1:7" x14ac:dyDescent="0.2">
      <c r="A247" s="15">
        <v>44082</v>
      </c>
      <c r="B247" s="112">
        <v>1.3803000000000001</v>
      </c>
      <c r="C247" s="108">
        <f t="shared" si="73"/>
        <v>-8.1999999999999851E-3</v>
      </c>
      <c r="D247" s="109">
        <f t="shared" si="74"/>
        <v>-8.1999999999999851E-3</v>
      </c>
      <c r="E247" s="109">
        <f ca="1">IF(表2_36716262930381011[[#This Row],[累计净值]]/MAX(INDIRECT("B21:B" &amp; ROW()))-1&lt;E246,表2_36716262930381011[[#This Row],[累计净值]]/MAX(INDIRECT("B21:B" &amp; ROW()))-1,E246)</f>
        <v>-2.4321641297154306E-2</v>
      </c>
      <c r="F247" s="62">
        <f>表2_36716262930381011[[#This Row],[累计净值]]-0.1652</f>
        <v>1.2151000000000001</v>
      </c>
      <c r="G247" s="20">
        <f t="shared" si="66"/>
        <v>9.2950000000000088E-2</v>
      </c>
    </row>
    <row r="248" spans="1:7" x14ac:dyDescent="0.2">
      <c r="A248" s="15">
        <v>44083</v>
      </c>
      <c r="B248" s="112">
        <v>1.3665</v>
      </c>
      <c r="C248" s="108">
        <f t="shared" si="73"/>
        <v>-1.3800000000000034E-2</v>
      </c>
      <c r="D248" s="109">
        <f t="shared" si="74"/>
        <v>-1.3800000000000034E-2</v>
      </c>
      <c r="E248" s="109">
        <f ca="1">IF(表2_36716262930381011[[#This Row],[累计净值]]/MAX(INDIRECT("B21:B" &amp; ROW()))-1&lt;E247,表2_36716262930381011[[#This Row],[累计净值]]/MAX(INDIRECT("B21:B" &amp; ROW()))-1,E247)</f>
        <v>-2.5598973188819207E-2</v>
      </c>
      <c r="F248" s="62">
        <f>表2_36716262930381011[[#This Row],[累计净值]]-0.1652</f>
        <v>1.2013</v>
      </c>
      <c r="G248" s="20">
        <f t="shared" si="66"/>
        <v>8.6050000000000071E-2</v>
      </c>
    </row>
    <row r="249" spans="1:7" x14ac:dyDescent="0.2">
      <c r="A249" s="15">
        <v>44084</v>
      </c>
      <c r="B249" s="112">
        <v>1.3446</v>
      </c>
      <c r="C249" s="108">
        <f t="shared" si="73"/>
        <v>-2.1900000000000031E-2</v>
      </c>
      <c r="D249" s="109">
        <f t="shared" si="74"/>
        <v>-2.1900000000000031E-2</v>
      </c>
      <c r="E249" s="109">
        <f ca="1">IF(表2_36716262930381011[[#This Row],[累计净值]]/MAX(INDIRECT("B21:B" &amp; ROW()))-1&lt;E248,表2_36716262930381011[[#This Row],[累计净值]]/MAX(INDIRECT("B21:B" &amp; ROW()))-1,E248)</f>
        <v>-4.1215059897318884E-2</v>
      </c>
      <c r="F249" s="62">
        <f>表2_36716262930381011[[#This Row],[累计净值]]-0.1652</f>
        <v>1.1794</v>
      </c>
      <c r="G249" s="20">
        <f t="shared" si="66"/>
        <v>7.5100000000000056E-2</v>
      </c>
    </row>
    <row r="250" spans="1:7" x14ac:dyDescent="0.2">
      <c r="A250" s="15">
        <v>44085</v>
      </c>
      <c r="B250" s="112">
        <v>1.3553999999999999</v>
      </c>
      <c r="C250" s="108">
        <f t="shared" si="73"/>
        <v>1.0799999999999921E-2</v>
      </c>
      <c r="D250" s="109" t="str">
        <f t="shared" si="74"/>
        <v>/</v>
      </c>
      <c r="E250" s="109">
        <f ca="1">IF(表2_36716262930381011[[#This Row],[累计净值]]/MAX(INDIRECT("B21:B" &amp; ROW()))-1&lt;E249,表2_36716262930381011[[#This Row],[累计净值]]/MAX(INDIRECT("B21:B" &amp; ROW()))-1,E249)</f>
        <v>-4.1215059897318884E-2</v>
      </c>
      <c r="F250" s="62">
        <f>表2_36716262930381011[[#This Row],[累计净值]]-0.1652</f>
        <v>1.1901999999999999</v>
      </c>
      <c r="G250" s="20">
        <f t="shared" si="66"/>
        <v>8.0500000000000016E-2</v>
      </c>
    </row>
    <row r="251" spans="1:7" x14ac:dyDescent="0.2">
      <c r="A251" s="15">
        <v>44088</v>
      </c>
      <c r="B251" s="112">
        <v>1.3691</v>
      </c>
      <c r="C251" s="108">
        <f t="shared" si="73"/>
        <v>1.3700000000000045E-2</v>
      </c>
      <c r="D251" s="109" t="str">
        <f t="shared" si="74"/>
        <v>/</v>
      </c>
      <c r="E251" s="109">
        <f ca="1">IF(表2_36716262930381011[[#This Row],[累计净值]]/MAX(INDIRECT("B21:B" &amp; ROW()))-1&lt;E250,表2_36716262930381011[[#This Row],[累计净值]]/MAX(INDIRECT("B21:B" &amp; ROW()))-1,E250)</f>
        <v>-4.1215059897318884E-2</v>
      </c>
      <c r="F251" s="62">
        <f>表2_36716262930381011[[#This Row],[累计净值]]-0.1652</f>
        <v>1.2039</v>
      </c>
      <c r="G251" s="20">
        <f t="shared" si="66"/>
        <v>8.7350000000000039E-2</v>
      </c>
    </row>
    <row r="252" spans="1:7" x14ac:dyDescent="0.2">
      <c r="A252" s="15">
        <v>44089</v>
      </c>
      <c r="B252" s="112">
        <v>1.3722000000000001</v>
      </c>
      <c r="C252" s="108">
        <f t="shared" ref="C252:C258" si="75">IFERROR(B252-B251,0)</f>
        <v>3.1000000000001027E-3</v>
      </c>
      <c r="D252" s="109" t="str">
        <f t="shared" ref="D252:D258" si="76">IF(C252&lt;0,C252,"/")</f>
        <v>/</v>
      </c>
      <c r="E252" s="109">
        <f ca="1">IF(表2_36716262930381011[[#This Row],[累计净值]]/MAX(INDIRECT("B21:B" &amp; ROW()))-1&lt;E251,表2_36716262930381011[[#This Row],[累计净值]]/MAX(INDIRECT("B21:B" &amp; ROW()))-1,E251)</f>
        <v>-4.1215059897318884E-2</v>
      </c>
      <c r="F252" s="62">
        <f>表2_36716262930381011[[#This Row],[累计净值]]-0.1652</f>
        <v>1.2070000000000001</v>
      </c>
      <c r="G252" s="20">
        <f t="shared" ref="G252:G257" si="77">IF(F252&gt;1.0292,0.5*(F252-1.0292),F252-1.0292)</f>
        <v>8.890000000000009E-2</v>
      </c>
    </row>
    <row r="253" spans="1:7" x14ac:dyDescent="0.2">
      <c r="A253" s="15">
        <v>44090</v>
      </c>
      <c r="B253" s="112">
        <v>1.3640000000000001</v>
      </c>
      <c r="C253" s="108">
        <f t="shared" si="75"/>
        <v>-8.1999999999999851E-3</v>
      </c>
      <c r="D253" s="109">
        <f t="shared" si="76"/>
        <v>-8.1999999999999851E-3</v>
      </c>
      <c r="E253" s="109">
        <f ca="1">IF(表2_36716262930381011[[#This Row],[累计净值]]/MAX(INDIRECT("B21:B" &amp; ROW()))-1&lt;E252,表2_36716262930381011[[#This Row],[累计净值]]/MAX(INDIRECT("B21:B" &amp; ROW()))-1,E252)</f>
        <v>-4.1215059897318884E-2</v>
      </c>
      <c r="F253" s="62">
        <f>表2_36716262930381011[[#This Row],[累计净值]]-0.1652</f>
        <v>1.1988000000000001</v>
      </c>
      <c r="G253" s="20">
        <f t="shared" si="77"/>
        <v>8.4800000000000098E-2</v>
      </c>
    </row>
    <row r="254" spans="1:7" x14ac:dyDescent="0.2">
      <c r="A254" s="15">
        <v>44091</v>
      </c>
      <c r="B254" s="112">
        <v>1.3613999999999999</v>
      </c>
      <c r="C254" s="108">
        <f t="shared" si="75"/>
        <v>-2.6000000000001577E-3</v>
      </c>
      <c r="D254" s="109">
        <f t="shared" si="76"/>
        <v>-2.6000000000001577E-3</v>
      </c>
      <c r="E254" s="109">
        <f ca="1">IF(表2_36716262930381011[[#This Row],[累计净值]]/MAX(INDIRECT("B21:B" &amp; ROW()))-1&lt;E253,表2_36716262930381011[[#This Row],[累计净值]]/MAX(INDIRECT("B21:B" &amp; ROW()))-1,E253)</f>
        <v>-4.1215059897318884E-2</v>
      </c>
      <c r="F254" s="62">
        <f>表2_36716262930381011[[#This Row],[累计净值]]-0.1652</f>
        <v>1.1961999999999999</v>
      </c>
      <c r="G254" s="20">
        <f t="shared" si="77"/>
        <v>8.3500000000000019E-2</v>
      </c>
    </row>
    <row r="255" spans="1:7" x14ac:dyDescent="0.2">
      <c r="A255" s="15">
        <v>44092</v>
      </c>
      <c r="B255" s="112">
        <v>1.3597999999999999</v>
      </c>
      <c r="C255" s="108">
        <f t="shared" si="75"/>
        <v>-1.6000000000000458E-3</v>
      </c>
      <c r="D255" s="109">
        <f t="shared" si="76"/>
        <v>-1.6000000000000458E-3</v>
      </c>
      <c r="E255" s="109">
        <f ca="1">IF(表2_36716262930381011[[#This Row],[累计净值]]/MAX(INDIRECT("B21:B" &amp; ROW()))-1&lt;E254,表2_36716262930381011[[#This Row],[累计净值]]/MAX(INDIRECT("B21:B" &amp; ROW()))-1,E254)</f>
        <v>-4.1215059897318884E-2</v>
      </c>
      <c r="F255" s="62">
        <f>表2_36716262930381011[[#This Row],[累计净值]]-0.1652</f>
        <v>1.1945999999999999</v>
      </c>
      <c r="G255" s="20">
        <f t="shared" si="77"/>
        <v>8.2699999999999996E-2</v>
      </c>
    </row>
    <row r="256" spans="1:7" x14ac:dyDescent="0.2">
      <c r="A256" s="15">
        <v>44095</v>
      </c>
      <c r="B256" s="112">
        <v>1.3673999999999999</v>
      </c>
      <c r="C256" s="108">
        <f t="shared" si="75"/>
        <v>7.6000000000000512E-3</v>
      </c>
      <c r="D256" s="109" t="str">
        <f t="shared" si="76"/>
        <v>/</v>
      </c>
      <c r="E256" s="109">
        <f ca="1">IF(表2_36716262930381011[[#This Row],[累计净值]]/MAX(INDIRECT("B21:B" &amp; ROW()))-1&lt;E255,表2_36716262930381011[[#This Row],[累计净值]]/MAX(INDIRECT("B21:B" &amp; ROW()))-1,E255)</f>
        <v>-4.1215059897318884E-2</v>
      </c>
      <c r="F256" s="62">
        <f>表2_36716262930381011[[#This Row],[累计净值]]-0.1652</f>
        <v>1.2021999999999999</v>
      </c>
      <c r="G256" s="20">
        <f t="shared" si="77"/>
        <v>8.6500000000000021E-2</v>
      </c>
    </row>
    <row r="257" spans="1:7" x14ac:dyDescent="0.2">
      <c r="A257" s="15">
        <v>44096</v>
      </c>
      <c r="B257" s="112">
        <v>1.3645</v>
      </c>
      <c r="C257" s="108">
        <f t="shared" si="75"/>
        <v>-2.8999999999999027E-3</v>
      </c>
      <c r="D257" s="109">
        <f t="shared" si="76"/>
        <v>-2.8999999999999027E-3</v>
      </c>
      <c r="E257" s="109">
        <f ca="1">IF(表2_36716262930381011[[#This Row],[累计净值]]/MAX(INDIRECT("B21:B" &amp; ROW()))-1&lt;E256,表2_36716262930381011[[#This Row],[累计净值]]/MAX(INDIRECT("B21:B" &amp; ROW()))-1,E256)</f>
        <v>-4.1215059897318884E-2</v>
      </c>
      <c r="F257" s="62">
        <f>表2_36716262930381011[[#This Row],[累计净值]]-0.1652</f>
        <v>1.1993</v>
      </c>
      <c r="G257" s="20">
        <f t="shared" si="77"/>
        <v>8.505000000000007E-2</v>
      </c>
    </row>
    <row r="258" spans="1:7" x14ac:dyDescent="0.2">
      <c r="A258" s="15">
        <v>44097</v>
      </c>
      <c r="B258" s="112">
        <v>1.3713</v>
      </c>
      <c r="C258" s="108">
        <f t="shared" si="75"/>
        <v>6.7999999999999172E-3</v>
      </c>
      <c r="D258" s="109" t="str">
        <f t="shared" si="76"/>
        <v>/</v>
      </c>
      <c r="E258" s="109">
        <f ca="1">IF(表2_36716262930381011[[#This Row],[累计净值]]/MAX(INDIRECT("B21:B" &amp; ROW()))-1&lt;E257,表2_36716262930381011[[#This Row],[累计净值]]/MAX(INDIRECT("B21:B" &amp; ROW()))-1,E257)</f>
        <v>-4.1215059897318884E-2</v>
      </c>
      <c r="F258" s="62">
        <f>表2_36716262930381011[[#This Row],[累计净值]]-0.1652</f>
        <v>1.2060999999999999</v>
      </c>
      <c r="G258" s="20">
        <f t="shared" ref="G258" si="78">IF(F258&gt;1.0292,0.5*(F258-1.0292),F258-1.0292)</f>
        <v>8.8450000000000029E-2</v>
      </c>
    </row>
    <row r="259" spans="1:7" x14ac:dyDescent="0.2">
      <c r="A259" s="15">
        <v>44098</v>
      </c>
      <c r="B259" s="112">
        <v>1.3632</v>
      </c>
      <c r="C259" s="108">
        <f t="shared" ref="C259:C264" si="79">IFERROR(B259-B258,0)</f>
        <v>-8.0999999999999961E-3</v>
      </c>
      <c r="D259" s="109">
        <f t="shared" ref="D259:D264" si="80">IF(C259&lt;0,C259,"/")</f>
        <v>-8.0999999999999961E-3</v>
      </c>
      <c r="E259" s="109">
        <f ca="1">IF(表2_36716262930381011[[#This Row],[累计净值]]/MAX(INDIRECT("B21:B" &amp; ROW()))-1&lt;E258,表2_36716262930381011[[#This Row],[累计净值]]/MAX(INDIRECT("B21:B" &amp; ROW()))-1,E258)</f>
        <v>-4.1215059897318884E-2</v>
      </c>
      <c r="F259" s="62">
        <f>表2_36716262930381011[[#This Row],[累计净值]]-0.1652</f>
        <v>1.198</v>
      </c>
      <c r="G259" s="20">
        <f t="shared" ref="G259" si="81">IF(F259&gt;1.0292,0.5*(F259-1.0292),F259-1.0292)</f>
        <v>8.4400000000000031E-2</v>
      </c>
    </row>
    <row r="260" spans="1:7" x14ac:dyDescent="0.2">
      <c r="A260" s="15">
        <v>44099</v>
      </c>
      <c r="B260" s="112">
        <v>1.3595999999999999</v>
      </c>
      <c r="C260" s="108">
        <f t="shared" si="79"/>
        <v>-3.6000000000000476E-3</v>
      </c>
      <c r="D260" s="109">
        <f t="shared" si="80"/>
        <v>-3.6000000000000476E-3</v>
      </c>
      <c r="E260" s="109">
        <f ca="1">IF(表2_36716262930381011[[#This Row],[累计净值]]/MAX(INDIRECT("B21:B" &amp; ROW()))-1&lt;E259,表2_36716262930381011[[#This Row],[累计净值]]/MAX(INDIRECT("B21:B" &amp; ROW()))-1,E259)</f>
        <v>-4.1215059897318884E-2</v>
      </c>
      <c r="F260" s="62">
        <f>表2_36716262930381011[[#This Row],[累计净值]]-0.1652</f>
        <v>1.1943999999999999</v>
      </c>
      <c r="G260" s="20">
        <f t="shared" ref="G260" si="82">IF(F260&gt;1.0292,0.5*(F260-1.0292),F260-1.0292)</f>
        <v>8.2600000000000007E-2</v>
      </c>
    </row>
    <row r="261" spans="1:7" x14ac:dyDescent="0.2">
      <c r="A261" s="15">
        <v>44102</v>
      </c>
      <c r="B261" s="112">
        <v>1.3495999999999999</v>
      </c>
      <c r="C261" s="108">
        <f t="shared" si="79"/>
        <v>-1.0000000000000009E-2</v>
      </c>
      <c r="D261" s="109">
        <f t="shared" si="80"/>
        <v>-1.0000000000000009E-2</v>
      </c>
      <c r="E261" s="109">
        <f ca="1">IF(表2_36716262930381011[[#This Row],[累计净值]]/MAX(INDIRECT("B21:B" &amp; ROW()))-1&lt;E260,表2_36716262930381011[[#This Row],[累计净值]]/MAX(INDIRECT("B21:B" &amp; ROW()))-1,E260)</f>
        <v>-4.1215059897318884E-2</v>
      </c>
      <c r="F261" s="62">
        <f>表2_36716262930381011[[#This Row],[累计净值]]-0.1652</f>
        <v>1.1843999999999999</v>
      </c>
      <c r="G261" s="20">
        <f t="shared" ref="G261:G263" si="83">IF(F261&gt;1.0292,0.5*(F261-1.0292),F261-1.0292)</f>
        <v>7.7600000000000002E-2</v>
      </c>
    </row>
    <row r="262" spans="1:7" x14ac:dyDescent="0.2">
      <c r="A262" s="15">
        <v>44103</v>
      </c>
      <c r="B262" s="63">
        <v>1.3560000000000001</v>
      </c>
      <c r="C262" s="64">
        <f t="shared" si="79"/>
        <v>6.4000000000001833E-3</v>
      </c>
      <c r="D262" s="65" t="str">
        <f t="shared" si="80"/>
        <v>/</v>
      </c>
      <c r="E262" s="65">
        <f ca="1">IF(表2_36716262930381011[[#This Row],[累计净值]]/MAX(INDIRECT("B21:B" &amp; ROW()))-1&lt;E261,表2_36716262930381011[[#This Row],[累计净值]]/MAX(INDIRECT("B21:B" &amp; ROW()))-1,E261)</f>
        <v>-4.1215059897318884E-2</v>
      </c>
      <c r="F262" s="62">
        <f>表2_36716262930381011[[#This Row],[累计净值]]-0.1652</f>
        <v>1.1908000000000001</v>
      </c>
      <c r="G262" s="20">
        <f t="shared" si="83"/>
        <v>8.0800000000000094E-2</v>
      </c>
    </row>
    <row r="263" spans="1:7" x14ac:dyDescent="0.2">
      <c r="A263" s="15">
        <v>44104</v>
      </c>
      <c r="B263" s="112">
        <v>1.3638999999999999</v>
      </c>
      <c r="C263" s="108">
        <f t="shared" si="79"/>
        <v>7.8999999999997961E-3</v>
      </c>
      <c r="D263" s="109" t="str">
        <f t="shared" si="80"/>
        <v>/</v>
      </c>
      <c r="E263" s="109">
        <f ca="1">IF(表2_36716262930381011[[#This Row],[累计净值]]/MAX(INDIRECT("B21:B" &amp; ROW()))-1&lt;E262,表2_36716262930381011[[#This Row],[累计净值]]/MAX(INDIRECT("B21:B" &amp; ROW()))-1,E262)</f>
        <v>-4.1215059897318884E-2</v>
      </c>
      <c r="F263" s="62">
        <f>表2_36716262930381011[[#This Row],[累计净值]]-0.1652</f>
        <v>1.1986999999999999</v>
      </c>
      <c r="G263" s="20">
        <f t="shared" si="83"/>
        <v>8.4749999999999992E-2</v>
      </c>
    </row>
    <row r="264" spans="1:7" x14ac:dyDescent="0.2">
      <c r="A264" s="15">
        <v>44113</v>
      </c>
      <c r="B264" s="112">
        <v>1.3702000000000001</v>
      </c>
      <c r="C264" s="108">
        <f t="shared" si="79"/>
        <v>6.3000000000001943E-3</v>
      </c>
      <c r="D264" s="109" t="str">
        <f t="shared" si="80"/>
        <v>/</v>
      </c>
      <c r="E264" s="109">
        <f ca="1">IF(表2_36716262930381011[[#This Row],[累计净值]]/MAX(INDIRECT("B21:B" &amp; ROW()))-1&lt;E263,表2_36716262930381011[[#This Row],[累计净值]]/MAX(INDIRECT("B21:B" &amp; ROW()))-1,E263)</f>
        <v>-4.1215059897318884E-2</v>
      </c>
      <c r="F264" s="62">
        <f>表2_36716262930381011[[#This Row],[累计净值]]-0.1652</f>
        <v>1.2050000000000001</v>
      </c>
      <c r="G264" s="20">
        <f t="shared" ref="G264" si="84">IF(F264&gt;1.0292,0.5*(F264-1.0292),F264-1.0292)</f>
        <v>8.7900000000000089E-2</v>
      </c>
    </row>
    <row r="265" spans="1:7" x14ac:dyDescent="0.2">
      <c r="A265" s="15">
        <v>44116</v>
      </c>
      <c r="B265" s="112">
        <v>1.3795999999999999</v>
      </c>
      <c r="C265" s="108">
        <f t="shared" ref="C265:C272" si="85">IFERROR(B265-B264,0)</f>
        <v>9.3999999999998529E-3</v>
      </c>
      <c r="D265" s="109" t="str">
        <f t="shared" ref="D265:D272" si="86">IF(C265&lt;0,C265,"/")</f>
        <v>/</v>
      </c>
      <c r="E265" s="109">
        <f ca="1">IF(表2_36716262930381011[[#This Row],[累计净值]]/MAX(INDIRECT("B21:B" &amp; ROW()))-1&lt;E264,表2_36716262930381011[[#This Row],[累计净值]]/MAX(INDIRECT("B21:B" &amp; ROW()))-1,E264)</f>
        <v>-4.1215059897318884E-2</v>
      </c>
      <c r="F265" s="62">
        <f>表2_36716262930381011[[#This Row],[累计净值]]-0.1652</f>
        <v>1.2143999999999999</v>
      </c>
      <c r="G265" s="20">
        <f t="shared" ref="G265" si="87">IF(F265&gt;1.0292,0.5*(F265-1.0292),F265-1.0292)</f>
        <v>9.2600000000000016E-2</v>
      </c>
    </row>
    <row r="266" spans="1:7" x14ac:dyDescent="0.2">
      <c r="A266" s="15">
        <v>44117</v>
      </c>
      <c r="B266" s="112">
        <v>1.3838999999999999</v>
      </c>
      <c r="C266" s="108">
        <f t="shared" si="85"/>
        <v>4.2999999999999705E-3</v>
      </c>
      <c r="D266" s="109" t="str">
        <f t="shared" si="86"/>
        <v>/</v>
      </c>
      <c r="E266" s="109">
        <f ca="1">IF(表2_36716262930381011[[#This Row],[累计净值]]/MAX(INDIRECT("B21:B" &amp; ROW()))-1&lt;E265,表2_36716262930381011[[#This Row],[累计净值]]/MAX(INDIRECT("B21:B" &amp; ROW()))-1,E265)</f>
        <v>-4.1215059897318884E-2</v>
      </c>
      <c r="F266" s="62">
        <f>表2_36716262930381011[[#This Row],[累计净值]]-0.1652</f>
        <v>1.2186999999999999</v>
      </c>
      <c r="G266" s="20">
        <f t="shared" ref="G266" si="88">IF(F266&gt;1.0292,0.5*(F266-1.0292),F266-1.0292)</f>
        <v>9.4750000000000001E-2</v>
      </c>
    </row>
    <row r="267" spans="1:7" x14ac:dyDescent="0.2">
      <c r="A267" s="15">
        <v>44118</v>
      </c>
      <c r="B267" s="112">
        <v>1.3796999999999999</v>
      </c>
      <c r="C267" s="108">
        <f t="shared" si="85"/>
        <v>-4.1999999999999815E-3</v>
      </c>
      <c r="D267" s="109">
        <f t="shared" si="86"/>
        <v>-4.1999999999999815E-3</v>
      </c>
      <c r="E267" s="109">
        <f ca="1">IF(表2_36716262930381011[[#This Row],[累计净值]]/MAX(INDIRECT("B21:B" &amp; ROW()))-1&lt;E266,表2_36716262930381011[[#This Row],[累计净值]]/MAX(INDIRECT("B21:B" &amp; ROW()))-1,E266)</f>
        <v>-4.1215059897318884E-2</v>
      </c>
      <c r="F267" s="62">
        <f>表2_36716262930381011[[#This Row],[累计净值]]-0.1652</f>
        <v>1.2144999999999999</v>
      </c>
      <c r="G267" s="20">
        <f t="shared" ref="G267" si="89">IF(F267&gt;1.0292,0.5*(F267-1.0292),F267-1.0292)</f>
        <v>9.265000000000001E-2</v>
      </c>
    </row>
    <row r="268" spans="1:7" x14ac:dyDescent="0.2">
      <c r="A268" s="15">
        <v>44119</v>
      </c>
      <c r="B268" s="112">
        <v>1.3748</v>
      </c>
      <c r="C268" s="108">
        <f t="shared" si="85"/>
        <v>-4.8999999999999044E-3</v>
      </c>
      <c r="D268" s="109">
        <f t="shared" si="86"/>
        <v>-4.8999999999999044E-3</v>
      </c>
      <c r="E268" s="109">
        <f ca="1">IF(表2_36716262930381011[[#This Row],[累计净值]]/MAX(INDIRECT("B21:B" &amp; ROW()))-1&lt;E267,表2_36716262930381011[[#This Row],[累计净值]]/MAX(INDIRECT("B21:B" &amp; ROW()))-1,E267)</f>
        <v>-4.1215059897318884E-2</v>
      </c>
      <c r="F268" s="62">
        <f>表2_36716262930381011[[#This Row],[累计净值]]-0.1652</f>
        <v>1.2096</v>
      </c>
      <c r="G268" s="20">
        <f t="shared" ref="G268" si="90">IF(F268&gt;1.0292,0.5*(F268-1.0292),F268-1.0292)</f>
        <v>9.0200000000000058E-2</v>
      </c>
    </row>
    <row r="269" spans="1:7" x14ac:dyDescent="0.2">
      <c r="A269" s="15">
        <v>44120</v>
      </c>
      <c r="B269" s="112">
        <v>1.3809</v>
      </c>
      <c r="C269" s="108">
        <f t="shared" si="85"/>
        <v>6.0999999999999943E-3</v>
      </c>
      <c r="D269" s="109" t="str">
        <f t="shared" si="86"/>
        <v>/</v>
      </c>
      <c r="E269" s="109">
        <f ca="1">IF(表2_36716262930381011[[#This Row],[累计净值]]/MAX(INDIRECT("B21:B" &amp; ROW()))-1&lt;E268,表2_36716262930381011[[#This Row],[累计净值]]/MAX(INDIRECT("B21:B" &amp; ROW()))-1,E268)</f>
        <v>-4.1215059897318884E-2</v>
      </c>
      <c r="F269" s="62">
        <f>表2_36716262930381011[[#This Row],[累计净值]]-0.1652</f>
        <v>1.2157</v>
      </c>
      <c r="G269" s="20">
        <f t="shared" ref="G269:G270" si="91">IF(F269&gt;1.0292,0.5*(F269-1.0292),F269-1.0292)</f>
        <v>9.3250000000000055E-2</v>
      </c>
    </row>
    <row r="270" spans="1:7" x14ac:dyDescent="0.2">
      <c r="A270" s="15">
        <v>44123</v>
      </c>
      <c r="B270" s="112">
        <v>1.3882000000000001</v>
      </c>
      <c r="C270" s="108">
        <f t="shared" si="85"/>
        <v>7.3000000000000842E-3</v>
      </c>
      <c r="D270" s="109" t="str">
        <f t="shared" si="86"/>
        <v>/</v>
      </c>
      <c r="E270" s="109">
        <f ca="1">IF(表2_36716262930381011[[#This Row],[累计净值]]/MAX(INDIRECT("B21:B" &amp; ROW()))-1&lt;E269,表2_36716262930381011[[#This Row],[累计净值]]/MAX(INDIRECT("B21:B" &amp; ROW()))-1,E269)</f>
        <v>-4.1215059897318884E-2</v>
      </c>
      <c r="F270" s="62">
        <f>表2_36716262930381011[[#This Row],[累计净值]]-0.1652</f>
        <v>1.2230000000000001</v>
      </c>
      <c r="G270" s="20">
        <f t="shared" si="91"/>
        <v>9.6900000000000097E-2</v>
      </c>
    </row>
    <row r="271" spans="1:7" x14ac:dyDescent="0.2">
      <c r="A271" s="15">
        <v>44124</v>
      </c>
      <c r="B271" s="112">
        <v>1.3902000000000001</v>
      </c>
      <c r="C271" s="108">
        <f t="shared" si="85"/>
        <v>2.0000000000000018E-3</v>
      </c>
      <c r="D271" s="109" t="str">
        <f t="shared" si="86"/>
        <v>/</v>
      </c>
      <c r="E271" s="109">
        <f ca="1">IF(表2_36716262930381011[[#This Row],[累计净值]]/MAX(INDIRECT("B21:B" &amp; ROW()))-1&lt;E270,表2_36716262930381011[[#This Row],[累计净值]]/MAX(INDIRECT("B21:B" &amp; ROW()))-1,E270)</f>
        <v>-4.1215059897318884E-2</v>
      </c>
      <c r="F271" s="62">
        <f>表2_36716262930381011[[#This Row],[累计净值]]-0.1652</f>
        <v>1.2250000000000001</v>
      </c>
      <c r="G271" s="20">
        <f t="shared" ref="G271" si="92">IF(F271&gt;1.0292,0.5*(F271-1.0292),F271-1.0292)</f>
        <v>9.7900000000000098E-2</v>
      </c>
    </row>
    <row r="272" spans="1:7" x14ac:dyDescent="0.2">
      <c r="A272" s="15">
        <v>44125</v>
      </c>
      <c r="B272" s="112">
        <v>1.3835999999999999</v>
      </c>
      <c r="C272" s="108">
        <f t="shared" si="85"/>
        <v>-6.6000000000001613E-3</v>
      </c>
      <c r="D272" s="109">
        <f t="shared" si="86"/>
        <v>-6.6000000000001613E-3</v>
      </c>
      <c r="E272" s="109">
        <f ca="1">IF(表2_36716262930381011[[#This Row],[累计净值]]/MAX(INDIRECT("B21:B" &amp; ROW()))-1&lt;E271,表2_36716262930381011[[#This Row],[累计净值]]/MAX(INDIRECT("B21:B" &amp; ROW()))-1,E271)</f>
        <v>-4.1215059897318884E-2</v>
      </c>
      <c r="F272" s="62">
        <f>表2_36716262930381011[[#This Row],[累计净值]]-0.1652</f>
        <v>1.2183999999999999</v>
      </c>
      <c r="G272" s="20">
        <f t="shared" ref="G272:G273" si="93">IF(F272&gt;1.0292,0.5*(F272-1.0292),F272-1.0292)</f>
        <v>9.4600000000000017E-2</v>
      </c>
    </row>
    <row r="273" spans="1:7" x14ac:dyDescent="0.2">
      <c r="A273" s="15">
        <v>44126</v>
      </c>
      <c r="B273" s="112">
        <v>1.3887</v>
      </c>
      <c r="C273" s="108">
        <f t="shared" ref="C273:C274" si="94">IFERROR(B273-B272,0)</f>
        <v>5.1000000000001044E-3</v>
      </c>
      <c r="D273" s="109" t="str">
        <f t="shared" ref="D273:D274" si="95">IF(C273&lt;0,C273,"/")</f>
        <v>/</v>
      </c>
      <c r="E273" s="109">
        <f ca="1">IF(表2_36716262930381011[[#This Row],[累计净值]]/MAX(INDIRECT("B21:B" &amp; ROW()))-1&lt;E272,表2_36716262930381011[[#This Row],[累计净值]]/MAX(INDIRECT("B21:B" &amp; ROW()))-1,E272)</f>
        <v>-4.1215059897318884E-2</v>
      </c>
      <c r="F273" s="62">
        <f>表2_36716262930381011[[#This Row],[累计净值]]-0.1652</f>
        <v>1.2235</v>
      </c>
      <c r="G273" s="20">
        <f t="shared" si="93"/>
        <v>9.715000000000007E-2</v>
      </c>
    </row>
    <row r="274" spans="1:7" x14ac:dyDescent="0.2">
      <c r="A274" s="15">
        <v>44127</v>
      </c>
      <c r="B274" s="112">
        <v>1.3831</v>
      </c>
      <c r="C274" s="108">
        <f t="shared" si="94"/>
        <v>-5.6000000000000494E-3</v>
      </c>
      <c r="D274" s="109">
        <f t="shared" si="95"/>
        <v>-5.6000000000000494E-3</v>
      </c>
      <c r="E274" s="109">
        <f ca="1">IF(表2_36716262930381011[[#This Row],[累计净值]]/MAX(INDIRECT("B21:B" &amp; ROW()))-1&lt;E273,表2_36716262930381011[[#This Row],[累计净值]]/MAX(INDIRECT("B21:B" &amp; ROW()))-1,E273)</f>
        <v>-4.1215059897318884E-2</v>
      </c>
      <c r="F274" s="62">
        <f>表2_36716262930381011[[#This Row],[累计净值]]-0.1652</f>
        <v>1.2179</v>
      </c>
      <c r="G274" s="20">
        <f t="shared" ref="G274:G275" si="96">IF(F274&gt;1.0292,0.5*(F274-1.0292),F274-1.0292)</f>
        <v>9.4350000000000045E-2</v>
      </c>
    </row>
    <row r="275" spans="1:7" x14ac:dyDescent="0.2">
      <c r="A275" s="15">
        <v>44130</v>
      </c>
      <c r="B275" s="112">
        <v>1.3882000000000001</v>
      </c>
      <c r="C275" s="108">
        <f t="shared" ref="C275:C282" si="97">IFERROR(B275-B274,0)</f>
        <v>5.1000000000001044E-3</v>
      </c>
      <c r="D275" s="109" t="str">
        <f t="shared" ref="D275:D282" si="98">IF(C275&lt;0,C275,"/")</f>
        <v>/</v>
      </c>
      <c r="E275" s="109">
        <f ca="1">IF(表2_36716262930381011[[#This Row],[累计净值]]/MAX(INDIRECT("B21:B" &amp; ROW()))-1&lt;E274,表2_36716262930381011[[#This Row],[累计净值]]/MAX(INDIRECT("B21:B" &amp; ROW()))-1,E274)</f>
        <v>-4.1215059897318884E-2</v>
      </c>
      <c r="F275" s="62">
        <f>表2_36716262930381011[[#This Row],[累计净值]]-0.1652</f>
        <v>1.2230000000000001</v>
      </c>
      <c r="G275" s="20">
        <f t="shared" si="96"/>
        <v>9.6900000000000097E-2</v>
      </c>
    </row>
    <row r="276" spans="1:7" x14ac:dyDescent="0.2">
      <c r="A276" s="15">
        <v>44131</v>
      </c>
      <c r="B276" s="112">
        <v>1.3922000000000001</v>
      </c>
      <c r="C276" s="108">
        <f t="shared" si="97"/>
        <v>4.0000000000000036E-3</v>
      </c>
      <c r="D276" s="109" t="str">
        <f t="shared" si="98"/>
        <v>/</v>
      </c>
      <c r="E276" s="109">
        <f ca="1">IF(表2_36716262930381011[[#This Row],[累计净值]]/MAX(INDIRECT("B21:B" &amp; ROW()))-1&lt;E275,表2_36716262930381011[[#This Row],[累计净值]]/MAX(INDIRECT("B21:B" &amp; ROW()))-1,E275)</f>
        <v>-4.1215059897318884E-2</v>
      </c>
      <c r="F276" s="62">
        <f>表2_36716262930381011[[#This Row],[累计净值]]-0.1652</f>
        <v>1.2270000000000001</v>
      </c>
      <c r="G276" s="20">
        <f t="shared" ref="G276" si="99">IF(F276&gt;1.0292,0.5*(F276-1.0292),F276-1.0292)</f>
        <v>9.8900000000000099E-2</v>
      </c>
    </row>
    <row r="277" spans="1:7" x14ac:dyDescent="0.2">
      <c r="A277" s="15">
        <v>44132</v>
      </c>
      <c r="B277" s="112">
        <v>1.3894</v>
      </c>
      <c r="C277" s="108">
        <f t="shared" si="97"/>
        <v>-2.8000000000001357E-3</v>
      </c>
      <c r="D277" s="109">
        <f t="shared" si="98"/>
        <v>-2.8000000000001357E-3</v>
      </c>
      <c r="E277" s="109">
        <f ca="1">IF(表2_36716262930381011[[#This Row],[累计净值]]/MAX(INDIRECT("B21:B" &amp; ROW()))-1&lt;E276,表2_36716262930381011[[#This Row],[累计净值]]/MAX(INDIRECT("B21:B" &amp; ROW()))-1,E276)</f>
        <v>-4.1215059897318884E-2</v>
      </c>
      <c r="F277" s="62">
        <f>表2_36716262930381011[[#This Row],[累计净值]]-0.1652</f>
        <v>1.2242</v>
      </c>
      <c r="G277" s="20">
        <f t="shared" ref="G277" si="100">IF(F277&gt;1.0292,0.5*(F277-1.0292),F277-1.0292)</f>
        <v>9.7500000000000031E-2</v>
      </c>
    </row>
    <row r="278" spans="1:7" x14ac:dyDescent="0.2">
      <c r="A278" s="15">
        <v>44133</v>
      </c>
      <c r="B278" s="112">
        <v>1.3853</v>
      </c>
      <c r="C278" s="108">
        <f t="shared" si="97"/>
        <v>-4.0999999999999925E-3</v>
      </c>
      <c r="D278" s="109">
        <f t="shared" si="98"/>
        <v>-4.0999999999999925E-3</v>
      </c>
      <c r="E278" s="109">
        <f ca="1">IF(表2_36716262930381011[[#This Row],[累计净值]]/MAX(INDIRECT("B21:B" &amp; ROW()))-1&lt;E277,表2_36716262930381011[[#This Row],[累计净值]]/MAX(INDIRECT("B21:B" &amp; ROW()))-1,E277)</f>
        <v>-4.1215059897318884E-2</v>
      </c>
      <c r="F278" s="62">
        <f>表2_36716262930381011[[#This Row],[累计净值]]-0.1652</f>
        <v>1.2201</v>
      </c>
      <c r="G278" s="20">
        <f t="shared" ref="G278" si="101">IF(F278&gt;1.0292,0.5*(F278-1.0292),F278-1.0292)</f>
        <v>9.5450000000000035E-2</v>
      </c>
    </row>
    <row r="279" spans="1:7" x14ac:dyDescent="0.2">
      <c r="A279" s="15">
        <v>44134</v>
      </c>
      <c r="B279" s="112">
        <v>1.3761000000000001</v>
      </c>
      <c r="C279" s="108">
        <f t="shared" si="97"/>
        <v>-9.1999999999998749E-3</v>
      </c>
      <c r="D279" s="109">
        <f t="shared" si="98"/>
        <v>-9.1999999999998749E-3</v>
      </c>
      <c r="E279" s="109">
        <f ca="1">IF(表2_36716262930381011[[#This Row],[累计净值]]/MAX(INDIRECT("B21:B" &amp; ROW()))-1&lt;E278,表2_36716262930381011[[#This Row],[累计净值]]/MAX(INDIRECT("B21:B" &amp; ROW()))-1,E278)</f>
        <v>-4.1215059897318884E-2</v>
      </c>
      <c r="F279" s="62">
        <f>表2_36716262930381011[[#This Row],[累计净值]]-0.1652</f>
        <v>1.2109000000000001</v>
      </c>
      <c r="G279" s="20">
        <f t="shared" ref="G279:G280" si="102">IF(F279&gt;1.0292,0.5*(F279-1.0292),F279-1.0292)</f>
        <v>9.0850000000000097E-2</v>
      </c>
    </row>
    <row r="280" spans="1:7" x14ac:dyDescent="0.2">
      <c r="A280" s="15">
        <v>44137</v>
      </c>
      <c r="B280" s="112">
        <v>1.3759999999999999</v>
      </c>
      <c r="C280" s="108">
        <f t="shared" si="97"/>
        <v>-1.0000000000021103E-4</v>
      </c>
      <c r="D280" s="109">
        <f t="shared" si="98"/>
        <v>-1.0000000000021103E-4</v>
      </c>
      <c r="E280" s="109">
        <f ca="1">IF(表2_36716262930381011[[#This Row],[累计净值]]/MAX(INDIRECT("B21:B" &amp; ROW()))-1&lt;E279,表2_36716262930381011[[#This Row],[累计净值]]/MAX(INDIRECT("B21:B" &amp; ROW()))-1,E279)</f>
        <v>-4.1215059897318884E-2</v>
      </c>
      <c r="F280" s="62">
        <f>表2_36716262930381011[[#This Row],[累计净值]]-0.1652</f>
        <v>1.2107999999999999</v>
      </c>
      <c r="G280" s="20">
        <f t="shared" si="102"/>
        <v>9.0799999999999992E-2</v>
      </c>
    </row>
    <row r="281" spans="1:7" x14ac:dyDescent="0.2">
      <c r="A281" s="15">
        <v>44138</v>
      </c>
      <c r="B281" s="112">
        <v>1.381</v>
      </c>
      <c r="C281" s="108">
        <f t="shared" si="97"/>
        <v>5.0000000000001155E-3</v>
      </c>
      <c r="D281" s="109" t="str">
        <f t="shared" si="98"/>
        <v>/</v>
      </c>
      <c r="E281" s="109">
        <f ca="1">IF(表2_36716262930381011[[#This Row],[累计净值]]/MAX(INDIRECT("B21:B" &amp; ROW()))-1&lt;E280,表2_36716262930381011[[#This Row],[累计净值]]/MAX(INDIRECT("B21:B" &amp; ROW()))-1,E280)</f>
        <v>-4.1215059897318884E-2</v>
      </c>
      <c r="F281" s="62">
        <f>表2_36716262930381011[[#This Row],[累计净值]]-0.1652</f>
        <v>1.2158</v>
      </c>
      <c r="G281" s="20">
        <f t="shared" ref="G281" si="103">IF(F281&gt;1.0292,0.5*(F281-1.0292),F281-1.0292)</f>
        <v>9.330000000000005E-2</v>
      </c>
    </row>
    <row r="282" spans="1:7" x14ac:dyDescent="0.2">
      <c r="A282" s="15">
        <v>44139</v>
      </c>
      <c r="B282" s="112">
        <v>1.3785000000000001</v>
      </c>
      <c r="C282" s="108">
        <f t="shared" si="97"/>
        <v>-2.4999999999999467E-3</v>
      </c>
      <c r="D282" s="109">
        <f t="shared" si="98"/>
        <v>-2.4999999999999467E-3</v>
      </c>
      <c r="E282" s="109">
        <f ca="1">IF(表2_36716262930381011[[#This Row],[累计净值]]/MAX(INDIRECT("B21:B" &amp; ROW()))-1&lt;E281,表2_36716262930381011[[#This Row],[累计净值]]/MAX(INDIRECT("B21:B" &amp; ROW()))-1,E281)</f>
        <v>-4.1215059897318884E-2</v>
      </c>
      <c r="F282" s="62">
        <f>表2_36716262930381011[[#This Row],[累计净值]]-0.1652</f>
        <v>1.2133</v>
      </c>
      <c r="G282" s="20">
        <f t="shared" ref="G282" si="104">IF(F282&gt;1.0292,0.5*(F282-1.0292),F282-1.0292)</f>
        <v>9.2050000000000076E-2</v>
      </c>
    </row>
    <row r="283" spans="1:7" x14ac:dyDescent="0.2">
      <c r="A283" s="15">
        <v>44140</v>
      </c>
      <c r="B283" s="112">
        <v>1.3758999999999999</v>
      </c>
      <c r="C283" s="108">
        <f>IFERROR(B283-B282,0)</f>
        <v>-2.6000000000001577E-3</v>
      </c>
      <c r="D283" s="109">
        <f>IF(C283&lt;0,C283,"/")</f>
        <v>-2.6000000000001577E-3</v>
      </c>
      <c r="E283" s="109">
        <f ca="1">IF(表2_36716262930381011[[#This Row],[累计净值]]/MAX(INDIRECT("B21:B" &amp; ROW()))-1&lt;E282,表2_36716262930381011[[#This Row],[累计净值]]/MAX(INDIRECT("B21:B" &amp; ROW()))-1,E282)</f>
        <v>-4.1215059897318884E-2</v>
      </c>
      <c r="F283" s="62">
        <f>表2_36716262930381011[[#This Row],[累计净值]]-0.1652</f>
        <v>1.2106999999999999</v>
      </c>
      <c r="G283" s="20">
        <f t="shared" ref="G283:G284" si="105">IF(F283&gt;1.0292,0.5*(F283-1.0292),F283-1.0292)</f>
        <v>9.0749999999999997E-2</v>
      </c>
    </row>
    <row r="284" spans="1:7" x14ac:dyDescent="0.2">
      <c r="A284" s="15">
        <v>44141</v>
      </c>
      <c r="B284" s="112">
        <v>1.3709</v>
      </c>
      <c r="C284" s="108">
        <f>IFERROR(B284-B283,0)</f>
        <v>-4.9999999999998934E-3</v>
      </c>
      <c r="D284" s="109">
        <f>IF(C284&lt;0,C284,"/")</f>
        <v>-4.9999999999998934E-3</v>
      </c>
      <c r="E284" s="109">
        <f ca="1">IF(表2_36716262930381011[[#This Row],[累计净值]]/MAX(INDIRECT("B21:B" &amp; ROW()))-1&lt;E283,表2_36716262930381011[[#This Row],[累计净值]]/MAX(INDIRECT("B21:B" &amp; ROW()))-1,E283)</f>
        <v>-4.1215059897318884E-2</v>
      </c>
      <c r="F284" s="62">
        <f>表2_36716262930381011[[#This Row],[累计净值]]-0.1652</f>
        <v>1.2057</v>
      </c>
      <c r="G284" s="20">
        <f t="shared" si="105"/>
        <v>8.8250000000000051E-2</v>
      </c>
    </row>
    <row r="285" spans="1:7" x14ac:dyDescent="0.2">
      <c r="A285" s="15">
        <v>44144</v>
      </c>
      <c r="B285" s="112">
        <v>1.3826000000000001</v>
      </c>
      <c r="C285" s="108">
        <f>IFERROR(B285-B284,0)</f>
        <v>1.1700000000000044E-2</v>
      </c>
      <c r="D285" s="109" t="str">
        <f>IF(C285&lt;0,C285,"/")</f>
        <v>/</v>
      </c>
      <c r="E285" s="109">
        <f ca="1">IF(表2_36716262930381011[[#This Row],[累计净值]]/MAX(INDIRECT("B21:B" &amp; ROW()))-1&lt;E284,表2_36716262930381011[[#This Row],[累计净值]]/MAX(INDIRECT("B21:B" &amp; ROW()))-1,E284)</f>
        <v>-4.1215059897318884E-2</v>
      </c>
      <c r="F285" s="62">
        <f>表2_36716262930381011[[#This Row],[累计净值]]-0.1652</f>
        <v>1.2174</v>
      </c>
      <c r="G285" s="20">
        <f t="shared" ref="G285" si="106">IF(F285&gt;1.0292,0.5*(F285-1.0292),F285-1.0292)</f>
        <v>9.4100000000000072E-2</v>
      </c>
    </row>
    <row r="286" spans="1:7" x14ac:dyDescent="0.2">
      <c r="A286" s="15">
        <v>44145</v>
      </c>
      <c r="B286" s="112">
        <v>1.3777999999999999</v>
      </c>
      <c r="C286" s="108">
        <f>IFERROR(B286-B285,0)</f>
        <v>-4.8000000000001375E-3</v>
      </c>
      <c r="D286" s="109">
        <f>IF(C286&lt;0,C286,"/")</f>
        <v>-4.8000000000001375E-3</v>
      </c>
      <c r="E286" s="109">
        <f ca="1">IF(表2_36716262930381011[[#This Row],[累计净值]]/MAX(INDIRECT("B21:B" &amp; ROW()))-1&lt;E285,表2_36716262930381011[[#This Row],[累计净值]]/MAX(INDIRECT("B21:B" &amp; ROW()))-1,E285)</f>
        <v>-4.1215059897318884E-2</v>
      </c>
      <c r="F286" s="62">
        <f>表2_36716262930381011[[#This Row],[累计净值]]-0.1652</f>
        <v>1.2125999999999999</v>
      </c>
      <c r="G286" s="20">
        <f t="shared" ref="G286" si="107">IF(F286&gt;1.0292,0.5*(F286-1.0292),F286-1.0292)</f>
        <v>9.1700000000000004E-2</v>
      </c>
    </row>
    <row r="287" spans="1:7" x14ac:dyDescent="0.2">
      <c r="A287" s="15">
        <v>44146</v>
      </c>
      <c r="B287" s="112">
        <v>1.3689</v>
      </c>
      <c r="C287" s="108">
        <f>IFERROR(B287-B286,0)</f>
        <v>-8.899999999999908E-3</v>
      </c>
      <c r="D287" s="109">
        <f>IF(C287&lt;0,C287,"/")</f>
        <v>-8.899999999999908E-3</v>
      </c>
      <c r="E287" s="109">
        <f ca="1">IF(表2_36716262930381011[[#This Row],[累计净值]]/MAX(INDIRECT("B21:B" &amp; ROW()))-1&lt;E286,表2_36716262930381011[[#This Row],[累计净值]]/MAX(INDIRECT("B21:B" &amp; ROW()))-1,E286)</f>
        <v>-4.1215059897318884E-2</v>
      </c>
      <c r="F287" s="62">
        <f>表2_36716262930381011[[#This Row],[累计净值]]-0.1652</f>
        <v>1.2037</v>
      </c>
      <c r="G287" s="20">
        <f t="shared" ref="G287:G288" si="108">IF(F287&gt;1.0292,0.5*(F287-1.0292),F287-1.0292)</f>
        <v>8.725000000000005E-2</v>
      </c>
    </row>
    <row r="288" spans="1:7" x14ac:dyDescent="0.2">
      <c r="A288" s="15">
        <v>44147</v>
      </c>
      <c r="B288" s="112">
        <v>1.3701000000000001</v>
      </c>
      <c r="C288" s="108">
        <f t="shared" ref="C288:C289" si="109">IFERROR(B288-B287,0)</f>
        <v>1.2000000000000899E-3</v>
      </c>
      <c r="D288" s="109" t="str">
        <f t="shared" ref="D288:D289" si="110">IF(C288&lt;0,C288,"/")</f>
        <v>/</v>
      </c>
      <c r="E288" s="109">
        <f ca="1">IF(表2_36716262930381011[[#This Row],[累计净值]]/MAX(INDIRECT("B21:B" &amp; ROW()))-1&lt;E287,表2_36716262930381011[[#This Row],[累计净值]]/MAX(INDIRECT("B21:B" &amp; ROW()))-1,E287)</f>
        <v>-4.1215059897318884E-2</v>
      </c>
      <c r="F288" s="62">
        <f>表2_36716262930381011[[#This Row],[累计净值]]-0.1652</f>
        <v>1.2049000000000001</v>
      </c>
      <c r="G288" s="20">
        <f t="shared" si="108"/>
        <v>8.7850000000000095E-2</v>
      </c>
    </row>
    <row r="289" spans="1:7" x14ac:dyDescent="0.2">
      <c r="A289" s="15">
        <v>44148</v>
      </c>
      <c r="B289" s="112">
        <v>1.3655999999999999</v>
      </c>
      <c r="C289" s="108">
        <f t="shared" si="109"/>
        <v>-4.5000000000001705E-3</v>
      </c>
      <c r="D289" s="109">
        <f t="shared" si="110"/>
        <v>-4.5000000000001705E-3</v>
      </c>
      <c r="E289" s="109">
        <f ca="1">IF(表2_36716262930381011[[#This Row],[累计净值]]/MAX(INDIRECT("B21:B" &amp; ROW()))-1&lt;E288,表2_36716262930381011[[#This Row],[累计净值]]/MAX(INDIRECT("B21:B" &amp; ROW()))-1,E288)</f>
        <v>-4.1215059897318884E-2</v>
      </c>
      <c r="F289" s="62">
        <f>表2_36716262930381011[[#This Row],[累计净值]]-0.1652</f>
        <v>1.2003999999999999</v>
      </c>
      <c r="G289" s="20">
        <f t="shared" ref="G289" si="111">IF(F289&gt;1.0292,0.5*(F289-1.0292),F289-1.0292)</f>
        <v>8.5600000000000009E-2</v>
      </c>
    </row>
    <row r="290" spans="1:7" x14ac:dyDescent="0.2">
      <c r="A290" s="15">
        <v>44151</v>
      </c>
      <c r="B290" s="112">
        <v>1.3552999999999999</v>
      </c>
      <c r="C290" s="108">
        <f t="shared" ref="C290:C295" si="112">IFERROR(B290-B289,0)</f>
        <v>-1.0299999999999976E-2</v>
      </c>
      <c r="D290" s="109">
        <f t="shared" ref="D290:D295" si="113">IF(C290&lt;0,C290,"/")</f>
        <v>-1.0299999999999976E-2</v>
      </c>
      <c r="E290" s="109">
        <f ca="1">IF(表2_36716262930381011[[#This Row],[累计净值]]/MAX(INDIRECT("B21:B" &amp; ROW()))-1&lt;E289,表2_36716262930381011[[#This Row],[累计净值]]/MAX(INDIRECT("B21:B" &amp; ROW()))-1,E289)</f>
        <v>-4.1215059897318884E-2</v>
      </c>
      <c r="F290" s="62">
        <f>表2_36716262930381011[[#This Row],[累计净值]]-0.1652</f>
        <v>1.1900999999999999</v>
      </c>
      <c r="G290" s="20">
        <f t="shared" ref="G290:G291" si="114">IF(F290&gt;1.0292,0.5*(F290-1.0292),F290-1.0292)</f>
        <v>8.0450000000000021E-2</v>
      </c>
    </row>
    <row r="291" spans="1:7" x14ac:dyDescent="0.2">
      <c r="A291" s="15">
        <v>44152</v>
      </c>
      <c r="B291" s="112">
        <v>1.3498000000000001</v>
      </c>
      <c r="C291" s="108">
        <f t="shared" si="112"/>
        <v>-5.4999999999998384E-3</v>
      </c>
      <c r="D291" s="109">
        <f t="shared" si="113"/>
        <v>-5.4999999999998384E-3</v>
      </c>
      <c r="E291" s="109">
        <f ca="1">IF(表2_36716262930381011[[#This Row],[累计净值]]/MAX(INDIRECT("B21:B" &amp; ROW()))-1&lt;E290,表2_36716262930381011[[#This Row],[累计净值]]/MAX(INDIRECT("B21:B" &amp; ROW()))-1,E290)</f>
        <v>-4.1215059897318884E-2</v>
      </c>
      <c r="F291" s="62">
        <f>表2_36716262930381011[[#This Row],[累计净值]]-0.1652</f>
        <v>1.1846000000000001</v>
      </c>
      <c r="G291" s="20">
        <f t="shared" si="114"/>
        <v>7.7700000000000102E-2</v>
      </c>
    </row>
    <row r="292" spans="1:7" x14ac:dyDescent="0.2">
      <c r="A292" s="15">
        <v>44153</v>
      </c>
      <c r="B292" s="112">
        <v>1.3507</v>
      </c>
      <c r="C292" s="108">
        <f t="shared" si="112"/>
        <v>8.9999999999990088E-4</v>
      </c>
      <c r="D292" s="109" t="str">
        <f t="shared" si="113"/>
        <v>/</v>
      </c>
      <c r="E292" s="109">
        <f ca="1">IF(表2_36716262930381011[[#This Row],[累计净值]]/MAX(INDIRECT("B21:B" &amp; ROW()))-1&lt;E291,表2_36716262930381011[[#This Row],[累计净值]]/MAX(INDIRECT("B21:B" &amp; ROW()))-1,E291)</f>
        <v>-4.1215059897318884E-2</v>
      </c>
      <c r="F292" s="62">
        <f>表2_36716262930381011[[#This Row],[累计净值]]-0.1652</f>
        <v>1.1855</v>
      </c>
      <c r="G292" s="20">
        <f t="shared" ref="G292" si="115">IF(F292&gt;1.0292,0.5*(F292-1.0292),F292-1.0292)</f>
        <v>7.8150000000000053E-2</v>
      </c>
    </row>
    <row r="293" spans="1:7" x14ac:dyDescent="0.2">
      <c r="A293" s="15">
        <v>44154</v>
      </c>
      <c r="B293" s="112">
        <v>1.3561000000000001</v>
      </c>
      <c r="C293" s="108">
        <f t="shared" si="112"/>
        <v>5.4000000000000714E-3</v>
      </c>
      <c r="D293" s="109" t="str">
        <f t="shared" si="113"/>
        <v>/</v>
      </c>
      <c r="E293" s="109">
        <f ca="1">IF(表2_36716262930381011[[#This Row],[累计净值]]/MAX(INDIRECT("B21:B" &amp; ROW()))-1&lt;E292,表2_36716262930381011[[#This Row],[累计净值]]/MAX(INDIRECT("B21:B" &amp; ROW()))-1,E292)</f>
        <v>-4.1215059897318884E-2</v>
      </c>
      <c r="F293" s="62">
        <f>表2_36716262930381011[[#This Row],[累计净值]]-0.1652</f>
        <v>1.1909000000000001</v>
      </c>
      <c r="G293" s="20">
        <f t="shared" ref="G293" si="116">IF(F293&gt;1.0292,0.5*(F293-1.0292),F293-1.0292)</f>
        <v>8.0850000000000088E-2</v>
      </c>
    </row>
    <row r="294" spans="1:7" x14ac:dyDescent="0.2">
      <c r="A294" s="15">
        <v>44155</v>
      </c>
      <c r="B294" s="112">
        <v>1.3534999999999999</v>
      </c>
      <c r="C294" s="108">
        <f t="shared" si="112"/>
        <v>-2.6000000000001577E-3</v>
      </c>
      <c r="D294" s="109">
        <f t="shared" si="113"/>
        <v>-2.6000000000001577E-3</v>
      </c>
      <c r="E294" s="109">
        <f ca="1">IF(表2_36716262930381011[[#This Row],[累计净值]]/MAX(INDIRECT("B21:B" &amp; ROW()))-1&lt;E293,表2_36716262930381011[[#This Row],[累计净值]]/MAX(INDIRECT("B21:B" &amp; ROW()))-1,E293)</f>
        <v>-4.1215059897318884E-2</v>
      </c>
      <c r="F294" s="62">
        <f>表2_36716262930381011[[#This Row],[累计净值]]-0.1652</f>
        <v>1.1882999999999999</v>
      </c>
      <c r="G294" s="20">
        <f t="shared" ref="G294" si="117">IF(F294&gt;1.0292,0.5*(F294-1.0292),F294-1.0292)</f>
        <v>7.955000000000001E-2</v>
      </c>
    </row>
    <row r="295" spans="1:7" x14ac:dyDescent="0.2">
      <c r="A295" s="15">
        <v>44158</v>
      </c>
      <c r="B295" s="112">
        <v>1.3548</v>
      </c>
      <c r="C295" s="108">
        <f t="shared" si="112"/>
        <v>1.3000000000000789E-3</v>
      </c>
      <c r="D295" s="109" t="str">
        <f t="shared" si="113"/>
        <v>/</v>
      </c>
      <c r="E295" s="109">
        <f ca="1">IF(表2_36716262930381011[[#This Row],[累计净值]]/MAX(INDIRECT("B21:B" &amp; ROW()))-1&lt;E294,表2_36716262930381011[[#This Row],[累计净值]]/MAX(INDIRECT("B21:B" &amp; ROW()))-1,E294)</f>
        <v>-4.1215059897318884E-2</v>
      </c>
      <c r="F295" s="62">
        <f>表2_36716262930381011[[#This Row],[累计净值]]-0.1652</f>
        <v>1.1896</v>
      </c>
      <c r="G295" s="20">
        <f t="shared" ref="G295" si="118">IF(F295&gt;1.0292,0.5*(F295-1.0292),F295-1.0292)</f>
        <v>8.0200000000000049E-2</v>
      </c>
    </row>
    <row r="296" spans="1:7" x14ac:dyDescent="0.2">
      <c r="A296" s="15">
        <v>44159</v>
      </c>
      <c r="B296" s="112">
        <v>1.3565</v>
      </c>
      <c r="C296" s="108">
        <f t="shared" ref="C296:C301" si="119">IFERROR(B296-B295,0)</f>
        <v>1.7000000000000348E-3</v>
      </c>
      <c r="D296" s="109" t="str">
        <f t="shared" ref="D296:D301" si="120">IF(C296&lt;0,C296,"/")</f>
        <v>/</v>
      </c>
      <c r="E296" s="109">
        <f ca="1">IF(表2_36716262930381011[[#This Row],[累计净值]]/MAX(INDIRECT("B21:B" &amp; ROW()))-1&lt;E295,表2_36716262930381011[[#This Row],[累计净值]]/MAX(INDIRECT("B21:B" &amp; ROW()))-1,E295)</f>
        <v>-4.1215059897318884E-2</v>
      </c>
      <c r="F296" s="62">
        <f>表2_36716262930381011[[#This Row],[累计净值]]-0.1652</f>
        <v>1.1913</v>
      </c>
      <c r="G296" s="20">
        <f t="shared" ref="G296" si="121">IF(F296&gt;1.0292,0.5*(F296-1.0292),F296-1.0292)</f>
        <v>8.1050000000000066E-2</v>
      </c>
    </row>
    <row r="297" spans="1:7" x14ac:dyDescent="0.2">
      <c r="A297" s="15">
        <v>44160</v>
      </c>
      <c r="B297" s="112">
        <v>1.3523000000000001</v>
      </c>
      <c r="C297" s="108">
        <f t="shared" si="119"/>
        <v>-4.1999999999999815E-3</v>
      </c>
      <c r="D297" s="109">
        <f t="shared" si="120"/>
        <v>-4.1999999999999815E-3</v>
      </c>
      <c r="E297" s="109">
        <f ca="1">IF(表2_36716262930381011[[#This Row],[累计净值]]/MAX(INDIRECT("B21:B" &amp; ROW()))-1&lt;E296,表2_36716262930381011[[#This Row],[累计净值]]/MAX(INDIRECT("B21:B" &amp; ROW()))-1,E296)</f>
        <v>-4.1215059897318884E-2</v>
      </c>
      <c r="F297" s="62">
        <f>表2_36716262930381011[[#This Row],[累计净值]]-0.1652</f>
        <v>1.1871</v>
      </c>
      <c r="G297" s="20">
        <f t="shared" ref="G297" si="122">IF(F297&gt;1.0292,0.5*(F297-1.0292),F297-1.0292)</f>
        <v>7.8950000000000076E-2</v>
      </c>
    </row>
    <row r="298" spans="1:7" x14ac:dyDescent="0.2">
      <c r="A298" s="15">
        <v>44161</v>
      </c>
      <c r="B298" s="112">
        <v>1.3515999999999999</v>
      </c>
      <c r="C298" s="108">
        <f t="shared" si="119"/>
        <v>-7.0000000000014495E-4</v>
      </c>
      <c r="D298" s="109">
        <f t="shared" si="120"/>
        <v>-7.0000000000014495E-4</v>
      </c>
      <c r="E298" s="109">
        <f ca="1">IF(表2_36716262930381011[[#This Row],[累计净值]]/MAX(INDIRECT("B21:B" &amp; ROW()))-1&lt;E297,表2_36716262930381011[[#This Row],[累计净值]]/MAX(INDIRECT("B21:B" &amp; ROW()))-1,E297)</f>
        <v>-4.1215059897318884E-2</v>
      </c>
      <c r="F298" s="62">
        <f>表2_36716262930381011[[#This Row],[累计净值]]-0.1652</f>
        <v>1.1863999999999999</v>
      </c>
      <c r="G298" s="20">
        <f t="shared" ref="G298:G299" si="123">IF(F298&gt;1.0292,0.5*(F298-1.0292),F298-1.0292)</f>
        <v>7.8600000000000003E-2</v>
      </c>
    </row>
    <row r="299" spans="1:7" x14ac:dyDescent="0.2">
      <c r="A299" s="15">
        <v>44162</v>
      </c>
      <c r="B299" s="112">
        <v>1.3480000000000001</v>
      </c>
      <c r="C299" s="108">
        <f t="shared" si="119"/>
        <v>-3.5999999999998256E-3</v>
      </c>
      <c r="D299" s="109">
        <f t="shared" si="120"/>
        <v>-3.5999999999998256E-3</v>
      </c>
      <c r="E299" s="109">
        <f ca="1">IF(表2_36716262930381011[[#This Row],[累计净值]]/MAX(INDIRECT("B21:B" &amp; ROW()))-1&lt;E298,表2_36716262930381011[[#This Row],[累计净值]]/MAX(INDIRECT("B21:B" &amp; ROW()))-1,E298)</f>
        <v>-4.1215059897318884E-2</v>
      </c>
      <c r="F299" s="62">
        <f>表2_36716262930381011[[#This Row],[累计净值]]-0.1652</f>
        <v>1.1828000000000001</v>
      </c>
      <c r="G299" s="20">
        <f t="shared" si="123"/>
        <v>7.680000000000009E-2</v>
      </c>
    </row>
    <row r="300" spans="1:7" x14ac:dyDescent="0.2">
      <c r="A300" s="15">
        <v>44165</v>
      </c>
      <c r="B300" s="112">
        <v>1.3489</v>
      </c>
      <c r="C300" s="108">
        <f t="shared" si="119"/>
        <v>8.9999999999990088E-4</v>
      </c>
      <c r="D300" s="109" t="str">
        <f t="shared" si="120"/>
        <v>/</v>
      </c>
      <c r="E300" s="109">
        <f ca="1">IF(表2_36716262930381011[[#This Row],[累计净值]]/MAX(INDIRECT("B21:B" &amp; ROW()))-1&lt;E299,表2_36716262930381011[[#This Row],[累计净值]]/MAX(INDIRECT("B21:B" &amp; ROW()))-1,E299)</f>
        <v>-4.1215059897318884E-2</v>
      </c>
      <c r="F300" s="62">
        <f>表2_36716262930381011[[#This Row],[累计净值]]-0.1652</f>
        <v>1.1837</v>
      </c>
      <c r="G300" s="20">
        <f t="shared" ref="G300:G302" si="124">IF(F300&gt;1.0292,0.5*(F300-1.0292),F300-1.0292)</f>
        <v>7.7250000000000041E-2</v>
      </c>
    </row>
    <row r="301" spans="1:7" x14ac:dyDescent="0.2">
      <c r="A301" s="15">
        <v>44166</v>
      </c>
      <c r="B301" s="112">
        <v>1.3495999999999999</v>
      </c>
      <c r="C301" s="108">
        <f t="shared" si="119"/>
        <v>6.9999999999992291E-4</v>
      </c>
      <c r="D301" s="109" t="str">
        <f t="shared" si="120"/>
        <v>/</v>
      </c>
      <c r="E301" s="109">
        <f ca="1">IF(表2_36716262930381011[[#This Row],[累计净值]]/MAX(INDIRECT("B21:B" &amp; ROW()))-1&lt;E300,表2_36716262930381011[[#This Row],[累计净值]]/MAX(INDIRECT("B21:B" &amp; ROW()))-1,E300)</f>
        <v>-4.1215059897318884E-2</v>
      </c>
      <c r="F301" s="62">
        <f>表2_36716262930381011[[#This Row],[累计净值]]-0.1652</f>
        <v>1.1843999999999999</v>
      </c>
      <c r="G301" s="20">
        <f t="shared" si="124"/>
        <v>7.7600000000000002E-2</v>
      </c>
    </row>
    <row r="302" spans="1:7" x14ac:dyDescent="0.2">
      <c r="A302" s="15">
        <v>44167</v>
      </c>
      <c r="B302" s="112">
        <v>1.349</v>
      </c>
      <c r="C302" s="108">
        <f t="shared" ref="C302:C307" si="125">IFERROR(B302-B301,0)</f>
        <v>-5.9999999999993392E-4</v>
      </c>
      <c r="D302" s="109">
        <f t="shared" ref="D302:D307" si="126">IF(C302&lt;0,C302,"/")</f>
        <v>-5.9999999999993392E-4</v>
      </c>
      <c r="E302" s="109">
        <f ca="1">IF(表2_36716262930381011[[#This Row],[累计净值]]/MAX(INDIRECT("B21:B" &amp; ROW()))-1&lt;E301,表2_36716262930381011[[#This Row],[累计净值]]/MAX(INDIRECT("B21:B" &amp; ROW()))-1,E301)</f>
        <v>-4.1215059897318884E-2</v>
      </c>
      <c r="F302" s="62">
        <f>表2_36716262930381011[[#This Row],[累计净值]]-0.1652</f>
        <v>1.1838</v>
      </c>
      <c r="G302" s="20">
        <f t="shared" si="124"/>
        <v>7.7300000000000035E-2</v>
      </c>
    </row>
    <row r="303" spans="1:7" x14ac:dyDescent="0.2">
      <c r="A303" s="15">
        <v>44168</v>
      </c>
      <c r="B303" s="112">
        <v>1.3426</v>
      </c>
      <c r="C303" s="108">
        <f t="shared" si="125"/>
        <v>-6.3999999999999613E-3</v>
      </c>
      <c r="D303" s="109">
        <f t="shared" si="126"/>
        <v>-6.3999999999999613E-3</v>
      </c>
      <c r="E303" s="109">
        <f ca="1">IF(表2_36716262930381011[[#This Row],[累计净值]]/MAX(INDIRECT("B21:B" &amp; ROW()))-1&lt;E302,表2_36716262930381011[[#This Row],[累计净值]]/MAX(INDIRECT("B21:B" &amp; ROW()))-1,E302)</f>
        <v>-4.2641186537364595E-2</v>
      </c>
      <c r="F303" s="62">
        <f>表2_36716262930381011[[#This Row],[累计净值]]-0.1652</f>
        <v>1.1774</v>
      </c>
      <c r="G303" s="20">
        <f t="shared" ref="G303" si="127">IF(F303&gt;1.0292,0.5*(F303-1.0292),F303-1.0292)</f>
        <v>7.4100000000000055E-2</v>
      </c>
    </row>
    <row r="304" spans="1:7" x14ac:dyDescent="0.2">
      <c r="A304" s="15">
        <v>44169</v>
      </c>
      <c r="B304" s="112">
        <v>1.3418000000000001</v>
      </c>
      <c r="C304" s="108">
        <f t="shared" si="125"/>
        <v>-7.9999999999991189E-4</v>
      </c>
      <c r="D304" s="109">
        <f t="shared" si="126"/>
        <v>-7.9999999999991189E-4</v>
      </c>
      <c r="E304" s="109">
        <f ca="1">IF(表2_36716262930381011[[#This Row],[累计净值]]/MAX(INDIRECT("B21:B" &amp; ROW()))-1&lt;E303,表2_36716262930381011[[#This Row],[累计净值]]/MAX(INDIRECT("B21:B" &amp; ROW()))-1,E303)</f>
        <v>-4.3211637193382724E-2</v>
      </c>
      <c r="F304" s="62">
        <f>表2_36716262930381011[[#This Row],[累计净值]]-0.1652</f>
        <v>1.1766000000000001</v>
      </c>
      <c r="G304" s="20">
        <f t="shared" ref="G304:G305" si="128">IF(F304&gt;1.0292,0.5*(F304-1.0292),F304-1.0292)</f>
        <v>7.3700000000000099E-2</v>
      </c>
    </row>
    <row r="305" spans="1:7" x14ac:dyDescent="0.2">
      <c r="A305" s="15">
        <v>44172</v>
      </c>
      <c r="B305" s="112">
        <v>1.3439000000000001</v>
      </c>
      <c r="C305" s="108">
        <f t="shared" si="125"/>
        <v>2.0999999999999908E-3</v>
      </c>
      <c r="D305" s="109" t="str">
        <f t="shared" si="126"/>
        <v>/</v>
      </c>
      <c r="E305" s="109">
        <f ca="1">IF(表2_36716262930381011[[#This Row],[累计净值]]/MAX(INDIRECT("B21:B" &amp; ROW()))-1&lt;E304,表2_36716262930381011[[#This Row],[累计净值]]/MAX(INDIRECT("B21:B" &amp; ROW()))-1,E304)</f>
        <v>-4.3211637193382724E-2</v>
      </c>
      <c r="F305" s="62">
        <f>表2_36716262930381011[[#This Row],[累计净值]]-0.1652</f>
        <v>1.1787000000000001</v>
      </c>
      <c r="G305" s="20">
        <f t="shared" si="128"/>
        <v>7.4750000000000094E-2</v>
      </c>
    </row>
    <row r="306" spans="1:7" x14ac:dyDescent="0.2">
      <c r="A306" s="15">
        <v>44173</v>
      </c>
      <c r="B306" s="112">
        <v>1.3409</v>
      </c>
      <c r="C306" s="108">
        <f t="shared" si="125"/>
        <v>-3.0000000000001137E-3</v>
      </c>
      <c r="D306" s="109">
        <f t="shared" si="126"/>
        <v>-3.0000000000001137E-3</v>
      </c>
      <c r="E306" s="109">
        <f ca="1">IF(表2_36716262930381011[[#This Row],[累计净值]]/MAX(INDIRECT("B21:B" &amp; ROW()))-1&lt;E305,表2_36716262930381011[[#This Row],[累计净值]]/MAX(INDIRECT("B21:B" &amp; ROW()))-1,E305)</f>
        <v>-4.3853394181403438E-2</v>
      </c>
      <c r="F306" s="62">
        <f>表2_36716262930381011[[#This Row],[累计净值]]-0.1652</f>
        <v>1.1757</v>
      </c>
      <c r="G306" s="20">
        <f t="shared" ref="G306:G307" si="129">IF(F306&gt;1.0292,0.5*(F306-1.0292),F306-1.0292)</f>
        <v>7.3250000000000037E-2</v>
      </c>
    </row>
    <row r="307" spans="1:7" x14ac:dyDescent="0.2">
      <c r="A307" s="15">
        <v>44174</v>
      </c>
      <c r="B307" s="112">
        <v>1.3394999999999999</v>
      </c>
      <c r="C307" s="108">
        <f t="shared" si="125"/>
        <v>-1.4000000000000679E-3</v>
      </c>
      <c r="D307" s="109">
        <f t="shared" si="126"/>
        <v>-1.4000000000000679E-3</v>
      </c>
      <c r="E307" s="109">
        <f ca="1">IF(表2_36716262930381011[[#This Row],[累计净值]]/MAX(INDIRECT("B21:B" &amp; ROW()))-1&lt;E306,表2_36716262930381011[[#This Row],[累计净值]]/MAX(INDIRECT("B21:B" &amp; ROW()))-1,E306)</f>
        <v>-4.4851682829435413E-2</v>
      </c>
      <c r="F307" s="62">
        <f>表2_36716262930381011[[#This Row],[累计净值]]-0.1652</f>
        <v>1.1742999999999999</v>
      </c>
      <c r="G307" s="20">
        <f t="shared" si="129"/>
        <v>7.2550000000000003E-2</v>
      </c>
    </row>
    <row r="308" spans="1:7" x14ac:dyDescent="0.2">
      <c r="A308" s="15">
        <v>44175</v>
      </c>
      <c r="B308" s="112">
        <v>1.3411</v>
      </c>
      <c r="C308" s="108">
        <f t="shared" ref="C308:C309" si="130">IFERROR(B308-B307,0)</f>
        <v>1.6000000000000458E-3</v>
      </c>
      <c r="D308" s="109" t="str">
        <f t="shared" ref="D308:D309" si="131">IF(C308&lt;0,C308,"/")</f>
        <v>/</v>
      </c>
      <c r="E308" s="109">
        <f ca="1">IF(表2_36716262930381011[[#This Row],[累计净值]]/MAX(INDIRECT("B21:B" &amp; ROW()))-1&lt;E307,表2_36716262930381011[[#This Row],[累计净值]]/MAX(INDIRECT("B21:B" &amp; ROW()))-1,E307)</f>
        <v>-4.4851682829435413E-2</v>
      </c>
      <c r="F308" s="62">
        <f>表2_36716262930381011[[#This Row],[累计净值]]-0.1652</f>
        <v>1.1758999999999999</v>
      </c>
      <c r="G308" s="20">
        <f t="shared" ref="G308:G309" si="132">IF(F308&gt;1.0292,0.5*(F308-1.0292),F308-1.0292)</f>
        <v>7.3350000000000026E-2</v>
      </c>
    </row>
    <row r="309" spans="1:7" x14ac:dyDescent="0.2">
      <c r="A309" s="15">
        <v>44176</v>
      </c>
      <c r="B309" s="112">
        <v>1.3402000000000001</v>
      </c>
      <c r="C309" s="108">
        <f t="shared" si="130"/>
        <v>-8.9999999999990088E-4</v>
      </c>
      <c r="D309" s="109">
        <f t="shared" si="131"/>
        <v>-8.9999999999990088E-4</v>
      </c>
      <c r="E309" s="109">
        <f ca="1">IF(表2_36716262930381011[[#This Row],[累计净值]]/MAX(INDIRECT("B21:B" &amp; ROW()))-1&lt;E308,表2_36716262930381011[[#This Row],[累计净值]]/MAX(INDIRECT("B21:B" &amp; ROW()))-1,E308)</f>
        <v>-4.4851682829435413E-2</v>
      </c>
      <c r="F309" s="62">
        <f>表2_36716262930381011[[#This Row],[累计净值]]-0.1652</f>
        <v>1.175</v>
      </c>
      <c r="G309" s="20">
        <f t="shared" si="132"/>
        <v>7.2900000000000076E-2</v>
      </c>
    </row>
    <row r="310" spans="1:7" x14ac:dyDescent="0.2">
      <c r="A310" s="15">
        <v>44179</v>
      </c>
      <c r="B310" s="112">
        <v>1.3411999999999999</v>
      </c>
      <c r="C310" s="108">
        <f t="shared" ref="C310:C315" si="133">IFERROR(B310-B309,0)</f>
        <v>9.9999999999988987E-4</v>
      </c>
      <c r="D310" s="109" t="str">
        <f t="shared" ref="D310:D315" si="134">IF(C310&lt;0,C310,"/")</f>
        <v>/</v>
      </c>
      <c r="E310" s="109">
        <f ca="1">IF(表2_36716262930381011[[#This Row],[累计净值]]/MAX(INDIRECT("B21:B" &amp; ROW()))-1&lt;E309,表2_36716262930381011[[#This Row],[累计净值]]/MAX(INDIRECT("B21:B" &amp; ROW()))-1,E309)</f>
        <v>-4.4851682829435413E-2</v>
      </c>
      <c r="F310" s="62">
        <f>表2_36716262930381011[[#This Row],[累计净值]]-0.1652</f>
        <v>1.1759999999999999</v>
      </c>
      <c r="G310" s="20">
        <f t="shared" ref="G310:G312" si="135">IF(F310&gt;1.0292,0.5*(F310-1.0292),F310-1.0292)</f>
        <v>7.3400000000000021E-2</v>
      </c>
    </row>
    <row r="311" spans="1:7" x14ac:dyDescent="0.2">
      <c r="A311" s="15">
        <v>44180</v>
      </c>
      <c r="B311" s="112">
        <v>1.3426</v>
      </c>
      <c r="C311" s="108">
        <f t="shared" si="133"/>
        <v>1.4000000000000679E-3</v>
      </c>
      <c r="D311" s="109" t="str">
        <f t="shared" si="134"/>
        <v>/</v>
      </c>
      <c r="E311" s="109">
        <f ca="1">IF(表2_36716262930381011[[#This Row],[累计净值]]/MAX(INDIRECT("B21:B" &amp; ROW()))-1&lt;E310,表2_36716262930381011[[#This Row],[累计净值]]/MAX(INDIRECT("B21:B" &amp; ROW()))-1,E310)</f>
        <v>-4.4851682829435413E-2</v>
      </c>
      <c r="F311" s="62">
        <f>表2_36716262930381011[[#This Row],[累计净值]]-0.1652</f>
        <v>1.1774</v>
      </c>
      <c r="G311" s="20">
        <f t="shared" si="135"/>
        <v>7.4100000000000055E-2</v>
      </c>
    </row>
    <row r="312" spans="1:7" x14ac:dyDescent="0.2">
      <c r="A312" s="15">
        <v>44181</v>
      </c>
      <c r="B312" s="112">
        <v>1.3383</v>
      </c>
      <c r="C312" s="108">
        <f t="shared" si="133"/>
        <v>-4.2999999999999705E-3</v>
      </c>
      <c r="D312" s="109">
        <f t="shared" si="134"/>
        <v>-4.2999999999999705E-3</v>
      </c>
      <c r="E312" s="109">
        <f ca="1">IF(表2_36716262930381011[[#This Row],[累计净值]]/MAX(INDIRECT("B21:B" &amp; ROW()))-1&lt;E311,表2_36716262930381011[[#This Row],[累计净值]]/MAX(INDIRECT("B21:B" &amp; ROW()))-1,E311)</f>
        <v>-4.5707358813462662E-2</v>
      </c>
      <c r="F312" s="62">
        <f>表2_36716262930381011[[#This Row],[累计净值]]-0.1652</f>
        <v>1.1731</v>
      </c>
      <c r="G312" s="20">
        <f t="shared" si="135"/>
        <v>7.1950000000000069E-2</v>
      </c>
    </row>
    <row r="313" spans="1:7" x14ac:dyDescent="0.2">
      <c r="A313" s="15">
        <v>44182</v>
      </c>
      <c r="B313" s="112">
        <v>1.3373999999999999</v>
      </c>
      <c r="C313" s="108">
        <f t="shared" si="133"/>
        <v>-9.0000000000012292E-4</v>
      </c>
      <c r="D313" s="109">
        <f t="shared" si="134"/>
        <v>-9.0000000000012292E-4</v>
      </c>
      <c r="E313" s="109">
        <f ca="1">IF(表2_36716262930381011[[#This Row],[累计净值]]/MAX(INDIRECT("B21:B" &amp; ROW()))-1&lt;E312,表2_36716262930381011[[#This Row],[累计净值]]/MAX(INDIRECT("B21:B" &amp; ROW()))-1,E312)</f>
        <v>-4.6349115801483265E-2</v>
      </c>
      <c r="F313" s="62">
        <f>表2_36716262930381011[[#This Row],[累计净值]]-0.1652</f>
        <v>1.1721999999999999</v>
      </c>
      <c r="G313" s="20">
        <f t="shared" ref="G313:G314" si="136">IF(F313&gt;1.0292,0.5*(F313-1.0292),F313-1.0292)</f>
        <v>7.1500000000000008E-2</v>
      </c>
    </row>
    <row r="314" spans="1:7" x14ac:dyDescent="0.2">
      <c r="A314" s="15">
        <v>44183</v>
      </c>
      <c r="B314" s="112">
        <v>1.3415999999999999</v>
      </c>
      <c r="C314" s="108">
        <f t="shared" si="133"/>
        <v>4.1999999999999815E-3</v>
      </c>
      <c r="D314" s="109" t="str">
        <f t="shared" si="134"/>
        <v>/</v>
      </c>
      <c r="E314" s="109">
        <f ca="1">IF(表2_36716262930381011[[#This Row],[累计净值]]/MAX(INDIRECT("B21:B" &amp; ROW()))-1&lt;E313,表2_36716262930381011[[#This Row],[累计净值]]/MAX(INDIRECT("B21:B" &amp; ROW()))-1,E313)</f>
        <v>-4.6349115801483265E-2</v>
      </c>
      <c r="F314" s="62">
        <f>表2_36716262930381011[[#This Row],[累计净值]]-0.1652</f>
        <v>1.1763999999999999</v>
      </c>
      <c r="G314" s="20">
        <f t="shared" si="136"/>
        <v>7.3599999999999999E-2</v>
      </c>
    </row>
    <row r="315" spans="1:7" x14ac:dyDescent="0.2">
      <c r="A315" s="15">
        <v>44186</v>
      </c>
      <c r="B315" s="112">
        <v>1.3401000000000001</v>
      </c>
      <c r="C315" s="108">
        <f t="shared" si="133"/>
        <v>-1.4999999999998348E-3</v>
      </c>
      <c r="D315" s="109">
        <f t="shared" si="134"/>
        <v>-1.4999999999998348E-3</v>
      </c>
      <c r="E315" s="109">
        <f ca="1">IF(表2_36716262930381011[[#This Row],[累计净值]]/MAX(INDIRECT("B21:B" &amp; ROW()))-1&lt;E314,表2_36716262930381011[[#This Row],[累计净值]]/MAX(INDIRECT("B21:B" &amp; ROW()))-1,E314)</f>
        <v>-4.6349115801483265E-2</v>
      </c>
      <c r="F315" s="62">
        <f>表2_36716262930381011[[#This Row],[累计净值]]-0.1652</f>
        <v>1.1749000000000001</v>
      </c>
      <c r="G315" s="20">
        <f t="shared" ref="G315" si="137">IF(F315&gt;1.0292,0.5*(F315-1.0292),F315-1.0292)</f>
        <v>7.2850000000000081E-2</v>
      </c>
    </row>
    <row r="316" spans="1:7" x14ac:dyDescent="0.2">
      <c r="A316" s="15">
        <v>44187</v>
      </c>
      <c r="B316" s="112">
        <v>1.3387</v>
      </c>
      <c r="C316" s="108">
        <f>IFERROR(B316-B315,0)</f>
        <v>-1.4000000000000679E-3</v>
      </c>
      <c r="D316" s="109">
        <f>IF(C316&lt;0,C316,"/")</f>
        <v>-1.4000000000000679E-3</v>
      </c>
      <c r="E316" s="109">
        <f ca="1">IF(表2_36716262930381011[[#This Row],[累计净值]]/MAX(INDIRECT("B21:B" &amp; ROW()))-1&lt;E315,表2_36716262930381011[[#This Row],[累计净值]]/MAX(INDIRECT("B21:B" &amp; ROW()))-1,E315)</f>
        <v>-4.6349115801483265E-2</v>
      </c>
      <c r="F316" s="62">
        <f>表2_36716262930381011[[#This Row],[累计净值]]-0.1652</f>
        <v>1.1735</v>
      </c>
      <c r="G316" s="20">
        <f t="shared" ref="G316" si="138">IF(F316&gt;1.0292,0.5*(F316-1.0292),F316-1.0292)</f>
        <v>7.2150000000000047E-2</v>
      </c>
    </row>
    <row r="317" spans="1:7" x14ac:dyDescent="0.2">
      <c r="A317" s="15">
        <v>44188</v>
      </c>
      <c r="B317" s="112">
        <v>1.3443000000000001</v>
      </c>
      <c r="C317" s="108">
        <f>IFERROR(B317-B316,0)</f>
        <v>5.6000000000000494E-3</v>
      </c>
      <c r="D317" s="109" t="str">
        <f>IF(C317&lt;0,C317,"/")</f>
        <v>/</v>
      </c>
      <c r="E317" s="109">
        <f ca="1">IF(表2_36716262930381011[[#This Row],[累计净值]]/MAX(INDIRECT("B21:B" &amp; ROW()))-1&lt;E316,表2_36716262930381011[[#This Row],[累计净值]]/MAX(INDIRECT("B21:B" &amp; ROW()))-1,E316)</f>
        <v>-4.6349115801483265E-2</v>
      </c>
      <c r="F317" s="62">
        <f>表2_36716262930381011[[#This Row],[累计净值]]-0.1652</f>
        <v>1.1791</v>
      </c>
      <c r="G317" s="20">
        <f t="shared" ref="G317" si="139">IF(F317&gt;1.0292,0.5*(F317-1.0292),F317-1.0292)</f>
        <v>7.4950000000000072E-2</v>
      </c>
    </row>
    <row r="318" spans="1:7" x14ac:dyDescent="0.2">
      <c r="A318" s="15">
        <v>44189</v>
      </c>
      <c r="B318" s="112">
        <v>1.3433999999999999</v>
      </c>
      <c r="C318" s="108">
        <f t="shared" ref="C318:C319" si="140">IFERROR(B318-B317,0)</f>
        <v>-9.0000000000012292E-4</v>
      </c>
      <c r="D318" s="109">
        <f t="shared" ref="D318:D319" si="141">IF(C318&lt;0,C318,"/")</f>
        <v>-9.0000000000012292E-4</v>
      </c>
      <c r="E318" s="109">
        <f ca="1">IF(表2_36716262930381011[[#This Row],[累计净值]]/MAX(INDIRECT("B21:B" &amp; ROW()))-1&lt;E317,表2_36716262930381011[[#This Row],[累计净值]]/MAX(INDIRECT("B21:B" &amp; ROW()))-1,E317)</f>
        <v>-4.6349115801483265E-2</v>
      </c>
      <c r="F318" s="62">
        <f>表2_36716262930381011[[#This Row],[累计净值]]-0.1652</f>
        <v>1.1781999999999999</v>
      </c>
      <c r="G318" s="20">
        <f t="shared" ref="G318" si="142">IF(F318&gt;1.0292,0.5*(F318-1.0292),F318-1.0292)</f>
        <v>7.4500000000000011E-2</v>
      </c>
    </row>
    <row r="319" spans="1:7" x14ac:dyDescent="0.2">
      <c r="A319" s="15">
        <v>44190</v>
      </c>
      <c r="B319" s="112">
        <v>1.3415999999999999</v>
      </c>
      <c r="C319" s="108">
        <f t="shared" si="140"/>
        <v>-1.8000000000000238E-3</v>
      </c>
      <c r="D319" s="109">
        <f t="shared" si="141"/>
        <v>-1.8000000000000238E-3</v>
      </c>
      <c r="E319" s="109">
        <f ca="1">IF(表2_36716262930381011[[#This Row],[累计净值]]/MAX(INDIRECT("B21:B" &amp; ROW()))-1&lt;E318,表2_36716262930381011[[#This Row],[累计净值]]/MAX(INDIRECT("B21:B" &amp; ROW()))-1,E318)</f>
        <v>-4.6349115801483265E-2</v>
      </c>
      <c r="F319" s="62">
        <f>表2_36716262930381011[[#This Row],[累计净值]]-0.1652</f>
        <v>1.1763999999999999</v>
      </c>
      <c r="G319" s="20">
        <f t="shared" ref="G319" si="143">IF(F319&gt;1.0292,0.5*(F319-1.0292),F319-1.0292)</f>
        <v>7.3599999999999999E-2</v>
      </c>
    </row>
    <row r="320" spans="1:7" x14ac:dyDescent="0.2">
      <c r="A320" s="15">
        <v>44193</v>
      </c>
      <c r="B320" s="112">
        <v>1.3372999999999999</v>
      </c>
      <c r="C320" s="108">
        <f t="shared" ref="C320:C325" si="144">IFERROR(B320-B319,0)</f>
        <v>-4.2999999999999705E-3</v>
      </c>
      <c r="D320" s="109">
        <f t="shared" ref="D320:D325" si="145">IF(C320&lt;0,C320,"/")</f>
        <v>-4.2999999999999705E-3</v>
      </c>
      <c r="E320" s="109">
        <f ca="1">IF(表2_36716262930381011[[#This Row],[累计净值]]/MAX(INDIRECT("B21:B" &amp; ROW()))-1&lt;E319,表2_36716262930381011[[#This Row],[累计净值]]/MAX(INDIRECT("B21:B" &amp; ROW()))-1,E319)</f>
        <v>-4.6420422133485517E-2</v>
      </c>
      <c r="F320" s="62">
        <f>表2_36716262930381011[[#This Row],[累计净值]]-0.1652</f>
        <v>1.1720999999999999</v>
      </c>
      <c r="G320" s="20">
        <f t="shared" ref="G320" si="146">IF(F320&gt;1.0292,0.5*(F320-1.0292),F320-1.0292)</f>
        <v>7.1450000000000014E-2</v>
      </c>
    </row>
    <row r="321" spans="1:7" x14ac:dyDescent="0.2">
      <c r="A321" s="15">
        <v>44194</v>
      </c>
      <c r="B321" s="112">
        <v>1.3351999999999999</v>
      </c>
      <c r="C321" s="108">
        <f t="shared" si="144"/>
        <v>-2.0999999999999908E-3</v>
      </c>
      <c r="D321" s="109">
        <f t="shared" si="145"/>
        <v>-2.0999999999999908E-3</v>
      </c>
      <c r="E321" s="109">
        <f ca="1">IF(表2_36716262930381011[[#This Row],[累计净值]]/MAX(INDIRECT("B21:B" &amp; ROW()))-1&lt;E320,表2_36716262930381011[[#This Row],[累计净值]]/MAX(INDIRECT("B21:B" &amp; ROW()))-1,E320)</f>
        <v>-4.791785510553348E-2</v>
      </c>
      <c r="F321" s="62">
        <f>表2_36716262930381011[[#This Row],[累计净值]]-0.1652</f>
        <v>1.17</v>
      </c>
      <c r="G321" s="20">
        <f t="shared" ref="G321" si="147">IF(F321&gt;1.0292,0.5*(F321-1.0292),F321-1.0292)</f>
        <v>7.0400000000000018E-2</v>
      </c>
    </row>
    <row r="322" spans="1:7" x14ac:dyDescent="0.2">
      <c r="A322" s="15">
        <v>44195</v>
      </c>
      <c r="B322" s="112">
        <v>1.3327</v>
      </c>
      <c r="C322" s="108">
        <f t="shared" si="144"/>
        <v>-2.4999999999999467E-3</v>
      </c>
      <c r="D322" s="109">
        <f t="shared" si="145"/>
        <v>-2.4999999999999467E-3</v>
      </c>
      <c r="E322" s="109">
        <f ca="1">IF(表2_36716262930381011[[#This Row],[累计净值]]/MAX(INDIRECT("B21:B" &amp; ROW()))-1&lt;E321,表2_36716262930381011[[#This Row],[累计净值]]/MAX(INDIRECT("B21:B" &amp; ROW()))-1,E321)</f>
        <v>-4.9700513405590452E-2</v>
      </c>
      <c r="F322" s="62">
        <f>表2_36716262930381011[[#This Row],[累计净值]]-0.1652</f>
        <v>1.1675</v>
      </c>
      <c r="G322" s="20">
        <f t="shared" ref="G322" si="148">IF(F322&gt;1.0292,0.5*(F322-1.0292),F322-1.0292)</f>
        <v>6.9150000000000045E-2</v>
      </c>
    </row>
    <row r="323" spans="1:7" x14ac:dyDescent="0.2">
      <c r="A323" s="15">
        <v>44196</v>
      </c>
      <c r="B323" s="112">
        <v>1.3352999999999999</v>
      </c>
      <c r="C323" s="108">
        <f t="shared" si="144"/>
        <v>2.5999999999999357E-3</v>
      </c>
      <c r="D323" s="109" t="str">
        <f t="shared" si="145"/>
        <v>/</v>
      </c>
      <c r="E323" s="109">
        <f ca="1">IF(表2_36716262930381011[[#This Row],[累计净值]]/MAX(INDIRECT("B21:B" &amp; ROW()))-1&lt;E322,表2_36716262930381011[[#This Row],[累计净值]]/MAX(INDIRECT("B21:B" &amp; ROW()))-1,E322)</f>
        <v>-4.9700513405590452E-2</v>
      </c>
      <c r="F323" s="62">
        <f>表2_36716262930381011[[#This Row],[累计净值]]-0.1652</f>
        <v>1.1700999999999999</v>
      </c>
      <c r="G323" s="20">
        <f t="shared" ref="G323:G324" si="149">IF(F323&gt;1.0292,0.5*(F323-1.0292),F323-1.0292)</f>
        <v>7.0450000000000013E-2</v>
      </c>
    </row>
    <row r="324" spans="1:7" x14ac:dyDescent="0.2">
      <c r="A324" s="15">
        <v>44200</v>
      </c>
      <c r="B324" s="112">
        <v>1.3362000000000001</v>
      </c>
      <c r="C324" s="108">
        <f t="shared" si="144"/>
        <v>9.0000000000012292E-4</v>
      </c>
      <c r="D324" s="109" t="str">
        <f t="shared" si="145"/>
        <v>/</v>
      </c>
      <c r="E324" s="109">
        <f ca="1">IF(表2_36716262930381011[[#This Row],[累计净值]]/MAX(INDIRECT("B21:B" &amp; ROW()))-1&lt;E323,表2_36716262930381011[[#This Row],[累计净值]]/MAX(INDIRECT("B21:B" &amp; ROW()))-1,E323)</f>
        <v>-4.9700513405590452E-2</v>
      </c>
      <c r="F324" s="62">
        <f>表2_36716262930381011[[#This Row],[累计净值]]-0.1652</f>
        <v>1.171</v>
      </c>
      <c r="G324" s="20">
        <f t="shared" si="149"/>
        <v>7.0900000000000074E-2</v>
      </c>
    </row>
    <row r="325" spans="1:7" x14ac:dyDescent="0.2">
      <c r="A325" s="15">
        <v>44201</v>
      </c>
      <c r="B325" s="112">
        <v>1.3343</v>
      </c>
      <c r="C325" s="108">
        <f t="shared" si="144"/>
        <v>-1.9000000000000128E-3</v>
      </c>
      <c r="D325" s="109">
        <f t="shared" si="145"/>
        <v>-1.9000000000000128E-3</v>
      </c>
      <c r="E325" s="109">
        <f ca="1">IF(表2_36716262930381011[[#This Row],[累计净值]]/MAX(INDIRECT("B21:B" &amp; ROW()))-1&lt;E324,表2_36716262930381011[[#This Row],[累计净值]]/MAX(INDIRECT("B21:B" &amp; ROW()))-1,E324)</f>
        <v>-4.9700513405590452E-2</v>
      </c>
      <c r="F325" s="62">
        <f>表2_36716262930381011[[#This Row],[累计净值]]-0.1652</f>
        <v>1.1691</v>
      </c>
      <c r="G325" s="20">
        <f t="shared" ref="G325:G326" si="150">IF(F325&gt;1.0292,0.5*(F325-1.0292),F325-1.0292)</f>
        <v>6.9950000000000068E-2</v>
      </c>
    </row>
    <row r="326" spans="1:7" x14ac:dyDescent="0.2">
      <c r="A326" s="15">
        <v>44202</v>
      </c>
      <c r="B326" s="112">
        <v>1.33</v>
      </c>
      <c r="C326" s="108">
        <f>IFERROR(B326-B325,0)</f>
        <v>-4.2999999999999705E-3</v>
      </c>
      <c r="D326" s="109">
        <f>IF(C326&lt;0,C326,"/")</f>
        <v>-4.2999999999999705E-3</v>
      </c>
      <c r="E326" s="109">
        <f ca="1">IF(表2_36716262930381011[[#This Row],[累计净值]]/MAX(INDIRECT("B21:B" &amp; ROW()))-1&lt;E325,表2_36716262930381011[[#This Row],[累计净值]]/MAX(INDIRECT("B21:B" &amp; ROW()))-1,E325)</f>
        <v>-5.1625784369652039E-2</v>
      </c>
      <c r="F326" s="62">
        <f>表2_36716262930381011[[#This Row],[累计净值]]-0.1652</f>
        <v>1.1648000000000001</v>
      </c>
      <c r="G326" s="20">
        <f t="shared" si="150"/>
        <v>6.7800000000000082E-2</v>
      </c>
    </row>
    <row r="327" spans="1:7" x14ac:dyDescent="0.2">
      <c r="A327" s="15">
        <v>44203</v>
      </c>
      <c r="B327" s="112">
        <v>1.3144</v>
      </c>
      <c r="C327" s="108">
        <f>IFERROR(B327-B326,0)</f>
        <v>-1.5600000000000058E-2</v>
      </c>
      <c r="D327" s="109">
        <f>IF(C327&lt;0,C327,"/")</f>
        <v>-1.5600000000000058E-2</v>
      </c>
      <c r="E327" s="109">
        <f ca="1">IF(表2_36716262930381011[[#This Row],[累计净值]]/MAX(INDIRECT("B21:B" &amp; ROW()))-1&lt;E326,表2_36716262930381011[[#This Row],[累计净值]]/MAX(INDIRECT("B21:B" &amp; ROW()))-1,E326)</f>
        <v>-6.2749572162008049E-2</v>
      </c>
      <c r="F327" s="62">
        <f>表2_36716262930381011[[#This Row],[累计净值]]-0.1652</f>
        <v>1.1492</v>
      </c>
      <c r="G327" s="20">
        <f t="shared" ref="G327:G328" si="151">IF(F327&gt;1.0292,0.5*(F327-1.0292),F327-1.0292)</f>
        <v>6.0000000000000053E-2</v>
      </c>
    </row>
    <row r="328" spans="1:7" x14ac:dyDescent="0.2">
      <c r="A328" s="15">
        <v>44204</v>
      </c>
      <c r="B328" s="112">
        <v>1.3134999999999999</v>
      </c>
      <c r="C328" s="108">
        <f>IFERROR(B328-B327,0)</f>
        <v>-9.0000000000012292E-4</v>
      </c>
      <c r="D328" s="109">
        <f>IF(C328&lt;0,C328,"/")</f>
        <v>-9.0000000000012292E-4</v>
      </c>
      <c r="E328" s="109">
        <f ca="1">IF(表2_36716262930381011[[#This Row],[累计净值]]/MAX(INDIRECT("B21:B" &amp; ROW()))-1&lt;E327,表2_36716262930381011[[#This Row],[累计净值]]/MAX(INDIRECT("B21:B" &amp; ROW()))-1,E327)</f>
        <v>-6.3391329150028652E-2</v>
      </c>
      <c r="F328" s="62">
        <f>表2_36716262930381011[[#This Row],[累计净值]]-0.1652</f>
        <v>1.1482999999999999</v>
      </c>
      <c r="G328" s="20">
        <f t="shared" si="151"/>
        <v>5.9549999999999992E-2</v>
      </c>
    </row>
    <row r="329" spans="1:7" x14ac:dyDescent="0.2">
      <c r="A329" s="15">
        <v>44207</v>
      </c>
      <c r="B329" s="112">
        <v>1.3121</v>
      </c>
      <c r="C329" s="108">
        <f>IFERROR(B329-B328,0)</f>
        <v>-1.3999999999998458E-3</v>
      </c>
      <c r="D329" s="109">
        <f>IF(C329&lt;0,C329,"/")</f>
        <v>-1.3999999999998458E-3</v>
      </c>
      <c r="E329" s="109">
        <f ca="1">IF(表2_36716262930381011[[#This Row],[累计净值]]/MAX(INDIRECT("B21:B" &amp; ROW()))-1&lt;E328,表2_36716262930381011[[#This Row],[累计净值]]/MAX(INDIRECT("B21:B" &amp; ROW()))-1,E328)</f>
        <v>-6.4389617798060517E-2</v>
      </c>
      <c r="F329" s="62">
        <f>表2_36716262930381011[[#This Row],[累计净值]]-0.1652</f>
        <v>1.1469</v>
      </c>
      <c r="G329" s="20">
        <f t="shared" ref="G329:G332" si="152">IF(F329&gt;1.0292,0.5*(F329-1.0292),F329-1.0292)</f>
        <v>5.8850000000000069E-2</v>
      </c>
    </row>
    <row r="330" spans="1:7" x14ac:dyDescent="0.2">
      <c r="A330" s="15">
        <v>44208</v>
      </c>
      <c r="B330" s="112">
        <v>1.32</v>
      </c>
      <c r="C330" s="108">
        <f t="shared" ref="C330:C332" si="153">IFERROR(B330-B329,0)</f>
        <v>7.9000000000000181E-3</v>
      </c>
      <c r="D330" s="109" t="str">
        <f t="shared" ref="D330:D332" si="154">IF(C330&lt;0,C330,"/")</f>
        <v>/</v>
      </c>
      <c r="E330" s="109">
        <f ca="1">IF(表2_36716262930381011[[#This Row],[累计净值]]/MAX(INDIRECT("B21:B" &amp; ROW()))-1&lt;E329,表2_36716262930381011[[#This Row],[累计净值]]/MAX(INDIRECT("B21:B" &amp; ROW()))-1,E329)</f>
        <v>-6.4389617798060517E-2</v>
      </c>
      <c r="F330" s="62">
        <f>表2_36716262930381011[[#This Row],[累计净值]]-0.1652</f>
        <v>1.1548</v>
      </c>
      <c r="G330" s="20">
        <f t="shared" si="152"/>
        <v>6.2800000000000078E-2</v>
      </c>
    </row>
    <row r="331" spans="1:7" x14ac:dyDescent="0.2">
      <c r="A331" s="15">
        <v>44209</v>
      </c>
      <c r="B331" s="112">
        <v>1.3204</v>
      </c>
      <c r="C331" s="108">
        <f t="shared" si="153"/>
        <v>3.9999999999995595E-4</v>
      </c>
      <c r="D331" s="109" t="str">
        <f t="shared" si="154"/>
        <v>/</v>
      </c>
      <c r="E331" s="109">
        <f ca="1">IF(表2_36716262930381011[[#This Row],[累计净值]]/MAX(INDIRECT("B21:B" &amp; ROW()))-1&lt;E330,表2_36716262930381011[[#This Row],[累计净值]]/MAX(INDIRECT("B21:B" &amp; ROW()))-1,E330)</f>
        <v>-6.4389617798060517E-2</v>
      </c>
      <c r="F331" s="62">
        <f>表2_36716262930381011[[#This Row],[累计净值]]-0.1652</f>
        <v>1.1552</v>
      </c>
      <c r="G331" s="20">
        <f t="shared" si="152"/>
        <v>6.3000000000000056E-2</v>
      </c>
    </row>
    <row r="332" spans="1:7" x14ac:dyDescent="0.2">
      <c r="A332" s="15">
        <v>44210</v>
      </c>
      <c r="B332" s="112">
        <v>1.32</v>
      </c>
      <c r="C332" s="108">
        <f t="shared" si="153"/>
        <v>-3.9999999999995595E-4</v>
      </c>
      <c r="D332" s="109">
        <f t="shared" si="154"/>
        <v>-3.9999999999995595E-4</v>
      </c>
      <c r="E332" s="109">
        <f ca="1">IF(表2_36716262930381011[[#This Row],[累计净值]]/MAX(INDIRECT("B21:B" &amp; ROW()))-1&lt;E331,表2_36716262930381011[[#This Row],[累计净值]]/MAX(INDIRECT("B21:B" &amp; ROW()))-1,E331)</f>
        <v>-6.4389617798060517E-2</v>
      </c>
      <c r="F332" s="62">
        <f>表2_36716262930381011[[#This Row],[累计净值]]-0.1652</f>
        <v>1.1548</v>
      </c>
      <c r="G332" s="20">
        <f t="shared" si="152"/>
        <v>6.2800000000000078E-2</v>
      </c>
    </row>
    <row r="333" spans="1:7" x14ac:dyDescent="0.2">
      <c r="A333" s="15">
        <v>44211</v>
      </c>
      <c r="B333" s="112">
        <v>1.3298000000000001</v>
      </c>
      <c r="C333" s="108">
        <f t="shared" ref="C333:C334" si="155">IFERROR(B333-B332,0)</f>
        <v>9.8000000000000309E-3</v>
      </c>
      <c r="D333" s="109" t="str">
        <f t="shared" ref="D333:D334" si="156">IF(C333&lt;0,C333,"/")</f>
        <v>/</v>
      </c>
      <c r="E333" s="109">
        <f ca="1">IF(表2_36716262930381011[[#This Row],[累计净值]]/MAX(INDIRECT("B21:B" &amp; ROW()))-1&lt;E332,表2_36716262930381011[[#This Row],[累计净值]]/MAX(INDIRECT("B21:B" &amp; ROW()))-1,E332)</f>
        <v>-6.4389617798060517E-2</v>
      </c>
      <c r="F333" s="62">
        <f>表2_36716262930381011[[#This Row],[累计净值]]-0.1652</f>
        <v>1.1646000000000001</v>
      </c>
      <c r="G333" s="20">
        <f t="shared" ref="G333:G334" si="157">IF(F333&gt;1.0292,0.5*(F333-1.0292),F333-1.0292)</f>
        <v>6.7700000000000093E-2</v>
      </c>
    </row>
    <row r="334" spans="1:7" x14ac:dyDescent="0.2">
      <c r="A334" s="15">
        <v>44214</v>
      </c>
      <c r="B334" s="112">
        <v>1.3345</v>
      </c>
      <c r="C334" s="108">
        <f t="shared" si="155"/>
        <v>4.6999999999999265E-3</v>
      </c>
      <c r="D334" s="109" t="str">
        <f t="shared" si="156"/>
        <v>/</v>
      </c>
      <c r="E334" s="109">
        <f ca="1">IF(表2_36716262930381011[[#This Row],[累计净值]]/MAX(INDIRECT("B21:B" &amp; ROW()))-1&lt;E333,表2_36716262930381011[[#This Row],[累计净值]]/MAX(INDIRECT("B21:B" &amp; ROW()))-1,E333)</f>
        <v>-6.4389617798060517E-2</v>
      </c>
      <c r="F334" s="62">
        <f>表2_36716262930381011[[#This Row],[累计净值]]-0.1652</f>
        <v>1.1693</v>
      </c>
      <c r="G334" s="20">
        <f t="shared" si="157"/>
        <v>7.0050000000000057E-2</v>
      </c>
    </row>
    <row r="335" spans="1:7" x14ac:dyDescent="0.2">
      <c r="A335" s="15">
        <v>44215</v>
      </c>
      <c r="B335" s="112">
        <v>1.3346</v>
      </c>
      <c r="C335" s="108">
        <f>IFERROR(B335-B334,0)</f>
        <v>9.9999999999988987E-5</v>
      </c>
      <c r="D335" s="109" t="str">
        <f>IF(C335&lt;0,C335,"/")</f>
        <v>/</v>
      </c>
      <c r="E335" s="109">
        <f ca="1">IF(表2_36716262930381011[[#This Row],[累计净值]]/MAX(INDIRECT("B21:B" &amp; ROW()))-1&lt;E334,表2_36716262930381011[[#This Row],[累计净值]]/MAX(INDIRECT("B21:B" &amp; ROW()))-1,E334)</f>
        <v>-6.4389617798060517E-2</v>
      </c>
      <c r="F335" s="62">
        <f>表2_36716262930381011[[#This Row],[累计净值]]-0.1652</f>
        <v>1.1694</v>
      </c>
      <c r="G335" s="20">
        <f t="shared" ref="G335" si="158">IF(F335&gt;1.0292,0.5*(F335-1.0292),F335-1.0292)</f>
        <v>7.0100000000000051E-2</v>
      </c>
    </row>
    <row r="336" spans="1:7" x14ac:dyDescent="0.2">
      <c r="A336" s="15">
        <v>44216</v>
      </c>
      <c r="B336" s="112">
        <v>1.3326</v>
      </c>
      <c r="C336" s="108">
        <f t="shared" ref="C336:C337" si="159">IFERROR(B336-B335,0)</f>
        <v>-2.0000000000000018E-3</v>
      </c>
      <c r="D336" s="109">
        <f t="shared" ref="D336:D337" si="160">IF(C336&lt;0,C336,"/")</f>
        <v>-2.0000000000000018E-3</v>
      </c>
      <c r="E336" s="109">
        <f ca="1">IF(表2_36716262930381011[[#This Row],[累计净值]]/MAX(INDIRECT("B21:B" &amp; ROW()))-1&lt;E335,表2_36716262930381011[[#This Row],[累计净值]]/MAX(INDIRECT("B21:B" &amp; ROW()))-1,E335)</f>
        <v>-6.4389617798060517E-2</v>
      </c>
      <c r="F336" s="62">
        <f>表2_36716262930381011[[#This Row],[累计净值]]-0.1652</f>
        <v>1.1674</v>
      </c>
      <c r="G336" s="20">
        <f t="shared" ref="G336" si="161">IF(F336&gt;1.0292,0.5*(F336-1.0292),F336-1.0292)</f>
        <v>6.910000000000005E-2</v>
      </c>
    </row>
    <row r="337" spans="1:7" x14ac:dyDescent="0.2">
      <c r="A337" s="15">
        <v>44217</v>
      </c>
      <c r="B337" s="112">
        <v>1.3317000000000001</v>
      </c>
      <c r="C337" s="108">
        <f t="shared" si="159"/>
        <v>-8.9999999999990088E-4</v>
      </c>
      <c r="D337" s="109">
        <f t="shared" si="160"/>
        <v>-8.9999999999990088E-4</v>
      </c>
      <c r="E337" s="109">
        <f ca="1">IF(表2_36716262930381011[[#This Row],[累计净值]]/MAX(INDIRECT("B21:B" &amp; ROW()))-1&lt;E336,表2_36716262930381011[[#This Row],[累计净值]]/MAX(INDIRECT("B21:B" &amp; ROW()))-1,E336)</f>
        <v>-6.4389617798060517E-2</v>
      </c>
      <c r="F337" s="62">
        <f>表2_36716262930381011[[#This Row],[累计净值]]-0.1652</f>
        <v>1.1665000000000001</v>
      </c>
      <c r="G337" s="20">
        <f t="shared" ref="G337:G338" si="162">IF(F337&gt;1.0292,0.5*(F337-1.0292),F337-1.0292)</f>
        <v>6.86500000000001E-2</v>
      </c>
    </row>
    <row r="338" spans="1:7" x14ac:dyDescent="0.2">
      <c r="A338" s="15">
        <v>44218</v>
      </c>
      <c r="B338" s="112">
        <v>1.3302</v>
      </c>
      <c r="C338" s="108">
        <f t="shared" ref="C338:C343" si="163">IFERROR(B338-B337,0)</f>
        <v>-1.5000000000000568E-3</v>
      </c>
      <c r="D338" s="109">
        <f t="shared" ref="D338:D343" si="164">IF(C338&lt;0,C338,"/")</f>
        <v>-1.5000000000000568E-3</v>
      </c>
      <c r="E338" s="109">
        <f ca="1">IF(表2_36716262930381011[[#This Row],[累计净值]]/MAX(INDIRECT("B21:B" &amp; ROW()))-1&lt;E337,表2_36716262930381011[[#This Row],[累计净值]]/MAX(INDIRECT("B21:B" &amp; ROW()))-1,E337)</f>
        <v>-6.4389617798060517E-2</v>
      </c>
      <c r="F338" s="62">
        <f>表2_36716262930381011[[#This Row],[累计净值]]-0.1652</f>
        <v>1.165</v>
      </c>
      <c r="G338" s="20">
        <f t="shared" si="162"/>
        <v>6.7900000000000071E-2</v>
      </c>
    </row>
    <row r="339" spans="1:7" x14ac:dyDescent="0.2">
      <c r="A339" s="15">
        <v>44221</v>
      </c>
      <c r="B339" s="112">
        <v>1.3302</v>
      </c>
      <c r="C339" s="108">
        <f t="shared" si="163"/>
        <v>0</v>
      </c>
      <c r="D339" s="109" t="str">
        <f t="shared" si="164"/>
        <v>/</v>
      </c>
      <c r="E339" s="109">
        <f ca="1">IF(表2_36716262930381011[[#This Row],[累计净值]]/MAX(INDIRECT("B21:B" &amp; ROW()))-1&lt;E338,表2_36716262930381011[[#This Row],[累计净值]]/MAX(INDIRECT("B21:B" &amp; ROW()))-1,E338)</f>
        <v>-6.4389617798060517E-2</v>
      </c>
      <c r="F339" s="62">
        <f>表2_36716262930381011[[#This Row],[累计净值]]-0.1652</f>
        <v>1.165</v>
      </c>
      <c r="G339" s="20">
        <f t="shared" ref="G339:G340" si="165">IF(F339&gt;1.0292,0.5*(F339-1.0292),F339-1.0292)</f>
        <v>6.7900000000000071E-2</v>
      </c>
    </row>
    <row r="340" spans="1:7" x14ac:dyDescent="0.2">
      <c r="A340" s="15">
        <v>44222</v>
      </c>
      <c r="B340" s="112">
        <v>1.3310999999999999</v>
      </c>
      <c r="C340" s="108">
        <f t="shared" si="163"/>
        <v>8.9999999999990088E-4</v>
      </c>
      <c r="D340" s="109" t="str">
        <f t="shared" si="164"/>
        <v>/</v>
      </c>
      <c r="E340" s="109">
        <f ca="1">IF(表2_36716262930381011[[#This Row],[累计净值]]/MAX(INDIRECT("B21:B" &amp; ROW()))-1&lt;E339,表2_36716262930381011[[#This Row],[累计净值]]/MAX(INDIRECT("B21:B" &amp; ROW()))-1,E339)</f>
        <v>-6.4389617798060517E-2</v>
      </c>
      <c r="F340" s="62">
        <f>表2_36716262930381011[[#This Row],[累计净值]]-0.1652</f>
        <v>1.1658999999999999</v>
      </c>
      <c r="G340" s="20">
        <f t="shared" si="165"/>
        <v>6.8350000000000022E-2</v>
      </c>
    </row>
    <row r="341" spans="1:7" x14ac:dyDescent="0.2">
      <c r="A341" s="15">
        <v>44223</v>
      </c>
      <c r="B341" s="112">
        <v>1.3315999999999999</v>
      </c>
      <c r="C341" s="108">
        <f t="shared" si="163"/>
        <v>4.9999999999994493E-4</v>
      </c>
      <c r="D341" s="109" t="str">
        <f t="shared" si="164"/>
        <v>/</v>
      </c>
      <c r="E341" s="109">
        <f ca="1">IF(表2_36716262930381011[[#This Row],[累计净值]]/MAX(INDIRECT("B21:B" &amp; ROW()))-1&lt;E340,表2_36716262930381011[[#This Row],[累计净值]]/MAX(INDIRECT("B21:B" &amp; ROW()))-1,E340)</f>
        <v>-6.4389617798060517E-2</v>
      </c>
      <c r="F341" s="62">
        <f>表2_36716262930381011[[#This Row],[累计净值]]-0.1652</f>
        <v>1.1663999999999999</v>
      </c>
      <c r="G341" s="20">
        <f t="shared" ref="G341" si="166">IF(F341&gt;1.0292,0.5*(F341-1.0292),F341-1.0292)</f>
        <v>6.8599999999999994E-2</v>
      </c>
    </row>
    <row r="342" spans="1:7" x14ac:dyDescent="0.2">
      <c r="A342" s="15">
        <v>44224</v>
      </c>
      <c r="B342" s="112">
        <v>1.33</v>
      </c>
      <c r="C342" s="108">
        <f t="shared" si="163"/>
        <v>-1.5999999999998238E-3</v>
      </c>
      <c r="D342" s="109">
        <f t="shared" si="164"/>
        <v>-1.5999999999998238E-3</v>
      </c>
      <c r="E342" s="109">
        <f ca="1">IF(表2_36716262930381011[[#This Row],[累计净值]]/MAX(INDIRECT("B21:B" &amp; ROW()))-1&lt;E341,表2_36716262930381011[[#This Row],[累计净值]]/MAX(INDIRECT("B21:B" &amp; ROW()))-1,E341)</f>
        <v>-6.4389617798060517E-2</v>
      </c>
      <c r="F342" s="62">
        <f>表2_36716262930381011[[#This Row],[累计净值]]-0.1652</f>
        <v>1.1648000000000001</v>
      </c>
      <c r="G342" s="20">
        <f t="shared" ref="G342" si="167">IF(F342&gt;1.0292,0.5*(F342-1.0292),F342-1.0292)</f>
        <v>6.7800000000000082E-2</v>
      </c>
    </row>
    <row r="343" spans="1:7" x14ac:dyDescent="0.2">
      <c r="A343" s="15">
        <v>44225</v>
      </c>
      <c r="B343" s="112">
        <v>1.3307</v>
      </c>
      <c r="C343" s="108">
        <f t="shared" si="163"/>
        <v>6.9999999999992291E-4</v>
      </c>
      <c r="D343" s="109" t="str">
        <f t="shared" si="164"/>
        <v>/</v>
      </c>
      <c r="E343" s="109">
        <f ca="1">IF(表2_36716262930381011[[#This Row],[累计净值]]/MAX(INDIRECT("B21:B" &amp; ROW()))-1&lt;E342,表2_36716262930381011[[#This Row],[累计净值]]/MAX(INDIRECT("B21:B" &amp; ROW()))-1,E342)</f>
        <v>-6.4389617798060517E-2</v>
      </c>
      <c r="F343" s="62">
        <f>表2_36716262930381011[[#This Row],[累计净值]]-0.1652</f>
        <v>1.1655</v>
      </c>
      <c r="G343" s="20">
        <f t="shared" ref="G343" si="168">IF(F343&gt;1.0292,0.5*(F343-1.0292),F343-1.0292)</f>
        <v>6.8150000000000044E-2</v>
      </c>
    </row>
    <row r="344" spans="1:7" x14ac:dyDescent="0.2">
      <c r="A344" s="15">
        <v>44228</v>
      </c>
      <c r="B344" s="112">
        <v>1.3331</v>
      </c>
      <c r="C344" s="108">
        <f>IFERROR(B344-B343,0)</f>
        <v>2.3999999999999577E-3</v>
      </c>
      <c r="D344" s="109" t="str">
        <f>IF(C344&lt;0,C344,"/")</f>
        <v>/</v>
      </c>
      <c r="E344" s="109">
        <f ca="1">IF(表2_36716262930381011[[#This Row],[累计净值]]/MAX(INDIRECT("B21:B" &amp; ROW()))-1&lt;E343,表2_36716262930381011[[#This Row],[累计净值]]/MAX(INDIRECT("B21:B" &amp; ROW()))-1,E343)</f>
        <v>-6.4389617798060517E-2</v>
      </c>
      <c r="F344" s="62">
        <f>表2_36716262930381011[[#This Row],[累计净值]]-0.1652</f>
        <v>1.1678999999999999</v>
      </c>
      <c r="G344" s="20">
        <f t="shared" ref="G344" si="169">IF(F344&gt;1.0292,0.5*(F344-1.0292),F344-1.0292)</f>
        <v>6.9350000000000023E-2</v>
      </c>
    </row>
    <row r="345" spans="1:7" x14ac:dyDescent="0.2">
      <c r="A345" s="15">
        <v>44229</v>
      </c>
      <c r="B345" s="112">
        <v>1.3365</v>
      </c>
      <c r="C345" s="108">
        <f>IFERROR(B345-B344,0)</f>
        <v>3.4000000000000696E-3</v>
      </c>
      <c r="D345" s="109" t="str">
        <f>IF(C345&lt;0,C345,"/")</f>
        <v>/</v>
      </c>
      <c r="E345" s="109">
        <f ca="1">IF(表2_36716262930381011[[#This Row],[累计净值]]/MAX(INDIRECT("B21:B" &amp; ROW()))-1&lt;E344,表2_36716262930381011[[#This Row],[累计净值]]/MAX(INDIRECT("B21:B" &amp; ROW()))-1,E344)</f>
        <v>-6.4389617798060517E-2</v>
      </c>
      <c r="F345" s="62">
        <f>表2_36716262930381011[[#This Row],[累计净值]]-0.1652</f>
        <v>1.1713</v>
      </c>
      <c r="G345" s="20">
        <f t="shared" ref="G345" si="170">IF(F345&gt;1.0292,0.5*(F345-1.0292),F345-1.0292)</f>
        <v>7.1050000000000058E-2</v>
      </c>
    </row>
    <row r="346" spans="1:7" x14ac:dyDescent="0.2">
      <c r="A346" s="15">
        <v>44230</v>
      </c>
      <c r="B346" s="112">
        <v>1.3349</v>
      </c>
      <c r="C346" s="108">
        <f>IFERROR(B346-B345,0)</f>
        <v>-1.6000000000000458E-3</v>
      </c>
      <c r="D346" s="109">
        <f>IF(C346&lt;0,C346,"/")</f>
        <v>-1.6000000000000458E-3</v>
      </c>
      <c r="E346" s="109">
        <f ca="1">IF(表2_36716262930381011[[#This Row],[累计净值]]/MAX(INDIRECT("B21:B" &amp; ROW()))-1&lt;E345,表2_36716262930381011[[#This Row],[累计净值]]/MAX(INDIRECT("B21:B" &amp; ROW()))-1,E345)</f>
        <v>-6.4389617798060517E-2</v>
      </c>
      <c r="F346" s="62">
        <f>表2_36716262930381011[[#This Row],[累计净值]]-0.1652</f>
        <v>1.1697</v>
      </c>
      <c r="G346" s="20">
        <f t="shared" ref="G346:G347" si="171">IF(F346&gt;1.0292,0.5*(F346-1.0292),F346-1.0292)</f>
        <v>7.0250000000000035E-2</v>
      </c>
    </row>
    <row r="347" spans="1:7" x14ac:dyDescent="0.2">
      <c r="A347" s="15">
        <v>44231</v>
      </c>
      <c r="B347" s="112">
        <v>1.3343</v>
      </c>
      <c r="C347" s="108">
        <f>IFERROR(B347-B346,0)</f>
        <v>-5.9999999999993392E-4</v>
      </c>
      <c r="D347" s="109">
        <f>IF(C347&lt;0,C347,"/")</f>
        <v>-5.9999999999993392E-4</v>
      </c>
      <c r="E347" s="109">
        <f ca="1">IF(表2_36716262930381011[[#This Row],[累计净值]]/MAX(INDIRECT("B21:B" &amp; ROW()))-1&lt;E346,表2_36716262930381011[[#This Row],[累计净值]]/MAX(INDIRECT("B21:B" &amp; ROW()))-1,E346)</f>
        <v>-6.4389617798060517E-2</v>
      </c>
      <c r="F347" s="62">
        <f>表2_36716262930381011[[#This Row],[累计净值]]-0.1652</f>
        <v>1.1691</v>
      </c>
      <c r="G347" s="20">
        <f t="shared" si="171"/>
        <v>6.9950000000000068E-2</v>
      </c>
    </row>
    <row r="348" spans="1:7" x14ac:dyDescent="0.2">
      <c r="A348" s="15">
        <v>44232</v>
      </c>
      <c r="B348" s="112">
        <v>1.3346</v>
      </c>
      <c r="C348" s="108">
        <f>IFERROR(B348-B347,0)</f>
        <v>2.9999999999996696E-4</v>
      </c>
      <c r="D348" s="109" t="str">
        <f>IF(C348&lt;0,C348,"/")</f>
        <v>/</v>
      </c>
      <c r="E348" s="109">
        <f ca="1">IF(表2_36716262930381011[[#This Row],[累计净值]]/MAX(INDIRECT("B21:B" &amp; ROW()))-1&lt;E347,表2_36716262930381011[[#This Row],[累计净值]]/MAX(INDIRECT("B21:B" &amp; ROW()))-1,E347)</f>
        <v>-6.4389617798060517E-2</v>
      </c>
      <c r="F348" s="62">
        <f>表2_36716262930381011[[#This Row],[累计净值]]-0.1652</f>
        <v>1.1694</v>
      </c>
      <c r="G348" s="20">
        <f t="shared" ref="G348" si="172">IF(F348&gt;1.0292,0.5*(F348-1.0292),F348-1.0292)</f>
        <v>7.0100000000000051E-2</v>
      </c>
    </row>
    <row r="349" spans="1:7" x14ac:dyDescent="0.2">
      <c r="A349" s="15">
        <v>44235</v>
      </c>
      <c r="B349" s="112">
        <v>1.3351</v>
      </c>
      <c r="C349" s="108">
        <f t="shared" ref="C349:C350" si="173">IFERROR(B349-B348,0)</f>
        <v>4.9999999999994493E-4</v>
      </c>
      <c r="D349" s="109" t="str">
        <f t="shared" ref="D349:D350" si="174">IF(C349&lt;0,C349,"/")</f>
        <v>/</v>
      </c>
      <c r="E349" s="109">
        <f ca="1">IF(表2_36716262930381011[[#This Row],[累计净值]]/MAX(INDIRECT("B21:B" &amp; ROW()))-1&lt;E348,表2_36716262930381011[[#This Row],[累计净值]]/MAX(INDIRECT("B21:B" &amp; ROW()))-1,E348)</f>
        <v>-6.4389617798060517E-2</v>
      </c>
      <c r="F349" s="62">
        <f>表2_36716262930381011[[#This Row],[累计净值]]-0.1652</f>
        <v>1.1698999999999999</v>
      </c>
      <c r="G349" s="20">
        <f t="shared" ref="G349:G351" si="175">IF(F349&gt;1.0292,0.5*(F349-1.0292),F349-1.0292)</f>
        <v>7.0350000000000024E-2</v>
      </c>
    </row>
    <row r="350" spans="1:7" x14ac:dyDescent="0.2">
      <c r="A350" s="15">
        <v>44236</v>
      </c>
      <c r="B350" s="112">
        <v>1.3363</v>
      </c>
      <c r="C350" s="108">
        <f t="shared" si="173"/>
        <v>1.2000000000000899E-3</v>
      </c>
      <c r="D350" s="109" t="str">
        <f t="shared" si="174"/>
        <v>/</v>
      </c>
      <c r="E350" s="109">
        <f ca="1">IF(表2_36716262930381011[[#This Row],[累计净值]]/MAX(INDIRECT("B21:B" &amp; ROW()))-1&lt;E349,表2_36716262930381011[[#This Row],[累计净值]]/MAX(INDIRECT("B21:B" &amp; ROW()))-1,E349)</f>
        <v>-6.4389617798060517E-2</v>
      </c>
      <c r="F350" s="62">
        <f>表2_36716262930381011[[#This Row],[累计净值]]-0.1652</f>
        <v>1.1711</v>
      </c>
      <c r="G350" s="20">
        <f t="shared" si="175"/>
        <v>7.0950000000000069E-2</v>
      </c>
    </row>
    <row r="351" spans="1:7" x14ac:dyDescent="0.2">
      <c r="A351" s="15">
        <v>44237</v>
      </c>
      <c r="B351" s="112">
        <v>1.3333999999999999</v>
      </c>
      <c r="C351" s="108">
        <f t="shared" ref="C351:C352" si="176">IFERROR(B351-B350,0)</f>
        <v>-2.9000000000001247E-3</v>
      </c>
      <c r="D351" s="109">
        <f t="shared" ref="D351:D352" si="177">IF(C351&lt;0,C351,"/")</f>
        <v>-2.9000000000001247E-3</v>
      </c>
      <c r="E351" s="109">
        <f ca="1">IF(表2_36716262930381011[[#This Row],[累计净值]]/MAX(INDIRECT("B21:B" &amp; ROW()))-1&lt;E350,表2_36716262930381011[[#This Row],[累计净值]]/MAX(INDIRECT("B21:B" &amp; ROW()))-1,E350)</f>
        <v>-6.4389617798060517E-2</v>
      </c>
      <c r="F351" s="62">
        <f>表2_36716262930381011[[#This Row],[累计净值]]-0.1652</f>
        <v>1.1681999999999999</v>
      </c>
      <c r="G351" s="20">
        <f t="shared" si="175"/>
        <v>6.9500000000000006E-2</v>
      </c>
    </row>
    <row r="352" spans="1:7" x14ac:dyDescent="0.2">
      <c r="A352" s="15">
        <v>44245</v>
      </c>
      <c r="B352" s="112">
        <v>1.3293999999999999</v>
      </c>
      <c r="C352" s="108">
        <f t="shared" si="176"/>
        <v>-4.0000000000000036E-3</v>
      </c>
      <c r="D352" s="109">
        <f t="shared" si="177"/>
        <v>-4.0000000000000036E-3</v>
      </c>
      <c r="E352" s="109">
        <f ca="1">IF(表2_36716262930381011[[#This Row],[累计净值]]/MAX(INDIRECT("B21:B" &amp; ROW()))-1&lt;E351,表2_36716262930381011[[#This Row],[累计净值]]/MAX(INDIRECT("B21:B" &amp; ROW()))-1,E351)</f>
        <v>-6.4389617798060517E-2</v>
      </c>
      <c r="F352" s="62">
        <f>表2_36716262930381011[[#This Row],[累计净值]]-0.1652</f>
        <v>1.1641999999999999</v>
      </c>
      <c r="G352" s="20">
        <f t="shared" ref="G352:G353" si="178">IF(F352&gt;1.0292,0.5*(F352-1.0292),F352-1.0292)</f>
        <v>6.7500000000000004E-2</v>
      </c>
    </row>
    <row r="353" spans="1:7" x14ac:dyDescent="0.2">
      <c r="A353" s="15">
        <v>44246</v>
      </c>
      <c r="B353" s="112">
        <v>1.3268</v>
      </c>
      <c r="C353" s="108">
        <f>IFERROR(B353-B352,0)</f>
        <v>-2.5999999999999357E-3</v>
      </c>
      <c r="D353" s="109">
        <f>IF(C353&lt;0,C353,"/")</f>
        <v>-2.5999999999999357E-3</v>
      </c>
      <c r="E353" s="109">
        <f ca="1">IF(表2_36716262930381011[[#This Row],[累计净值]]/MAX(INDIRECT("B21:B" &amp; ROW()))-1&lt;E352,表2_36716262930381011[[#This Row],[累计净值]]/MAX(INDIRECT("B21:B" &amp; ROW()))-1,E352)</f>
        <v>-6.4389617798060517E-2</v>
      </c>
      <c r="F353" s="62">
        <f>表2_36716262930381011[[#This Row],[累计净值]]-0.1652</f>
        <v>1.1616</v>
      </c>
      <c r="G353" s="20">
        <f t="shared" si="178"/>
        <v>6.6200000000000037E-2</v>
      </c>
    </row>
    <row r="354" spans="1:7" x14ac:dyDescent="0.2">
      <c r="A354" s="15">
        <v>44249</v>
      </c>
      <c r="B354" s="112">
        <v>1.3288</v>
      </c>
      <c r="C354" s="108">
        <f>IFERROR(B354-B353,0)</f>
        <v>2.0000000000000018E-3</v>
      </c>
      <c r="D354" s="109" t="str">
        <f>IF(C354&lt;0,C354,"/")</f>
        <v>/</v>
      </c>
      <c r="E354" s="109">
        <f ca="1">IF(表2_36716262930381011[[#This Row],[累计净值]]/MAX(INDIRECT("B21:B" &amp; ROW()))-1&lt;E353,表2_36716262930381011[[#This Row],[累计净值]]/MAX(INDIRECT("B21:B" &amp; ROW()))-1,E353)</f>
        <v>-6.4389617798060517E-2</v>
      </c>
      <c r="F354" s="62">
        <f>表2_36716262930381011[[#This Row],[累计净值]]-0.1652</f>
        <v>1.1636</v>
      </c>
      <c r="G354" s="20">
        <f t="shared" ref="G354" si="179">IF(F354&gt;1.0292,0.5*(F354-1.0292),F354-1.0292)</f>
        <v>6.7200000000000037E-2</v>
      </c>
    </row>
    <row r="355" spans="1:7" x14ac:dyDescent="0.2">
      <c r="A355" s="15">
        <v>44250</v>
      </c>
      <c r="B355" s="112">
        <v>1.3269</v>
      </c>
      <c r="C355" s="108">
        <f>IFERROR(B355-B354,0)</f>
        <v>-1.9000000000000128E-3</v>
      </c>
      <c r="D355" s="109">
        <f>IF(C355&lt;0,C355,"/")</f>
        <v>-1.9000000000000128E-3</v>
      </c>
      <c r="E355" s="109">
        <f ca="1">IF(表2_36716262930381011[[#This Row],[累计净值]]/MAX(INDIRECT("B21:B" &amp; ROW()))-1&lt;E354,表2_36716262930381011[[#This Row],[累计净值]]/MAX(INDIRECT("B21:B" &amp; ROW()))-1,E354)</f>
        <v>-6.4389617798060517E-2</v>
      </c>
      <c r="F355" s="62">
        <f>表2_36716262930381011[[#This Row],[累计净值]]-0.1652</f>
        <v>1.1617</v>
      </c>
      <c r="G355" s="20">
        <f t="shared" ref="G355" si="180">IF(F355&gt;1.0292,0.5*(F355-1.0292),F355-1.0292)</f>
        <v>6.6250000000000031E-2</v>
      </c>
    </row>
    <row r="356" spans="1:7" x14ac:dyDescent="0.2">
      <c r="A356" s="15">
        <v>44251</v>
      </c>
      <c r="B356" s="112">
        <v>1.3265</v>
      </c>
      <c r="C356" s="108">
        <f t="shared" ref="C356:C357" si="181">IFERROR(B356-B355,0)</f>
        <v>-3.9999999999995595E-4</v>
      </c>
      <c r="D356" s="109">
        <f t="shared" ref="D356:D357" si="182">IF(C356&lt;0,C356,"/")</f>
        <v>-3.9999999999995595E-4</v>
      </c>
      <c r="E356" s="109">
        <f ca="1">IF(表2_36716262930381011[[#This Row],[累计净值]]/MAX(INDIRECT("B21:B" &amp; ROW()))-1&lt;E355,表2_36716262930381011[[#This Row],[累计净值]]/MAX(INDIRECT("B21:B" &amp; ROW()))-1,E355)</f>
        <v>-6.4389617798060517E-2</v>
      </c>
      <c r="F356" s="62">
        <f>表2_36716262930381011[[#This Row],[累计净值]]-0.1652</f>
        <v>1.1613</v>
      </c>
      <c r="G356" s="20">
        <f t="shared" ref="G356:G357" si="183">IF(F356&gt;1.0292,0.5*(F356-1.0292),F356-1.0292)</f>
        <v>6.6050000000000053E-2</v>
      </c>
    </row>
    <row r="357" spans="1:7" x14ac:dyDescent="0.2">
      <c r="A357" s="15">
        <v>44252</v>
      </c>
      <c r="B357" s="112">
        <v>1.3289</v>
      </c>
      <c r="C357" s="108">
        <f t="shared" si="181"/>
        <v>2.3999999999999577E-3</v>
      </c>
      <c r="D357" s="109" t="str">
        <f t="shared" si="182"/>
        <v>/</v>
      </c>
      <c r="E357" s="109">
        <f ca="1">IF(表2_36716262930381011[[#This Row],[累计净值]]/MAX(INDIRECT("B21:B" &amp; ROW()))-1&lt;E356,表2_36716262930381011[[#This Row],[累计净值]]/MAX(INDIRECT("B21:B" &amp; ROW()))-1,E356)</f>
        <v>-6.4389617798060517E-2</v>
      </c>
      <c r="F357" s="62">
        <f>表2_36716262930381011[[#This Row],[累计净值]]-0.1652</f>
        <v>1.1637</v>
      </c>
      <c r="G357" s="20">
        <f t="shared" si="183"/>
        <v>6.7250000000000032E-2</v>
      </c>
    </row>
    <row r="358" spans="1:7" x14ac:dyDescent="0.2">
      <c r="A358" s="15">
        <v>44253</v>
      </c>
      <c r="B358" s="112">
        <v>1.3333999999999999</v>
      </c>
      <c r="C358" s="108">
        <f>IFERROR(B358-B357,0)</f>
        <v>4.4999999999999485E-3</v>
      </c>
      <c r="D358" s="109" t="str">
        <f>IF(C358&lt;0,C358,"/")</f>
        <v>/</v>
      </c>
      <c r="E358" s="109">
        <f ca="1">IF(表2_36716262930381011[[#This Row],[累计净值]]/MAX(INDIRECT("B21:B" &amp; ROW()))-1&lt;E357,表2_36716262930381011[[#This Row],[累计净值]]/MAX(INDIRECT("B21:B" &amp; ROW()))-1,E357)</f>
        <v>-6.4389617798060517E-2</v>
      </c>
      <c r="F358" s="62">
        <f>表2_36716262930381011[[#This Row],[累计净值]]-0.1652</f>
        <v>1.1681999999999999</v>
      </c>
      <c r="G358" s="20">
        <f t="shared" ref="G358" si="184">IF(F358&gt;1.0292,0.5*(F358-1.0292),F358-1.0292)</f>
        <v>6.9500000000000006E-2</v>
      </c>
    </row>
    <row r="359" spans="1:7" x14ac:dyDescent="0.2">
      <c r="A359" s="15">
        <v>44256</v>
      </c>
      <c r="B359" s="112">
        <v>1.3362000000000001</v>
      </c>
      <c r="C359" s="108">
        <f>IFERROR(B359-B358,0)</f>
        <v>2.8000000000001357E-3</v>
      </c>
      <c r="D359" s="109" t="str">
        <f>IF(C359&lt;0,C359,"/")</f>
        <v>/</v>
      </c>
      <c r="E359" s="109">
        <f ca="1">IF(表2_36716262930381011[[#This Row],[累计净值]]/MAX(INDIRECT("B21:B" &amp; ROW()))-1&lt;E358,表2_36716262930381011[[#This Row],[累计净值]]/MAX(INDIRECT("B21:B" &amp; ROW()))-1,E358)</f>
        <v>-6.4389617798060517E-2</v>
      </c>
      <c r="F359" s="62">
        <f>表2_36716262930381011[[#This Row],[累计净值]]-0.1652</f>
        <v>1.171</v>
      </c>
      <c r="G359" s="20">
        <f t="shared" ref="G359" si="185">IF(F359&gt;1.0292,0.5*(F359-1.0292),F359-1.0292)</f>
        <v>7.0900000000000074E-2</v>
      </c>
    </row>
    <row r="360" spans="1:7" x14ac:dyDescent="0.2">
      <c r="A360" s="15">
        <v>44257</v>
      </c>
      <c r="B360" s="112">
        <v>1.335</v>
      </c>
      <c r="C360" s="108">
        <f t="shared" ref="C360:C363" si="186">IFERROR(B360-B359,0)</f>
        <v>-1.2000000000000899E-3</v>
      </c>
      <c r="D360" s="109">
        <f t="shared" ref="D360:D363" si="187">IF(C360&lt;0,C360,"/")</f>
        <v>-1.2000000000000899E-3</v>
      </c>
      <c r="E360" s="109">
        <f ca="1">IF(表2_36716262930381011[[#This Row],[累计净值]]/MAX(INDIRECT("B21:B" &amp; ROW()))-1&lt;E359,表2_36716262930381011[[#This Row],[累计净值]]/MAX(INDIRECT("B21:B" &amp; ROW()))-1,E359)</f>
        <v>-6.4389617798060517E-2</v>
      </c>
      <c r="F360" s="62">
        <f>表2_36716262930381011[[#This Row],[累计净值]]-0.1652</f>
        <v>1.1698</v>
      </c>
      <c r="G360" s="20">
        <f t="shared" ref="G360:G363" si="188">IF(F360&gt;1.0292,0.5*(F360-1.0292),F360-1.0292)</f>
        <v>7.0300000000000029E-2</v>
      </c>
    </row>
    <row r="361" spans="1:7" x14ac:dyDescent="0.2">
      <c r="A361" s="15">
        <v>44258</v>
      </c>
      <c r="B361" s="112">
        <v>1.3360000000000001</v>
      </c>
      <c r="C361" s="108">
        <f t="shared" si="186"/>
        <v>1.0000000000001119E-3</v>
      </c>
      <c r="D361" s="109" t="str">
        <f t="shared" si="187"/>
        <v>/</v>
      </c>
      <c r="E361" s="109">
        <f ca="1">IF(表2_36716262930381011[[#This Row],[累计净值]]/MAX(INDIRECT("B21:B" &amp; ROW()))-1&lt;E360,表2_36716262930381011[[#This Row],[累计净值]]/MAX(INDIRECT("B21:B" &amp; ROW()))-1,E360)</f>
        <v>-6.4389617798060517E-2</v>
      </c>
      <c r="F361" s="62">
        <f>表2_36716262930381011[[#This Row],[累计净值]]-0.1652</f>
        <v>1.1708000000000001</v>
      </c>
      <c r="G361" s="20">
        <f t="shared" si="188"/>
        <v>7.0800000000000085E-2</v>
      </c>
    </row>
    <row r="362" spans="1:7" x14ac:dyDescent="0.2">
      <c r="A362" s="15">
        <v>44259</v>
      </c>
      <c r="B362" s="112">
        <v>1.3380000000000001</v>
      </c>
      <c r="C362" s="108">
        <f t="shared" si="186"/>
        <v>2.0000000000000018E-3</v>
      </c>
      <c r="D362" s="109" t="str">
        <f t="shared" si="187"/>
        <v>/</v>
      </c>
      <c r="E362" s="109">
        <f ca="1">IF(表2_36716262930381011[[#This Row],[累计净值]]/MAX(INDIRECT("B21:B" &amp; ROW()))-1&lt;E361,表2_36716262930381011[[#This Row],[累计净值]]/MAX(INDIRECT("B21:B" &amp; ROW()))-1,E361)</f>
        <v>-6.4389617798060517E-2</v>
      </c>
      <c r="F362" s="62">
        <f>表2_36716262930381011[[#This Row],[累计净值]]-0.1652</f>
        <v>1.1728000000000001</v>
      </c>
      <c r="G362" s="20">
        <f t="shared" si="188"/>
        <v>7.1800000000000086E-2</v>
      </c>
    </row>
    <row r="363" spans="1:7" x14ac:dyDescent="0.2">
      <c r="A363" s="15">
        <v>44260</v>
      </c>
      <c r="B363" s="112">
        <v>1.341</v>
      </c>
      <c r="C363" s="108">
        <f t="shared" si="186"/>
        <v>2.9999999999998916E-3</v>
      </c>
      <c r="D363" s="109" t="str">
        <f t="shared" si="187"/>
        <v>/</v>
      </c>
      <c r="E363" s="109">
        <f ca="1">IF(表2_36716262930381011[[#This Row],[累计净值]]/MAX(INDIRECT("B21:B" &amp; ROW()))-1&lt;E362,表2_36716262930381011[[#This Row],[累计净值]]/MAX(INDIRECT("B21:B" &amp; ROW()))-1,E362)</f>
        <v>-6.4389617798060517E-2</v>
      </c>
      <c r="F363" s="62">
        <f>表2_36716262930381011[[#This Row],[累计净值]]-0.1652</f>
        <v>1.1758</v>
      </c>
      <c r="G363" s="20">
        <f t="shared" si="188"/>
        <v>7.3300000000000032E-2</v>
      </c>
    </row>
    <row r="364" spans="1:7" x14ac:dyDescent="0.2">
      <c r="A364" s="15">
        <v>44263</v>
      </c>
      <c r="B364" s="112">
        <v>1.3447</v>
      </c>
      <c r="C364" s="108">
        <f t="shared" ref="C364:C369" si="189">IFERROR(B364-B363,0)</f>
        <v>3.7000000000000366E-3</v>
      </c>
      <c r="D364" s="109" t="str">
        <f t="shared" ref="D364:D369" si="190">IF(C364&lt;0,C364,"/")</f>
        <v>/</v>
      </c>
      <c r="E364" s="109">
        <f ca="1">IF(表2_36716262930381011[[#This Row],[累计净值]]/MAX(INDIRECT("B21:B" &amp; ROW()))-1&lt;E363,表2_36716262930381011[[#This Row],[累计净值]]/MAX(INDIRECT("B21:B" &amp; ROW()))-1,E363)</f>
        <v>-6.4389617798060517E-2</v>
      </c>
      <c r="F364" s="62">
        <f>表2_36716262930381011[[#This Row],[累计净值]]-0.1652</f>
        <v>1.1795</v>
      </c>
      <c r="G364" s="20">
        <f t="shared" ref="G364" si="191">IF(F364&gt;1.0292,0.5*(F364-1.0292),F364-1.0292)</f>
        <v>7.515000000000005E-2</v>
      </c>
    </row>
    <row r="365" spans="1:7" x14ac:dyDescent="0.2">
      <c r="A365" s="15">
        <v>44264</v>
      </c>
      <c r="B365" s="112">
        <v>1.3431999999999999</v>
      </c>
      <c r="C365" s="108">
        <f t="shared" si="189"/>
        <v>-1.5000000000000568E-3</v>
      </c>
      <c r="D365" s="109">
        <f t="shared" si="190"/>
        <v>-1.5000000000000568E-3</v>
      </c>
      <c r="E365" s="109">
        <f ca="1">IF(表2_36716262930381011[[#This Row],[累计净值]]/MAX(INDIRECT("B21:B" &amp; ROW()))-1&lt;E364,表2_36716262930381011[[#This Row],[累计净值]]/MAX(INDIRECT("B21:B" &amp; ROW()))-1,E364)</f>
        <v>-6.4389617798060517E-2</v>
      </c>
      <c r="F365" s="62">
        <f>表2_36716262930381011[[#This Row],[累计净值]]-0.1652</f>
        <v>1.1779999999999999</v>
      </c>
      <c r="G365" s="20">
        <f t="shared" ref="G365" si="192">IF(F365&gt;1.0292,0.5*(F365-1.0292),F365-1.0292)</f>
        <v>7.4400000000000022E-2</v>
      </c>
    </row>
    <row r="366" spans="1:7" x14ac:dyDescent="0.2">
      <c r="A366" s="15">
        <v>44265</v>
      </c>
      <c r="B366" s="112">
        <v>1.3472999999999999</v>
      </c>
      <c r="C366" s="108">
        <f t="shared" si="189"/>
        <v>4.0999999999999925E-3</v>
      </c>
      <c r="D366" s="109" t="str">
        <f t="shared" si="190"/>
        <v>/</v>
      </c>
      <c r="E366" s="109">
        <f ca="1">IF(表2_36716262930381011[[#This Row],[累计净值]]/MAX(INDIRECT("B21:B" &amp; ROW()))-1&lt;E365,表2_36716262930381011[[#This Row],[累计净值]]/MAX(INDIRECT("B21:B" &amp; ROW()))-1,E365)</f>
        <v>-6.4389617798060517E-2</v>
      </c>
      <c r="F366" s="62">
        <f>表2_36716262930381011[[#This Row],[累计净值]]-0.1652</f>
        <v>1.1820999999999999</v>
      </c>
      <c r="G366" s="20">
        <f t="shared" ref="G366" si="193">IF(F366&gt;1.0292,0.5*(F366-1.0292),F366-1.0292)</f>
        <v>7.6450000000000018E-2</v>
      </c>
    </row>
    <row r="367" spans="1:7" x14ac:dyDescent="0.2">
      <c r="A367" s="15">
        <v>44266</v>
      </c>
      <c r="B367" s="112">
        <v>1.3466</v>
      </c>
      <c r="C367" s="108">
        <f t="shared" si="189"/>
        <v>-6.9999999999992291E-4</v>
      </c>
      <c r="D367" s="109">
        <f t="shared" si="190"/>
        <v>-6.9999999999992291E-4</v>
      </c>
      <c r="E367" s="109">
        <f ca="1">IF(表2_36716262930381011[[#This Row],[累计净值]]/MAX(INDIRECT("B21:B" &amp; ROW()))-1&lt;E366,表2_36716262930381011[[#This Row],[累计净值]]/MAX(INDIRECT("B21:B" &amp; ROW()))-1,E366)</f>
        <v>-6.4389617798060517E-2</v>
      </c>
      <c r="F367" s="62">
        <f>表2_36716262930381011[[#This Row],[累计净值]]-0.1652</f>
        <v>1.1814</v>
      </c>
      <c r="G367" s="20">
        <f t="shared" ref="G367" si="194">IF(F367&gt;1.0292,0.5*(F367-1.0292),F367-1.0292)</f>
        <v>7.6100000000000056E-2</v>
      </c>
    </row>
    <row r="368" spans="1:7" x14ac:dyDescent="0.2">
      <c r="A368" s="15">
        <v>44267</v>
      </c>
      <c r="B368" s="112">
        <v>1.3469</v>
      </c>
      <c r="C368" s="108">
        <f t="shared" si="189"/>
        <v>2.9999999999996696E-4</v>
      </c>
      <c r="D368" s="109" t="str">
        <f t="shared" si="190"/>
        <v>/</v>
      </c>
      <c r="E368" s="109">
        <f ca="1">IF(表2_36716262930381011[[#This Row],[累计净值]]/MAX(INDIRECT("B21:B" &amp; ROW()))-1&lt;E367,表2_36716262930381011[[#This Row],[累计净值]]/MAX(INDIRECT("B21:B" &amp; ROW()))-1,E367)</f>
        <v>-6.4389617798060517E-2</v>
      </c>
      <c r="F368" s="62">
        <f>表2_36716262930381011[[#This Row],[累计净值]]-0.1652</f>
        <v>1.1817</v>
      </c>
      <c r="G368" s="20">
        <f t="shared" ref="G368" si="195">IF(F368&gt;1.0292,0.5*(F368-1.0292),F368-1.0292)</f>
        <v>7.625000000000004E-2</v>
      </c>
    </row>
    <row r="369" spans="1:7" x14ac:dyDescent="0.2">
      <c r="A369" s="15">
        <v>44270</v>
      </c>
      <c r="B369" s="112">
        <v>1.3452999999999999</v>
      </c>
      <c r="C369" s="108">
        <f t="shared" si="189"/>
        <v>-1.6000000000000458E-3</v>
      </c>
      <c r="D369" s="109">
        <f t="shared" si="190"/>
        <v>-1.6000000000000458E-3</v>
      </c>
      <c r="E369" s="109">
        <f ca="1">IF(表2_36716262930381011[[#This Row],[累计净值]]/MAX(INDIRECT("B21:B" &amp; ROW()))-1&lt;E368,表2_36716262930381011[[#This Row],[累计净值]]/MAX(INDIRECT("B21:B" &amp; ROW()))-1,E368)</f>
        <v>-6.4389617798060517E-2</v>
      </c>
      <c r="F369" s="62">
        <f>表2_36716262930381011[[#This Row],[累计净值]]-0.1652</f>
        <v>1.1800999999999999</v>
      </c>
      <c r="G369" s="20">
        <f t="shared" ref="G369" si="196">IF(F369&gt;1.0292,0.5*(F369-1.0292),F369-1.0292)</f>
        <v>7.5450000000000017E-2</v>
      </c>
    </row>
    <row r="370" spans="1:7" x14ac:dyDescent="0.2">
      <c r="A370" s="15">
        <v>44271</v>
      </c>
      <c r="B370" s="112">
        <v>1.3488</v>
      </c>
      <c r="C370" s="108">
        <f>IFERROR(B370-B369,0)</f>
        <v>3.5000000000000586E-3</v>
      </c>
      <c r="D370" s="109" t="str">
        <f>IF(C370&lt;0,C370,"/")</f>
        <v>/</v>
      </c>
      <c r="E370" s="109">
        <f ca="1">IF(表2_36716262930381011[[#This Row],[累计净值]]/MAX(INDIRECT("B21:B" &amp; ROW()))-1&lt;E369,表2_36716262930381011[[#This Row],[累计净值]]/MAX(INDIRECT("B21:B" &amp; ROW()))-1,E369)</f>
        <v>-6.4389617798060517E-2</v>
      </c>
      <c r="F370" s="62">
        <f>表2_36716262930381011[[#This Row],[累计净值]]-0.1652</f>
        <v>1.1836</v>
      </c>
      <c r="G370" s="20">
        <f t="shared" ref="G370" si="197">IF(F370&gt;1.0292,0.5*(F370-1.0292),F370-1.0292)</f>
        <v>7.7200000000000046E-2</v>
      </c>
    </row>
    <row r="371" spans="1:7" x14ac:dyDescent="0.2">
      <c r="A371" s="15">
        <v>44272</v>
      </c>
      <c r="B371" s="112">
        <v>1.3512999999999999</v>
      </c>
      <c r="C371" s="108">
        <f>IFERROR(B371-B370,0)</f>
        <v>2.4999999999999467E-3</v>
      </c>
      <c r="D371" s="109" t="str">
        <f>IF(C371&lt;0,C371,"/")</f>
        <v>/</v>
      </c>
      <c r="E371" s="109">
        <f ca="1">IF(表2_36716262930381011[[#This Row],[累计净值]]/MAX(INDIRECT("B21:B" &amp; ROW()))-1&lt;E370,表2_36716262930381011[[#This Row],[累计净值]]/MAX(INDIRECT("B21:B" &amp; ROW()))-1,E370)</f>
        <v>-6.4389617798060517E-2</v>
      </c>
      <c r="F371" s="62">
        <f>表2_36716262930381011[[#This Row],[累计净值]]-0.1652</f>
        <v>1.1860999999999999</v>
      </c>
      <c r="G371" s="20">
        <f t="shared" ref="G371" si="198">IF(F371&gt;1.0292,0.5*(F371-1.0292),F371-1.0292)</f>
        <v>7.845000000000002E-2</v>
      </c>
    </row>
    <row r="372" spans="1:7" x14ac:dyDescent="0.2">
      <c r="A372" s="15">
        <v>44273</v>
      </c>
      <c r="B372" s="112">
        <v>1.3527</v>
      </c>
      <c r="C372" s="108">
        <f>IFERROR(B372-B371,0)</f>
        <v>1.4000000000000679E-3</v>
      </c>
      <c r="D372" s="109" t="str">
        <f>IF(C372&lt;0,C372,"/")</f>
        <v>/</v>
      </c>
      <c r="E372" s="109">
        <f ca="1">IF(表2_36716262930381011[[#This Row],[累计净值]]/MAX(INDIRECT("B21:B" &amp; ROW()))-1&lt;E371,表2_36716262930381011[[#This Row],[累计净值]]/MAX(INDIRECT("B21:B" &amp; ROW()))-1,E371)</f>
        <v>-6.4389617798060517E-2</v>
      </c>
      <c r="F372" s="62">
        <f>表2_36716262930381011[[#This Row],[累计净值]]-0.1652</f>
        <v>1.1875</v>
      </c>
      <c r="G372" s="20">
        <f t="shared" ref="G372" si="199">IF(F372&gt;1.0292,0.5*(F372-1.0292),F372-1.0292)</f>
        <v>7.9150000000000054E-2</v>
      </c>
    </row>
    <row r="373" spans="1:7" x14ac:dyDescent="0.2">
      <c r="A373" s="15">
        <v>44274</v>
      </c>
      <c r="B373" s="112">
        <v>1.3523000000000001</v>
      </c>
      <c r="C373" s="108">
        <f>IFERROR(B373-B372,0)</f>
        <v>-3.9999999999995595E-4</v>
      </c>
      <c r="D373" s="109">
        <f>IF(C373&lt;0,C373,"/")</f>
        <v>-3.9999999999995595E-4</v>
      </c>
      <c r="E373" s="109">
        <f ca="1">IF(表2_36716262930381011[[#This Row],[累计净值]]/MAX(INDIRECT("B21:B" &amp; ROW()))-1&lt;E372,表2_36716262930381011[[#This Row],[累计净值]]/MAX(INDIRECT("B21:B" &amp; ROW()))-1,E372)</f>
        <v>-6.4389617798060517E-2</v>
      </c>
      <c r="F373" s="62">
        <f>表2_36716262930381011[[#This Row],[累计净值]]-0.1652</f>
        <v>1.1871</v>
      </c>
      <c r="G373" s="20">
        <f t="shared" ref="G373" si="200">IF(F373&gt;1.0292,0.5*(F373-1.0292),F373-1.0292)</f>
        <v>7.8950000000000076E-2</v>
      </c>
    </row>
    <row r="374" spans="1:7" x14ac:dyDescent="0.2">
      <c r="A374" s="15">
        <v>44277</v>
      </c>
      <c r="B374" s="112">
        <v>1.3549</v>
      </c>
      <c r="C374" s="108">
        <f>IFERROR(B374-B373,0)</f>
        <v>2.5999999999999357E-3</v>
      </c>
      <c r="D374" s="109" t="str">
        <f>IF(C374&lt;0,C374,"/")</f>
        <v>/</v>
      </c>
      <c r="E374" s="109">
        <f ca="1">IF(表2_36716262930381011[[#This Row],[累计净值]]/MAX(INDIRECT("B21:B" &amp; ROW()))-1&lt;E373,表2_36716262930381011[[#This Row],[累计净值]]/MAX(INDIRECT("B21:B" &amp; ROW()))-1,E373)</f>
        <v>-6.4389617798060517E-2</v>
      </c>
      <c r="F374" s="62">
        <f>表2_36716262930381011[[#This Row],[累计净值]]-0.1652</f>
        <v>1.1897</v>
      </c>
      <c r="G374" s="20">
        <f t="shared" ref="G374:G376" si="201">IF(F374&gt;1.0292,0.5*(F374-1.0292),F374-1.0292)</f>
        <v>8.0250000000000044E-2</v>
      </c>
    </row>
    <row r="375" spans="1:7" x14ac:dyDescent="0.2">
      <c r="A375" s="15">
        <v>44278</v>
      </c>
      <c r="B375" s="112">
        <v>1.3549</v>
      </c>
      <c r="C375" s="108">
        <f t="shared" ref="C375:C378" si="202">IFERROR(B375-B374,0)</f>
        <v>0</v>
      </c>
      <c r="D375" s="109" t="str">
        <f t="shared" ref="D375:D378" si="203">IF(C375&lt;0,C375,"/")</f>
        <v>/</v>
      </c>
      <c r="E375" s="109">
        <f ca="1">IF(表2_36716262930381011[[#This Row],[累计净值]]/MAX(INDIRECT("B21:B" &amp; ROW()))-1&lt;E374,表2_36716262930381011[[#This Row],[累计净值]]/MAX(INDIRECT("B21:B" &amp; ROW()))-1,E374)</f>
        <v>-6.4389617798060517E-2</v>
      </c>
      <c r="F375" s="62">
        <f>表2_36716262930381011[[#This Row],[累计净值]]-0.1652</f>
        <v>1.1897</v>
      </c>
      <c r="G375" s="20">
        <f t="shared" si="201"/>
        <v>8.0250000000000044E-2</v>
      </c>
    </row>
    <row r="376" spans="1:7" x14ac:dyDescent="0.2">
      <c r="A376" s="15">
        <v>44279</v>
      </c>
      <c r="B376" s="112">
        <v>1.3507</v>
      </c>
      <c r="C376" s="108">
        <f t="shared" si="202"/>
        <v>-4.1999999999999815E-3</v>
      </c>
      <c r="D376" s="109">
        <f t="shared" si="203"/>
        <v>-4.1999999999999815E-3</v>
      </c>
      <c r="E376" s="109">
        <f ca="1">IF(表2_36716262930381011[[#This Row],[累计净值]]/MAX(INDIRECT("B21:B" &amp; ROW()))-1&lt;E375,表2_36716262930381011[[#This Row],[累计净值]]/MAX(INDIRECT("B21:B" &amp; ROW()))-1,E375)</f>
        <v>-6.4389617798060517E-2</v>
      </c>
      <c r="F376" s="62">
        <f>表2_36716262930381011[[#This Row],[累计净值]]-0.1652</f>
        <v>1.1855</v>
      </c>
      <c r="G376" s="20">
        <f t="shared" si="201"/>
        <v>7.8150000000000053E-2</v>
      </c>
    </row>
    <row r="377" spans="1:7" x14ac:dyDescent="0.2">
      <c r="A377" s="15">
        <v>44280</v>
      </c>
      <c r="B377" s="112">
        <v>1.3506</v>
      </c>
      <c r="C377" s="108">
        <f t="shared" si="202"/>
        <v>-9.9999999999988987E-5</v>
      </c>
      <c r="D377" s="109">
        <f t="shared" si="203"/>
        <v>-9.9999999999988987E-5</v>
      </c>
      <c r="E377" s="109">
        <f ca="1">IF(表2_36716262930381011[[#This Row],[累计净值]]/MAX(INDIRECT("B21:B" &amp; ROW()))-1&lt;E376,表2_36716262930381011[[#This Row],[累计净值]]/MAX(INDIRECT("B21:B" &amp; ROW()))-1,E376)</f>
        <v>-6.4389617798060517E-2</v>
      </c>
      <c r="F377" s="62">
        <f>表2_36716262930381011[[#This Row],[累计净值]]-0.1652</f>
        <v>1.1854</v>
      </c>
      <c r="G377" s="20">
        <f t="shared" ref="G377:G378" si="204">IF(F377&gt;1.0292,0.5*(F377-1.0292),F377-1.0292)</f>
        <v>7.8100000000000058E-2</v>
      </c>
    </row>
    <row r="378" spans="1:7" x14ac:dyDescent="0.2">
      <c r="A378" s="15">
        <v>44281</v>
      </c>
      <c r="B378" s="112">
        <v>1.3547</v>
      </c>
      <c r="C378" s="108">
        <f t="shared" si="202"/>
        <v>4.0999999999999925E-3</v>
      </c>
      <c r="D378" s="109" t="str">
        <f t="shared" si="203"/>
        <v>/</v>
      </c>
      <c r="E378" s="109">
        <f ca="1">IF(表2_36716262930381011[[#This Row],[累计净值]]/MAX(INDIRECT("B21:B" &amp; ROW()))-1&lt;E377,表2_36716262930381011[[#This Row],[累计净值]]/MAX(INDIRECT("B21:B" &amp; ROW()))-1,E377)</f>
        <v>-6.4389617798060517E-2</v>
      </c>
      <c r="F378" s="62">
        <f>表2_36716262930381011[[#This Row],[累计净值]]-0.1652</f>
        <v>1.1895</v>
      </c>
      <c r="G378" s="20">
        <f t="shared" si="204"/>
        <v>8.0150000000000055E-2</v>
      </c>
    </row>
    <row r="379" spans="1:7" x14ac:dyDescent="0.2">
      <c r="A379" s="15">
        <v>44284</v>
      </c>
      <c r="B379" s="112">
        <v>1.3553999999999999</v>
      </c>
      <c r="C379" s="108">
        <f t="shared" ref="C379:C385" si="205">IFERROR(B379-B378,0)</f>
        <v>6.9999999999992291E-4</v>
      </c>
      <c r="D379" s="109" t="str">
        <f t="shared" ref="D379:D385" si="206">IF(C379&lt;0,C379,"/")</f>
        <v>/</v>
      </c>
      <c r="E379" s="109">
        <f ca="1">IF(表2_36716262930381011[[#This Row],[累计净值]]/MAX(INDIRECT("B21:B" &amp; ROW()))-1&lt;E378,表2_36716262930381011[[#This Row],[累计净值]]/MAX(INDIRECT("B21:B" &amp; ROW()))-1,E378)</f>
        <v>-6.4389617798060517E-2</v>
      </c>
      <c r="F379" s="62">
        <f>表2_36716262930381011[[#This Row],[累计净值]]-0.1652</f>
        <v>1.1901999999999999</v>
      </c>
      <c r="G379" s="20">
        <f t="shared" ref="G379:G380" si="207">IF(F379&gt;1.0292,0.5*(F379-1.0292),F379-1.0292)</f>
        <v>8.0500000000000016E-2</v>
      </c>
    </row>
    <row r="380" spans="1:7" x14ac:dyDescent="0.2">
      <c r="A380" s="15">
        <v>44285</v>
      </c>
      <c r="B380" s="112">
        <v>1.3555999999999999</v>
      </c>
      <c r="C380" s="108">
        <f t="shared" si="205"/>
        <v>1.9999999999997797E-4</v>
      </c>
      <c r="D380" s="109" t="str">
        <f t="shared" si="206"/>
        <v>/</v>
      </c>
      <c r="E380" s="109">
        <f ca="1">IF(表2_36716262930381011[[#This Row],[累计净值]]/MAX(INDIRECT("B21:B" &amp; ROW()))-1&lt;E379,表2_36716262930381011[[#This Row],[累计净值]]/MAX(INDIRECT("B21:B" &amp; ROW()))-1,E379)</f>
        <v>-6.4389617798060517E-2</v>
      </c>
      <c r="F380" s="62">
        <f>表2_36716262930381011[[#This Row],[累计净值]]-0.1652</f>
        <v>1.1903999999999999</v>
      </c>
      <c r="G380" s="20">
        <f t="shared" si="207"/>
        <v>8.0600000000000005E-2</v>
      </c>
    </row>
    <row r="381" spans="1:7" x14ac:dyDescent="0.2">
      <c r="A381" s="15">
        <v>44286</v>
      </c>
      <c r="B381" s="112">
        <v>1.3544</v>
      </c>
      <c r="C381" s="108">
        <f t="shared" si="205"/>
        <v>-1.1999999999998678E-3</v>
      </c>
      <c r="D381" s="109">
        <f t="shared" si="206"/>
        <v>-1.1999999999998678E-3</v>
      </c>
      <c r="E381" s="109">
        <f ca="1">IF(表2_36716262930381011[[#This Row],[累计净值]]/MAX(INDIRECT("B21:B" &amp; ROW()))-1&lt;E380,表2_36716262930381011[[#This Row],[累计净值]]/MAX(INDIRECT("B21:B" &amp; ROW()))-1,E380)</f>
        <v>-6.4389617798060517E-2</v>
      </c>
      <c r="F381" s="62">
        <f>表2_36716262930381011[[#This Row],[累计净值]]-0.1652</f>
        <v>1.1892</v>
      </c>
      <c r="G381" s="20">
        <f t="shared" ref="G381" si="208">IF(F381&gt;1.0292,0.5*(F381-1.0292),F381-1.0292)</f>
        <v>8.0000000000000071E-2</v>
      </c>
    </row>
    <row r="382" spans="1:7" x14ac:dyDescent="0.2">
      <c r="A382" s="15">
        <v>44287</v>
      </c>
      <c r="B382" s="112">
        <v>1.3553999999999999</v>
      </c>
      <c r="C382" s="108">
        <f t="shared" si="205"/>
        <v>9.9999999999988987E-4</v>
      </c>
      <c r="D382" s="109" t="str">
        <f t="shared" si="206"/>
        <v>/</v>
      </c>
      <c r="E382" s="109">
        <f ca="1">IF(表2_36716262930381011[[#This Row],[累计净值]]/MAX(INDIRECT("B21:B" &amp; ROW()))-1&lt;E381,表2_36716262930381011[[#This Row],[累计净值]]/MAX(INDIRECT("B21:B" &amp; ROW()))-1,E381)</f>
        <v>-6.4389617798060517E-2</v>
      </c>
      <c r="F382" s="62">
        <f>表2_36716262930381011[[#This Row],[累计净值]]-0.1652</f>
        <v>1.1901999999999999</v>
      </c>
      <c r="G382" s="20">
        <f t="shared" ref="G382" si="209">IF(F382&gt;1.0292,0.5*(F382-1.0292),F382-1.0292)</f>
        <v>8.0500000000000016E-2</v>
      </c>
    </row>
    <row r="383" spans="1:7" x14ac:dyDescent="0.2">
      <c r="A383" s="15">
        <v>44288</v>
      </c>
      <c r="B383" s="112">
        <v>1.3557999999999999</v>
      </c>
      <c r="C383" s="108">
        <f t="shared" si="205"/>
        <v>3.9999999999995595E-4</v>
      </c>
      <c r="D383" s="109" t="str">
        <f t="shared" si="206"/>
        <v>/</v>
      </c>
      <c r="E383" s="109">
        <f ca="1">IF(表2_36716262930381011[[#This Row],[累计净值]]/MAX(INDIRECT("B21:B" &amp; ROW()))-1&lt;E382,表2_36716262930381011[[#This Row],[累计净值]]/MAX(INDIRECT("B21:B" &amp; ROW()))-1,E382)</f>
        <v>-6.4389617798060517E-2</v>
      </c>
      <c r="F383" s="62">
        <f>表2_36716262930381011[[#This Row],[累计净值]]-0.1652</f>
        <v>1.1905999999999999</v>
      </c>
      <c r="G383" s="20">
        <f t="shared" ref="G383" si="210">IF(F383&gt;1.0292,0.5*(F383-1.0292),F383-1.0292)</f>
        <v>8.0699999999999994E-2</v>
      </c>
    </row>
    <row r="384" spans="1:7" x14ac:dyDescent="0.2">
      <c r="A384" s="15">
        <v>44292</v>
      </c>
      <c r="B384" s="112">
        <v>1.3568</v>
      </c>
      <c r="C384" s="108">
        <f t="shared" si="205"/>
        <v>1.0000000000001119E-3</v>
      </c>
      <c r="D384" s="109" t="str">
        <f t="shared" si="206"/>
        <v>/</v>
      </c>
      <c r="E384" s="109">
        <f ca="1">IF(表2_36716262930381011[[#This Row],[累计净值]]/MAX(INDIRECT("B21:B" &amp; ROW()))-1&lt;E383,表2_36716262930381011[[#This Row],[累计净值]]/MAX(INDIRECT("B21:B" &amp; ROW()))-1,E383)</f>
        <v>-6.4389617798060517E-2</v>
      </c>
      <c r="F384" s="62">
        <f>表2_36716262930381011[[#This Row],[累计净值]]-0.1652</f>
        <v>1.1916</v>
      </c>
      <c r="G384" s="20">
        <f t="shared" ref="G384" si="211">IF(F384&gt;1.0292,0.5*(F384-1.0292),F384-1.0292)</f>
        <v>8.120000000000005E-2</v>
      </c>
    </row>
    <row r="385" spans="1:7" x14ac:dyDescent="0.2">
      <c r="A385" s="15">
        <v>44293</v>
      </c>
      <c r="B385" s="112">
        <v>1.355</v>
      </c>
      <c r="C385" s="108">
        <f t="shared" si="205"/>
        <v>-1.8000000000000238E-3</v>
      </c>
      <c r="D385" s="109">
        <f t="shared" si="206"/>
        <v>-1.8000000000000238E-3</v>
      </c>
      <c r="E385" s="109">
        <f ca="1">IF(表2_36716262930381011[[#This Row],[累计净值]]/MAX(INDIRECT("B21:B" &amp; ROW()))-1&lt;E384,表2_36716262930381011[[#This Row],[累计净值]]/MAX(INDIRECT("B21:B" &amp; ROW()))-1,E384)</f>
        <v>-6.4389617798060517E-2</v>
      </c>
      <c r="F385" s="62">
        <f>表2_36716262930381011[[#This Row],[累计净值]]-0.1652</f>
        <v>1.1898</v>
      </c>
      <c r="G385" s="20">
        <f t="shared" ref="G385" si="212">IF(F385&gt;1.0292,0.5*(F385-1.0292),F385-1.0292)</f>
        <v>8.0300000000000038E-2</v>
      </c>
    </row>
    <row r="386" spans="1:7" x14ac:dyDescent="0.2">
      <c r="A386" s="15">
        <v>44294</v>
      </c>
      <c r="B386" s="112">
        <v>1.355</v>
      </c>
      <c r="C386" s="108">
        <f t="shared" ref="C386:C391" si="213">IFERROR(B386-B385,0)</f>
        <v>0</v>
      </c>
      <c r="D386" s="109" t="str">
        <f t="shared" ref="D386:D391" si="214">IF(C386&lt;0,C386,"/")</f>
        <v>/</v>
      </c>
      <c r="E386" s="109">
        <f ca="1">IF(表2_36716262930381011[[#This Row],[累计净值]]/MAX(INDIRECT("B21:B" &amp; ROW()))-1&lt;E385,表2_36716262930381011[[#This Row],[累计净值]]/MAX(INDIRECT("B21:B" &amp; ROW()))-1,E385)</f>
        <v>-6.4389617798060517E-2</v>
      </c>
      <c r="F386" s="62">
        <f>表2_36716262930381011[[#This Row],[累计净值]]-0.1652</f>
        <v>1.1898</v>
      </c>
      <c r="G386" s="20">
        <f t="shared" ref="G386" si="215">IF(F386&gt;1.0292,0.5*(F386-1.0292),F386-1.0292)</f>
        <v>8.0300000000000038E-2</v>
      </c>
    </row>
    <row r="387" spans="1:7" x14ac:dyDescent="0.2">
      <c r="A387" s="15">
        <v>44295</v>
      </c>
      <c r="B387" s="112">
        <v>1.3532999999999999</v>
      </c>
      <c r="C387" s="108">
        <f t="shared" si="213"/>
        <v>-1.7000000000000348E-3</v>
      </c>
      <c r="D387" s="109">
        <f t="shared" si="214"/>
        <v>-1.7000000000000348E-3</v>
      </c>
      <c r="E387" s="109">
        <f ca="1">IF(表2_36716262930381011[[#This Row],[累计净值]]/MAX(INDIRECT("B21:B" &amp; ROW()))-1&lt;E386,表2_36716262930381011[[#This Row],[累计净值]]/MAX(INDIRECT("B21:B" &amp; ROW()))-1,E386)</f>
        <v>-6.4389617798060517E-2</v>
      </c>
      <c r="F387" s="62">
        <f>表2_36716262930381011[[#This Row],[累计净值]]-0.1652</f>
        <v>1.1880999999999999</v>
      </c>
      <c r="G387" s="20">
        <f t="shared" ref="G387" si="216">IF(F387&gt;1.0292,0.5*(F387-1.0292),F387-1.0292)</f>
        <v>7.9450000000000021E-2</v>
      </c>
    </row>
    <row r="388" spans="1:7" x14ac:dyDescent="0.2">
      <c r="A388" s="15">
        <v>44298</v>
      </c>
      <c r="B388" s="112">
        <v>1.3512</v>
      </c>
      <c r="C388" s="108">
        <f t="shared" si="213"/>
        <v>-2.0999999999999908E-3</v>
      </c>
      <c r="D388" s="109">
        <f t="shared" si="214"/>
        <v>-2.0999999999999908E-3</v>
      </c>
      <c r="E388" s="109">
        <f ca="1">IF(表2_36716262930381011[[#This Row],[累计净值]]/MAX(INDIRECT("B21:B" &amp; ROW()))-1&lt;E387,表2_36716262930381011[[#This Row],[累计净值]]/MAX(INDIRECT("B21:B" &amp; ROW()))-1,E387)</f>
        <v>-6.4389617798060517E-2</v>
      </c>
      <c r="F388" s="62">
        <f>表2_36716262930381011[[#This Row],[累计净值]]-0.1652</f>
        <v>1.1859999999999999</v>
      </c>
      <c r="G388" s="20">
        <f t="shared" ref="G388" si="217">IF(F388&gt;1.0292,0.5*(F388-1.0292),F388-1.0292)</f>
        <v>7.8400000000000025E-2</v>
      </c>
    </row>
    <row r="389" spans="1:7" x14ac:dyDescent="0.2">
      <c r="A389" s="15">
        <v>44299</v>
      </c>
      <c r="B389" s="112">
        <v>1.3515999999999999</v>
      </c>
      <c r="C389" s="108">
        <f t="shared" si="213"/>
        <v>3.9999999999995595E-4</v>
      </c>
      <c r="D389" s="109" t="str">
        <f t="shared" si="214"/>
        <v>/</v>
      </c>
      <c r="E389" s="109">
        <f ca="1">IF(表2_36716262930381011[[#This Row],[累计净值]]/MAX(INDIRECT("B21:B" &amp; ROW()))-1&lt;E388,表2_36716262930381011[[#This Row],[累计净值]]/MAX(INDIRECT("B21:B" &amp; ROW()))-1,E388)</f>
        <v>-6.4389617798060517E-2</v>
      </c>
      <c r="F389" s="62">
        <f>表2_36716262930381011[[#This Row],[累计净值]]-0.1652</f>
        <v>1.1863999999999999</v>
      </c>
      <c r="G389" s="20">
        <f t="shared" ref="G389" si="218">IF(F389&gt;1.0292,0.5*(F389-1.0292),F389-1.0292)</f>
        <v>7.8600000000000003E-2</v>
      </c>
    </row>
    <row r="390" spans="1:7" x14ac:dyDescent="0.2">
      <c r="A390" s="15">
        <v>44300</v>
      </c>
      <c r="B390" s="112">
        <v>1.353</v>
      </c>
      <c r="C390" s="108">
        <f t="shared" si="213"/>
        <v>1.4000000000000679E-3</v>
      </c>
      <c r="D390" s="109" t="str">
        <f t="shared" si="214"/>
        <v>/</v>
      </c>
      <c r="E390" s="109">
        <f ca="1">IF(表2_36716262930381011[[#This Row],[累计净值]]/MAX(INDIRECT("B21:B" &amp; ROW()))-1&lt;E389,表2_36716262930381011[[#This Row],[累计净值]]/MAX(INDIRECT("B21:B" &amp; ROW()))-1,E389)</f>
        <v>-6.4389617798060517E-2</v>
      </c>
      <c r="F390" s="62">
        <f>表2_36716262930381011[[#This Row],[累计净值]]-0.1652</f>
        <v>1.1878</v>
      </c>
      <c r="G390" s="20">
        <f t="shared" ref="G390:G391" si="219">IF(F390&gt;1.0292,0.5*(F390-1.0292),F390-1.0292)</f>
        <v>7.9300000000000037E-2</v>
      </c>
    </row>
    <row r="391" spans="1:7" x14ac:dyDescent="0.2">
      <c r="A391" s="15">
        <v>44301</v>
      </c>
      <c r="B391" s="112">
        <v>1.3519000000000001</v>
      </c>
      <c r="C391" s="108">
        <f t="shared" si="213"/>
        <v>-1.0999999999998789E-3</v>
      </c>
      <c r="D391" s="109">
        <f t="shared" si="214"/>
        <v>-1.0999999999998789E-3</v>
      </c>
      <c r="E391" s="109">
        <f ca="1">IF(表2_36716262930381011[[#This Row],[累计净值]]/MAX(INDIRECT("B21:B" &amp; ROW()))-1&lt;E390,表2_36716262930381011[[#This Row],[累计净值]]/MAX(INDIRECT("B21:B" &amp; ROW()))-1,E390)</f>
        <v>-6.4389617798060517E-2</v>
      </c>
      <c r="F391" s="62">
        <f>表2_36716262930381011[[#This Row],[累计净值]]-0.1652</f>
        <v>1.1867000000000001</v>
      </c>
      <c r="G391" s="20">
        <f t="shared" si="219"/>
        <v>7.8750000000000098E-2</v>
      </c>
    </row>
    <row r="392" spans="1:7" x14ac:dyDescent="0.2">
      <c r="A392" s="15">
        <v>44302</v>
      </c>
      <c r="B392" s="112">
        <v>1.3472999999999999</v>
      </c>
      <c r="C392" s="108">
        <f t="shared" ref="C392:C398" si="220">IFERROR(B392-B391,0)</f>
        <v>-4.6000000000001595E-3</v>
      </c>
      <c r="D392" s="109">
        <f t="shared" ref="D392:D398" si="221">IF(C392&lt;0,C392,"/")</f>
        <v>-4.6000000000001595E-3</v>
      </c>
      <c r="E392" s="109">
        <f ca="1">IF(表2_36716262930381011[[#This Row],[累计净值]]/MAX(INDIRECT("B21:B" &amp; ROW()))-1&lt;E391,表2_36716262930381011[[#This Row],[累计净值]]/MAX(INDIRECT("B21:B" &amp; ROW()))-1,E391)</f>
        <v>-6.4389617798060517E-2</v>
      </c>
      <c r="F392" s="62">
        <f>表2_36716262930381011[[#This Row],[累计净值]]-0.1652</f>
        <v>1.1820999999999999</v>
      </c>
      <c r="G392" s="20">
        <f t="shared" ref="G392" si="222">IF(F392&gt;1.0292,0.5*(F392-1.0292),F392-1.0292)</f>
        <v>7.6450000000000018E-2</v>
      </c>
    </row>
    <row r="393" spans="1:7" x14ac:dyDescent="0.2">
      <c r="A393" s="15">
        <v>44305</v>
      </c>
      <c r="B393" s="112">
        <v>1.3531</v>
      </c>
      <c r="C393" s="108">
        <f t="shared" si="220"/>
        <v>5.8000000000000274E-3</v>
      </c>
      <c r="D393" s="109" t="str">
        <f t="shared" si="221"/>
        <v>/</v>
      </c>
      <c r="E393" s="109">
        <f ca="1">IF(表2_36716262930381011[[#This Row],[累计净值]]/MAX(INDIRECT("B21:B" &amp; ROW()))-1&lt;E392,表2_36716262930381011[[#This Row],[累计净值]]/MAX(INDIRECT("B21:B" &amp; ROW()))-1,E392)</f>
        <v>-6.4389617798060517E-2</v>
      </c>
      <c r="F393" s="62">
        <f>表2_36716262930381011[[#This Row],[累计净值]]-0.1652</f>
        <v>1.1879</v>
      </c>
      <c r="G393" s="20">
        <f t="shared" ref="G393" si="223">IF(F393&gt;1.0292,0.5*(F393-1.0292),F393-1.0292)</f>
        <v>7.9350000000000032E-2</v>
      </c>
    </row>
    <row r="394" spans="1:7" x14ac:dyDescent="0.2">
      <c r="A394" s="15">
        <v>44306</v>
      </c>
      <c r="B394" s="112">
        <v>1.3528</v>
      </c>
      <c r="C394" s="108">
        <f t="shared" si="220"/>
        <v>-2.9999999999996696E-4</v>
      </c>
      <c r="D394" s="109">
        <f t="shared" si="221"/>
        <v>-2.9999999999996696E-4</v>
      </c>
      <c r="E394" s="109">
        <f ca="1">IF(表2_36716262930381011[[#This Row],[累计净值]]/MAX(INDIRECT("B21:B" &amp; ROW()))-1&lt;E393,表2_36716262930381011[[#This Row],[累计净值]]/MAX(INDIRECT("B21:B" &amp; ROW()))-1,E393)</f>
        <v>-6.4389617798060517E-2</v>
      </c>
      <c r="F394" s="62">
        <f>表2_36716262930381011[[#This Row],[累计净值]]-0.1652</f>
        <v>1.1876</v>
      </c>
      <c r="G394" s="20">
        <f t="shared" ref="G394" si="224">IF(F394&gt;1.0292,0.5*(F394-1.0292),F394-1.0292)</f>
        <v>7.9200000000000048E-2</v>
      </c>
    </row>
    <row r="395" spans="1:7" x14ac:dyDescent="0.2">
      <c r="A395" s="15">
        <v>44307</v>
      </c>
      <c r="B395" s="112">
        <v>1.3551</v>
      </c>
      <c r="C395" s="108">
        <f t="shared" si="220"/>
        <v>2.2999999999999687E-3</v>
      </c>
      <c r="D395" s="109" t="str">
        <f t="shared" si="221"/>
        <v>/</v>
      </c>
      <c r="E395" s="109">
        <f ca="1">IF(表2_36716262930381011[[#This Row],[累计净值]]/MAX(INDIRECT("B21:B" &amp; ROW()))-1&lt;E394,表2_36716262930381011[[#This Row],[累计净值]]/MAX(INDIRECT("B21:B" &amp; ROW()))-1,E394)</f>
        <v>-6.4389617798060517E-2</v>
      </c>
      <c r="F395" s="62">
        <f>表2_36716262930381011[[#This Row],[累计净值]]-0.1652</f>
        <v>1.1899</v>
      </c>
      <c r="G395" s="20">
        <f t="shared" ref="G395" si="225">IF(F395&gt;1.0292,0.5*(F395-1.0292),F395-1.0292)</f>
        <v>8.0350000000000033E-2</v>
      </c>
    </row>
    <row r="396" spans="1:7" x14ac:dyDescent="0.2">
      <c r="A396" s="15">
        <v>44308</v>
      </c>
      <c r="B396" s="112">
        <v>1.3571</v>
      </c>
      <c r="C396" s="108">
        <f t="shared" si="220"/>
        <v>2.0000000000000018E-3</v>
      </c>
      <c r="D396" s="109" t="str">
        <f t="shared" si="221"/>
        <v>/</v>
      </c>
      <c r="E396" s="109">
        <f ca="1">IF(表2_36716262930381011[[#This Row],[累计净值]]/MAX(INDIRECT("B21:B" &amp; ROW()))-1&lt;E395,表2_36716262930381011[[#This Row],[累计净值]]/MAX(INDIRECT("B21:B" &amp; ROW()))-1,E395)</f>
        <v>-6.4389617798060517E-2</v>
      </c>
      <c r="F396" s="62">
        <f>表2_36716262930381011[[#This Row],[累计净值]]-0.1652</f>
        <v>1.1919</v>
      </c>
      <c r="G396" s="20">
        <f t="shared" ref="G396" si="226">IF(F396&gt;1.0292,0.5*(F396-1.0292),F396-1.0292)</f>
        <v>8.1350000000000033E-2</v>
      </c>
    </row>
    <row r="397" spans="1:7" x14ac:dyDescent="0.2">
      <c r="A397" s="15">
        <v>44309</v>
      </c>
      <c r="B397" s="112">
        <v>1.3567</v>
      </c>
      <c r="C397" s="108">
        <f t="shared" si="220"/>
        <v>-3.9999999999995595E-4</v>
      </c>
      <c r="D397" s="109">
        <f t="shared" si="221"/>
        <v>-3.9999999999995595E-4</v>
      </c>
      <c r="E397" s="109">
        <f ca="1">IF(表2_36716262930381011[[#This Row],[累计净值]]/MAX(INDIRECT("B21:B" &amp; ROW()))-1&lt;E396,表2_36716262930381011[[#This Row],[累计净值]]/MAX(INDIRECT("B21:B" &amp; ROW()))-1,E396)</f>
        <v>-6.4389617798060517E-2</v>
      </c>
      <c r="F397" s="62">
        <f>表2_36716262930381011[[#This Row],[累计净值]]-0.1652</f>
        <v>1.1915</v>
      </c>
      <c r="G397" s="20">
        <f t="shared" ref="G397" si="227">IF(F397&gt;1.0292,0.5*(F397-1.0292),F397-1.0292)</f>
        <v>8.1150000000000055E-2</v>
      </c>
    </row>
    <row r="398" spans="1:7" x14ac:dyDescent="0.2">
      <c r="A398" s="15">
        <v>44312</v>
      </c>
      <c r="B398" s="112">
        <v>1.3593</v>
      </c>
      <c r="C398" s="108">
        <f t="shared" si="220"/>
        <v>2.5999999999999357E-3</v>
      </c>
      <c r="D398" s="109" t="str">
        <f t="shared" si="221"/>
        <v>/</v>
      </c>
      <c r="E398" s="109">
        <f ca="1">IF(表2_36716262930381011[[#This Row],[累计净值]]/MAX(INDIRECT("B21:B" &amp; ROW()))-1&lt;E397,表2_36716262930381011[[#This Row],[累计净值]]/MAX(INDIRECT("B21:B" &amp; ROW()))-1,E397)</f>
        <v>-6.4389617798060517E-2</v>
      </c>
      <c r="F398" s="62">
        <f>表2_36716262930381011[[#This Row],[累计净值]]-0.1652</f>
        <v>1.1940999999999999</v>
      </c>
      <c r="G398" s="20">
        <f t="shared" ref="G398" si="228">IF(F398&gt;1.0292,0.5*(F398-1.0292),F398-1.0292)</f>
        <v>8.2450000000000023E-2</v>
      </c>
    </row>
    <row r="399" spans="1:7" x14ac:dyDescent="0.2">
      <c r="A399" s="15">
        <v>44313</v>
      </c>
      <c r="B399" s="112">
        <v>1.3604000000000001</v>
      </c>
      <c r="C399" s="108">
        <f t="shared" ref="C399:C400" si="229">IFERROR(B399-B398,0)</f>
        <v>1.1000000000001009E-3</v>
      </c>
      <c r="D399" s="109" t="str">
        <f t="shared" ref="D399:D400" si="230">IF(C399&lt;0,C399,"/")</f>
        <v>/</v>
      </c>
      <c r="E399" s="109">
        <f ca="1">IF(表2_36716262930381011[[#This Row],[累计净值]]/MAX(INDIRECT("B21:B" &amp; ROW()))-1&lt;E398,表2_36716262930381011[[#This Row],[累计净值]]/MAX(INDIRECT("B21:B" &amp; ROW()))-1,E398)</f>
        <v>-6.4389617798060517E-2</v>
      </c>
      <c r="F399" s="62">
        <f>表2_36716262930381011[[#This Row],[累计净值]]-0.1652</f>
        <v>1.1952</v>
      </c>
      <c r="G399" s="20">
        <f t="shared" ref="G399:G400" si="231">IF(F399&gt;1.0292,0.5*(F399-1.0292),F399-1.0292)</f>
        <v>8.3000000000000074E-2</v>
      </c>
    </row>
    <row r="400" spans="1:7" x14ac:dyDescent="0.2">
      <c r="A400" s="15">
        <v>44314</v>
      </c>
      <c r="B400" s="112">
        <v>1.3603000000000001</v>
      </c>
      <c r="C400" s="108">
        <f t="shared" si="229"/>
        <v>-9.9999999999988987E-5</v>
      </c>
      <c r="D400" s="109">
        <f t="shared" si="230"/>
        <v>-9.9999999999988987E-5</v>
      </c>
      <c r="E400" s="109">
        <f ca="1">IF(表2_36716262930381011[[#This Row],[累计净值]]/MAX(INDIRECT("B21:B" &amp; ROW()))-1&lt;E399,表2_36716262930381011[[#This Row],[累计净值]]/MAX(INDIRECT("B21:B" &amp; ROW()))-1,E399)</f>
        <v>-6.4389617798060517E-2</v>
      </c>
      <c r="F400" s="62">
        <f>表2_36716262930381011[[#This Row],[累计净值]]-0.1652</f>
        <v>1.1951000000000001</v>
      </c>
      <c r="G400" s="20">
        <f t="shared" si="231"/>
        <v>8.2950000000000079E-2</v>
      </c>
    </row>
    <row r="401" spans="1:7" x14ac:dyDescent="0.2">
      <c r="A401" s="15">
        <v>44315</v>
      </c>
      <c r="B401" s="112">
        <v>1.3635999999999999</v>
      </c>
      <c r="C401" s="108">
        <f>IFERROR(B401-B400,0)</f>
        <v>3.2999999999998586E-3</v>
      </c>
      <c r="D401" s="109" t="str">
        <f>IF(C401&lt;0,C401,"/")</f>
        <v>/</v>
      </c>
      <c r="E401" s="109">
        <f ca="1">IF(表2_36716262930381011[[#This Row],[累计净值]]/MAX(INDIRECT("B21:B" &amp; ROW()))-1&lt;E400,表2_36716262930381011[[#This Row],[累计净值]]/MAX(INDIRECT("B21:B" &amp; ROW()))-1,E400)</f>
        <v>-6.4389617798060517E-2</v>
      </c>
      <c r="F401" s="62">
        <f>表2_36716262930381011[[#This Row],[累计净值]]-0.1652</f>
        <v>1.1983999999999999</v>
      </c>
      <c r="G401" s="20">
        <f t="shared" ref="G401" si="232">IF(F401&gt;1.0292,0.5*(F401-1.0292),F401-1.0292)</f>
        <v>8.4600000000000009E-2</v>
      </c>
    </row>
    <row r="402" spans="1:7" x14ac:dyDescent="0.2">
      <c r="A402" s="15">
        <v>44316</v>
      </c>
      <c r="B402" s="112">
        <v>1.3586</v>
      </c>
      <c r="C402" s="108">
        <f t="shared" ref="C402:C403" si="233">IFERROR(B402-B401,0)</f>
        <v>-4.9999999999998934E-3</v>
      </c>
      <c r="D402" s="109">
        <f t="shared" ref="D402:D403" si="234">IF(C402&lt;0,C402,"/")</f>
        <v>-4.9999999999998934E-3</v>
      </c>
      <c r="E402" s="109">
        <f ca="1">IF(表2_36716262930381011[[#This Row],[累计净值]]/MAX(INDIRECT("B21:B" &amp; ROW()))-1&lt;E401,表2_36716262930381011[[#This Row],[累计净值]]/MAX(INDIRECT("B21:B" &amp; ROW()))-1,E401)</f>
        <v>-6.4389617798060517E-2</v>
      </c>
      <c r="F402" s="62">
        <f>表2_36716262930381011[[#This Row],[累计净值]]-0.1652</f>
        <v>1.1934</v>
      </c>
      <c r="G402" s="20">
        <f t="shared" ref="G402:G403" si="235">IF(F402&gt;1.0292,0.5*(F402-1.0292),F402-1.0292)</f>
        <v>8.2100000000000062E-2</v>
      </c>
    </row>
    <row r="403" spans="1:7" x14ac:dyDescent="0.2">
      <c r="A403" s="15">
        <v>44322</v>
      </c>
      <c r="B403" s="112">
        <v>1.3607</v>
      </c>
      <c r="C403" s="108">
        <f t="shared" si="233"/>
        <v>2.0999999999999908E-3</v>
      </c>
      <c r="D403" s="109" t="str">
        <f t="shared" si="234"/>
        <v>/</v>
      </c>
      <c r="E403" s="109">
        <f ca="1">IF(表2_36716262930381011[[#This Row],[累计净值]]/MAX(INDIRECT("B21:B" &amp; ROW()))-1&lt;E402,表2_36716262930381011[[#This Row],[累计净值]]/MAX(INDIRECT("B21:B" &amp; ROW()))-1,E402)</f>
        <v>-6.4389617798060517E-2</v>
      </c>
      <c r="F403" s="62">
        <f>表2_36716262930381011[[#This Row],[累计净值]]-0.1652</f>
        <v>1.1955</v>
      </c>
      <c r="G403" s="20">
        <f t="shared" si="235"/>
        <v>8.3150000000000057E-2</v>
      </c>
    </row>
  </sheetData>
  <mergeCells count="1">
    <mergeCell ref="G2:G3"/>
  </mergeCells>
  <phoneticPr fontId="24" type="noConversion"/>
  <pageMargins left="0.7" right="0.7" top="0.75" bottom="0.75" header="0.3" footer="0.3"/>
  <pageSetup paperSize="9" orientation="portrait" horizontalDpi="200" verticalDpi="200" r:id="rId1"/>
  <drawing r:id="rId2"/>
  <tableParts count="1">
    <tablePart r:id="rId3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1"/>
  </sheetPr>
  <dimension ref="A1:N438"/>
  <sheetViews>
    <sheetView workbookViewId="0">
      <pane xSplit="1" ySplit="20" topLeftCell="B425" activePane="bottomRight" state="frozen"/>
      <selection pane="topRight" activeCell="B1" sqref="B1"/>
      <selection pane="bottomLeft" activeCell="A21" sqref="A21"/>
      <selection pane="bottomRight" activeCell="N437" sqref="N437"/>
    </sheetView>
  </sheetViews>
  <sheetFormatPr defaultColWidth="9" defaultRowHeight="14.25" x14ac:dyDescent="0.2"/>
  <cols>
    <col min="1" max="1" width="11.625" style="1" bestFit="1" customWidth="1"/>
    <col min="2" max="2" width="13" style="1" customWidth="1"/>
    <col min="3" max="4" width="13.5" style="1" bestFit="1" customWidth="1"/>
    <col min="5" max="5" width="10.25" style="1" customWidth="1"/>
    <col min="6" max="6" width="11.125" style="1" customWidth="1"/>
    <col min="7" max="7" width="18.875" style="2" customWidth="1"/>
    <col min="8" max="8" width="9" style="1"/>
    <col min="9" max="9" width="14.25" style="1" customWidth="1"/>
    <col min="10" max="10" width="12" style="1" bestFit="1" customWidth="1"/>
    <col min="11" max="16384" width="9" style="1"/>
  </cols>
  <sheetData>
    <row r="1" spans="1:7" ht="15" thickBot="1" x14ac:dyDescent="0.25"/>
    <row r="2" spans="1:7" ht="15" thickBot="1" x14ac:dyDescent="0.25">
      <c r="A2" s="23" t="s">
        <v>0</v>
      </c>
      <c r="B2" s="24">
        <f>COUNT(表2_36716262930345[每日盈亏])</f>
        <v>418</v>
      </c>
      <c r="C2" s="27"/>
      <c r="D2" s="3" t="s">
        <v>1</v>
      </c>
      <c r="E2" s="28"/>
      <c r="F2" s="35" t="s">
        <v>2</v>
      </c>
      <c r="G2" s="394" t="s">
        <v>3</v>
      </c>
    </row>
    <row r="3" spans="1:7" x14ac:dyDescent="0.2">
      <c r="A3" s="25" t="s">
        <v>4</v>
      </c>
      <c r="B3" s="26">
        <f>COUNTIF(表2_36716262930345[每日盈亏],"&gt;0")</f>
        <v>210</v>
      </c>
      <c r="C3" s="29"/>
      <c r="D3" s="30" t="s">
        <v>5</v>
      </c>
      <c r="E3" s="31">
        <f>245^0.5*(B10-0.025/365)/E10</f>
        <v>2.0361169453681414</v>
      </c>
      <c r="F3" s="35"/>
      <c r="G3" s="394"/>
    </row>
    <row r="4" spans="1:7" x14ac:dyDescent="0.2">
      <c r="A4" s="25" t="s">
        <v>6</v>
      </c>
      <c r="B4" s="26">
        <f>COUNTIF(表2_36716262930345[每日盈亏],"&lt;0")</f>
        <v>187</v>
      </c>
      <c r="C4" s="29"/>
      <c r="D4" s="32" t="s">
        <v>7</v>
      </c>
      <c r="E4" s="31">
        <f ca="1">-B9/E8</f>
        <v>3.5337648855318675</v>
      </c>
      <c r="F4" s="35"/>
      <c r="G4" s="2">
        <f>LOOKUP(999^10,表2_36716262930345[累计净值])</f>
        <v>1.9610000000000001</v>
      </c>
    </row>
    <row r="5" spans="1:7" x14ac:dyDescent="0.2">
      <c r="A5" s="25" t="s">
        <v>8</v>
      </c>
      <c r="B5" s="26">
        <f>B2-B3-B4</f>
        <v>21</v>
      </c>
      <c r="C5" s="29"/>
      <c r="D5" s="33" t="s">
        <v>9</v>
      </c>
      <c r="E5" s="4">
        <f>245^0.5*(B10-0.025/365)/E9</f>
        <v>3.2426154958564863</v>
      </c>
      <c r="F5" s="35"/>
    </row>
    <row r="6" spans="1:7" ht="15" thickBot="1" x14ac:dyDescent="0.25">
      <c r="A6" s="34"/>
      <c r="B6" s="35"/>
      <c r="C6" s="35"/>
      <c r="D6" s="35"/>
      <c r="E6" s="36"/>
      <c r="F6" s="35"/>
    </row>
    <row r="7" spans="1:7" ht="15" thickBot="1" x14ac:dyDescent="0.25">
      <c r="A7" s="5" t="s">
        <v>10</v>
      </c>
      <c r="B7" s="35"/>
      <c r="C7" s="35"/>
      <c r="D7" s="3" t="s">
        <v>11</v>
      </c>
      <c r="E7" s="37"/>
      <c r="F7" s="35"/>
    </row>
    <row r="8" spans="1:7" x14ac:dyDescent="0.2">
      <c r="A8" s="38" t="s">
        <v>12</v>
      </c>
      <c r="B8" s="39">
        <f>LOOKUP(999^10,表2_36716262930345[累计净值])/$B$22-1</f>
        <v>0.66186440677966107</v>
      </c>
      <c r="C8" s="40"/>
      <c r="D8" s="30" t="s">
        <v>13</v>
      </c>
      <c r="E8" s="41">
        <f ca="1">MIN(表2_36716262930345[最大回撤])</f>
        <v>-0.10977948226270373</v>
      </c>
      <c r="F8" s="35"/>
    </row>
    <row r="9" spans="1:7" x14ac:dyDescent="0.2">
      <c r="A9" s="25" t="s">
        <v>14</v>
      </c>
      <c r="B9" s="32">
        <f>B8*245/B2</f>
        <v>0.38793487957181094</v>
      </c>
      <c r="C9" s="40"/>
      <c r="D9" s="33" t="s">
        <v>15</v>
      </c>
      <c r="E9" s="6">
        <f>STDEV(表2_36716262930345[下跌幅度])</f>
        <v>8.607620989270726E-3</v>
      </c>
      <c r="F9" s="35"/>
    </row>
    <row r="10" spans="1:7" x14ac:dyDescent="0.2">
      <c r="A10" s="42" t="s">
        <v>16</v>
      </c>
      <c r="B10" s="43">
        <f>AVERAGE(表2_36716262930345[每日盈亏])</f>
        <v>1.8516746411483254E-3</v>
      </c>
      <c r="C10" s="44"/>
      <c r="D10" s="33" t="s">
        <v>17</v>
      </c>
      <c r="E10" s="6">
        <f>STDEV(表2_36716262930345[每日盈亏])</f>
        <v>1.3708056045485291E-2</v>
      </c>
      <c r="F10" s="35"/>
    </row>
    <row r="11" spans="1:7" x14ac:dyDescent="0.2">
      <c r="A11" s="7" t="s">
        <v>18</v>
      </c>
      <c r="B11" s="32">
        <f>B3/B2</f>
        <v>0.50239234449760761</v>
      </c>
      <c r="C11" s="40"/>
      <c r="D11" s="32" t="s">
        <v>19</v>
      </c>
      <c r="E11" s="41">
        <f>245^0.5*E10</f>
        <v>0.21456501609957443</v>
      </c>
      <c r="F11" s="35"/>
    </row>
    <row r="12" spans="1:7" ht="15" thickBot="1" x14ac:dyDescent="0.25">
      <c r="A12" s="45" t="s">
        <v>20</v>
      </c>
      <c r="B12" s="46">
        <f>-(SUMIF(表2_36716262930345[每日盈亏],"&gt;=0")/B3)/(SUMIF(表2_36716262930345[每日盈亏],"&lt;0")/B4)</f>
        <v>1.2992713099474666</v>
      </c>
      <c r="C12" s="47"/>
      <c r="D12" s="48"/>
      <c r="E12" s="49"/>
      <c r="F12" s="35"/>
    </row>
    <row r="13" spans="1:7" x14ac:dyDescent="0.2">
      <c r="A13" s="35"/>
      <c r="B13" s="35"/>
      <c r="C13" s="35"/>
      <c r="D13" s="35"/>
      <c r="E13" s="35"/>
      <c r="F13" s="35"/>
    </row>
    <row r="14" spans="1:7" ht="28.5" x14ac:dyDescent="0.2">
      <c r="A14" s="50" t="s">
        <v>21</v>
      </c>
      <c r="B14" s="50" t="s">
        <v>14</v>
      </c>
      <c r="C14" s="51" t="s">
        <v>19</v>
      </c>
      <c r="D14" s="51" t="s">
        <v>13</v>
      </c>
      <c r="E14" s="51" t="s">
        <v>5</v>
      </c>
      <c r="F14" s="51" t="s">
        <v>7</v>
      </c>
    </row>
    <row r="15" spans="1:7" x14ac:dyDescent="0.2">
      <c r="A15" s="52">
        <f>B2</f>
        <v>418</v>
      </c>
      <c r="B15" s="53">
        <f>B9</f>
        <v>0.38793487957181094</v>
      </c>
      <c r="C15" s="53">
        <f>E11</f>
        <v>0.21456501609957443</v>
      </c>
      <c r="D15" s="53">
        <f ca="1">E8</f>
        <v>-0.10977948226270373</v>
      </c>
      <c r="E15" s="54">
        <f>E3</f>
        <v>2.0361169453681414</v>
      </c>
      <c r="F15" s="54">
        <f ca="1">E4</f>
        <v>3.5337648855318675</v>
      </c>
    </row>
    <row r="19" spans="1:7" x14ac:dyDescent="0.2">
      <c r="A19" s="8"/>
      <c r="B19" s="1" t="s">
        <v>22</v>
      </c>
    </row>
    <row r="20" spans="1:7" ht="15.75" x14ac:dyDescent="0.2">
      <c r="A20" s="22" t="s">
        <v>23</v>
      </c>
      <c r="B20" s="22" t="s">
        <v>24</v>
      </c>
      <c r="C20" s="22" t="s">
        <v>25</v>
      </c>
      <c r="D20" s="22" t="s">
        <v>26</v>
      </c>
      <c r="E20" s="22" t="s">
        <v>27</v>
      </c>
      <c r="F20" s="22" t="s">
        <v>28</v>
      </c>
      <c r="G20" s="22" t="s">
        <v>29</v>
      </c>
    </row>
    <row r="21" spans="1:7" x14ac:dyDescent="0.2">
      <c r="A21" s="55">
        <v>43698</v>
      </c>
      <c r="B21" s="56">
        <v>1.1870000000000001</v>
      </c>
      <c r="C21" s="57">
        <f t="shared" ref="C21:C28" si="0">IFERROR(B21-B20,0)</f>
        <v>0</v>
      </c>
      <c r="D21" s="58" t="str">
        <f t="shared" ref="D21:D30" si="1">IF(C21&lt;0,C21,"/")</f>
        <v>/</v>
      </c>
      <c r="E21" s="58">
        <f ca="1">IF(表2_36716262930345[[#This Row],[累计净值]]/MAX(INDIRECT("B21:B" &amp; ROW()))-1&lt;E20,表2_36716262930345[[#This Row],[累计净值]]/MAX(INDIRECT("B21:B" &amp; ROW()))-1,E20)</f>
        <v>0</v>
      </c>
      <c r="F21" s="21">
        <f>表2_36716262930345[[#This Row],[累计净值]]</f>
        <v>1.1870000000000001</v>
      </c>
      <c r="G21" s="59"/>
    </row>
    <row r="22" spans="1:7" x14ac:dyDescent="0.2">
      <c r="A22" s="9">
        <v>43699</v>
      </c>
      <c r="B22" s="10">
        <v>1.18</v>
      </c>
      <c r="C22" s="11">
        <f t="shared" si="0"/>
        <v>-7.0000000000001172E-3</v>
      </c>
      <c r="D22" s="12">
        <f t="shared" si="1"/>
        <v>-7.0000000000001172E-3</v>
      </c>
      <c r="E22" s="12">
        <f ca="1">IF(表2_36716262930345[[#This Row],[累计净值]]/MAX(INDIRECT("B21:B" &amp; ROW()))-1&lt;E21,表2_36716262930345[[#This Row],[累计净值]]/MAX(INDIRECT("B21:B" &amp; ROW()))-1,E21)</f>
        <v>-5.8972198820557153E-3</v>
      </c>
      <c r="F22" s="13">
        <f>表2_36716262930345[[#This Row],[累计净值]]</f>
        <v>1.18</v>
      </c>
      <c r="G22" s="14" t="s">
        <v>30</v>
      </c>
    </row>
    <row r="23" spans="1:7" x14ac:dyDescent="0.2">
      <c r="A23" s="15">
        <v>43700</v>
      </c>
      <c r="B23" s="16">
        <v>1.1719999999999999</v>
      </c>
      <c r="C23" s="17">
        <f t="shared" si="0"/>
        <v>-8.0000000000000071E-3</v>
      </c>
      <c r="D23" s="18">
        <f t="shared" si="1"/>
        <v>-8.0000000000000071E-3</v>
      </c>
      <c r="E23" s="18">
        <f ca="1">IF(表2_36716262930345[[#This Row],[累计净值]]/MAX(INDIRECT("B21:B" &amp; ROW()))-1&lt;E22,表2_36716262930345[[#This Row],[累计净值]]/MAX(INDIRECT("B21:B" &amp; ROW()))-1,E22)</f>
        <v>-1.263689974726212E-2</v>
      </c>
      <c r="F23" s="19">
        <f>表2_36716262930345[[#This Row],[累计净值]]</f>
        <v>1.1719999999999999</v>
      </c>
      <c r="G23" s="20">
        <f>表2_36716262930345[[#This Row],[累计净值]]/$B$22-1</f>
        <v>-6.7796610169491567E-3</v>
      </c>
    </row>
    <row r="24" spans="1:7" x14ac:dyDescent="0.2">
      <c r="A24" s="15">
        <v>43703</v>
      </c>
      <c r="B24" s="16">
        <v>1.1719999999999999</v>
      </c>
      <c r="C24" s="17">
        <f t="shared" si="0"/>
        <v>0</v>
      </c>
      <c r="D24" s="18" t="str">
        <f t="shared" si="1"/>
        <v>/</v>
      </c>
      <c r="E24" s="18">
        <f ca="1">IF(表2_36716262930345[[#This Row],[累计净值]]/MAX(INDIRECT("B21:B" &amp; ROW()))-1&lt;E23,表2_36716262930345[[#This Row],[累计净值]]/MAX(INDIRECT("B21:B" &amp; ROW()))-1,E23)</f>
        <v>-1.263689974726212E-2</v>
      </c>
      <c r="F24" s="19">
        <f>表2_36716262930345[[#This Row],[累计净值]]</f>
        <v>1.1719999999999999</v>
      </c>
      <c r="G24" s="20">
        <f>表2_36716262930345[[#This Row],[累计净值]]/$B$22-1</f>
        <v>-6.7796610169491567E-3</v>
      </c>
    </row>
    <row r="25" spans="1:7" x14ac:dyDescent="0.2">
      <c r="A25" s="15">
        <v>43704</v>
      </c>
      <c r="B25" s="16">
        <v>1.173</v>
      </c>
      <c r="C25" s="17">
        <f t="shared" si="0"/>
        <v>1.0000000000001119E-3</v>
      </c>
      <c r="D25" s="18" t="str">
        <f t="shared" si="1"/>
        <v>/</v>
      </c>
      <c r="E25" s="18">
        <f ca="1">IF(表2_36716262930345[[#This Row],[累计净值]]/MAX(INDIRECT("B21:B" &amp; ROW()))-1&lt;E24,表2_36716262930345[[#This Row],[累计净值]]/MAX(INDIRECT("B21:B" &amp; ROW()))-1,E24)</f>
        <v>-1.263689974726212E-2</v>
      </c>
      <c r="F25" s="19">
        <f>表2_36716262930345[[#This Row],[累计净值]]</f>
        <v>1.173</v>
      </c>
      <c r="G25" s="20">
        <f>表2_36716262930345[[#This Row],[累计净值]]/$B$22-1</f>
        <v>-5.9322033898304705E-3</v>
      </c>
    </row>
    <row r="26" spans="1:7" x14ac:dyDescent="0.2">
      <c r="A26" s="15">
        <v>43705</v>
      </c>
      <c r="B26" s="16">
        <v>1.1659999999999999</v>
      </c>
      <c r="C26" s="17">
        <f t="shared" si="0"/>
        <v>-7.0000000000001172E-3</v>
      </c>
      <c r="D26" s="18">
        <f t="shared" si="1"/>
        <v>-7.0000000000001172E-3</v>
      </c>
      <c r="E26" s="18">
        <f ca="1">IF(表2_36716262930345[[#This Row],[累计净值]]/MAX(INDIRECT("B21:B" &amp; ROW()))-1&lt;E25,表2_36716262930345[[#This Row],[累计净值]]/MAX(INDIRECT("B21:B" &amp; ROW()))-1,E25)</f>
        <v>-1.7691659646166924E-2</v>
      </c>
      <c r="F26" s="21">
        <f>表2_36716262930345[[#This Row],[累计净值]]</f>
        <v>1.1659999999999999</v>
      </c>
      <c r="G26" s="20">
        <f>表2_36716262930345[[#This Row],[累计净值]]/$B$22-1</f>
        <v>-1.1864406779661052E-2</v>
      </c>
    </row>
    <row r="27" spans="1:7" x14ac:dyDescent="0.2">
      <c r="A27" s="15">
        <v>43706</v>
      </c>
      <c r="B27" s="19">
        <v>1.1639999999999999</v>
      </c>
      <c r="C27" s="17">
        <f t="shared" si="0"/>
        <v>-2.0000000000000018E-3</v>
      </c>
      <c r="D27" s="18">
        <f t="shared" si="1"/>
        <v>-2.0000000000000018E-3</v>
      </c>
      <c r="E27" s="18">
        <f ca="1">IF(表2_36716262930345[[#This Row],[累计净值]]/MAX(INDIRECT("B21:B" &amp; ROW()))-1&lt;E26,表2_36716262930345[[#This Row],[累计净值]]/MAX(INDIRECT("B21:B" &amp; ROW()))-1,E26)</f>
        <v>-1.9376579612468525E-2</v>
      </c>
      <c r="F27" s="21">
        <f>表2_36716262930345[[#This Row],[累计净值]]</f>
        <v>1.1639999999999999</v>
      </c>
      <c r="G27" s="20">
        <f>表2_36716262930345[[#This Row],[累计净值]]/$B$22-1</f>
        <v>-1.3559322033898313E-2</v>
      </c>
    </row>
    <row r="28" spans="1:7" x14ac:dyDescent="0.2">
      <c r="A28" s="15">
        <v>43707</v>
      </c>
      <c r="B28" s="16">
        <v>1.161</v>
      </c>
      <c r="C28" s="17">
        <f t="shared" si="0"/>
        <v>-2.9999999999998916E-3</v>
      </c>
      <c r="D28" s="18">
        <f t="shared" si="1"/>
        <v>-2.9999999999998916E-3</v>
      </c>
      <c r="E28" s="18">
        <f ca="1">IF(表2_36716262930345[[#This Row],[累计净值]]/MAX(INDIRECT("B21:B" &amp; ROW()))-1&lt;E27,表2_36716262930345[[#This Row],[累计净值]]/MAX(INDIRECT("B21:B" &amp; ROW()))-1,E27)</f>
        <v>-2.1903959561920816E-2</v>
      </c>
      <c r="F28" s="75">
        <f>表2_36716262930345[[#This Row],[累计净值]]</f>
        <v>1.161</v>
      </c>
      <c r="G28" s="20">
        <f>表2_36716262930345[[#This Row],[累计净值]]/$B$22-1</f>
        <v>-1.610169491525415E-2</v>
      </c>
    </row>
    <row r="29" spans="1:7" x14ac:dyDescent="0.2">
      <c r="A29" s="15">
        <v>43710</v>
      </c>
      <c r="B29" s="16">
        <v>1.1579999999999999</v>
      </c>
      <c r="C29" s="73">
        <f>IFERROR(B29-B28,0)</f>
        <v>-3.0000000000001137E-3</v>
      </c>
      <c r="D29" s="18">
        <f t="shared" si="1"/>
        <v>-3.0000000000001137E-3</v>
      </c>
      <c r="E29" s="18">
        <f ca="1">IF(表2_36716262930345[[#This Row],[累计净值]]/MAX(INDIRECT("B21:B" &amp; ROW()))-1&lt;E28,表2_36716262930345[[#This Row],[累计净值]]/MAX(INDIRECT("B21:B" &amp; ROW()))-1,E28)</f>
        <v>-2.4431339511373329E-2</v>
      </c>
      <c r="F29" s="75">
        <f>表2_36716262930345[[#This Row],[累计净值]]</f>
        <v>1.1579999999999999</v>
      </c>
      <c r="G29" s="20">
        <f>表2_36716262930345[[#This Row],[累计净值]]/$B$22-1</f>
        <v>-1.8644067796610209E-2</v>
      </c>
    </row>
    <row r="30" spans="1:7" x14ac:dyDescent="0.2">
      <c r="A30" s="15">
        <v>43711</v>
      </c>
      <c r="B30" s="63">
        <v>1.1559999999999999</v>
      </c>
      <c r="C30" s="64">
        <f>IFERROR(B30-B29,0)</f>
        <v>-2.0000000000000018E-3</v>
      </c>
      <c r="D30" s="65">
        <f t="shared" si="1"/>
        <v>-2.0000000000000018E-3</v>
      </c>
      <c r="E30" s="65">
        <f ca="1">IF(表2_36716262930345[[#This Row],[累计净值]]/MAX(INDIRECT("B21:B" &amp; ROW()))-1&lt;E29,表2_36716262930345[[#This Row],[累计净值]]/MAX(INDIRECT("B21:B" &amp; ROW()))-1,E29)</f>
        <v>-2.611625947767493E-2</v>
      </c>
      <c r="F30" s="75">
        <f>表2_36716262930345[[#This Row],[累计净值]]</f>
        <v>1.1559999999999999</v>
      </c>
      <c r="G30" s="20">
        <f>表2_36716262930345[[#This Row],[累计净值]]/$B$22-1</f>
        <v>-2.033898305084747E-2</v>
      </c>
    </row>
    <row r="31" spans="1:7" x14ac:dyDescent="0.2">
      <c r="A31" s="15">
        <v>43712</v>
      </c>
      <c r="B31" s="16">
        <v>1.1559999999999999</v>
      </c>
      <c r="C31" s="73">
        <f t="shared" ref="C31:C36" si="2">IFERROR(B31-B30,0)</f>
        <v>0</v>
      </c>
      <c r="D31" s="18" t="str">
        <f t="shared" ref="D31:D36" si="3">IF(C31&lt;0,C31,"/")</f>
        <v>/</v>
      </c>
      <c r="E31" s="18">
        <f ca="1">IF(表2_36716262930345[[#This Row],[累计净值]]/MAX(INDIRECT("B21:B" &amp; ROW()))-1&lt;E30,表2_36716262930345[[#This Row],[累计净值]]/MAX(INDIRECT("B21:B" &amp; ROW()))-1,E30)</f>
        <v>-2.611625947767493E-2</v>
      </c>
      <c r="F31" s="75">
        <f>表2_36716262930345[[#This Row],[累计净值]]</f>
        <v>1.1559999999999999</v>
      </c>
      <c r="G31" s="20">
        <f>表2_36716262930345[[#This Row],[累计净值]]/$B$22-1</f>
        <v>-2.033898305084747E-2</v>
      </c>
    </row>
    <row r="32" spans="1:7" x14ac:dyDescent="0.2">
      <c r="A32" s="15">
        <v>43713</v>
      </c>
      <c r="B32" s="16">
        <v>1.159</v>
      </c>
      <c r="C32" s="73">
        <f t="shared" si="2"/>
        <v>3.0000000000001137E-3</v>
      </c>
      <c r="D32" s="18" t="str">
        <f t="shared" si="3"/>
        <v>/</v>
      </c>
      <c r="E32" s="18">
        <f ca="1">IF(表2_36716262930345[[#This Row],[累计净值]]/MAX(INDIRECT("B21:B" &amp; ROW()))-1&lt;E31,表2_36716262930345[[#This Row],[累计净值]]/MAX(INDIRECT("B21:B" &amp; ROW()))-1,E31)</f>
        <v>-2.611625947767493E-2</v>
      </c>
      <c r="F32" s="75">
        <f>表2_36716262930345[[#This Row],[累计净值]]</f>
        <v>1.159</v>
      </c>
      <c r="G32" s="20">
        <f>表2_36716262930345[[#This Row],[累计净值]]/$B$22-1</f>
        <v>-1.7796610169491411E-2</v>
      </c>
    </row>
    <row r="33" spans="1:14" x14ac:dyDescent="0.2">
      <c r="A33" s="15">
        <v>43714</v>
      </c>
      <c r="B33" s="16">
        <v>1.163</v>
      </c>
      <c r="C33" s="73">
        <f t="shared" si="2"/>
        <v>4.0000000000000036E-3</v>
      </c>
      <c r="D33" s="18" t="str">
        <f t="shared" si="3"/>
        <v>/</v>
      </c>
      <c r="E33" s="18">
        <f ca="1">IF(表2_36716262930345[[#This Row],[累计净值]]/MAX(INDIRECT("B21:B" &amp; ROW()))-1&lt;E32,表2_36716262930345[[#This Row],[累计净值]]/MAX(INDIRECT("B21:B" &amp; ROW()))-1,E32)</f>
        <v>-2.611625947767493E-2</v>
      </c>
      <c r="F33" s="75">
        <f>表2_36716262930345[[#This Row],[累计净值]]</f>
        <v>1.163</v>
      </c>
      <c r="G33" s="20">
        <f>表2_36716262930345[[#This Row],[累计净值]]/$B$22-1</f>
        <v>-1.4406779661016889E-2</v>
      </c>
    </row>
    <row r="34" spans="1:14" x14ac:dyDescent="0.2">
      <c r="A34" s="15">
        <v>43717</v>
      </c>
      <c r="B34" s="16">
        <v>1.1579999999999999</v>
      </c>
      <c r="C34" s="73">
        <f t="shared" si="2"/>
        <v>-5.0000000000001155E-3</v>
      </c>
      <c r="D34" s="18">
        <f t="shared" si="3"/>
        <v>-5.0000000000001155E-3</v>
      </c>
      <c r="E34" s="18">
        <f ca="1">IF(表2_36716262930345[[#This Row],[累计净值]]/MAX(INDIRECT("B21:B" &amp; ROW()))-1&lt;E33,表2_36716262930345[[#This Row],[累计净值]]/MAX(INDIRECT("B21:B" &amp; ROW()))-1,E33)</f>
        <v>-2.611625947767493E-2</v>
      </c>
      <c r="F34" s="62">
        <f>表2_36716262930345[[#This Row],[累计净值]]</f>
        <v>1.1579999999999999</v>
      </c>
      <c r="G34" s="20">
        <f>表2_36716262930345[[#This Row],[累计净值]]/$B$22-1</f>
        <v>-1.8644067796610209E-2</v>
      </c>
    </row>
    <row r="35" spans="1:14" x14ac:dyDescent="0.2">
      <c r="A35" s="15">
        <v>43718</v>
      </c>
      <c r="B35" s="16">
        <v>1.155</v>
      </c>
      <c r="C35" s="73">
        <f t="shared" si="2"/>
        <v>-2.9999999999998916E-3</v>
      </c>
      <c r="D35" s="18">
        <f t="shared" si="3"/>
        <v>-2.9999999999998916E-3</v>
      </c>
      <c r="E35" s="18">
        <f ca="1">IF(表2_36716262930345[[#This Row],[累计净值]]/MAX(INDIRECT("B21:B" &amp; ROW()))-1&lt;E34,表2_36716262930345[[#This Row],[累计净值]]/MAX(INDIRECT("B21:B" &amp; ROW()))-1,E34)</f>
        <v>-2.695871946082562E-2</v>
      </c>
      <c r="F35" s="62">
        <f>表2_36716262930345[[#This Row],[累计净值]]</f>
        <v>1.155</v>
      </c>
      <c r="G35" s="20">
        <f>表2_36716262930345[[#This Row],[累计净值]]/$B$22-1</f>
        <v>-2.1186440677966045E-2</v>
      </c>
    </row>
    <row r="36" spans="1:14" x14ac:dyDescent="0.2">
      <c r="A36" s="15">
        <v>43719</v>
      </c>
      <c r="B36" s="16">
        <v>1.153</v>
      </c>
      <c r="C36" s="73">
        <f t="shared" si="2"/>
        <v>-2.0000000000000018E-3</v>
      </c>
      <c r="D36" s="18">
        <f t="shared" si="3"/>
        <v>-2.0000000000000018E-3</v>
      </c>
      <c r="E36" s="18">
        <f ca="1">IF(表2_36716262930345[[#This Row],[累计净值]]/MAX(INDIRECT("B21:B" &amp; ROW()))-1&lt;E35,表2_36716262930345[[#This Row],[累计净值]]/MAX(INDIRECT("B21:B" &amp; ROW()))-1,E35)</f>
        <v>-2.8643639427127221E-2</v>
      </c>
      <c r="F36" s="62">
        <f>表2_36716262930345[[#This Row],[累计净值]]</f>
        <v>1.153</v>
      </c>
      <c r="G36" s="20">
        <f>表2_36716262930345[[#This Row],[累计净值]]/$B$22-1</f>
        <v>-2.2881355932203307E-2</v>
      </c>
      <c r="J36" s="68"/>
      <c r="K36" s="67"/>
      <c r="L36" s="67"/>
      <c r="M36" s="67"/>
      <c r="N36" s="67"/>
    </row>
    <row r="37" spans="1:14" x14ac:dyDescent="0.2">
      <c r="A37" s="15">
        <v>43720</v>
      </c>
      <c r="B37" s="16">
        <v>1.169</v>
      </c>
      <c r="C37" s="73">
        <f t="shared" ref="C37:C42" si="4">IFERROR(B37-B36,0)</f>
        <v>1.6000000000000014E-2</v>
      </c>
      <c r="D37" s="18" t="str">
        <f t="shared" ref="D37:D42" si="5">IF(C37&lt;0,C37,"/")</f>
        <v>/</v>
      </c>
      <c r="E37" s="18">
        <f ca="1">IF(表2_36716262930345[[#This Row],[累计净值]]/MAX(INDIRECT("B21:B" &amp; ROW()))-1&lt;E36,表2_36716262930345[[#This Row],[累计净值]]/MAX(INDIRECT("B21:B" &amp; ROW()))-1,E36)</f>
        <v>-2.8643639427127221E-2</v>
      </c>
      <c r="F37" s="62">
        <f>表2_36716262930345[[#This Row],[累计净值]]</f>
        <v>1.169</v>
      </c>
      <c r="G37" s="20">
        <f>表2_36716262930345[[#This Row],[累计净值]]/$B$22-1</f>
        <v>-9.3220338983049933E-3</v>
      </c>
      <c r="K37" s="67"/>
      <c r="L37" s="67"/>
      <c r="M37" s="67"/>
      <c r="N37" s="67"/>
    </row>
    <row r="38" spans="1:14" x14ac:dyDescent="0.2">
      <c r="A38" s="15">
        <v>43724</v>
      </c>
      <c r="B38" s="16">
        <v>1.1559999999999999</v>
      </c>
      <c r="C38" s="73">
        <f t="shared" si="4"/>
        <v>-1.3000000000000123E-2</v>
      </c>
      <c r="D38" s="18">
        <f t="shared" si="5"/>
        <v>-1.3000000000000123E-2</v>
      </c>
      <c r="E38" s="18">
        <f ca="1">IF(表2_36716262930345[[#This Row],[累计净值]]/MAX(INDIRECT("B21:B" &amp; ROW()))-1&lt;E37,表2_36716262930345[[#This Row],[累计净值]]/MAX(INDIRECT("B21:B" &amp; ROW()))-1,E37)</f>
        <v>-2.8643639427127221E-2</v>
      </c>
      <c r="F38" s="62">
        <f>表2_36716262930345[[#This Row],[累计净值]]</f>
        <v>1.1559999999999999</v>
      </c>
      <c r="G38" s="20">
        <f>表2_36716262930345[[#This Row],[累计净值]]/$B$22-1</f>
        <v>-2.033898305084747E-2</v>
      </c>
      <c r="J38" s="67"/>
      <c r="K38" s="67"/>
      <c r="L38" s="67"/>
      <c r="M38" s="67"/>
      <c r="N38" s="67"/>
    </row>
    <row r="39" spans="1:14" x14ac:dyDescent="0.2">
      <c r="A39" s="15">
        <v>43725</v>
      </c>
      <c r="B39" s="16">
        <v>1.143</v>
      </c>
      <c r="C39" s="73">
        <f t="shared" si="4"/>
        <v>-1.2999999999999901E-2</v>
      </c>
      <c r="D39" s="18">
        <f t="shared" si="5"/>
        <v>-1.2999999999999901E-2</v>
      </c>
      <c r="E39" s="18">
        <f ca="1">IF(表2_36716262930345[[#This Row],[累计净值]]/MAX(INDIRECT("B21:B" &amp; ROW()))-1&lt;E38,表2_36716262930345[[#This Row],[累计净值]]/MAX(INDIRECT("B21:B" &amp; ROW()))-1,E38)</f>
        <v>-3.7068239258635227E-2</v>
      </c>
      <c r="F39" s="62">
        <f>表2_36716262930345[[#This Row],[累计净值]]</f>
        <v>1.143</v>
      </c>
      <c r="G39" s="20">
        <f>表2_36716262930345[[#This Row],[累计净值]]/$B$22-1</f>
        <v>-3.1355932203389725E-2</v>
      </c>
      <c r="J39" s="69"/>
      <c r="K39" s="70"/>
      <c r="L39" s="70"/>
      <c r="M39" s="70"/>
      <c r="N39" s="70"/>
    </row>
    <row r="40" spans="1:14" x14ac:dyDescent="0.2">
      <c r="A40" s="15">
        <v>43726</v>
      </c>
      <c r="B40" s="16">
        <v>1.143</v>
      </c>
      <c r="C40" s="73">
        <f t="shared" si="4"/>
        <v>0</v>
      </c>
      <c r="D40" s="18" t="str">
        <f t="shared" si="5"/>
        <v>/</v>
      </c>
      <c r="E40" s="18">
        <f ca="1">IF(表2_36716262930345[[#This Row],[累计净值]]/MAX(INDIRECT("B21:B" &amp; ROW()))-1&lt;E39,表2_36716262930345[[#This Row],[累计净值]]/MAX(INDIRECT("B21:B" &amp; ROW()))-1,E39)</f>
        <v>-3.7068239258635227E-2</v>
      </c>
      <c r="F40" s="62">
        <f>表2_36716262930345[[#This Row],[累计净值]]</f>
        <v>1.143</v>
      </c>
      <c r="G40" s="20">
        <f>表2_36716262930345[[#This Row],[累计净值]]/$B$22-1</f>
        <v>-3.1355932203389725E-2</v>
      </c>
      <c r="J40" s="69"/>
      <c r="K40" s="70"/>
      <c r="L40" s="70"/>
      <c r="M40" s="70"/>
      <c r="N40" s="70"/>
    </row>
    <row r="41" spans="1:14" x14ac:dyDescent="0.2">
      <c r="A41" s="15">
        <v>43727</v>
      </c>
      <c r="B41" s="16">
        <v>1.127</v>
      </c>
      <c r="C41" s="73">
        <f t="shared" si="4"/>
        <v>-1.6000000000000014E-2</v>
      </c>
      <c r="D41" s="18">
        <f t="shared" si="5"/>
        <v>-1.6000000000000014E-2</v>
      </c>
      <c r="E41" s="18">
        <f ca="1">IF(表2_36716262930345[[#This Row],[累计净值]]/MAX(INDIRECT("B21:B" &amp; ROW()))-1&lt;E40,表2_36716262930345[[#This Row],[累计净值]]/MAX(INDIRECT("B21:B" &amp; ROW()))-1,E40)</f>
        <v>-5.0547598989048037E-2</v>
      </c>
      <c r="F41" s="62">
        <f>表2_36716262930345[[#This Row],[累计净值]]</f>
        <v>1.127</v>
      </c>
      <c r="G41" s="20">
        <f>表2_36716262930345[[#This Row],[累计净值]]/$B$22-1</f>
        <v>-4.4915254237288038E-2</v>
      </c>
      <c r="J41" s="69"/>
      <c r="K41" s="70"/>
      <c r="L41" s="70"/>
      <c r="M41" s="70"/>
      <c r="N41" s="70"/>
    </row>
    <row r="42" spans="1:14" x14ac:dyDescent="0.2">
      <c r="A42" s="15">
        <v>43728</v>
      </c>
      <c r="B42" s="16">
        <v>1.115</v>
      </c>
      <c r="C42" s="73">
        <f t="shared" si="4"/>
        <v>-1.2000000000000011E-2</v>
      </c>
      <c r="D42" s="18">
        <f t="shared" si="5"/>
        <v>-1.2000000000000011E-2</v>
      </c>
      <c r="E42" s="18">
        <f ca="1">IF(表2_36716262930345[[#This Row],[累计净值]]/MAX(INDIRECT("B21:B" &amp; ROW()))-1&lt;E41,表2_36716262930345[[#This Row],[累计净值]]/MAX(INDIRECT("B21:B" &amp; ROW()))-1,E41)</f>
        <v>-6.0657118786857644E-2</v>
      </c>
      <c r="F42" s="62">
        <f>表2_36716262930345[[#This Row],[累计净值]]</f>
        <v>1.115</v>
      </c>
      <c r="G42" s="20">
        <f>表2_36716262930345[[#This Row],[累计净值]]/$B$22-1</f>
        <v>-5.5084745762711829E-2</v>
      </c>
      <c r="J42" s="69"/>
      <c r="K42" s="70"/>
      <c r="L42" s="70"/>
      <c r="M42" s="70"/>
      <c r="N42" s="70"/>
    </row>
    <row r="43" spans="1:14" x14ac:dyDescent="0.2">
      <c r="A43" s="15">
        <v>43731</v>
      </c>
      <c r="B43" s="16">
        <v>1.1060000000000001</v>
      </c>
      <c r="C43" s="73">
        <f t="shared" ref="C43:C48" si="6">IFERROR(B43-B42,0)</f>
        <v>-8.999999999999897E-3</v>
      </c>
      <c r="D43" s="18">
        <f t="shared" ref="D43:D48" si="7">IF(C43&lt;0,C43,"/")</f>
        <v>-8.999999999999897E-3</v>
      </c>
      <c r="E43" s="18">
        <f ca="1">IF(表2_36716262930345[[#This Row],[累计净值]]/MAX(INDIRECT("B21:B" &amp; ROW()))-1&lt;E42,表2_36716262930345[[#This Row],[累计净值]]/MAX(INDIRECT("B21:B" &amp; ROW()))-1,E42)</f>
        <v>-6.8239258635214739E-2</v>
      </c>
      <c r="F43" s="62">
        <f>表2_36716262930345[[#This Row],[累计净值]]</f>
        <v>1.1060000000000001</v>
      </c>
      <c r="G43" s="20">
        <f>表2_36716262930345[[#This Row],[累计净值]]/$B$22-1</f>
        <v>-6.2711864406779561E-2</v>
      </c>
      <c r="J43" s="69"/>
      <c r="K43" s="70"/>
      <c r="L43" s="70"/>
      <c r="M43" s="70"/>
      <c r="N43" s="70"/>
    </row>
    <row r="44" spans="1:14" x14ac:dyDescent="0.2">
      <c r="A44" s="15">
        <v>43732</v>
      </c>
      <c r="B44" s="16">
        <v>1.1060000000000001</v>
      </c>
      <c r="C44" s="73">
        <f t="shared" si="6"/>
        <v>0</v>
      </c>
      <c r="D44" s="18" t="str">
        <f t="shared" si="7"/>
        <v>/</v>
      </c>
      <c r="E44" s="18">
        <f ca="1">IF(表2_36716262930345[[#This Row],[累计净值]]/MAX(INDIRECT("B21:B" &amp; ROW()))-1&lt;E43,表2_36716262930345[[#This Row],[累计净值]]/MAX(INDIRECT("B21:B" &amp; ROW()))-1,E43)</f>
        <v>-6.8239258635214739E-2</v>
      </c>
      <c r="F44" s="62">
        <f>表2_36716262930345[[#This Row],[累计净值]]</f>
        <v>1.1060000000000001</v>
      </c>
      <c r="G44" s="20">
        <f>表2_36716262930345[[#This Row],[累计净值]]/$B$22-1</f>
        <v>-6.2711864406779561E-2</v>
      </c>
      <c r="J44" s="69"/>
      <c r="K44" s="70"/>
      <c r="L44" s="70"/>
      <c r="M44" s="70"/>
      <c r="N44" s="70"/>
    </row>
    <row r="45" spans="1:14" x14ac:dyDescent="0.2">
      <c r="A45" s="15">
        <v>43733</v>
      </c>
      <c r="B45" s="16">
        <v>1.0980000000000001</v>
      </c>
      <c r="C45" s="73">
        <f t="shared" si="6"/>
        <v>-8.0000000000000071E-3</v>
      </c>
      <c r="D45" s="18">
        <f t="shared" si="7"/>
        <v>-8.0000000000000071E-3</v>
      </c>
      <c r="E45" s="18">
        <f ca="1">IF(表2_36716262930345[[#This Row],[累计净值]]/MAX(INDIRECT("B21:B" &amp; ROW()))-1&lt;E44,表2_36716262930345[[#This Row],[累计净值]]/MAX(INDIRECT("B21:B" &amp; ROW()))-1,E44)</f>
        <v>-7.4978938500421255E-2</v>
      </c>
      <c r="F45" s="62">
        <f>表2_36716262930345[[#This Row],[累计净值]]</f>
        <v>1.0980000000000001</v>
      </c>
      <c r="G45" s="20">
        <f>表2_36716262930345[[#This Row],[累计净值]]/$B$22-1</f>
        <v>-6.9491525423728717E-2</v>
      </c>
      <c r="J45" s="69"/>
      <c r="K45" s="70"/>
      <c r="L45" s="70"/>
      <c r="M45" s="70"/>
      <c r="N45" s="70"/>
    </row>
    <row r="46" spans="1:14" x14ac:dyDescent="0.2">
      <c r="A46" s="15">
        <v>43734</v>
      </c>
      <c r="B46" s="16">
        <v>1.0980000000000001</v>
      </c>
      <c r="C46" s="73">
        <f t="shared" si="6"/>
        <v>0</v>
      </c>
      <c r="D46" s="18" t="str">
        <f t="shared" si="7"/>
        <v>/</v>
      </c>
      <c r="E46" s="18">
        <f ca="1">IF(表2_36716262930345[[#This Row],[累计净值]]/MAX(INDIRECT("B21:B" &amp; ROW()))-1&lt;E45,表2_36716262930345[[#This Row],[累计净值]]/MAX(INDIRECT("B21:B" &amp; ROW()))-1,E45)</f>
        <v>-7.4978938500421255E-2</v>
      </c>
      <c r="F46" s="62">
        <f>表2_36716262930345[[#This Row],[累计净值]]</f>
        <v>1.0980000000000001</v>
      </c>
      <c r="G46" s="20">
        <f>表2_36716262930345[[#This Row],[累计净值]]/$B$22-1</f>
        <v>-6.9491525423728717E-2</v>
      </c>
      <c r="J46" s="69"/>
      <c r="K46" s="70"/>
      <c r="L46" s="70"/>
      <c r="M46" s="70"/>
      <c r="N46" s="70"/>
    </row>
    <row r="47" spans="1:14" x14ac:dyDescent="0.2">
      <c r="A47" s="15">
        <v>43735</v>
      </c>
      <c r="B47" s="16">
        <v>1.105</v>
      </c>
      <c r="C47" s="73">
        <f t="shared" si="6"/>
        <v>6.9999999999998952E-3</v>
      </c>
      <c r="D47" s="18" t="str">
        <f t="shared" si="7"/>
        <v>/</v>
      </c>
      <c r="E47" s="18">
        <f ca="1">IF(表2_36716262930345[[#This Row],[累计净值]]/MAX(INDIRECT("B21:B" &amp; ROW()))-1&lt;E46,表2_36716262930345[[#This Row],[累计净值]]/MAX(INDIRECT("B21:B" &amp; ROW()))-1,E46)</f>
        <v>-7.4978938500421255E-2</v>
      </c>
      <c r="F47" s="62">
        <f>表2_36716262930345[[#This Row],[累计净值]]</f>
        <v>1.105</v>
      </c>
      <c r="G47" s="20">
        <f>表2_36716262930345[[#This Row],[累计净值]]/$B$22-1</f>
        <v>-6.3559322033898247E-2</v>
      </c>
      <c r="J47" s="69"/>
      <c r="K47" s="70"/>
      <c r="L47" s="70"/>
      <c r="M47" s="70"/>
      <c r="N47" s="70"/>
    </row>
    <row r="48" spans="1:14" x14ac:dyDescent="0.2">
      <c r="A48" s="15">
        <v>43738</v>
      </c>
      <c r="B48" s="16">
        <v>1.1120000000000001</v>
      </c>
      <c r="C48" s="73">
        <f t="shared" si="6"/>
        <v>7.0000000000001172E-3</v>
      </c>
      <c r="D48" s="18" t="str">
        <f t="shared" si="7"/>
        <v>/</v>
      </c>
      <c r="E48" s="18">
        <f ca="1">IF(表2_36716262930345[[#This Row],[累计净值]]/MAX(INDIRECT("B21:B" &amp; ROW()))-1&lt;E47,表2_36716262930345[[#This Row],[累计净值]]/MAX(INDIRECT("B21:B" &amp; ROW()))-1,E47)</f>
        <v>-7.4978938500421255E-2</v>
      </c>
      <c r="F48" s="62">
        <f>表2_36716262930345[[#This Row],[累计净值]]</f>
        <v>1.1120000000000001</v>
      </c>
      <c r="G48" s="20">
        <f>表2_36716262930345[[#This Row],[累计净值]]/$B$22-1</f>
        <v>-5.7627118644067665E-2</v>
      </c>
      <c r="J48" s="69"/>
      <c r="K48" s="70"/>
      <c r="L48" s="70"/>
      <c r="M48" s="70"/>
      <c r="N48" s="70"/>
    </row>
    <row r="49" spans="1:14" x14ac:dyDescent="0.2">
      <c r="A49" s="15">
        <v>43746</v>
      </c>
      <c r="B49" s="16">
        <v>1.1040000000000001</v>
      </c>
      <c r="C49" s="73">
        <f t="shared" ref="C49:C62" si="8">IFERROR(B49-B48,0)</f>
        <v>-8.0000000000000071E-3</v>
      </c>
      <c r="D49" s="18">
        <f t="shared" ref="D49:D62" si="9">IF(C49&lt;0,C49,"/")</f>
        <v>-8.0000000000000071E-3</v>
      </c>
      <c r="E49" s="18">
        <f ca="1">IF(表2_36716262930345[[#This Row],[累计净值]]/MAX(INDIRECT("B21:B" &amp; ROW()))-1&lt;E48,表2_36716262930345[[#This Row],[累计净值]]/MAX(INDIRECT("B21:B" &amp; ROW()))-1,E48)</f>
        <v>-7.4978938500421255E-2</v>
      </c>
      <c r="F49" s="62">
        <f>表2_36716262930345[[#This Row],[累计净值]]</f>
        <v>1.1040000000000001</v>
      </c>
      <c r="G49" s="20">
        <f>表2_36716262930345[[#This Row],[累计净值]]/$B$22-1</f>
        <v>-6.4406779661016822E-2</v>
      </c>
      <c r="J49" s="69"/>
      <c r="K49" s="70"/>
      <c r="L49" s="70"/>
      <c r="M49" s="70"/>
      <c r="N49" s="70"/>
    </row>
    <row r="50" spans="1:14" x14ac:dyDescent="0.2">
      <c r="A50" s="15">
        <v>43747</v>
      </c>
      <c r="B50" s="16">
        <v>1.101</v>
      </c>
      <c r="C50" s="73">
        <f t="shared" si="8"/>
        <v>-3.0000000000001137E-3</v>
      </c>
      <c r="D50" s="18">
        <f t="shared" si="9"/>
        <v>-3.0000000000001137E-3</v>
      </c>
      <c r="E50" s="18">
        <f ca="1">IF(表2_36716262930345[[#This Row],[累计净值]]/MAX(INDIRECT("B21:B" &amp; ROW()))-1&lt;E49,表2_36716262930345[[#This Row],[累计净值]]/MAX(INDIRECT("B21:B" &amp; ROW()))-1,E49)</f>
        <v>-7.4978938500421255E-2</v>
      </c>
      <c r="F50" s="62">
        <f>表2_36716262930345[[#This Row],[累计净值]]</f>
        <v>1.101</v>
      </c>
      <c r="G50" s="20">
        <f>表2_36716262930345[[#This Row],[累计净值]]/$B$22-1</f>
        <v>-6.6949152542372881E-2</v>
      </c>
      <c r="J50" s="69"/>
      <c r="K50" s="70"/>
      <c r="L50" s="70"/>
      <c r="M50" s="70"/>
      <c r="N50" s="70"/>
    </row>
    <row r="51" spans="1:14" x14ac:dyDescent="0.2">
      <c r="A51" s="15">
        <v>43748</v>
      </c>
      <c r="B51" s="16">
        <v>1.103</v>
      </c>
      <c r="C51" s="73">
        <f t="shared" si="8"/>
        <v>2.0000000000000018E-3</v>
      </c>
      <c r="D51" s="18" t="str">
        <f t="shared" si="9"/>
        <v>/</v>
      </c>
      <c r="E51" s="18">
        <f ca="1">IF(表2_36716262930345[[#This Row],[累计净值]]/MAX(INDIRECT("B21:B" &amp; ROW()))-1&lt;E50,表2_36716262930345[[#This Row],[累计净值]]/MAX(INDIRECT("B21:B" &amp; ROW()))-1,E50)</f>
        <v>-7.4978938500421255E-2</v>
      </c>
      <c r="F51" s="62">
        <f>表2_36716262930345[[#This Row],[累计净值]]</f>
        <v>1.103</v>
      </c>
      <c r="G51" s="20">
        <f>表2_36716262930345[[#This Row],[累计净值]]/$B$22-1</f>
        <v>-6.5254237288135508E-2</v>
      </c>
      <c r="J51" s="69"/>
      <c r="K51" s="70"/>
      <c r="L51" s="70"/>
      <c r="M51" s="70"/>
      <c r="N51" s="70"/>
    </row>
    <row r="52" spans="1:14" x14ac:dyDescent="0.2">
      <c r="A52" s="15">
        <v>43749</v>
      </c>
      <c r="B52" s="16">
        <v>1.107</v>
      </c>
      <c r="C52" s="73">
        <f t="shared" si="8"/>
        <v>4.0000000000000036E-3</v>
      </c>
      <c r="D52" s="18" t="str">
        <f t="shared" si="9"/>
        <v>/</v>
      </c>
      <c r="E52" s="18">
        <f ca="1">IF(表2_36716262930345[[#This Row],[累计净值]]/MAX(INDIRECT("B21:B" &amp; ROW()))-1&lt;E51,表2_36716262930345[[#This Row],[累计净值]]/MAX(INDIRECT("B21:B" &amp; ROW()))-1,E51)</f>
        <v>-7.4978938500421255E-2</v>
      </c>
      <c r="F52" s="62">
        <f>表2_36716262930345[[#This Row],[累计净值]]</f>
        <v>1.107</v>
      </c>
      <c r="G52" s="20">
        <f>表2_36716262930345[[#This Row],[累计净值]]/$B$22-1</f>
        <v>-6.1864406779660985E-2</v>
      </c>
      <c r="J52" s="69"/>
      <c r="K52" s="70"/>
      <c r="L52" s="70"/>
      <c r="M52" s="70"/>
      <c r="N52" s="70"/>
    </row>
    <row r="53" spans="1:14" x14ac:dyDescent="0.2">
      <c r="A53" s="15">
        <v>43752</v>
      </c>
      <c r="B53" s="16">
        <v>1.1120000000000001</v>
      </c>
      <c r="C53" s="73">
        <f t="shared" si="8"/>
        <v>5.0000000000001155E-3</v>
      </c>
      <c r="D53" s="18" t="str">
        <f t="shared" si="9"/>
        <v>/</v>
      </c>
      <c r="E53" s="18">
        <f ca="1">IF(表2_36716262930345[[#This Row],[累计净值]]/MAX(INDIRECT("B21:B" &amp; ROW()))-1&lt;E52,表2_36716262930345[[#This Row],[累计净值]]/MAX(INDIRECT("B21:B" &amp; ROW()))-1,E52)</f>
        <v>-7.4978938500421255E-2</v>
      </c>
      <c r="F53" s="62">
        <f>表2_36716262930345[[#This Row],[累计净值]]</f>
        <v>1.1120000000000001</v>
      </c>
      <c r="G53" s="20">
        <f>表2_36716262930345[[#This Row],[累计净值]]/$B$22-1</f>
        <v>-5.7627118644067665E-2</v>
      </c>
      <c r="J53" s="69"/>
      <c r="K53" s="70"/>
      <c r="L53" s="70"/>
      <c r="M53" s="70"/>
      <c r="N53" s="70"/>
    </row>
    <row r="54" spans="1:14" x14ac:dyDescent="0.2">
      <c r="A54" s="15">
        <v>43753</v>
      </c>
      <c r="B54" s="16">
        <v>1.1160000000000001</v>
      </c>
      <c r="C54" s="73">
        <f t="shared" si="8"/>
        <v>4.0000000000000036E-3</v>
      </c>
      <c r="D54" s="18" t="str">
        <f t="shared" si="9"/>
        <v>/</v>
      </c>
      <c r="E54" s="18">
        <f ca="1">IF(表2_36716262930345[[#This Row],[累计净值]]/MAX(INDIRECT("B21:B" &amp; ROW()))-1&lt;E53,表2_36716262930345[[#This Row],[累计净值]]/MAX(INDIRECT("B21:B" &amp; ROW()))-1,E53)</f>
        <v>-7.4978938500421255E-2</v>
      </c>
      <c r="F54" s="62">
        <f>表2_36716262930345[[#This Row],[累计净值]]</f>
        <v>1.1160000000000001</v>
      </c>
      <c r="G54" s="20">
        <f>表2_36716262930345[[#This Row],[累计净值]]/$B$22-1</f>
        <v>-5.4237288135593031E-2</v>
      </c>
      <c r="J54" s="69"/>
      <c r="K54" s="70"/>
      <c r="L54" s="70"/>
      <c r="M54" s="70"/>
      <c r="N54" s="70"/>
    </row>
    <row r="55" spans="1:14" x14ac:dyDescent="0.2">
      <c r="A55" s="15">
        <v>43754</v>
      </c>
      <c r="B55" s="16">
        <v>1.1160000000000001</v>
      </c>
      <c r="C55" s="73">
        <f t="shared" si="8"/>
        <v>0</v>
      </c>
      <c r="D55" s="18" t="str">
        <f t="shared" si="9"/>
        <v>/</v>
      </c>
      <c r="E55" s="18">
        <f ca="1">IF(表2_36716262930345[[#This Row],[累计净值]]/MAX(INDIRECT("B21:B" &amp; ROW()))-1&lt;E54,表2_36716262930345[[#This Row],[累计净值]]/MAX(INDIRECT("B21:B" &amp; ROW()))-1,E54)</f>
        <v>-7.4978938500421255E-2</v>
      </c>
      <c r="F55" s="62">
        <f>表2_36716262930345[[#This Row],[累计净值]]</f>
        <v>1.1160000000000001</v>
      </c>
      <c r="G55" s="20">
        <f>表2_36716262930345[[#This Row],[累计净值]]/$B$22-1</f>
        <v>-5.4237288135593031E-2</v>
      </c>
      <c r="J55" s="69"/>
      <c r="K55" s="70"/>
      <c r="L55" s="70"/>
      <c r="M55" s="70"/>
      <c r="N55" s="70"/>
    </row>
    <row r="56" spans="1:14" x14ac:dyDescent="0.2">
      <c r="A56" s="15">
        <v>43755</v>
      </c>
      <c r="B56" s="16">
        <v>1.111</v>
      </c>
      <c r="C56" s="73">
        <f t="shared" si="8"/>
        <v>-5.0000000000001155E-3</v>
      </c>
      <c r="D56" s="18">
        <f t="shared" si="9"/>
        <v>-5.0000000000001155E-3</v>
      </c>
      <c r="E56" s="18">
        <f ca="1">IF(表2_36716262930345[[#This Row],[累计净值]]/MAX(INDIRECT("B21:B" &amp; ROW()))-1&lt;E55,表2_36716262930345[[#This Row],[累计净值]]/MAX(INDIRECT("B21:B" &amp; ROW()))-1,E55)</f>
        <v>-7.4978938500421255E-2</v>
      </c>
      <c r="F56" s="62">
        <f>表2_36716262930345[[#This Row],[累计净值]]</f>
        <v>1.111</v>
      </c>
      <c r="G56" s="20">
        <f>表2_36716262930345[[#This Row],[累计净值]]/$B$22-1</f>
        <v>-5.8474576271186351E-2</v>
      </c>
      <c r="J56" s="69"/>
      <c r="K56" s="70"/>
      <c r="L56" s="70"/>
      <c r="M56" s="70"/>
      <c r="N56" s="70"/>
    </row>
    <row r="57" spans="1:14" x14ac:dyDescent="0.2">
      <c r="A57" s="15">
        <v>43756</v>
      </c>
      <c r="B57" s="16">
        <v>1.1080000000000001</v>
      </c>
      <c r="C57" s="73">
        <f t="shared" si="8"/>
        <v>-2.9999999999998916E-3</v>
      </c>
      <c r="D57" s="18">
        <f t="shared" si="9"/>
        <v>-2.9999999999998916E-3</v>
      </c>
      <c r="E57" s="18">
        <f ca="1">IF(表2_36716262930345[[#This Row],[累计净值]]/MAX(INDIRECT("B21:B" &amp; ROW()))-1&lt;E56,表2_36716262930345[[#This Row],[累计净值]]/MAX(INDIRECT("B21:B" &amp; ROW()))-1,E56)</f>
        <v>-7.4978938500421255E-2</v>
      </c>
      <c r="F57" s="62">
        <f>表2_36716262930345[[#This Row],[累计净值]]</f>
        <v>1.1080000000000001</v>
      </c>
      <c r="G57" s="20">
        <f>表2_36716262930345[[#This Row],[累计净值]]/$B$22-1</f>
        <v>-6.1016949152542188E-2</v>
      </c>
      <c r="J57" s="69"/>
      <c r="K57" s="70"/>
      <c r="L57" s="70"/>
      <c r="M57" s="70"/>
      <c r="N57" s="70"/>
    </row>
    <row r="58" spans="1:14" x14ac:dyDescent="0.2">
      <c r="A58" s="15">
        <v>43759</v>
      </c>
      <c r="B58" s="16">
        <v>1.1100000000000001</v>
      </c>
      <c r="C58" s="73">
        <f t="shared" si="8"/>
        <v>2.0000000000000018E-3</v>
      </c>
      <c r="D58" s="18" t="str">
        <f t="shared" si="9"/>
        <v>/</v>
      </c>
      <c r="E58" s="18">
        <f ca="1">IF(表2_36716262930345[[#This Row],[累计净值]]/MAX(INDIRECT("B21:B" &amp; ROW()))-1&lt;E57,表2_36716262930345[[#This Row],[累计净值]]/MAX(INDIRECT("B21:B" &amp; ROW()))-1,E57)</f>
        <v>-7.4978938500421255E-2</v>
      </c>
      <c r="F58" s="62">
        <f>表2_36716262930345[[#This Row],[累计净值]]</f>
        <v>1.1100000000000001</v>
      </c>
      <c r="G58" s="20">
        <f>表2_36716262930345[[#This Row],[累计净值]]/$B$22-1</f>
        <v>-5.9322033898304927E-2</v>
      </c>
      <c r="J58" s="69"/>
      <c r="K58" s="70"/>
      <c r="L58" s="70"/>
      <c r="M58" s="70"/>
      <c r="N58" s="70"/>
    </row>
    <row r="59" spans="1:14" x14ac:dyDescent="0.2">
      <c r="A59" s="15">
        <v>43760</v>
      </c>
      <c r="B59" s="16">
        <v>1.107</v>
      </c>
      <c r="C59" s="73">
        <f t="shared" si="8"/>
        <v>-3.0000000000001137E-3</v>
      </c>
      <c r="D59" s="18">
        <f t="shared" si="9"/>
        <v>-3.0000000000001137E-3</v>
      </c>
      <c r="E59" s="18">
        <f ca="1">IF(表2_36716262930345[[#This Row],[累计净值]]/MAX(INDIRECT("B21:B" &amp; ROW()))-1&lt;E58,表2_36716262930345[[#This Row],[累计净值]]/MAX(INDIRECT("B21:B" &amp; ROW()))-1,E58)</f>
        <v>-7.4978938500421255E-2</v>
      </c>
      <c r="F59" s="62">
        <f>表2_36716262930345[[#This Row],[累计净值]]</f>
        <v>1.107</v>
      </c>
      <c r="G59" s="20">
        <f>表2_36716262930345[[#This Row],[累计净值]]/$B$22-1</f>
        <v>-6.1864406779660985E-2</v>
      </c>
      <c r="J59" s="69"/>
      <c r="K59" s="70"/>
      <c r="L59" s="70"/>
      <c r="M59" s="70"/>
      <c r="N59" s="70"/>
    </row>
    <row r="60" spans="1:14" x14ac:dyDescent="0.2">
      <c r="A60" s="15">
        <v>43761</v>
      </c>
      <c r="B60" s="16">
        <v>1.1080000000000001</v>
      </c>
      <c r="C60" s="73">
        <f t="shared" si="8"/>
        <v>1.0000000000001119E-3</v>
      </c>
      <c r="D60" s="18" t="str">
        <f t="shared" si="9"/>
        <v>/</v>
      </c>
      <c r="E60" s="18">
        <f ca="1">IF(表2_36716262930345[[#This Row],[累计净值]]/MAX(INDIRECT("B21:B" &amp; ROW()))-1&lt;E59,表2_36716262930345[[#This Row],[累计净值]]/MAX(INDIRECT("B21:B" &amp; ROW()))-1,E59)</f>
        <v>-7.4978938500421255E-2</v>
      </c>
      <c r="F60" s="62">
        <f>表2_36716262930345[[#This Row],[累计净值]]</f>
        <v>1.1080000000000001</v>
      </c>
      <c r="G60" s="20">
        <f>表2_36716262930345[[#This Row],[累计净值]]/$B$22-1</f>
        <v>-6.1016949152542188E-2</v>
      </c>
      <c r="J60" s="69"/>
      <c r="K60" s="70"/>
      <c r="L60" s="70"/>
      <c r="M60" s="70"/>
      <c r="N60" s="70"/>
    </row>
    <row r="61" spans="1:14" x14ac:dyDescent="0.2">
      <c r="A61" s="15">
        <v>43762</v>
      </c>
      <c r="B61" s="16">
        <v>1.1120000000000001</v>
      </c>
      <c r="C61" s="73">
        <f t="shared" si="8"/>
        <v>4.0000000000000036E-3</v>
      </c>
      <c r="D61" s="18" t="str">
        <f t="shared" si="9"/>
        <v>/</v>
      </c>
      <c r="E61" s="18">
        <f ca="1">IF(表2_36716262930345[[#This Row],[累计净值]]/MAX(INDIRECT("B21:B" &amp; ROW()))-1&lt;E60,表2_36716262930345[[#This Row],[累计净值]]/MAX(INDIRECT("B21:B" &amp; ROW()))-1,E60)</f>
        <v>-7.4978938500421255E-2</v>
      </c>
      <c r="F61" s="62">
        <f>表2_36716262930345[[#This Row],[累计净值]]</f>
        <v>1.1120000000000001</v>
      </c>
      <c r="G61" s="20">
        <f>表2_36716262930345[[#This Row],[累计净值]]/$B$22-1</f>
        <v>-5.7627118644067665E-2</v>
      </c>
      <c r="J61" s="69"/>
      <c r="K61" s="70"/>
      <c r="L61" s="70"/>
      <c r="M61" s="70"/>
      <c r="N61" s="70"/>
    </row>
    <row r="62" spans="1:14" x14ac:dyDescent="0.2">
      <c r="A62" s="15">
        <v>43763</v>
      </c>
      <c r="B62" s="16">
        <v>1.1140000000000001</v>
      </c>
      <c r="C62" s="73">
        <f t="shared" si="8"/>
        <v>2.0000000000000018E-3</v>
      </c>
      <c r="D62" s="18" t="str">
        <f t="shared" si="9"/>
        <v>/</v>
      </c>
      <c r="E62" s="18">
        <f ca="1">IF(表2_36716262930345[[#This Row],[累计净值]]/MAX(INDIRECT("B21:B" &amp; ROW()))-1&lt;E61,表2_36716262930345[[#This Row],[累计净值]]/MAX(INDIRECT("B21:B" &amp; ROW()))-1,E61)</f>
        <v>-7.4978938500421255E-2</v>
      </c>
      <c r="F62" s="62">
        <f>表2_36716262930345[[#This Row],[累计净值]]</f>
        <v>1.1140000000000001</v>
      </c>
      <c r="G62" s="20">
        <f>表2_36716262930345[[#This Row],[累计净值]]/$B$22-1</f>
        <v>-5.5932203389830404E-2</v>
      </c>
      <c r="J62" s="69"/>
      <c r="K62" s="70"/>
      <c r="L62" s="70"/>
      <c r="M62" s="70"/>
      <c r="N62" s="70"/>
    </row>
    <row r="63" spans="1:14" x14ac:dyDescent="0.2">
      <c r="A63" s="15">
        <v>43766</v>
      </c>
      <c r="B63" s="16">
        <v>1.1120000000000001</v>
      </c>
      <c r="C63" s="73">
        <f t="shared" ref="C63:C73" si="10">IFERROR(B63-B62,0)</f>
        <v>-2.0000000000000018E-3</v>
      </c>
      <c r="D63" s="18">
        <f t="shared" ref="D63:D73" si="11">IF(C63&lt;0,C63,"/")</f>
        <v>-2.0000000000000018E-3</v>
      </c>
      <c r="E63" s="18">
        <f ca="1">IF(表2_36716262930345[[#This Row],[累计净值]]/MAX(INDIRECT("B21:B" &amp; ROW()))-1&lt;E62,表2_36716262930345[[#This Row],[累计净值]]/MAX(INDIRECT("B21:B" &amp; ROW()))-1,E62)</f>
        <v>-7.4978938500421255E-2</v>
      </c>
      <c r="F63" s="62">
        <f>表2_36716262930345[[#This Row],[累计净值]]</f>
        <v>1.1120000000000001</v>
      </c>
      <c r="G63" s="20">
        <f>表2_36716262930345[[#This Row],[累计净值]]/$B$22-1</f>
        <v>-5.7627118644067665E-2</v>
      </c>
      <c r="J63" s="69"/>
      <c r="K63" s="70"/>
      <c r="L63" s="70"/>
      <c r="M63" s="70"/>
      <c r="N63" s="70"/>
    </row>
    <row r="64" spans="1:14" x14ac:dyDescent="0.2">
      <c r="A64" s="15">
        <v>43767</v>
      </c>
      <c r="B64" s="16">
        <v>1.1140000000000001</v>
      </c>
      <c r="C64" s="73">
        <f t="shared" si="10"/>
        <v>2.0000000000000018E-3</v>
      </c>
      <c r="D64" s="18" t="str">
        <f t="shared" si="11"/>
        <v>/</v>
      </c>
      <c r="E64" s="18">
        <f ca="1">IF(表2_36716262930345[[#This Row],[累计净值]]/MAX(INDIRECT("B21:B" &amp; ROW()))-1&lt;E63,表2_36716262930345[[#This Row],[累计净值]]/MAX(INDIRECT("B21:B" &amp; ROW()))-1,E63)</f>
        <v>-7.4978938500421255E-2</v>
      </c>
      <c r="F64" s="62">
        <f>表2_36716262930345[[#This Row],[累计净值]]</f>
        <v>1.1140000000000001</v>
      </c>
      <c r="G64" s="20">
        <f>表2_36716262930345[[#This Row],[累计净值]]/$B$22-1</f>
        <v>-5.5932203389830404E-2</v>
      </c>
      <c r="J64" s="69"/>
      <c r="K64" s="70"/>
      <c r="L64" s="70"/>
      <c r="M64" s="70"/>
      <c r="N64" s="70"/>
    </row>
    <row r="65" spans="1:14" x14ac:dyDescent="0.2">
      <c r="A65" s="15">
        <v>43768</v>
      </c>
      <c r="B65" s="16">
        <v>1.111</v>
      </c>
      <c r="C65" s="73">
        <f t="shared" si="10"/>
        <v>-3.0000000000001137E-3</v>
      </c>
      <c r="D65" s="18">
        <f t="shared" si="11"/>
        <v>-3.0000000000001137E-3</v>
      </c>
      <c r="E65" s="18">
        <f ca="1">IF(表2_36716262930345[[#This Row],[累计净值]]/MAX(INDIRECT("B21:B" &amp; ROW()))-1&lt;E64,表2_36716262930345[[#This Row],[累计净值]]/MAX(INDIRECT("B21:B" &amp; ROW()))-1,E64)</f>
        <v>-7.4978938500421255E-2</v>
      </c>
      <c r="F65" s="62">
        <f>表2_36716262930345[[#This Row],[累计净值]]</f>
        <v>1.111</v>
      </c>
      <c r="G65" s="20">
        <f>表2_36716262930345[[#This Row],[累计净值]]/$B$22-1</f>
        <v>-5.8474576271186351E-2</v>
      </c>
      <c r="J65" s="69"/>
      <c r="K65" s="70"/>
      <c r="L65" s="70"/>
      <c r="M65" s="70"/>
      <c r="N65" s="70"/>
    </row>
    <row r="66" spans="1:14" x14ac:dyDescent="0.2">
      <c r="A66" s="15">
        <v>43769</v>
      </c>
      <c r="B66" s="16">
        <v>1.113</v>
      </c>
      <c r="C66" s="73">
        <f t="shared" si="10"/>
        <v>2.0000000000000018E-3</v>
      </c>
      <c r="D66" s="18" t="str">
        <f t="shared" si="11"/>
        <v>/</v>
      </c>
      <c r="E66" s="18">
        <f ca="1">IF(表2_36716262930345[[#This Row],[累计净值]]/MAX(INDIRECT("B21:B" &amp; ROW()))-1&lt;E65,表2_36716262930345[[#This Row],[累计净值]]/MAX(INDIRECT("B21:B" &amp; ROW()))-1,E65)</f>
        <v>-7.4978938500421255E-2</v>
      </c>
      <c r="F66" s="62">
        <f>表2_36716262930345[[#This Row],[累计净值]]</f>
        <v>1.113</v>
      </c>
      <c r="G66" s="20">
        <f>表2_36716262930345[[#This Row],[累计净值]]/$B$22-1</f>
        <v>-5.677966101694909E-2</v>
      </c>
      <c r="J66" s="69"/>
      <c r="K66" s="70"/>
      <c r="L66" s="70"/>
      <c r="M66" s="70"/>
      <c r="N66" s="70"/>
    </row>
    <row r="67" spans="1:14" x14ac:dyDescent="0.2">
      <c r="A67" s="15">
        <v>43770</v>
      </c>
      <c r="B67" s="16">
        <v>1.115</v>
      </c>
      <c r="C67" s="73">
        <f t="shared" si="10"/>
        <v>2.0000000000000018E-3</v>
      </c>
      <c r="D67" s="18" t="str">
        <f t="shared" si="11"/>
        <v>/</v>
      </c>
      <c r="E67" s="18">
        <f ca="1">IF(表2_36716262930345[[#This Row],[累计净值]]/MAX(INDIRECT("B21:B" &amp; ROW()))-1&lt;E66,表2_36716262930345[[#This Row],[累计净值]]/MAX(INDIRECT("B21:B" &amp; ROW()))-1,E66)</f>
        <v>-7.4978938500421255E-2</v>
      </c>
      <c r="F67" s="62">
        <f>表2_36716262930345[[#This Row],[累计净值]]</f>
        <v>1.115</v>
      </c>
      <c r="G67" s="20">
        <f>表2_36716262930345[[#This Row],[累计净值]]/$B$22-1</f>
        <v>-5.5084745762711829E-2</v>
      </c>
      <c r="J67" s="69"/>
      <c r="K67" s="70"/>
      <c r="L67" s="70"/>
      <c r="M67" s="70"/>
      <c r="N67" s="70"/>
    </row>
    <row r="68" spans="1:14" x14ac:dyDescent="0.2">
      <c r="A68" s="15">
        <v>43773</v>
      </c>
      <c r="B68" s="16">
        <v>1.119</v>
      </c>
      <c r="C68" s="73">
        <f t="shared" si="10"/>
        <v>4.0000000000000036E-3</v>
      </c>
      <c r="D68" s="18" t="str">
        <f t="shared" si="11"/>
        <v>/</v>
      </c>
      <c r="E68" s="18">
        <f ca="1">IF(表2_36716262930345[[#This Row],[累计净值]]/MAX(INDIRECT("B21:B" &amp; ROW()))-1&lt;E67,表2_36716262930345[[#This Row],[累计净值]]/MAX(INDIRECT("B21:B" &amp; ROW()))-1,E67)</f>
        <v>-7.4978938500421255E-2</v>
      </c>
      <c r="F68" s="62">
        <f>表2_36716262930345[[#This Row],[累计净值]]</f>
        <v>1.119</v>
      </c>
      <c r="G68" s="20">
        <f>表2_36716262930345[[#This Row],[累计净值]]/$B$22-1</f>
        <v>-5.1694915254237195E-2</v>
      </c>
      <c r="J68" s="69"/>
      <c r="K68" s="70"/>
      <c r="L68" s="70"/>
      <c r="M68" s="70"/>
      <c r="N68" s="70"/>
    </row>
    <row r="69" spans="1:14" x14ac:dyDescent="0.2">
      <c r="A69" s="15">
        <v>43774</v>
      </c>
      <c r="B69" s="16">
        <v>1.1140000000000001</v>
      </c>
      <c r="C69" s="73">
        <f t="shared" si="10"/>
        <v>-4.9999999999998934E-3</v>
      </c>
      <c r="D69" s="18">
        <f t="shared" si="11"/>
        <v>-4.9999999999998934E-3</v>
      </c>
      <c r="E69" s="18">
        <f ca="1">IF(表2_36716262930345[[#This Row],[累计净值]]/MAX(INDIRECT("B21:B" &amp; ROW()))-1&lt;E68,表2_36716262930345[[#This Row],[累计净值]]/MAX(INDIRECT("B21:B" &amp; ROW()))-1,E68)</f>
        <v>-7.4978938500421255E-2</v>
      </c>
      <c r="F69" s="62">
        <f>表2_36716262930345[[#This Row],[累计净值]]</f>
        <v>1.1140000000000001</v>
      </c>
      <c r="G69" s="20">
        <f>表2_36716262930345[[#This Row],[累计净值]]/$B$22-1</f>
        <v>-5.5932203389830404E-2</v>
      </c>
      <c r="J69" s="69"/>
      <c r="K69" s="70"/>
      <c r="L69" s="70"/>
      <c r="M69" s="70"/>
      <c r="N69" s="70"/>
    </row>
    <row r="70" spans="1:14" x14ac:dyDescent="0.2">
      <c r="A70" s="15">
        <v>43775</v>
      </c>
      <c r="B70" s="16">
        <v>1.119</v>
      </c>
      <c r="C70" s="73">
        <f t="shared" si="10"/>
        <v>4.9999999999998934E-3</v>
      </c>
      <c r="D70" s="18" t="str">
        <f t="shared" si="11"/>
        <v>/</v>
      </c>
      <c r="E70" s="18">
        <f ca="1">IF(表2_36716262930345[[#This Row],[累计净值]]/MAX(INDIRECT("B21:B" &amp; ROW()))-1&lt;E69,表2_36716262930345[[#This Row],[累计净值]]/MAX(INDIRECT("B21:B" &amp; ROW()))-1,E69)</f>
        <v>-7.4978938500421255E-2</v>
      </c>
      <c r="F70" s="62">
        <f>表2_36716262930345[[#This Row],[累计净值]]</f>
        <v>1.119</v>
      </c>
      <c r="G70" s="20">
        <f>表2_36716262930345[[#This Row],[累计净值]]/$B$22-1</f>
        <v>-5.1694915254237195E-2</v>
      </c>
      <c r="J70" s="69"/>
      <c r="K70" s="70"/>
      <c r="L70" s="70"/>
      <c r="M70" s="70"/>
      <c r="N70" s="70"/>
    </row>
    <row r="71" spans="1:14" x14ac:dyDescent="0.2">
      <c r="A71" s="15">
        <v>43776</v>
      </c>
      <c r="B71" s="16">
        <v>1.1180000000000001</v>
      </c>
      <c r="C71" s="73">
        <f t="shared" si="10"/>
        <v>-9.9999999999988987E-4</v>
      </c>
      <c r="D71" s="18">
        <f t="shared" si="11"/>
        <v>-9.9999999999988987E-4</v>
      </c>
      <c r="E71" s="18">
        <f ca="1">IF(表2_36716262930345[[#This Row],[累计净值]]/MAX(INDIRECT("B21:B" &amp; ROW()))-1&lt;E70,表2_36716262930345[[#This Row],[累计净值]]/MAX(INDIRECT("B21:B" &amp; ROW()))-1,E70)</f>
        <v>-7.4978938500421255E-2</v>
      </c>
      <c r="F71" s="62">
        <f>表2_36716262930345[[#This Row],[累计净值]]</f>
        <v>1.1180000000000001</v>
      </c>
      <c r="G71" s="20">
        <f>表2_36716262930345[[#This Row],[累计净值]]/$B$22-1</f>
        <v>-5.254237288135577E-2</v>
      </c>
      <c r="J71" s="69"/>
      <c r="K71" s="70"/>
      <c r="L71" s="70"/>
      <c r="M71" s="70"/>
      <c r="N71" s="70"/>
    </row>
    <row r="72" spans="1:14" x14ac:dyDescent="0.2">
      <c r="A72" s="15">
        <v>43777</v>
      </c>
      <c r="B72" s="16">
        <v>1.113</v>
      </c>
      <c r="C72" s="73">
        <f t="shared" si="10"/>
        <v>-5.0000000000001155E-3</v>
      </c>
      <c r="D72" s="18">
        <f t="shared" si="11"/>
        <v>-5.0000000000001155E-3</v>
      </c>
      <c r="E72" s="18">
        <f ca="1">IF(表2_36716262930345[[#This Row],[累计净值]]/MAX(INDIRECT("B21:B" &amp; ROW()))-1&lt;E71,表2_36716262930345[[#This Row],[累计净值]]/MAX(INDIRECT("B21:B" &amp; ROW()))-1,E71)</f>
        <v>-7.4978938500421255E-2</v>
      </c>
      <c r="F72" s="62">
        <f>表2_36716262930345[[#This Row],[累计净值]]</f>
        <v>1.113</v>
      </c>
      <c r="G72" s="20">
        <f>表2_36716262930345[[#This Row],[累计净值]]/$B$22-1</f>
        <v>-5.677966101694909E-2</v>
      </c>
      <c r="J72" s="69"/>
      <c r="K72" s="70"/>
      <c r="L72" s="70"/>
      <c r="M72" s="70"/>
      <c r="N72" s="70"/>
    </row>
    <row r="73" spans="1:14" x14ac:dyDescent="0.2">
      <c r="A73" s="15">
        <v>43780</v>
      </c>
      <c r="B73" s="16">
        <v>1.1100000000000001</v>
      </c>
      <c r="C73" s="73">
        <f t="shared" si="10"/>
        <v>-2.9999999999998916E-3</v>
      </c>
      <c r="D73" s="18">
        <f t="shared" si="11"/>
        <v>-2.9999999999998916E-3</v>
      </c>
      <c r="E73" s="18">
        <f ca="1">IF(表2_36716262930345[[#This Row],[累计净值]]/MAX(INDIRECT("B21:B" &amp; ROW()))-1&lt;E72,表2_36716262930345[[#This Row],[累计净值]]/MAX(INDIRECT("B21:B" &amp; ROW()))-1,E72)</f>
        <v>-7.4978938500421255E-2</v>
      </c>
      <c r="F73" s="62">
        <f>表2_36716262930345[[#This Row],[累计净值]]</f>
        <v>1.1100000000000001</v>
      </c>
      <c r="G73" s="20">
        <f>表2_36716262930345[[#This Row],[累计净值]]/$B$22-1</f>
        <v>-5.9322033898304927E-2</v>
      </c>
      <c r="J73" s="69"/>
      <c r="K73" s="70"/>
      <c r="L73" s="70"/>
      <c r="M73" s="70"/>
      <c r="N73" s="70"/>
    </row>
    <row r="74" spans="1:14" x14ac:dyDescent="0.2">
      <c r="A74" s="15">
        <v>43781</v>
      </c>
      <c r="B74" s="16">
        <v>1.1160000000000001</v>
      </c>
      <c r="C74" s="73">
        <f t="shared" ref="C74:C102" si="12">IFERROR(B74-B73,0)</f>
        <v>6.0000000000000053E-3</v>
      </c>
      <c r="D74" s="18" t="str">
        <f t="shared" ref="D74:D102" si="13">IF(C74&lt;0,C74,"/")</f>
        <v>/</v>
      </c>
      <c r="E74" s="18">
        <f ca="1">IF(表2_36716262930345[[#This Row],[累计净值]]/MAX(INDIRECT("B21:B" &amp; ROW()))-1&lt;E73,表2_36716262930345[[#This Row],[累计净值]]/MAX(INDIRECT("B21:B" &amp; ROW()))-1,E73)</f>
        <v>-7.4978938500421255E-2</v>
      </c>
      <c r="F74" s="62">
        <f>表2_36716262930345[[#This Row],[累计净值]]</f>
        <v>1.1160000000000001</v>
      </c>
      <c r="G74" s="20">
        <f>表2_36716262930345[[#This Row],[累计净值]]/$B$22-1</f>
        <v>-5.4237288135593031E-2</v>
      </c>
      <c r="J74" s="69"/>
      <c r="K74" s="70"/>
      <c r="L74" s="70"/>
      <c r="M74" s="70"/>
      <c r="N74" s="70"/>
    </row>
    <row r="75" spans="1:14" x14ac:dyDescent="0.2">
      <c r="A75" s="15">
        <v>43782</v>
      </c>
      <c r="B75" s="16">
        <v>1.113</v>
      </c>
      <c r="C75" s="73">
        <f t="shared" si="12"/>
        <v>-3.0000000000001137E-3</v>
      </c>
      <c r="D75" s="18">
        <f t="shared" si="13"/>
        <v>-3.0000000000001137E-3</v>
      </c>
      <c r="E75" s="18">
        <f ca="1">IF(表2_36716262930345[[#This Row],[累计净值]]/MAX(INDIRECT("B21:B" &amp; ROW()))-1&lt;E74,表2_36716262930345[[#This Row],[累计净值]]/MAX(INDIRECT("B21:B" &amp; ROW()))-1,E74)</f>
        <v>-7.4978938500421255E-2</v>
      </c>
      <c r="F75" s="62">
        <f>表2_36716262930345[[#This Row],[累计净值]]</f>
        <v>1.113</v>
      </c>
      <c r="G75" s="20">
        <f>表2_36716262930345[[#This Row],[累计净值]]/$B$22-1</f>
        <v>-5.677966101694909E-2</v>
      </c>
      <c r="J75" s="69"/>
      <c r="K75" s="70"/>
      <c r="L75" s="70"/>
      <c r="M75" s="70"/>
      <c r="N75" s="70"/>
    </row>
    <row r="76" spans="1:14" x14ac:dyDescent="0.2">
      <c r="A76" s="15">
        <v>43783</v>
      </c>
      <c r="B76" s="16">
        <v>1.115</v>
      </c>
      <c r="C76" s="73">
        <f t="shared" si="12"/>
        <v>2.0000000000000018E-3</v>
      </c>
      <c r="D76" s="18" t="str">
        <f t="shared" si="13"/>
        <v>/</v>
      </c>
      <c r="E76" s="18">
        <f ca="1">IF(表2_36716262930345[[#This Row],[累计净值]]/MAX(INDIRECT("B21:B" &amp; ROW()))-1&lt;E75,表2_36716262930345[[#This Row],[累计净值]]/MAX(INDIRECT("B21:B" &amp; ROW()))-1,E75)</f>
        <v>-7.4978938500421255E-2</v>
      </c>
      <c r="F76" s="62">
        <f>表2_36716262930345[[#This Row],[累计净值]]</f>
        <v>1.115</v>
      </c>
      <c r="G76" s="20">
        <f>表2_36716262930345[[#This Row],[累计净值]]/$B$22-1</f>
        <v>-5.5084745762711829E-2</v>
      </c>
      <c r="J76" s="69"/>
      <c r="K76" s="70"/>
      <c r="L76" s="70"/>
      <c r="M76" s="70"/>
      <c r="N76" s="70"/>
    </row>
    <row r="77" spans="1:14" x14ac:dyDescent="0.2">
      <c r="A77" s="15">
        <v>43784</v>
      </c>
      <c r="B77" s="16">
        <v>1.123</v>
      </c>
      <c r="C77" s="73">
        <f t="shared" si="12"/>
        <v>8.0000000000000071E-3</v>
      </c>
      <c r="D77" s="18" t="str">
        <f t="shared" si="13"/>
        <v>/</v>
      </c>
      <c r="E77" s="18">
        <f ca="1">IF(表2_36716262930345[[#This Row],[累计净值]]/MAX(INDIRECT("B21:B" &amp; ROW()))-1&lt;E76,表2_36716262930345[[#This Row],[累计净值]]/MAX(INDIRECT("B21:B" &amp; ROW()))-1,E76)</f>
        <v>-7.4978938500421255E-2</v>
      </c>
      <c r="F77" s="62">
        <f>表2_36716262930345[[#This Row],[累计净值]]</f>
        <v>1.123</v>
      </c>
      <c r="G77" s="20">
        <f>表2_36716262930345[[#This Row],[累计净值]]/$B$22-1</f>
        <v>-4.8305084745762672E-2</v>
      </c>
      <c r="J77" s="69"/>
      <c r="K77" s="70"/>
      <c r="L77" s="70"/>
      <c r="M77" s="70"/>
      <c r="N77" s="70"/>
    </row>
    <row r="78" spans="1:14" x14ac:dyDescent="0.2">
      <c r="A78" s="15">
        <v>43787</v>
      </c>
      <c r="B78" s="16">
        <v>1.123</v>
      </c>
      <c r="C78" s="73">
        <f t="shared" si="12"/>
        <v>0</v>
      </c>
      <c r="D78" s="18" t="str">
        <f t="shared" si="13"/>
        <v>/</v>
      </c>
      <c r="E78" s="18">
        <f ca="1">IF(表2_36716262930345[[#This Row],[累计净值]]/MAX(INDIRECT("B21:B" &amp; ROW()))-1&lt;E77,表2_36716262930345[[#This Row],[累计净值]]/MAX(INDIRECT("B21:B" &amp; ROW()))-1,E77)</f>
        <v>-7.4978938500421255E-2</v>
      </c>
      <c r="F78" s="62">
        <f>表2_36716262930345[[#This Row],[累计净值]]</f>
        <v>1.123</v>
      </c>
      <c r="G78" s="20">
        <f>表2_36716262930345[[#This Row],[累计净值]]/$B$22-1</f>
        <v>-4.8305084745762672E-2</v>
      </c>
      <c r="J78" s="69"/>
      <c r="K78" s="70"/>
      <c r="L78" s="70"/>
      <c r="M78" s="70"/>
      <c r="N78" s="70"/>
    </row>
    <row r="79" spans="1:14" x14ac:dyDescent="0.2">
      <c r="A79" s="15">
        <v>43788</v>
      </c>
      <c r="B79" s="16">
        <v>1.1240000000000001</v>
      </c>
      <c r="C79" s="73">
        <f t="shared" si="12"/>
        <v>1.0000000000001119E-3</v>
      </c>
      <c r="D79" s="18" t="str">
        <f t="shared" si="13"/>
        <v>/</v>
      </c>
      <c r="E79" s="18">
        <f ca="1">IF(表2_36716262930345[[#This Row],[累计净值]]/MAX(INDIRECT("B21:B" &amp; ROW()))-1&lt;E78,表2_36716262930345[[#This Row],[累计净值]]/MAX(INDIRECT("B21:B" &amp; ROW()))-1,E78)</f>
        <v>-7.4978938500421255E-2</v>
      </c>
      <c r="F79" s="62">
        <f>表2_36716262930345[[#This Row],[累计净值]]</f>
        <v>1.1240000000000001</v>
      </c>
      <c r="G79" s="20">
        <f>表2_36716262930345[[#This Row],[累计净值]]/$B$22-1</f>
        <v>-4.7457627118643875E-2</v>
      </c>
      <c r="J79" s="69"/>
      <c r="K79" s="70"/>
      <c r="L79" s="70"/>
      <c r="M79" s="70"/>
      <c r="N79" s="70"/>
    </row>
    <row r="80" spans="1:14" x14ac:dyDescent="0.2">
      <c r="A80" s="15">
        <v>43789</v>
      </c>
      <c r="B80" s="16">
        <v>1.127</v>
      </c>
      <c r="C80" s="73">
        <f t="shared" si="12"/>
        <v>2.9999999999998916E-3</v>
      </c>
      <c r="D80" s="18" t="str">
        <f t="shared" si="13"/>
        <v>/</v>
      </c>
      <c r="E80" s="18">
        <f ca="1">IF(表2_36716262930345[[#This Row],[累计净值]]/MAX(INDIRECT("B21:B" &amp; ROW()))-1&lt;E79,表2_36716262930345[[#This Row],[累计净值]]/MAX(INDIRECT("B21:B" &amp; ROW()))-1,E79)</f>
        <v>-7.4978938500421255E-2</v>
      </c>
      <c r="F80" s="62">
        <f>表2_36716262930345[[#This Row],[累计净值]]</f>
        <v>1.127</v>
      </c>
      <c r="G80" s="20">
        <f>表2_36716262930345[[#This Row],[累计净值]]/$B$22-1</f>
        <v>-4.4915254237288038E-2</v>
      </c>
      <c r="J80" s="69"/>
      <c r="K80" s="70"/>
      <c r="L80" s="70"/>
      <c r="M80" s="70"/>
      <c r="N80" s="70"/>
    </row>
    <row r="81" spans="1:14" x14ac:dyDescent="0.2">
      <c r="A81" s="15">
        <v>43790</v>
      </c>
      <c r="B81" s="16">
        <v>1.113</v>
      </c>
      <c r="C81" s="73">
        <f t="shared" si="12"/>
        <v>-1.4000000000000012E-2</v>
      </c>
      <c r="D81" s="18">
        <f t="shared" si="13"/>
        <v>-1.4000000000000012E-2</v>
      </c>
      <c r="E81" s="18">
        <f ca="1">IF(表2_36716262930345[[#This Row],[累计净值]]/MAX(INDIRECT("B21:B" &amp; ROW()))-1&lt;E80,表2_36716262930345[[#This Row],[累计净值]]/MAX(INDIRECT("B21:B" &amp; ROW()))-1,E80)</f>
        <v>-7.4978938500421255E-2</v>
      </c>
      <c r="F81" s="62">
        <f>表2_36716262930345[[#This Row],[累计净值]]</f>
        <v>1.113</v>
      </c>
      <c r="G81" s="20">
        <f>表2_36716262930345[[#This Row],[累计净值]]/$B$22-1</f>
        <v>-5.677966101694909E-2</v>
      </c>
      <c r="J81" s="69"/>
      <c r="K81" s="70"/>
      <c r="L81" s="70"/>
      <c r="M81" s="70"/>
      <c r="N81" s="70"/>
    </row>
    <row r="82" spans="1:14" x14ac:dyDescent="0.2">
      <c r="A82" s="15">
        <v>43791</v>
      </c>
      <c r="B82" s="16">
        <v>1.1080000000000001</v>
      </c>
      <c r="C82" s="73">
        <f t="shared" si="12"/>
        <v>-4.9999999999998934E-3</v>
      </c>
      <c r="D82" s="18">
        <f t="shared" si="13"/>
        <v>-4.9999999999998934E-3</v>
      </c>
      <c r="E82" s="18">
        <f ca="1">IF(表2_36716262930345[[#This Row],[累计净值]]/MAX(INDIRECT("B21:B" &amp; ROW()))-1&lt;E81,表2_36716262930345[[#This Row],[累计净值]]/MAX(INDIRECT("B21:B" &amp; ROW()))-1,E81)</f>
        <v>-7.4978938500421255E-2</v>
      </c>
      <c r="F82" s="62">
        <f>表2_36716262930345[[#This Row],[累计净值]]</f>
        <v>1.1080000000000001</v>
      </c>
      <c r="G82" s="20">
        <f>表2_36716262930345[[#This Row],[累计净值]]/$B$22-1</f>
        <v>-6.1016949152542188E-2</v>
      </c>
      <c r="J82" s="69"/>
      <c r="K82" s="70"/>
      <c r="L82" s="70"/>
      <c r="M82" s="70"/>
      <c r="N82" s="70"/>
    </row>
    <row r="83" spans="1:14" x14ac:dyDescent="0.2">
      <c r="A83" s="15">
        <v>43794</v>
      </c>
      <c r="B83" s="16">
        <v>1.1140000000000001</v>
      </c>
      <c r="C83" s="73">
        <f t="shared" si="12"/>
        <v>6.0000000000000053E-3</v>
      </c>
      <c r="D83" s="18" t="str">
        <f t="shared" si="13"/>
        <v>/</v>
      </c>
      <c r="E83" s="18">
        <f ca="1">IF(表2_36716262930345[[#This Row],[累计净值]]/MAX(INDIRECT("B21:B" &amp; ROW()))-1&lt;E82,表2_36716262930345[[#This Row],[累计净值]]/MAX(INDIRECT("B21:B" &amp; ROW()))-1,E82)</f>
        <v>-7.4978938500421255E-2</v>
      </c>
      <c r="F83" s="62">
        <f>表2_36716262930345[[#This Row],[累计净值]]</f>
        <v>1.1140000000000001</v>
      </c>
      <c r="G83" s="20">
        <f>表2_36716262930345[[#This Row],[累计净值]]/$B$22-1</f>
        <v>-5.5932203389830404E-2</v>
      </c>
      <c r="J83" s="69"/>
      <c r="K83" s="70"/>
      <c r="L83" s="70"/>
      <c r="M83" s="70"/>
      <c r="N83" s="70"/>
    </row>
    <row r="84" spans="1:14" x14ac:dyDescent="0.2">
      <c r="A84" s="15">
        <v>43795</v>
      </c>
      <c r="B84" s="16">
        <v>1.113</v>
      </c>
      <c r="C84" s="73">
        <f t="shared" si="12"/>
        <v>-1.0000000000001119E-3</v>
      </c>
      <c r="D84" s="18">
        <f t="shared" si="13"/>
        <v>-1.0000000000001119E-3</v>
      </c>
      <c r="E84" s="18">
        <f ca="1">IF(表2_36716262930345[[#This Row],[累计净值]]/MAX(INDIRECT("B21:B" &amp; ROW()))-1&lt;E83,表2_36716262930345[[#This Row],[累计净值]]/MAX(INDIRECT("B21:B" &amp; ROW()))-1,E83)</f>
        <v>-7.4978938500421255E-2</v>
      </c>
      <c r="F84" s="62">
        <f>表2_36716262930345[[#This Row],[累计净值]]</f>
        <v>1.113</v>
      </c>
      <c r="G84" s="20">
        <f>表2_36716262930345[[#This Row],[累计净值]]/$B$22-1</f>
        <v>-5.677966101694909E-2</v>
      </c>
      <c r="I84" s="1" t="s">
        <v>31</v>
      </c>
      <c r="J84" s="69"/>
      <c r="K84" s="70"/>
      <c r="L84" s="70"/>
      <c r="M84" s="70"/>
      <c r="N84" s="70"/>
    </row>
    <row r="85" spans="1:14" x14ac:dyDescent="0.2">
      <c r="A85" s="15">
        <v>43796</v>
      </c>
      <c r="B85" s="16">
        <v>1.113</v>
      </c>
      <c r="C85" s="73">
        <f t="shared" si="12"/>
        <v>0</v>
      </c>
      <c r="D85" s="18" t="str">
        <f t="shared" si="13"/>
        <v>/</v>
      </c>
      <c r="E85" s="18">
        <f ca="1">IF(表2_36716262930345[[#This Row],[累计净值]]/MAX(INDIRECT("B21:B" &amp; ROW()))-1&lt;E84,表2_36716262930345[[#This Row],[累计净值]]/MAX(INDIRECT("B21:B" &amp; ROW()))-1,E84)</f>
        <v>-7.4978938500421255E-2</v>
      </c>
      <c r="F85" s="62">
        <f>表2_36716262930345[[#This Row],[累计净值]]</f>
        <v>1.113</v>
      </c>
      <c r="G85" s="20">
        <f>表2_36716262930345[[#This Row],[累计净值]]/$B$22-1</f>
        <v>-5.677966101694909E-2</v>
      </c>
      <c r="J85" s="69"/>
      <c r="K85" s="70"/>
      <c r="L85" s="70"/>
      <c r="M85" s="70"/>
      <c r="N85" s="70"/>
    </row>
    <row r="86" spans="1:14" x14ac:dyDescent="0.2">
      <c r="A86" s="15">
        <v>43797</v>
      </c>
      <c r="B86" s="16">
        <v>1.1160000000000001</v>
      </c>
      <c r="C86" s="73">
        <f t="shared" si="12"/>
        <v>3.0000000000001137E-3</v>
      </c>
      <c r="D86" s="18" t="str">
        <f t="shared" si="13"/>
        <v>/</v>
      </c>
      <c r="E86" s="18">
        <f ca="1">IF(表2_36716262930345[[#This Row],[累计净值]]/MAX(INDIRECT("B21:B" &amp; ROW()))-1&lt;E85,表2_36716262930345[[#This Row],[累计净值]]/MAX(INDIRECT("B21:B" &amp; ROW()))-1,E85)</f>
        <v>-7.4978938500421255E-2</v>
      </c>
      <c r="F86" s="62">
        <f>表2_36716262930345[[#This Row],[累计净值]]</f>
        <v>1.1160000000000001</v>
      </c>
      <c r="G86" s="20">
        <f>表2_36716262930345[[#This Row],[累计净值]]/$B$22-1</f>
        <v>-5.4237288135593031E-2</v>
      </c>
      <c r="J86" s="69"/>
      <c r="K86" s="70"/>
      <c r="L86" s="70"/>
      <c r="M86" s="70"/>
      <c r="N86" s="70"/>
    </row>
    <row r="87" spans="1:14" x14ac:dyDescent="0.2">
      <c r="A87" s="15">
        <v>43798</v>
      </c>
      <c r="B87" s="16">
        <v>1.119</v>
      </c>
      <c r="C87" s="73">
        <f t="shared" si="12"/>
        <v>2.9999999999998916E-3</v>
      </c>
      <c r="D87" s="18" t="str">
        <f t="shared" si="13"/>
        <v>/</v>
      </c>
      <c r="E87" s="18">
        <f ca="1">IF(表2_36716262930345[[#This Row],[累计净值]]/MAX(INDIRECT("B21:B" &amp; ROW()))-1&lt;E86,表2_36716262930345[[#This Row],[累计净值]]/MAX(INDIRECT("B21:B" &amp; ROW()))-1,E86)</f>
        <v>-7.4978938500421255E-2</v>
      </c>
      <c r="F87" s="62">
        <f>表2_36716262930345[[#This Row],[累计净值]]</f>
        <v>1.119</v>
      </c>
      <c r="G87" s="20">
        <f>表2_36716262930345[[#This Row],[累计净值]]/$B$22-1</f>
        <v>-5.1694915254237195E-2</v>
      </c>
      <c r="J87" s="69"/>
      <c r="K87" s="70"/>
      <c r="L87" s="70"/>
      <c r="M87" s="70"/>
      <c r="N87" s="70"/>
    </row>
    <row r="88" spans="1:14" x14ac:dyDescent="0.2">
      <c r="A88" s="15">
        <v>43801</v>
      </c>
      <c r="B88" s="16">
        <v>1.123</v>
      </c>
      <c r="C88" s="73">
        <f t="shared" si="12"/>
        <v>4.0000000000000036E-3</v>
      </c>
      <c r="D88" s="18" t="str">
        <f t="shared" si="13"/>
        <v>/</v>
      </c>
      <c r="E88" s="18">
        <f ca="1">IF(表2_36716262930345[[#This Row],[累计净值]]/MAX(INDIRECT("B21:B" &amp; ROW()))-1&lt;E87,表2_36716262930345[[#This Row],[累计净值]]/MAX(INDIRECT("B21:B" &amp; ROW()))-1,E87)</f>
        <v>-7.4978938500421255E-2</v>
      </c>
      <c r="F88" s="62">
        <f>表2_36716262930345[[#This Row],[累计净值]]</f>
        <v>1.123</v>
      </c>
      <c r="G88" s="20">
        <f>表2_36716262930345[[#This Row],[累计净值]]/$B$22-1</f>
        <v>-4.8305084745762672E-2</v>
      </c>
      <c r="J88" s="69"/>
      <c r="K88" s="70"/>
      <c r="L88" s="70"/>
      <c r="M88" s="70"/>
      <c r="N88" s="70"/>
    </row>
    <row r="89" spans="1:14" x14ac:dyDescent="0.2">
      <c r="A89" s="15">
        <v>43802</v>
      </c>
      <c r="B89" s="16">
        <v>1.129</v>
      </c>
      <c r="C89" s="73">
        <f t="shared" si="12"/>
        <v>6.0000000000000053E-3</v>
      </c>
      <c r="D89" s="18" t="str">
        <f t="shared" si="13"/>
        <v>/</v>
      </c>
      <c r="E89" s="18">
        <f ca="1">IF(表2_36716262930345[[#This Row],[累计净值]]/MAX(INDIRECT("B21:B" &amp; ROW()))-1&lt;E88,表2_36716262930345[[#This Row],[累计净值]]/MAX(INDIRECT("B21:B" &amp; ROW()))-1,E88)</f>
        <v>-7.4978938500421255E-2</v>
      </c>
      <c r="F89" s="62">
        <f>表2_36716262930345[[#This Row],[累计净值]]</f>
        <v>1.129</v>
      </c>
      <c r="G89" s="20">
        <f>表2_36716262930345[[#This Row],[累计净值]]/$B$22-1</f>
        <v>-4.3220338983050777E-2</v>
      </c>
      <c r="J89" s="69"/>
      <c r="K89" s="70"/>
      <c r="L89" s="70"/>
      <c r="M89" s="70"/>
      <c r="N89" s="70"/>
    </row>
    <row r="90" spans="1:14" x14ac:dyDescent="0.2">
      <c r="A90" s="15">
        <v>43803</v>
      </c>
      <c r="B90" s="16">
        <v>1.1240000000000001</v>
      </c>
      <c r="C90" s="73">
        <f t="shared" si="12"/>
        <v>-4.9999999999998934E-3</v>
      </c>
      <c r="D90" s="18">
        <f t="shared" si="13"/>
        <v>-4.9999999999998934E-3</v>
      </c>
      <c r="E90" s="18">
        <f ca="1">IF(表2_36716262930345[[#This Row],[累计净值]]/MAX(INDIRECT("B21:B" &amp; ROW()))-1&lt;E89,表2_36716262930345[[#This Row],[累计净值]]/MAX(INDIRECT("B21:B" &amp; ROW()))-1,E89)</f>
        <v>-7.4978938500421255E-2</v>
      </c>
      <c r="F90" s="62">
        <f>表2_36716262930345[[#This Row],[累计净值]]</f>
        <v>1.1240000000000001</v>
      </c>
      <c r="G90" s="20">
        <f>表2_36716262930345[[#This Row],[累计净值]]/$B$22-1</f>
        <v>-4.7457627118643875E-2</v>
      </c>
      <c r="J90" s="69"/>
      <c r="K90" s="70"/>
      <c r="L90" s="70"/>
      <c r="M90" s="70"/>
      <c r="N90" s="70"/>
    </row>
    <row r="91" spans="1:14" x14ac:dyDescent="0.2">
      <c r="A91" s="15">
        <v>43804</v>
      </c>
      <c r="B91" s="16">
        <v>1.121</v>
      </c>
      <c r="C91" s="73">
        <f t="shared" si="12"/>
        <v>-3.0000000000001137E-3</v>
      </c>
      <c r="D91" s="18">
        <f t="shared" si="13"/>
        <v>-3.0000000000001137E-3</v>
      </c>
      <c r="E91" s="18">
        <f ca="1">IF(表2_36716262930345[[#This Row],[累计净值]]/MAX(INDIRECT("B21:B" &amp; ROW()))-1&lt;E90,表2_36716262930345[[#This Row],[累计净值]]/MAX(INDIRECT("B21:B" &amp; ROW()))-1,E90)</f>
        <v>-7.4978938500421255E-2</v>
      </c>
      <c r="F91" s="62">
        <f>表2_36716262930345[[#This Row],[累计净值]]</f>
        <v>1.121</v>
      </c>
      <c r="G91" s="20">
        <f>表2_36716262930345[[#This Row],[累计净值]]/$B$22-1</f>
        <v>-4.9999999999999933E-2</v>
      </c>
      <c r="J91" s="69"/>
      <c r="K91" s="70"/>
      <c r="L91" s="70"/>
      <c r="M91" s="70"/>
      <c r="N91" s="70"/>
    </row>
    <row r="92" spans="1:14" x14ac:dyDescent="0.2">
      <c r="A92" s="15">
        <v>43805</v>
      </c>
      <c r="B92" s="16">
        <v>1.115</v>
      </c>
      <c r="C92" s="73">
        <f t="shared" si="12"/>
        <v>-6.0000000000000053E-3</v>
      </c>
      <c r="D92" s="18">
        <f t="shared" si="13"/>
        <v>-6.0000000000000053E-3</v>
      </c>
      <c r="E92" s="18">
        <f ca="1">IF(表2_36716262930345[[#This Row],[累计净值]]/MAX(INDIRECT("B21:B" &amp; ROW()))-1&lt;E91,表2_36716262930345[[#This Row],[累计净值]]/MAX(INDIRECT("B21:B" &amp; ROW()))-1,E91)</f>
        <v>-7.4978938500421255E-2</v>
      </c>
      <c r="F92" s="62">
        <f>表2_36716262930345[[#This Row],[累计净值]]</f>
        <v>1.115</v>
      </c>
      <c r="G92" s="20">
        <f>表2_36716262930345[[#This Row],[累计净值]]/$B$22-1</f>
        <v>-5.5084745762711829E-2</v>
      </c>
      <c r="J92" s="69"/>
      <c r="K92" s="70"/>
      <c r="L92" s="70"/>
      <c r="M92" s="70"/>
      <c r="N92" s="70"/>
    </row>
    <row r="93" spans="1:14" x14ac:dyDescent="0.2">
      <c r="A93" s="15">
        <v>43808</v>
      </c>
      <c r="B93" s="16">
        <v>1.1299999999999999</v>
      </c>
      <c r="C93" s="73">
        <f t="shared" si="12"/>
        <v>1.4999999999999902E-2</v>
      </c>
      <c r="D93" s="18" t="str">
        <f t="shared" si="13"/>
        <v>/</v>
      </c>
      <c r="E93" s="18">
        <f ca="1">IF(表2_36716262930345[[#This Row],[累计净值]]/MAX(INDIRECT("B21:B" &amp; ROW()))-1&lt;E92,表2_36716262930345[[#This Row],[累计净值]]/MAX(INDIRECT("B21:B" &amp; ROW()))-1,E92)</f>
        <v>-7.4978938500421255E-2</v>
      </c>
      <c r="F93" s="62">
        <f>表2_36716262930345[[#This Row],[累计净值]]</f>
        <v>1.1299999999999999</v>
      </c>
      <c r="G93" s="20">
        <f>表2_36716262930345[[#This Row],[累计净值]]/$B$22-1</f>
        <v>-4.2372881355932202E-2</v>
      </c>
      <c r="J93" s="69"/>
      <c r="K93" s="70"/>
      <c r="L93" s="70"/>
      <c r="M93" s="70"/>
      <c r="N93" s="70"/>
    </row>
    <row r="94" spans="1:14" x14ac:dyDescent="0.2">
      <c r="A94" s="15">
        <v>43809</v>
      </c>
      <c r="B94" s="16">
        <v>1.1339999999999999</v>
      </c>
      <c r="C94" s="73">
        <f t="shared" si="12"/>
        <v>4.0000000000000036E-3</v>
      </c>
      <c r="D94" s="18" t="str">
        <f t="shared" si="13"/>
        <v>/</v>
      </c>
      <c r="E94" s="18">
        <f ca="1">IF(表2_36716262930345[[#This Row],[累计净值]]/MAX(INDIRECT("B21:B" &amp; ROW()))-1&lt;E93,表2_36716262930345[[#This Row],[累计净值]]/MAX(INDIRECT("B21:B" &amp; ROW()))-1,E93)</f>
        <v>-7.4978938500421255E-2</v>
      </c>
      <c r="F94" s="62">
        <f>表2_36716262930345[[#This Row],[累计净值]]</f>
        <v>1.1339999999999999</v>
      </c>
      <c r="G94" s="20">
        <f>表2_36716262930345[[#This Row],[累计净值]]/$B$22-1</f>
        <v>-3.8983050847457679E-2</v>
      </c>
      <c r="J94" s="69"/>
      <c r="K94" s="70"/>
      <c r="L94" s="70"/>
      <c r="M94" s="70"/>
      <c r="N94" s="70"/>
    </row>
    <row r="95" spans="1:14" x14ac:dyDescent="0.2">
      <c r="A95" s="15">
        <v>43810</v>
      </c>
      <c r="B95" s="16">
        <v>1.1359999999999999</v>
      </c>
      <c r="C95" s="73">
        <f t="shared" si="12"/>
        <v>2.0000000000000018E-3</v>
      </c>
      <c r="D95" s="18" t="str">
        <f t="shared" si="13"/>
        <v>/</v>
      </c>
      <c r="E95" s="18">
        <f ca="1">IF(表2_36716262930345[[#This Row],[累计净值]]/MAX(INDIRECT("B21:B" &amp; ROW()))-1&lt;E94,表2_36716262930345[[#This Row],[累计净值]]/MAX(INDIRECT("B21:B" &amp; ROW()))-1,E94)</f>
        <v>-7.4978938500421255E-2</v>
      </c>
      <c r="F95" s="62">
        <f>表2_36716262930345[[#This Row],[累计净值]]</f>
        <v>1.1359999999999999</v>
      </c>
      <c r="G95" s="20">
        <f>表2_36716262930345[[#This Row],[累计净值]]/$B$22-1</f>
        <v>-3.7288135593220417E-2</v>
      </c>
      <c r="J95" s="69"/>
      <c r="K95" s="70"/>
      <c r="L95" s="70"/>
      <c r="M95" s="70"/>
      <c r="N95" s="70"/>
    </row>
    <row r="96" spans="1:14" x14ac:dyDescent="0.2">
      <c r="A96" s="15">
        <v>43811</v>
      </c>
      <c r="B96" s="16">
        <v>1.133</v>
      </c>
      <c r="C96" s="73">
        <f t="shared" si="12"/>
        <v>-2.9999999999998916E-3</v>
      </c>
      <c r="D96" s="18">
        <f t="shared" si="13"/>
        <v>-2.9999999999998916E-3</v>
      </c>
      <c r="E96" s="18">
        <f ca="1">IF(表2_36716262930345[[#This Row],[累计净值]]/MAX(INDIRECT("B21:B" &amp; ROW()))-1&lt;E95,表2_36716262930345[[#This Row],[累计净值]]/MAX(INDIRECT("B21:B" &amp; ROW()))-1,E95)</f>
        <v>-7.4978938500421255E-2</v>
      </c>
      <c r="F96" s="62">
        <f>表2_36716262930345[[#This Row],[累计净值]]</f>
        <v>1.133</v>
      </c>
      <c r="G96" s="20">
        <f>表2_36716262930345[[#This Row],[累计净值]]/$B$22-1</f>
        <v>-3.9830508474576254E-2</v>
      </c>
      <c r="J96" s="69"/>
      <c r="K96" s="70"/>
      <c r="L96" s="70"/>
      <c r="M96" s="70"/>
      <c r="N96" s="70"/>
    </row>
    <row r="97" spans="1:14" x14ac:dyDescent="0.2">
      <c r="A97" s="15">
        <v>43812</v>
      </c>
      <c r="B97" s="16">
        <v>1.1299999999999999</v>
      </c>
      <c r="C97" s="73">
        <f t="shared" si="12"/>
        <v>-3.0000000000001137E-3</v>
      </c>
      <c r="D97" s="18">
        <f t="shared" si="13"/>
        <v>-3.0000000000001137E-3</v>
      </c>
      <c r="E97" s="18">
        <f ca="1">IF(表2_36716262930345[[#This Row],[累计净值]]/MAX(INDIRECT("B21:B" &amp; ROW()))-1&lt;E96,表2_36716262930345[[#This Row],[累计净值]]/MAX(INDIRECT("B21:B" &amp; ROW()))-1,E96)</f>
        <v>-7.4978938500421255E-2</v>
      </c>
      <c r="F97" s="62">
        <f>表2_36716262930345[[#This Row],[累计净值]]</f>
        <v>1.1299999999999999</v>
      </c>
      <c r="G97" s="20">
        <f>表2_36716262930345[[#This Row],[累计净值]]/$B$22-1</f>
        <v>-4.2372881355932202E-2</v>
      </c>
      <c r="J97" s="69"/>
      <c r="K97" s="70"/>
      <c r="L97" s="70"/>
      <c r="M97" s="70"/>
      <c r="N97" s="70"/>
    </row>
    <row r="98" spans="1:14" x14ac:dyDescent="0.2">
      <c r="A98" s="15">
        <v>43815</v>
      </c>
      <c r="B98" s="16">
        <v>1.1299999999999999</v>
      </c>
      <c r="C98" s="73">
        <f t="shared" si="12"/>
        <v>0</v>
      </c>
      <c r="D98" s="18" t="str">
        <f t="shared" si="13"/>
        <v>/</v>
      </c>
      <c r="E98" s="18">
        <f ca="1">IF(表2_36716262930345[[#This Row],[累计净值]]/MAX(INDIRECT("B21:B" &amp; ROW()))-1&lt;E97,表2_36716262930345[[#This Row],[累计净值]]/MAX(INDIRECT("B21:B" &amp; ROW()))-1,E97)</f>
        <v>-7.4978938500421255E-2</v>
      </c>
      <c r="F98" s="62">
        <f>表2_36716262930345[[#This Row],[累计净值]]</f>
        <v>1.1299999999999999</v>
      </c>
      <c r="G98" s="20">
        <f>表2_36716262930345[[#This Row],[累计净值]]/$B$22-1</f>
        <v>-4.2372881355932202E-2</v>
      </c>
      <c r="J98" s="69"/>
      <c r="K98" s="70"/>
      <c r="L98" s="70"/>
      <c r="M98" s="70"/>
      <c r="N98" s="70"/>
    </row>
    <row r="99" spans="1:14" x14ac:dyDescent="0.2">
      <c r="A99" s="15">
        <v>43816</v>
      </c>
      <c r="B99" s="16">
        <v>1.123</v>
      </c>
      <c r="C99" s="73">
        <f t="shared" si="12"/>
        <v>-6.9999999999998952E-3</v>
      </c>
      <c r="D99" s="18">
        <f t="shared" si="13"/>
        <v>-6.9999999999998952E-3</v>
      </c>
      <c r="E99" s="18">
        <f ca="1">IF(表2_36716262930345[[#This Row],[累计净值]]/MAX(INDIRECT("B21:B" &amp; ROW()))-1&lt;E98,表2_36716262930345[[#This Row],[累计净值]]/MAX(INDIRECT("B21:B" &amp; ROW()))-1,E98)</f>
        <v>-7.4978938500421255E-2</v>
      </c>
      <c r="F99" s="62">
        <f>表2_36716262930345[[#This Row],[累计净值]]</f>
        <v>1.123</v>
      </c>
      <c r="G99" s="20">
        <f>表2_36716262930345[[#This Row],[累计净值]]/$B$22-1</f>
        <v>-4.8305084745762672E-2</v>
      </c>
      <c r="J99" s="69"/>
      <c r="K99" s="70"/>
      <c r="L99" s="70"/>
      <c r="M99" s="70"/>
      <c r="N99" s="70"/>
    </row>
    <row r="100" spans="1:14" x14ac:dyDescent="0.2">
      <c r="A100" s="15">
        <v>43817</v>
      </c>
      <c r="B100" s="16">
        <v>1.121</v>
      </c>
      <c r="C100" s="73">
        <f t="shared" si="12"/>
        <v>-2.0000000000000018E-3</v>
      </c>
      <c r="D100" s="18">
        <f t="shared" si="13"/>
        <v>-2.0000000000000018E-3</v>
      </c>
      <c r="E100" s="18">
        <f ca="1">IF(表2_36716262930345[[#This Row],[累计净值]]/MAX(INDIRECT("B21:B" &amp; ROW()))-1&lt;E99,表2_36716262930345[[#This Row],[累计净值]]/MAX(INDIRECT("B21:B" &amp; ROW()))-1,E99)</f>
        <v>-7.4978938500421255E-2</v>
      </c>
      <c r="F100" s="62">
        <f>表2_36716262930345[[#This Row],[累计净值]]</f>
        <v>1.121</v>
      </c>
      <c r="G100" s="20">
        <f>表2_36716262930345[[#This Row],[累计净值]]/$B$22-1</f>
        <v>-4.9999999999999933E-2</v>
      </c>
      <c r="J100" s="69"/>
      <c r="K100" s="70"/>
      <c r="L100" s="70"/>
      <c r="M100" s="70"/>
      <c r="N100" s="70"/>
    </row>
    <row r="101" spans="1:14" x14ac:dyDescent="0.2">
      <c r="A101" s="15">
        <v>43818</v>
      </c>
      <c r="B101" s="16">
        <v>1.1200000000000001</v>
      </c>
      <c r="C101" s="73">
        <f t="shared" si="12"/>
        <v>-9.9999999999988987E-4</v>
      </c>
      <c r="D101" s="18">
        <f t="shared" si="13"/>
        <v>-9.9999999999988987E-4</v>
      </c>
      <c r="E101" s="18">
        <f ca="1">IF(表2_36716262930345[[#This Row],[累计净值]]/MAX(INDIRECT("B21:B" &amp; ROW()))-1&lt;E100,表2_36716262930345[[#This Row],[累计净值]]/MAX(INDIRECT("B21:B" &amp; ROW()))-1,E100)</f>
        <v>-7.4978938500421255E-2</v>
      </c>
      <c r="F101" s="62">
        <f>表2_36716262930345[[#This Row],[累计净值]]</f>
        <v>1.1200000000000001</v>
      </c>
      <c r="G101" s="20">
        <f>表2_36716262930345[[#This Row],[累计净值]]/$B$22-1</f>
        <v>-5.0847457627118509E-2</v>
      </c>
      <c r="J101" s="69"/>
      <c r="K101" s="70"/>
      <c r="L101" s="70"/>
      <c r="M101" s="70"/>
      <c r="N101" s="70"/>
    </row>
    <row r="102" spans="1:14" x14ac:dyDescent="0.2">
      <c r="A102" s="15">
        <v>43819</v>
      </c>
      <c r="B102" s="16">
        <v>1.1200000000000001</v>
      </c>
      <c r="C102" s="73">
        <f t="shared" si="12"/>
        <v>0</v>
      </c>
      <c r="D102" s="18" t="str">
        <f t="shared" si="13"/>
        <v>/</v>
      </c>
      <c r="E102" s="18">
        <f ca="1">IF(表2_36716262930345[[#This Row],[累计净值]]/MAX(INDIRECT("B21:B" &amp; ROW()))-1&lt;E101,表2_36716262930345[[#This Row],[累计净值]]/MAX(INDIRECT("B21:B" &amp; ROW()))-1,E101)</f>
        <v>-7.4978938500421255E-2</v>
      </c>
      <c r="F102" s="62">
        <f>表2_36716262930345[[#This Row],[累计净值]]</f>
        <v>1.1200000000000001</v>
      </c>
      <c r="G102" s="20">
        <f>表2_36716262930345[[#This Row],[累计净值]]/$B$22-1</f>
        <v>-5.0847457627118509E-2</v>
      </c>
      <c r="J102" s="69"/>
      <c r="K102" s="70"/>
      <c r="L102" s="70"/>
      <c r="M102" s="70"/>
      <c r="N102" s="70"/>
    </row>
    <row r="103" spans="1:14" x14ac:dyDescent="0.2">
      <c r="A103" s="15">
        <v>43822</v>
      </c>
      <c r="B103" s="16">
        <v>1.115</v>
      </c>
      <c r="C103" s="73">
        <f t="shared" ref="C103:C108" si="14">IFERROR(B103-B102,0)</f>
        <v>-5.0000000000001155E-3</v>
      </c>
      <c r="D103" s="18">
        <f t="shared" ref="D103:D108" si="15">IF(C103&lt;0,C103,"/")</f>
        <v>-5.0000000000001155E-3</v>
      </c>
      <c r="E103" s="18">
        <f ca="1">IF(表2_36716262930345[[#This Row],[累计净值]]/MAX(INDIRECT("B21:B" &amp; ROW()))-1&lt;E102,表2_36716262930345[[#This Row],[累计净值]]/MAX(INDIRECT("B21:B" &amp; ROW()))-1,E102)</f>
        <v>-7.4978938500421255E-2</v>
      </c>
      <c r="F103" s="62">
        <f>表2_36716262930345[[#This Row],[累计净值]]</f>
        <v>1.115</v>
      </c>
      <c r="G103" s="20">
        <f>表2_36716262930345[[#This Row],[累计净值]]/$B$22-1</f>
        <v>-5.5084745762711829E-2</v>
      </c>
      <c r="J103" s="69"/>
      <c r="K103" s="70"/>
      <c r="L103" s="70"/>
      <c r="M103" s="70"/>
      <c r="N103" s="70"/>
    </row>
    <row r="104" spans="1:14" x14ac:dyDescent="0.2">
      <c r="A104" s="15">
        <v>43823</v>
      </c>
      <c r="B104" s="16">
        <v>1.107</v>
      </c>
      <c r="C104" s="73">
        <f t="shared" si="14"/>
        <v>-8.0000000000000071E-3</v>
      </c>
      <c r="D104" s="18">
        <f t="shared" si="15"/>
        <v>-8.0000000000000071E-3</v>
      </c>
      <c r="E104" s="18">
        <f ca="1">IF(表2_36716262930345[[#This Row],[累计净值]]/MAX(INDIRECT("B21:B" &amp; ROW()))-1&lt;E103,表2_36716262930345[[#This Row],[累计净值]]/MAX(INDIRECT("B21:B" &amp; ROW()))-1,E103)</f>
        <v>-7.4978938500421255E-2</v>
      </c>
      <c r="F104" s="62">
        <f>表2_36716262930345[[#This Row],[累计净值]]</f>
        <v>1.107</v>
      </c>
      <c r="G104" s="20">
        <f>表2_36716262930345[[#This Row],[累计净值]]/$B$22-1</f>
        <v>-6.1864406779660985E-2</v>
      </c>
      <c r="J104" s="69"/>
      <c r="K104" s="70"/>
      <c r="L104" s="70"/>
      <c r="M104" s="70"/>
      <c r="N104" s="70"/>
    </row>
    <row r="105" spans="1:14" x14ac:dyDescent="0.2">
      <c r="A105" s="15">
        <v>43824</v>
      </c>
      <c r="B105" s="16">
        <v>1.1040000000000001</v>
      </c>
      <c r="C105" s="73">
        <f t="shared" si="14"/>
        <v>-2.9999999999998916E-3</v>
      </c>
      <c r="D105" s="18">
        <f t="shared" si="15"/>
        <v>-2.9999999999998916E-3</v>
      </c>
      <c r="E105" s="18">
        <f ca="1">IF(表2_36716262930345[[#This Row],[累计净值]]/MAX(INDIRECT("B21:B" &amp; ROW()))-1&lt;E104,表2_36716262930345[[#This Row],[累计净值]]/MAX(INDIRECT("B21:B" &amp; ROW()))-1,E104)</f>
        <v>-7.4978938500421255E-2</v>
      </c>
      <c r="F105" s="62">
        <f>表2_36716262930345[[#This Row],[累计净值]]</f>
        <v>1.1040000000000001</v>
      </c>
      <c r="G105" s="20">
        <f>表2_36716262930345[[#This Row],[累计净值]]/$B$22-1</f>
        <v>-6.4406779661016822E-2</v>
      </c>
      <c r="J105" s="69"/>
      <c r="K105" s="70"/>
      <c r="L105" s="70"/>
      <c r="M105" s="70"/>
      <c r="N105" s="70"/>
    </row>
    <row r="106" spans="1:14" x14ac:dyDescent="0.2">
      <c r="A106" s="15">
        <v>43825</v>
      </c>
      <c r="B106" s="16">
        <v>1.1020000000000001</v>
      </c>
      <c r="C106" s="73">
        <f t="shared" si="14"/>
        <v>-2.0000000000000018E-3</v>
      </c>
      <c r="D106" s="18">
        <f t="shared" si="15"/>
        <v>-2.0000000000000018E-3</v>
      </c>
      <c r="E106" s="18">
        <f ca="1">IF(表2_36716262930345[[#This Row],[累计净值]]/MAX(INDIRECT("B21:B" &amp; ROW()))-1&lt;E105,表2_36716262930345[[#This Row],[累计净值]]/MAX(INDIRECT("B21:B" &amp; ROW()))-1,E105)</f>
        <v>-7.4978938500421255E-2</v>
      </c>
      <c r="F106" s="62">
        <f>表2_36716262930345[[#This Row],[累计净值]]</f>
        <v>1.1020000000000001</v>
      </c>
      <c r="G106" s="20">
        <f>表2_36716262930345[[#This Row],[累计净值]]/$B$22-1</f>
        <v>-6.6101694915254083E-2</v>
      </c>
      <c r="J106" s="69"/>
      <c r="K106" s="70"/>
      <c r="L106" s="70"/>
      <c r="M106" s="70"/>
      <c r="N106" s="70"/>
    </row>
    <row r="107" spans="1:14" x14ac:dyDescent="0.2">
      <c r="A107" s="15">
        <v>43826</v>
      </c>
      <c r="B107" s="16">
        <v>1.111</v>
      </c>
      <c r="C107" s="73">
        <f t="shared" si="14"/>
        <v>8.999999999999897E-3</v>
      </c>
      <c r="D107" s="18" t="str">
        <f t="shared" si="15"/>
        <v>/</v>
      </c>
      <c r="E107" s="18">
        <f ca="1">IF(表2_36716262930345[[#This Row],[累计净值]]/MAX(INDIRECT("B21:B" &amp; ROW()))-1&lt;E106,表2_36716262930345[[#This Row],[累计净值]]/MAX(INDIRECT("B21:B" &amp; ROW()))-1,E106)</f>
        <v>-7.4978938500421255E-2</v>
      </c>
      <c r="F107" s="62">
        <f>表2_36716262930345[[#This Row],[累计净值]]</f>
        <v>1.111</v>
      </c>
      <c r="G107" s="20">
        <f>表2_36716262930345[[#This Row],[累计净值]]/$B$22-1</f>
        <v>-5.8474576271186351E-2</v>
      </c>
      <c r="J107" s="69"/>
      <c r="K107" s="70"/>
      <c r="L107" s="70"/>
      <c r="M107" s="70"/>
      <c r="N107" s="70"/>
    </row>
    <row r="108" spans="1:14" x14ac:dyDescent="0.2">
      <c r="A108" s="15">
        <v>43829</v>
      </c>
      <c r="B108" s="16">
        <v>1.119</v>
      </c>
      <c r="C108" s="73">
        <f t="shared" si="14"/>
        <v>8.0000000000000071E-3</v>
      </c>
      <c r="D108" s="18" t="str">
        <f t="shared" si="15"/>
        <v>/</v>
      </c>
      <c r="E108" s="18">
        <f ca="1">IF(表2_36716262930345[[#This Row],[累计净值]]/MAX(INDIRECT("B21:B" &amp; ROW()))-1&lt;E107,表2_36716262930345[[#This Row],[累计净值]]/MAX(INDIRECT("B21:B" &amp; ROW()))-1,E107)</f>
        <v>-7.4978938500421255E-2</v>
      </c>
      <c r="F108" s="62">
        <f>表2_36716262930345[[#This Row],[累计净值]]</f>
        <v>1.119</v>
      </c>
      <c r="G108" s="20">
        <f>表2_36716262930345[[#This Row],[累计净值]]/$B$22-1</f>
        <v>-5.1694915254237195E-2</v>
      </c>
      <c r="J108" s="69"/>
      <c r="K108" s="70"/>
      <c r="L108" s="70"/>
      <c r="M108" s="70"/>
      <c r="N108" s="70"/>
    </row>
    <row r="109" spans="1:14" x14ac:dyDescent="0.2">
      <c r="A109" s="15">
        <v>43830</v>
      </c>
      <c r="B109" s="16">
        <v>1.123</v>
      </c>
      <c r="C109" s="73">
        <f t="shared" ref="C109:C114" si="16">IFERROR(B109-B108,0)</f>
        <v>4.0000000000000036E-3</v>
      </c>
      <c r="D109" s="18" t="str">
        <f t="shared" ref="D109:D114" si="17">IF(C109&lt;0,C109,"/")</f>
        <v>/</v>
      </c>
      <c r="E109" s="18">
        <f ca="1">IF(表2_36716262930345[[#This Row],[累计净值]]/MAX(INDIRECT("B21:B" &amp; ROW()))-1&lt;E108,表2_36716262930345[[#This Row],[累计净值]]/MAX(INDIRECT("B21:B" &amp; ROW()))-1,E108)</f>
        <v>-7.4978938500421255E-2</v>
      </c>
      <c r="F109" s="62">
        <f>表2_36716262930345[[#This Row],[累计净值]]</f>
        <v>1.123</v>
      </c>
      <c r="G109" s="20">
        <f>表2_36716262930345[[#This Row],[累计净值]]/$B$22-1</f>
        <v>-4.8305084745762672E-2</v>
      </c>
      <c r="J109" s="69"/>
      <c r="K109" s="70"/>
      <c r="L109" s="70"/>
      <c r="M109" s="70"/>
      <c r="N109" s="70"/>
    </row>
    <row r="110" spans="1:14" x14ac:dyDescent="0.2">
      <c r="A110" s="15">
        <v>43832</v>
      </c>
      <c r="B110" s="16">
        <v>1.125</v>
      </c>
      <c r="C110" s="73">
        <f t="shared" si="16"/>
        <v>2.0000000000000018E-3</v>
      </c>
      <c r="D110" s="18" t="str">
        <f t="shared" si="17"/>
        <v>/</v>
      </c>
      <c r="E110" s="18">
        <f ca="1">IF(表2_36716262930345[[#This Row],[累计净值]]/MAX(INDIRECT("B21:B" &amp; ROW()))-1&lt;E109,表2_36716262930345[[#This Row],[累计净值]]/MAX(INDIRECT("B21:B" &amp; ROW()))-1,E109)</f>
        <v>-7.4978938500421255E-2</v>
      </c>
      <c r="F110" s="62">
        <f>表2_36716262930345[[#This Row],[累计净值]]</f>
        <v>1.125</v>
      </c>
      <c r="G110" s="20">
        <f>表2_36716262930345[[#This Row],[累计净值]]/$B$22-1</f>
        <v>-4.6610169491525411E-2</v>
      </c>
      <c r="J110" s="69"/>
      <c r="K110" s="70"/>
      <c r="L110" s="70"/>
      <c r="M110" s="70"/>
      <c r="N110" s="70"/>
    </row>
    <row r="111" spans="1:14" x14ac:dyDescent="0.2">
      <c r="A111" s="15">
        <v>43833</v>
      </c>
      <c r="B111" s="16">
        <v>1.129</v>
      </c>
      <c r="C111" s="73">
        <f t="shared" si="16"/>
        <v>4.0000000000000036E-3</v>
      </c>
      <c r="D111" s="18" t="str">
        <f t="shared" si="17"/>
        <v>/</v>
      </c>
      <c r="E111" s="18">
        <f ca="1">IF(表2_36716262930345[[#This Row],[累计净值]]/MAX(INDIRECT("B21:B" &amp; ROW()))-1&lt;E110,表2_36716262930345[[#This Row],[累计净值]]/MAX(INDIRECT("B21:B" &amp; ROW()))-1,E110)</f>
        <v>-7.4978938500421255E-2</v>
      </c>
      <c r="F111" s="62">
        <f>表2_36716262930345[[#This Row],[累计净值]]</f>
        <v>1.129</v>
      </c>
      <c r="G111" s="20">
        <f>表2_36716262930345[[#This Row],[累计净值]]/$B$22-1</f>
        <v>-4.3220338983050777E-2</v>
      </c>
      <c r="J111" s="69"/>
      <c r="K111" s="70"/>
      <c r="L111" s="70"/>
      <c r="M111" s="70"/>
      <c r="N111" s="70"/>
    </row>
    <row r="112" spans="1:14" x14ac:dyDescent="0.2">
      <c r="A112" s="15">
        <v>43836</v>
      </c>
      <c r="B112" s="16">
        <v>1.1459999999999999</v>
      </c>
      <c r="C112" s="73">
        <f t="shared" si="16"/>
        <v>1.6999999999999904E-2</v>
      </c>
      <c r="D112" s="18" t="str">
        <f t="shared" si="17"/>
        <v>/</v>
      </c>
      <c r="E112" s="18">
        <f ca="1">IF(表2_36716262930345[[#This Row],[累计净值]]/MAX(INDIRECT("B21:B" &amp; ROW()))-1&lt;E111,表2_36716262930345[[#This Row],[累计净值]]/MAX(INDIRECT("B21:B" &amp; ROW()))-1,E111)</f>
        <v>-7.4978938500421255E-2</v>
      </c>
      <c r="F112" s="62">
        <f>表2_36716262930345[[#This Row],[累计净值]]</f>
        <v>1.1459999999999999</v>
      </c>
      <c r="G112" s="20">
        <f>表2_36716262930345[[#This Row],[累计净值]]/$B$22-1</f>
        <v>-2.8813559322033888E-2</v>
      </c>
      <c r="J112" s="69"/>
      <c r="K112" s="70"/>
      <c r="L112" s="70"/>
      <c r="M112" s="70"/>
      <c r="N112" s="70"/>
    </row>
    <row r="113" spans="1:14" x14ac:dyDescent="0.2">
      <c r="A113" s="15">
        <v>43837</v>
      </c>
      <c r="B113" s="16">
        <v>1.155</v>
      </c>
      <c r="C113" s="73">
        <f t="shared" si="16"/>
        <v>9.000000000000119E-3</v>
      </c>
      <c r="D113" s="18" t="str">
        <f t="shared" si="17"/>
        <v>/</v>
      </c>
      <c r="E113" s="18">
        <f ca="1">IF(表2_36716262930345[[#This Row],[累计净值]]/MAX(INDIRECT("B21:B" &amp; ROW()))-1&lt;E112,表2_36716262930345[[#This Row],[累计净值]]/MAX(INDIRECT("B21:B" &amp; ROW()))-1,E112)</f>
        <v>-7.4978938500421255E-2</v>
      </c>
      <c r="F113" s="62">
        <f>表2_36716262930345[[#This Row],[累计净值]]</f>
        <v>1.155</v>
      </c>
      <c r="G113" s="20">
        <f>表2_36716262930345[[#This Row],[累计净值]]/$B$22-1</f>
        <v>-2.1186440677966045E-2</v>
      </c>
      <c r="J113" s="69"/>
      <c r="K113" s="70"/>
      <c r="L113" s="70"/>
      <c r="M113" s="70"/>
      <c r="N113" s="70"/>
    </row>
    <row r="114" spans="1:14" x14ac:dyDescent="0.2">
      <c r="A114" s="15">
        <v>43838</v>
      </c>
      <c r="B114" s="16">
        <v>1.1719999999999999</v>
      </c>
      <c r="C114" s="73">
        <f t="shared" si="16"/>
        <v>1.6999999999999904E-2</v>
      </c>
      <c r="D114" s="18" t="str">
        <f t="shared" si="17"/>
        <v>/</v>
      </c>
      <c r="E114" s="18">
        <f ca="1">IF(表2_36716262930345[[#This Row],[累计净值]]/MAX(INDIRECT("B21:B" &amp; ROW()))-1&lt;E113,表2_36716262930345[[#This Row],[累计净值]]/MAX(INDIRECT("B21:B" &amp; ROW()))-1,E113)</f>
        <v>-7.4978938500421255E-2</v>
      </c>
      <c r="F114" s="62">
        <f>表2_36716262930345[[#This Row],[累计净值]]</f>
        <v>1.1719999999999999</v>
      </c>
      <c r="G114" s="20">
        <f>表2_36716262930345[[#This Row],[累计净值]]/$B$22-1</f>
        <v>-6.7796610169491567E-3</v>
      </c>
      <c r="J114" s="69"/>
      <c r="K114" s="70"/>
      <c r="L114" s="70"/>
      <c r="M114" s="70"/>
      <c r="N114" s="70"/>
    </row>
    <row r="115" spans="1:14" x14ac:dyDescent="0.2">
      <c r="A115" s="15">
        <v>43839</v>
      </c>
      <c r="B115" s="16">
        <v>1.1619999999999999</v>
      </c>
      <c r="C115" s="73">
        <f t="shared" ref="C115:C150" si="18">IFERROR(B115-B114,0)</f>
        <v>-1.0000000000000009E-2</v>
      </c>
      <c r="D115" s="18">
        <f t="shared" ref="D115:D150" si="19">IF(C115&lt;0,C115,"/")</f>
        <v>-1.0000000000000009E-2</v>
      </c>
      <c r="E115" s="18">
        <f ca="1">IF(表2_36716262930345[[#This Row],[累计净值]]/MAX(INDIRECT("B21:B" &amp; ROW()))-1&lt;E114,表2_36716262930345[[#This Row],[累计净值]]/MAX(INDIRECT("B21:B" &amp; ROW()))-1,E114)</f>
        <v>-7.4978938500421255E-2</v>
      </c>
      <c r="F115" s="62">
        <f>表2_36716262930345[[#This Row],[累计净值]]</f>
        <v>1.1619999999999999</v>
      </c>
      <c r="G115" s="20">
        <f>表2_36716262930345[[#This Row],[累计净值]]/$B$22-1</f>
        <v>-1.5254237288135575E-2</v>
      </c>
      <c r="J115" s="69"/>
      <c r="K115" s="70"/>
      <c r="L115" s="70"/>
      <c r="M115" s="70"/>
      <c r="N115" s="70"/>
    </row>
    <row r="116" spans="1:14" x14ac:dyDescent="0.2">
      <c r="A116" s="15">
        <v>43840</v>
      </c>
      <c r="B116" s="16">
        <v>1.1519999999999999</v>
      </c>
      <c r="C116" s="73">
        <f t="shared" si="18"/>
        <v>-1.0000000000000009E-2</v>
      </c>
      <c r="D116" s="18">
        <f t="shared" si="19"/>
        <v>-1.0000000000000009E-2</v>
      </c>
      <c r="E116" s="18">
        <f ca="1">IF(表2_36716262930345[[#This Row],[累计净值]]/MAX(INDIRECT("B21:B" &amp; ROW()))-1&lt;E115,表2_36716262930345[[#This Row],[累计净值]]/MAX(INDIRECT("B21:B" &amp; ROW()))-1,E115)</f>
        <v>-7.4978938500421255E-2</v>
      </c>
      <c r="F116" s="62">
        <f>表2_36716262930345[[#This Row],[累计净值]]</f>
        <v>1.1519999999999999</v>
      </c>
      <c r="G116" s="20">
        <f>表2_36716262930345[[#This Row],[累计净值]]/$B$22-1</f>
        <v>-2.3728813559322104E-2</v>
      </c>
      <c r="J116" s="69"/>
      <c r="K116" s="70"/>
      <c r="L116" s="70"/>
      <c r="M116" s="70"/>
      <c r="N116" s="70"/>
    </row>
    <row r="117" spans="1:14" x14ac:dyDescent="0.2">
      <c r="A117" s="15">
        <v>43843</v>
      </c>
      <c r="B117" s="16">
        <v>1.1579999999999999</v>
      </c>
      <c r="C117" s="73">
        <f t="shared" si="18"/>
        <v>6.0000000000000053E-3</v>
      </c>
      <c r="D117" s="18" t="str">
        <f t="shared" si="19"/>
        <v>/</v>
      </c>
      <c r="E117" s="18">
        <f ca="1">IF(表2_36716262930345[[#This Row],[累计净值]]/MAX(INDIRECT("B21:B" &amp; ROW()))-1&lt;E116,表2_36716262930345[[#This Row],[累计净值]]/MAX(INDIRECT("B21:B" &amp; ROW()))-1,E116)</f>
        <v>-7.4978938500421255E-2</v>
      </c>
      <c r="F117" s="62">
        <f>表2_36716262930345[[#This Row],[累计净值]]</f>
        <v>1.1579999999999999</v>
      </c>
      <c r="G117" s="20">
        <f>表2_36716262930345[[#This Row],[累计净值]]/$B$22-1</f>
        <v>-1.8644067796610209E-2</v>
      </c>
      <c r="J117" s="69"/>
      <c r="K117" s="70"/>
      <c r="L117" s="70"/>
      <c r="M117" s="70"/>
      <c r="N117" s="70"/>
    </row>
    <row r="118" spans="1:14" x14ac:dyDescent="0.2">
      <c r="A118" s="15">
        <v>43844</v>
      </c>
      <c r="B118" s="16">
        <v>1.163</v>
      </c>
      <c r="C118" s="73">
        <f t="shared" si="18"/>
        <v>5.0000000000001155E-3</v>
      </c>
      <c r="D118" s="18" t="str">
        <f t="shared" si="19"/>
        <v>/</v>
      </c>
      <c r="E118" s="18">
        <f ca="1">IF(表2_36716262930345[[#This Row],[累计净值]]/MAX(INDIRECT("B21:B" &amp; ROW()))-1&lt;E117,表2_36716262930345[[#This Row],[累计净值]]/MAX(INDIRECT("B21:B" &amp; ROW()))-1,E117)</f>
        <v>-7.4978938500421255E-2</v>
      </c>
      <c r="F118" s="62">
        <f>表2_36716262930345[[#This Row],[累计净值]]</f>
        <v>1.163</v>
      </c>
      <c r="G118" s="20">
        <f>表2_36716262930345[[#This Row],[累计净值]]/$B$22-1</f>
        <v>-1.4406779661016889E-2</v>
      </c>
      <c r="J118" s="69"/>
      <c r="K118" s="70"/>
      <c r="L118" s="70"/>
      <c r="M118" s="70"/>
      <c r="N118" s="70"/>
    </row>
    <row r="119" spans="1:14" x14ac:dyDescent="0.2">
      <c r="A119" s="15">
        <v>43845</v>
      </c>
      <c r="B119" s="16">
        <v>1.161</v>
      </c>
      <c r="C119" s="73">
        <f t="shared" si="18"/>
        <v>-2.0000000000000018E-3</v>
      </c>
      <c r="D119" s="18">
        <f t="shared" si="19"/>
        <v>-2.0000000000000018E-3</v>
      </c>
      <c r="E119" s="18">
        <f ca="1">IF(表2_36716262930345[[#This Row],[累计净值]]/MAX(INDIRECT("B21:B" &amp; ROW()))-1&lt;E118,表2_36716262930345[[#This Row],[累计净值]]/MAX(INDIRECT("B21:B" &amp; ROW()))-1,E118)</f>
        <v>-7.4978938500421255E-2</v>
      </c>
      <c r="F119" s="62">
        <f>表2_36716262930345[[#This Row],[累计净值]]</f>
        <v>1.161</v>
      </c>
      <c r="G119" s="20">
        <f>表2_36716262930345[[#This Row],[累计净值]]/$B$22-1</f>
        <v>-1.610169491525415E-2</v>
      </c>
      <c r="J119" s="69"/>
      <c r="K119" s="70"/>
      <c r="L119" s="70"/>
      <c r="M119" s="70"/>
      <c r="N119" s="70"/>
    </row>
    <row r="120" spans="1:14" x14ac:dyDescent="0.2">
      <c r="A120" s="15">
        <v>43846</v>
      </c>
      <c r="B120" s="16">
        <v>1.1559999999999999</v>
      </c>
      <c r="C120" s="73">
        <f t="shared" si="18"/>
        <v>-5.0000000000001155E-3</v>
      </c>
      <c r="D120" s="18">
        <f t="shared" si="19"/>
        <v>-5.0000000000001155E-3</v>
      </c>
      <c r="E120" s="18">
        <f ca="1">IF(表2_36716262930345[[#This Row],[累计净值]]/MAX(INDIRECT("B21:B" &amp; ROW()))-1&lt;E119,表2_36716262930345[[#This Row],[累计净值]]/MAX(INDIRECT("B21:B" &amp; ROW()))-1,E119)</f>
        <v>-7.4978938500421255E-2</v>
      </c>
      <c r="F120" s="62">
        <f>表2_36716262930345[[#This Row],[累计净值]]</f>
        <v>1.1559999999999999</v>
      </c>
      <c r="G120" s="20">
        <f>表2_36716262930345[[#This Row],[累计净值]]/$B$22-1</f>
        <v>-2.033898305084747E-2</v>
      </c>
      <c r="J120" s="69"/>
      <c r="K120" s="70"/>
      <c r="L120" s="70"/>
      <c r="M120" s="70"/>
      <c r="N120" s="70"/>
    </row>
    <row r="121" spans="1:14" x14ac:dyDescent="0.2">
      <c r="A121" s="15">
        <v>43847</v>
      </c>
      <c r="B121" s="16">
        <v>1.1619999999999999</v>
      </c>
      <c r="C121" s="73">
        <f t="shared" si="18"/>
        <v>6.0000000000000053E-3</v>
      </c>
      <c r="D121" s="18" t="str">
        <f t="shared" si="19"/>
        <v>/</v>
      </c>
      <c r="E121" s="18">
        <f ca="1">IF(表2_36716262930345[[#This Row],[累计净值]]/MAX(INDIRECT("B21:B" &amp; ROW()))-1&lt;E120,表2_36716262930345[[#This Row],[累计净值]]/MAX(INDIRECT("B21:B" &amp; ROW()))-1,E120)</f>
        <v>-7.4978938500421255E-2</v>
      </c>
      <c r="F121" s="62">
        <f>表2_36716262930345[[#This Row],[累计净值]]</f>
        <v>1.1619999999999999</v>
      </c>
      <c r="G121" s="20">
        <f>表2_36716262930345[[#This Row],[累计净值]]/$B$22-1</f>
        <v>-1.5254237288135575E-2</v>
      </c>
      <c r="J121" s="69"/>
      <c r="K121" s="70"/>
      <c r="L121" s="70"/>
      <c r="M121" s="70"/>
      <c r="N121" s="70"/>
    </row>
    <row r="122" spans="1:14" x14ac:dyDescent="0.2">
      <c r="A122" s="15">
        <v>43850</v>
      </c>
      <c r="B122" s="16">
        <v>1.165</v>
      </c>
      <c r="C122" s="73">
        <f t="shared" si="18"/>
        <v>3.0000000000001137E-3</v>
      </c>
      <c r="D122" s="18" t="str">
        <f t="shared" si="19"/>
        <v>/</v>
      </c>
      <c r="E122" s="18">
        <f ca="1">IF(表2_36716262930345[[#This Row],[累计净值]]/MAX(INDIRECT("B21:B" &amp; ROW()))-1&lt;E121,表2_36716262930345[[#This Row],[累计净值]]/MAX(INDIRECT("B21:B" &amp; ROW()))-1,E121)</f>
        <v>-7.4978938500421255E-2</v>
      </c>
      <c r="F122" s="62">
        <f>表2_36716262930345[[#This Row],[累计净值]]</f>
        <v>1.165</v>
      </c>
      <c r="G122" s="20">
        <f>表2_36716262930345[[#This Row],[累计净值]]/$B$22-1</f>
        <v>-1.2711864406779627E-2</v>
      </c>
      <c r="J122" s="69"/>
      <c r="K122" s="70"/>
      <c r="L122" s="70"/>
      <c r="M122" s="70"/>
      <c r="N122" s="70"/>
    </row>
    <row r="123" spans="1:14" x14ac:dyDescent="0.2">
      <c r="A123" s="15">
        <v>43851</v>
      </c>
      <c r="B123" s="16">
        <v>1.153</v>
      </c>
      <c r="C123" s="73">
        <f t="shared" si="18"/>
        <v>-1.2000000000000011E-2</v>
      </c>
      <c r="D123" s="18">
        <f t="shared" si="19"/>
        <v>-1.2000000000000011E-2</v>
      </c>
      <c r="E123" s="18">
        <f ca="1">IF(表2_36716262930345[[#This Row],[累计净值]]/MAX(INDIRECT("B21:B" &amp; ROW()))-1&lt;E122,表2_36716262930345[[#This Row],[累计净值]]/MAX(INDIRECT("B21:B" &amp; ROW()))-1,E122)</f>
        <v>-7.4978938500421255E-2</v>
      </c>
      <c r="F123" s="62">
        <f>表2_36716262930345[[#This Row],[累计净值]]</f>
        <v>1.153</v>
      </c>
      <c r="G123" s="20">
        <f>表2_36716262930345[[#This Row],[累计净值]]/$B$22-1</f>
        <v>-2.2881355932203307E-2</v>
      </c>
      <c r="J123" s="69"/>
      <c r="K123" s="70"/>
      <c r="L123" s="70"/>
      <c r="M123" s="70"/>
      <c r="N123" s="70"/>
    </row>
    <row r="124" spans="1:14" x14ac:dyDescent="0.2">
      <c r="A124" s="15">
        <v>43852</v>
      </c>
      <c r="B124" s="16">
        <v>1.147</v>
      </c>
      <c r="C124" s="73">
        <f t="shared" si="18"/>
        <v>-6.0000000000000053E-3</v>
      </c>
      <c r="D124" s="18">
        <f t="shared" si="19"/>
        <v>-6.0000000000000053E-3</v>
      </c>
      <c r="E124" s="18">
        <f ca="1">IF(表2_36716262930345[[#This Row],[累计净值]]/MAX(INDIRECT("B21:B" &amp; ROW()))-1&lt;E123,表2_36716262930345[[#This Row],[累计净值]]/MAX(INDIRECT("B21:B" &amp; ROW()))-1,E123)</f>
        <v>-7.4978938500421255E-2</v>
      </c>
      <c r="F124" s="62">
        <f>表2_36716262930345[[#This Row],[累计净值]]</f>
        <v>1.147</v>
      </c>
      <c r="G124" s="20">
        <f>表2_36716262930345[[#This Row],[累计净值]]/$B$22-1</f>
        <v>-2.7966101694915202E-2</v>
      </c>
      <c r="J124" s="69"/>
      <c r="K124" s="70"/>
      <c r="L124" s="70"/>
      <c r="M124" s="70"/>
      <c r="N124" s="70"/>
    </row>
    <row r="125" spans="1:14" x14ac:dyDescent="0.2">
      <c r="A125" s="15">
        <v>43853</v>
      </c>
      <c r="B125" s="16">
        <v>1.135</v>
      </c>
      <c r="C125" s="73">
        <f t="shared" si="18"/>
        <v>-1.2000000000000011E-2</v>
      </c>
      <c r="D125" s="18">
        <f t="shared" si="19"/>
        <v>-1.2000000000000011E-2</v>
      </c>
      <c r="E125" s="18">
        <f ca="1">IF(表2_36716262930345[[#This Row],[累计净值]]/MAX(INDIRECT("B21:B" &amp; ROW()))-1&lt;E124,表2_36716262930345[[#This Row],[累计净值]]/MAX(INDIRECT("B21:B" &amp; ROW()))-1,E124)</f>
        <v>-7.4978938500421255E-2</v>
      </c>
      <c r="F125" s="62">
        <f>表2_36716262930345[[#This Row],[累计净值]]</f>
        <v>1.135</v>
      </c>
      <c r="G125" s="20">
        <f>表2_36716262930345[[#This Row],[累计净值]]/$B$22-1</f>
        <v>-3.8135593220338881E-2</v>
      </c>
      <c r="J125" s="69"/>
      <c r="K125" s="70"/>
      <c r="L125" s="70"/>
      <c r="M125" s="70"/>
      <c r="N125" s="70"/>
    </row>
    <row r="126" spans="1:14" x14ac:dyDescent="0.2">
      <c r="A126" s="15">
        <v>43864</v>
      </c>
      <c r="B126" s="16">
        <v>1.0940000000000001</v>
      </c>
      <c r="C126" s="73">
        <f t="shared" si="18"/>
        <v>-4.0999999999999925E-2</v>
      </c>
      <c r="D126" s="18">
        <f t="shared" si="19"/>
        <v>-4.0999999999999925E-2</v>
      </c>
      <c r="E126" s="18">
        <f ca="1">IF(表2_36716262930345[[#This Row],[累计净值]]/MAX(INDIRECT("B21:B" &amp; ROW()))-1&lt;E125,表2_36716262930345[[#This Row],[累计净值]]/MAX(INDIRECT("B21:B" &amp; ROW()))-1,E125)</f>
        <v>-7.8348778433024457E-2</v>
      </c>
      <c r="F126" s="62">
        <f>表2_36716262930345[[#This Row],[累计净值]]</f>
        <v>1.0940000000000001</v>
      </c>
      <c r="G126" s="20">
        <f>表2_36716262930345[[#This Row],[累计净值]]/$B$22-1</f>
        <v>-7.288135593220324E-2</v>
      </c>
      <c r="J126" s="69"/>
      <c r="K126" s="70"/>
      <c r="L126" s="70"/>
      <c r="M126" s="70"/>
      <c r="N126" s="70"/>
    </row>
    <row r="127" spans="1:14" x14ac:dyDescent="0.2">
      <c r="A127" s="15">
        <v>43865</v>
      </c>
      <c r="B127" s="16">
        <v>1.091</v>
      </c>
      <c r="C127" s="73">
        <f t="shared" si="18"/>
        <v>-3.0000000000001137E-3</v>
      </c>
      <c r="D127" s="18">
        <f t="shared" si="19"/>
        <v>-3.0000000000001137E-3</v>
      </c>
      <c r="E127" s="18">
        <f ca="1">IF(表2_36716262930345[[#This Row],[累计净值]]/MAX(INDIRECT("B21:B" &amp; ROW()))-1&lt;E126,表2_36716262930345[[#This Row],[累计净值]]/MAX(INDIRECT("B21:B" &amp; ROW()))-1,E126)</f>
        <v>-8.0876158382476859E-2</v>
      </c>
      <c r="F127" s="62">
        <f>表2_36716262930345[[#This Row],[累计净值]]</f>
        <v>1.091</v>
      </c>
      <c r="G127" s="20">
        <f>表2_36716262930345[[#This Row],[累计净值]]/$B$22-1</f>
        <v>-7.5423728813559299E-2</v>
      </c>
      <c r="J127" s="69"/>
      <c r="K127" s="70"/>
      <c r="L127" s="70"/>
      <c r="M127" s="70"/>
      <c r="N127" s="70"/>
    </row>
    <row r="128" spans="1:14" x14ac:dyDescent="0.2">
      <c r="A128" s="15">
        <v>43866</v>
      </c>
      <c r="B128" s="16">
        <v>1.091</v>
      </c>
      <c r="C128" s="73">
        <f t="shared" si="18"/>
        <v>0</v>
      </c>
      <c r="D128" s="18" t="str">
        <f t="shared" si="19"/>
        <v>/</v>
      </c>
      <c r="E128" s="18">
        <f ca="1">IF(表2_36716262930345[[#This Row],[累计净值]]/MAX(INDIRECT("B21:B" &amp; ROW()))-1&lt;E127,表2_36716262930345[[#This Row],[累计净值]]/MAX(INDIRECT("B21:B" &amp; ROW()))-1,E127)</f>
        <v>-8.0876158382476859E-2</v>
      </c>
      <c r="F128" s="62">
        <f>表2_36716262930345[[#This Row],[累计净值]]</f>
        <v>1.091</v>
      </c>
      <c r="G128" s="20">
        <f>表2_36716262930345[[#This Row],[累计净值]]/$B$22-1</f>
        <v>-7.5423728813559299E-2</v>
      </c>
      <c r="J128" s="69"/>
      <c r="K128" s="70"/>
      <c r="L128" s="70"/>
      <c r="M128" s="70"/>
      <c r="N128" s="70"/>
    </row>
    <row r="129" spans="1:14" x14ac:dyDescent="0.2">
      <c r="A129" s="15">
        <v>43867</v>
      </c>
      <c r="B129" s="16">
        <v>1.1020000000000001</v>
      </c>
      <c r="C129" s="73">
        <f t="shared" si="18"/>
        <v>1.1000000000000121E-2</v>
      </c>
      <c r="D129" s="18" t="str">
        <f t="shared" si="19"/>
        <v>/</v>
      </c>
      <c r="E129" s="18">
        <f ca="1">IF(表2_36716262930345[[#This Row],[累计净值]]/MAX(INDIRECT("B21:B" &amp; ROW()))-1&lt;E128,表2_36716262930345[[#This Row],[累计净值]]/MAX(INDIRECT("B21:B" &amp; ROW()))-1,E128)</f>
        <v>-8.0876158382476859E-2</v>
      </c>
      <c r="F129" s="62">
        <f>表2_36716262930345[[#This Row],[累计净值]]</f>
        <v>1.1020000000000001</v>
      </c>
      <c r="G129" s="20">
        <f>表2_36716262930345[[#This Row],[累计净值]]/$B$22-1</f>
        <v>-6.6101694915254083E-2</v>
      </c>
      <c r="J129" s="69"/>
      <c r="K129" s="70"/>
      <c r="L129" s="70"/>
      <c r="M129" s="70"/>
      <c r="N129" s="70"/>
    </row>
    <row r="130" spans="1:14" x14ac:dyDescent="0.2">
      <c r="A130" s="15">
        <v>43868</v>
      </c>
      <c r="B130" s="16">
        <v>1.105</v>
      </c>
      <c r="C130" s="73">
        <f t="shared" si="18"/>
        <v>2.9999999999998916E-3</v>
      </c>
      <c r="D130" s="18" t="str">
        <f t="shared" si="19"/>
        <v>/</v>
      </c>
      <c r="E130" s="18">
        <f ca="1">IF(表2_36716262930345[[#This Row],[累计净值]]/MAX(INDIRECT("B21:B" &amp; ROW()))-1&lt;E129,表2_36716262930345[[#This Row],[累计净值]]/MAX(INDIRECT("B21:B" &amp; ROW()))-1,E129)</f>
        <v>-8.0876158382476859E-2</v>
      </c>
      <c r="F130" s="62">
        <f>表2_36716262930345[[#This Row],[累计净值]]</f>
        <v>1.105</v>
      </c>
      <c r="G130" s="20">
        <f>表2_36716262930345[[#This Row],[累计净值]]/$B$22-1</f>
        <v>-6.3559322033898247E-2</v>
      </c>
      <c r="J130" s="69"/>
      <c r="K130" s="70"/>
      <c r="L130" s="70"/>
      <c r="M130" s="70"/>
      <c r="N130" s="70"/>
    </row>
    <row r="131" spans="1:14" x14ac:dyDescent="0.2">
      <c r="A131" s="15">
        <v>43871</v>
      </c>
      <c r="B131" s="16">
        <v>1.1040000000000001</v>
      </c>
      <c r="C131" s="73">
        <f t="shared" si="18"/>
        <v>-9.9999999999988987E-4</v>
      </c>
      <c r="D131" s="18">
        <f t="shared" si="19"/>
        <v>-9.9999999999988987E-4</v>
      </c>
      <c r="E131" s="18">
        <f ca="1">IF(表2_36716262930345[[#This Row],[累计净值]]/MAX(INDIRECT("B21:B" &amp; ROW()))-1&lt;E130,表2_36716262930345[[#This Row],[累计净值]]/MAX(INDIRECT("B21:B" &amp; ROW()))-1,E130)</f>
        <v>-8.0876158382476859E-2</v>
      </c>
      <c r="F131" s="62">
        <f>表2_36716262930345[[#This Row],[累计净值]]</f>
        <v>1.1040000000000001</v>
      </c>
      <c r="G131" s="20">
        <f>表2_36716262930345[[#This Row],[累计净值]]/$B$22-1</f>
        <v>-6.4406779661016822E-2</v>
      </c>
      <c r="J131" s="69"/>
      <c r="K131" s="70"/>
      <c r="L131" s="70"/>
      <c r="M131" s="70"/>
      <c r="N131" s="70"/>
    </row>
    <row r="132" spans="1:14" x14ac:dyDescent="0.2">
      <c r="A132" s="15">
        <v>43872</v>
      </c>
      <c r="B132" s="16">
        <v>1.1020000000000001</v>
      </c>
      <c r="C132" s="73">
        <f t="shared" si="18"/>
        <v>-2.0000000000000018E-3</v>
      </c>
      <c r="D132" s="18">
        <f t="shared" si="19"/>
        <v>-2.0000000000000018E-3</v>
      </c>
      <c r="E132" s="18">
        <f ca="1">IF(表2_36716262930345[[#This Row],[累计净值]]/MAX(INDIRECT("B21:B" &amp; ROW()))-1&lt;E131,表2_36716262930345[[#This Row],[累计净值]]/MAX(INDIRECT("B21:B" &amp; ROW()))-1,E131)</f>
        <v>-8.0876158382476859E-2</v>
      </c>
      <c r="F132" s="62">
        <f>表2_36716262930345[[#This Row],[累计净值]]</f>
        <v>1.1020000000000001</v>
      </c>
      <c r="G132" s="20">
        <f>表2_36716262930345[[#This Row],[累计净值]]/$B$22-1</f>
        <v>-6.6101694915254083E-2</v>
      </c>
      <c r="J132" s="69"/>
      <c r="K132" s="70"/>
      <c r="L132" s="70"/>
      <c r="M132" s="70"/>
      <c r="N132" s="70"/>
    </row>
    <row r="133" spans="1:14" x14ac:dyDescent="0.2">
      <c r="A133" s="15">
        <v>43873</v>
      </c>
      <c r="B133" s="16">
        <v>1.107</v>
      </c>
      <c r="C133" s="73">
        <f t="shared" si="18"/>
        <v>4.9999999999998934E-3</v>
      </c>
      <c r="D133" s="18" t="str">
        <f t="shared" si="19"/>
        <v>/</v>
      </c>
      <c r="E133" s="18">
        <f ca="1">IF(表2_36716262930345[[#This Row],[累计净值]]/MAX(INDIRECT("B21:B" &amp; ROW()))-1&lt;E132,表2_36716262930345[[#This Row],[累计净值]]/MAX(INDIRECT("B21:B" &amp; ROW()))-1,E132)</f>
        <v>-8.0876158382476859E-2</v>
      </c>
      <c r="F133" s="62">
        <f>表2_36716262930345[[#This Row],[累计净值]]</f>
        <v>1.107</v>
      </c>
      <c r="G133" s="20">
        <f>表2_36716262930345[[#This Row],[累计净值]]/$B$22-1</f>
        <v>-6.1864406779660985E-2</v>
      </c>
      <c r="J133" s="69"/>
      <c r="K133" s="70"/>
      <c r="L133" s="70"/>
      <c r="M133" s="70"/>
      <c r="N133" s="70"/>
    </row>
    <row r="134" spans="1:14" x14ac:dyDescent="0.2">
      <c r="A134" s="15">
        <v>43874</v>
      </c>
      <c r="B134" s="16">
        <v>1.1040000000000001</v>
      </c>
      <c r="C134" s="73">
        <f t="shared" si="18"/>
        <v>-2.9999999999998916E-3</v>
      </c>
      <c r="D134" s="18">
        <f t="shared" si="19"/>
        <v>-2.9999999999998916E-3</v>
      </c>
      <c r="E134" s="18">
        <f ca="1">IF(表2_36716262930345[[#This Row],[累计净值]]/MAX(INDIRECT("B21:B" &amp; ROW()))-1&lt;E133,表2_36716262930345[[#This Row],[累计净值]]/MAX(INDIRECT("B21:B" &amp; ROW()))-1,E133)</f>
        <v>-8.0876158382476859E-2</v>
      </c>
      <c r="F134" s="62">
        <f>表2_36716262930345[[#This Row],[累计净值]]</f>
        <v>1.1040000000000001</v>
      </c>
      <c r="G134" s="20">
        <f>表2_36716262930345[[#This Row],[累计净值]]/$B$22-1</f>
        <v>-6.4406779661016822E-2</v>
      </c>
      <c r="J134" s="69"/>
      <c r="K134" s="70"/>
      <c r="L134" s="70"/>
      <c r="M134" s="70"/>
      <c r="N134" s="70"/>
    </row>
    <row r="135" spans="1:14" x14ac:dyDescent="0.2">
      <c r="A135" s="15">
        <v>43875</v>
      </c>
      <c r="B135" s="16">
        <v>1.1020000000000001</v>
      </c>
      <c r="C135" s="73">
        <f t="shared" si="18"/>
        <v>-2.0000000000000018E-3</v>
      </c>
      <c r="D135" s="18">
        <f t="shared" si="19"/>
        <v>-2.0000000000000018E-3</v>
      </c>
      <c r="E135" s="18">
        <f ca="1">IF(表2_36716262930345[[#This Row],[累计净值]]/MAX(INDIRECT("B21:B" &amp; ROW()))-1&lt;E134,表2_36716262930345[[#This Row],[累计净值]]/MAX(INDIRECT("B21:B" &amp; ROW()))-1,E134)</f>
        <v>-8.0876158382476859E-2</v>
      </c>
      <c r="F135" s="62">
        <f>表2_36716262930345[[#This Row],[累计净值]]</f>
        <v>1.1020000000000001</v>
      </c>
      <c r="G135" s="20">
        <f>表2_36716262930345[[#This Row],[累计净值]]/$B$22-1</f>
        <v>-6.6101694915254083E-2</v>
      </c>
      <c r="J135" s="69"/>
      <c r="K135" s="70"/>
      <c r="L135" s="70"/>
      <c r="M135" s="70"/>
      <c r="N135" s="70"/>
    </row>
    <row r="136" spans="1:14" x14ac:dyDescent="0.2">
      <c r="A136" s="15">
        <v>43878</v>
      </c>
      <c r="B136" s="16">
        <v>1.1000000000000001</v>
      </c>
      <c r="C136" s="73">
        <f t="shared" si="18"/>
        <v>-2.0000000000000018E-3</v>
      </c>
      <c r="D136" s="18">
        <f t="shared" si="19"/>
        <v>-2.0000000000000018E-3</v>
      </c>
      <c r="E136" s="18">
        <f ca="1">IF(表2_36716262930345[[#This Row],[累计净值]]/MAX(INDIRECT("B21:B" &amp; ROW()))-1&lt;E135,表2_36716262930345[[#This Row],[累计净值]]/MAX(INDIRECT("B21:B" &amp; ROW()))-1,E135)</f>
        <v>-8.0876158382476859E-2</v>
      </c>
      <c r="F136" s="62">
        <f>表2_36716262930345[[#This Row],[累计净值]]</f>
        <v>1.1000000000000001</v>
      </c>
      <c r="G136" s="20">
        <f>表2_36716262930345[[#This Row],[累计净值]]/$B$22-1</f>
        <v>-6.7796610169491456E-2</v>
      </c>
      <c r="J136" s="69"/>
      <c r="K136" s="70"/>
      <c r="L136" s="70"/>
      <c r="M136" s="70"/>
      <c r="N136" s="70"/>
    </row>
    <row r="137" spans="1:14" x14ac:dyDescent="0.2">
      <c r="A137" s="15">
        <v>43879</v>
      </c>
      <c r="B137" s="16">
        <v>1.1000000000000001</v>
      </c>
      <c r="C137" s="73">
        <f t="shared" si="18"/>
        <v>0</v>
      </c>
      <c r="D137" s="18" t="str">
        <f t="shared" si="19"/>
        <v>/</v>
      </c>
      <c r="E137" s="18">
        <f ca="1">IF(表2_36716262930345[[#This Row],[累计净值]]/MAX(INDIRECT("B21:B" &amp; ROW()))-1&lt;E136,表2_36716262930345[[#This Row],[累计净值]]/MAX(INDIRECT("B21:B" &amp; ROW()))-1,E136)</f>
        <v>-8.0876158382476859E-2</v>
      </c>
      <c r="F137" s="62">
        <f>表2_36716262930345[[#This Row],[累计净值]]</f>
        <v>1.1000000000000001</v>
      </c>
      <c r="G137" s="20">
        <f>表2_36716262930345[[#This Row],[累计净值]]/$B$22-1</f>
        <v>-6.7796610169491456E-2</v>
      </c>
      <c r="J137" s="69"/>
      <c r="K137" s="70"/>
      <c r="L137" s="70"/>
      <c r="M137" s="70"/>
      <c r="N137" s="70"/>
    </row>
    <row r="138" spans="1:14" x14ac:dyDescent="0.2">
      <c r="A138" s="15">
        <v>43880</v>
      </c>
      <c r="B138" s="16">
        <v>1.1020000000000001</v>
      </c>
      <c r="C138" s="73">
        <f t="shared" si="18"/>
        <v>2.0000000000000018E-3</v>
      </c>
      <c r="D138" s="18" t="str">
        <f t="shared" si="19"/>
        <v>/</v>
      </c>
      <c r="E138" s="18">
        <f ca="1">IF(表2_36716262930345[[#This Row],[累计净值]]/MAX(INDIRECT("B21:B" &amp; ROW()))-1&lt;E137,表2_36716262930345[[#This Row],[累计净值]]/MAX(INDIRECT("B21:B" &amp; ROW()))-1,E137)</f>
        <v>-8.0876158382476859E-2</v>
      </c>
      <c r="F138" s="62">
        <f>表2_36716262930345[[#This Row],[累计净值]]</f>
        <v>1.1020000000000001</v>
      </c>
      <c r="G138" s="20">
        <f>表2_36716262930345[[#This Row],[累计净值]]/$B$22-1</f>
        <v>-6.6101694915254083E-2</v>
      </c>
      <c r="J138" s="69"/>
      <c r="K138" s="70"/>
      <c r="L138" s="70"/>
      <c r="M138" s="70"/>
      <c r="N138" s="70"/>
    </row>
    <row r="139" spans="1:14" x14ac:dyDescent="0.2">
      <c r="A139" s="15">
        <v>43881</v>
      </c>
      <c r="B139" s="16">
        <v>1.097</v>
      </c>
      <c r="C139" s="73">
        <f t="shared" si="18"/>
        <v>-5.0000000000001155E-3</v>
      </c>
      <c r="D139" s="18">
        <f t="shared" si="19"/>
        <v>-5.0000000000001155E-3</v>
      </c>
      <c r="E139" s="18">
        <f ca="1">IF(表2_36716262930345[[#This Row],[累计净值]]/MAX(INDIRECT("B21:B" &amp; ROW()))-1&lt;E138,表2_36716262930345[[#This Row],[累计净值]]/MAX(INDIRECT("B21:B" &amp; ROW()))-1,E138)</f>
        <v>-8.0876158382476859E-2</v>
      </c>
      <c r="F139" s="62">
        <f>表2_36716262930345[[#This Row],[累计净值]]</f>
        <v>1.097</v>
      </c>
      <c r="G139" s="20">
        <f>表2_36716262930345[[#This Row],[累计净值]]/$B$22-1</f>
        <v>-7.0338983050847403E-2</v>
      </c>
      <c r="J139" s="69"/>
      <c r="K139" s="70"/>
      <c r="L139" s="70"/>
      <c r="M139" s="70"/>
      <c r="N139" s="70"/>
    </row>
    <row r="140" spans="1:14" x14ac:dyDescent="0.2">
      <c r="A140" s="15">
        <v>43882</v>
      </c>
      <c r="B140" s="16">
        <v>1.0980000000000001</v>
      </c>
      <c r="C140" s="73">
        <f t="shared" si="18"/>
        <v>1.0000000000001119E-3</v>
      </c>
      <c r="D140" s="18" t="str">
        <f t="shared" si="19"/>
        <v>/</v>
      </c>
      <c r="E140" s="18">
        <f ca="1">IF(表2_36716262930345[[#This Row],[累计净值]]/MAX(INDIRECT("B21:B" &amp; ROW()))-1&lt;E139,表2_36716262930345[[#This Row],[累计净值]]/MAX(INDIRECT("B21:B" &amp; ROW()))-1,E139)</f>
        <v>-8.0876158382476859E-2</v>
      </c>
      <c r="F140" s="62">
        <f>表2_36716262930345[[#This Row],[累计净值]]</f>
        <v>1.0980000000000001</v>
      </c>
      <c r="G140" s="20">
        <f>表2_36716262930345[[#This Row],[累计净值]]/$B$22-1</f>
        <v>-6.9491525423728717E-2</v>
      </c>
      <c r="J140" s="69"/>
      <c r="K140" s="70"/>
      <c r="L140" s="70"/>
      <c r="M140" s="70"/>
      <c r="N140" s="70"/>
    </row>
    <row r="141" spans="1:14" x14ac:dyDescent="0.2">
      <c r="A141" s="15">
        <v>43885</v>
      </c>
      <c r="B141" s="16">
        <v>1.107</v>
      </c>
      <c r="C141" s="73">
        <f t="shared" si="18"/>
        <v>8.999999999999897E-3</v>
      </c>
      <c r="D141" s="18" t="str">
        <f t="shared" si="19"/>
        <v>/</v>
      </c>
      <c r="E141" s="18">
        <f ca="1">IF(表2_36716262930345[[#This Row],[累计净值]]/MAX(INDIRECT("B21:B" &amp; ROW()))-1&lt;E140,表2_36716262930345[[#This Row],[累计净值]]/MAX(INDIRECT("B21:B" &amp; ROW()))-1,E140)</f>
        <v>-8.0876158382476859E-2</v>
      </c>
      <c r="F141" s="62">
        <f>表2_36716262930345[[#This Row],[累计净值]]</f>
        <v>1.107</v>
      </c>
      <c r="G141" s="20">
        <f>表2_36716262930345[[#This Row],[累计净值]]/$B$22-1</f>
        <v>-6.1864406779660985E-2</v>
      </c>
      <c r="J141" s="69"/>
      <c r="K141" s="70"/>
      <c r="L141" s="70"/>
      <c r="M141" s="70"/>
      <c r="N141" s="70"/>
    </row>
    <row r="142" spans="1:14" x14ac:dyDescent="0.2">
      <c r="A142" s="15">
        <v>43886</v>
      </c>
      <c r="B142" s="16">
        <v>1.1100000000000001</v>
      </c>
      <c r="C142" s="73">
        <f t="shared" si="18"/>
        <v>3.0000000000001137E-3</v>
      </c>
      <c r="D142" s="18" t="str">
        <f t="shared" si="19"/>
        <v>/</v>
      </c>
      <c r="E142" s="18">
        <f ca="1">IF(表2_36716262930345[[#This Row],[累计净值]]/MAX(INDIRECT("B21:B" &amp; ROW()))-1&lt;E141,表2_36716262930345[[#This Row],[累计净值]]/MAX(INDIRECT("B21:B" &amp; ROW()))-1,E141)</f>
        <v>-8.0876158382476859E-2</v>
      </c>
      <c r="F142" s="62">
        <f>表2_36716262930345[[#This Row],[累计净值]]</f>
        <v>1.1100000000000001</v>
      </c>
      <c r="G142" s="20">
        <f>表2_36716262930345[[#This Row],[累计净值]]/$B$22-1</f>
        <v>-5.9322033898304927E-2</v>
      </c>
      <c r="J142" s="69"/>
      <c r="K142" s="70"/>
      <c r="L142" s="70"/>
      <c r="M142" s="70"/>
      <c r="N142" s="70"/>
    </row>
    <row r="143" spans="1:14" x14ac:dyDescent="0.2">
      <c r="A143" s="15">
        <v>43887</v>
      </c>
      <c r="B143" s="16">
        <v>1.109</v>
      </c>
      <c r="C143" s="73">
        <f t="shared" si="18"/>
        <v>-1.0000000000001119E-3</v>
      </c>
      <c r="D143" s="18">
        <f t="shared" si="19"/>
        <v>-1.0000000000001119E-3</v>
      </c>
      <c r="E143" s="18">
        <f ca="1">IF(表2_36716262930345[[#This Row],[累计净值]]/MAX(INDIRECT("B21:B" &amp; ROW()))-1&lt;E142,表2_36716262930345[[#This Row],[累计净值]]/MAX(INDIRECT("B21:B" &amp; ROW()))-1,E142)</f>
        <v>-8.0876158382476859E-2</v>
      </c>
      <c r="F143" s="62">
        <f>表2_36716262930345[[#This Row],[累计净值]]</f>
        <v>1.109</v>
      </c>
      <c r="G143" s="20">
        <f>表2_36716262930345[[#This Row],[累计净值]]/$B$22-1</f>
        <v>-6.0169491525423724E-2</v>
      </c>
      <c r="J143" s="69"/>
      <c r="K143" s="70"/>
      <c r="L143" s="70"/>
      <c r="M143" s="70"/>
      <c r="N143" s="70"/>
    </row>
    <row r="144" spans="1:14" x14ac:dyDescent="0.2">
      <c r="A144" s="15">
        <v>43888</v>
      </c>
      <c r="B144" s="16">
        <v>1.1160000000000001</v>
      </c>
      <c r="C144" s="73">
        <f t="shared" si="18"/>
        <v>7.0000000000001172E-3</v>
      </c>
      <c r="D144" s="18" t="str">
        <f t="shared" si="19"/>
        <v>/</v>
      </c>
      <c r="E144" s="18">
        <f ca="1">IF(表2_36716262930345[[#This Row],[累计净值]]/MAX(INDIRECT("B21:B" &amp; ROW()))-1&lt;E143,表2_36716262930345[[#This Row],[累计净值]]/MAX(INDIRECT("B21:B" &amp; ROW()))-1,E143)</f>
        <v>-8.0876158382476859E-2</v>
      </c>
      <c r="F144" s="62">
        <f>表2_36716262930345[[#This Row],[累计净值]]</f>
        <v>1.1160000000000001</v>
      </c>
      <c r="G144" s="20">
        <f>表2_36716262930345[[#This Row],[累计净值]]/$B$22-1</f>
        <v>-5.4237288135593031E-2</v>
      </c>
      <c r="J144" s="69"/>
      <c r="K144" s="70"/>
      <c r="L144" s="70"/>
      <c r="M144" s="70"/>
      <c r="N144" s="70"/>
    </row>
    <row r="145" spans="1:14" x14ac:dyDescent="0.2">
      <c r="A145" s="15">
        <v>43889</v>
      </c>
      <c r="B145" s="16">
        <v>1.119</v>
      </c>
      <c r="C145" s="73">
        <f t="shared" si="18"/>
        <v>2.9999999999998916E-3</v>
      </c>
      <c r="D145" s="18" t="str">
        <f t="shared" si="19"/>
        <v>/</v>
      </c>
      <c r="E145" s="18">
        <f ca="1">IF(表2_36716262930345[[#This Row],[累计净值]]/MAX(INDIRECT("B21:B" &amp; ROW()))-1&lt;E144,表2_36716262930345[[#This Row],[累计净值]]/MAX(INDIRECT("B21:B" &amp; ROW()))-1,E144)</f>
        <v>-8.0876158382476859E-2</v>
      </c>
      <c r="F145" s="62">
        <f>表2_36716262930345[[#This Row],[累计净值]]</f>
        <v>1.119</v>
      </c>
      <c r="G145" s="20">
        <f>表2_36716262930345[[#This Row],[累计净值]]/$B$22-1</f>
        <v>-5.1694915254237195E-2</v>
      </c>
      <c r="J145" s="69"/>
      <c r="K145" s="70"/>
      <c r="L145" s="70"/>
      <c r="M145" s="70"/>
      <c r="N145" s="70"/>
    </row>
    <row r="146" spans="1:14" x14ac:dyDescent="0.2">
      <c r="A146" s="15">
        <v>43892</v>
      </c>
      <c r="B146" s="16">
        <v>1.115</v>
      </c>
      <c r="C146" s="73">
        <f t="shared" si="18"/>
        <v>-4.0000000000000036E-3</v>
      </c>
      <c r="D146" s="18">
        <f t="shared" si="19"/>
        <v>-4.0000000000000036E-3</v>
      </c>
      <c r="E146" s="18">
        <f ca="1">IF(表2_36716262930345[[#This Row],[累计净值]]/MAX(INDIRECT("B21:B" &amp; ROW()))-1&lt;E145,表2_36716262930345[[#This Row],[累计净值]]/MAX(INDIRECT("B21:B" &amp; ROW()))-1,E145)</f>
        <v>-8.0876158382476859E-2</v>
      </c>
      <c r="F146" s="62">
        <f>表2_36716262930345[[#This Row],[累计净值]]</f>
        <v>1.115</v>
      </c>
      <c r="G146" s="20">
        <f>表2_36716262930345[[#This Row],[累计净值]]/$B$22-1</f>
        <v>-5.5084745762711829E-2</v>
      </c>
      <c r="J146" s="69"/>
      <c r="K146" s="70"/>
      <c r="L146" s="70"/>
      <c r="M146" s="70"/>
      <c r="N146" s="70"/>
    </row>
    <row r="147" spans="1:14" x14ac:dyDescent="0.2">
      <c r="A147" s="15">
        <v>43893</v>
      </c>
      <c r="B147" s="16">
        <v>1.0980000000000001</v>
      </c>
      <c r="C147" s="73">
        <f t="shared" si="18"/>
        <v>-1.6999999999999904E-2</v>
      </c>
      <c r="D147" s="18">
        <f t="shared" si="19"/>
        <v>-1.6999999999999904E-2</v>
      </c>
      <c r="E147" s="18">
        <f ca="1">IF(表2_36716262930345[[#This Row],[累计净值]]/MAX(INDIRECT("B21:B" &amp; ROW()))-1&lt;E146,表2_36716262930345[[#This Row],[累计净值]]/MAX(INDIRECT("B21:B" &amp; ROW()))-1,E146)</f>
        <v>-8.0876158382476859E-2</v>
      </c>
      <c r="F147" s="62">
        <f>表2_36716262930345[[#This Row],[累计净值]]</f>
        <v>1.0980000000000001</v>
      </c>
      <c r="G147" s="20">
        <f>表2_36716262930345[[#This Row],[累计净值]]/$B$22-1</f>
        <v>-6.9491525423728717E-2</v>
      </c>
      <c r="J147" s="69"/>
      <c r="K147" s="70"/>
      <c r="L147" s="70"/>
      <c r="M147" s="70"/>
      <c r="N147" s="70"/>
    </row>
    <row r="148" spans="1:14" x14ac:dyDescent="0.2">
      <c r="A148" s="15">
        <v>43894</v>
      </c>
      <c r="B148" s="16">
        <v>1.101</v>
      </c>
      <c r="C148" s="73">
        <f t="shared" si="18"/>
        <v>2.9999999999998916E-3</v>
      </c>
      <c r="D148" s="18" t="str">
        <f t="shared" si="19"/>
        <v>/</v>
      </c>
      <c r="E148" s="18">
        <f ca="1">IF(表2_36716262930345[[#This Row],[累计净值]]/MAX(INDIRECT("B21:B" &amp; ROW()))-1&lt;E147,表2_36716262930345[[#This Row],[累计净值]]/MAX(INDIRECT("B21:B" &amp; ROW()))-1,E147)</f>
        <v>-8.0876158382476859E-2</v>
      </c>
      <c r="F148" s="62">
        <f>表2_36716262930345[[#This Row],[累计净值]]</f>
        <v>1.101</v>
      </c>
      <c r="G148" s="20">
        <f>表2_36716262930345[[#This Row],[累计净值]]/$B$22-1</f>
        <v>-6.6949152542372881E-2</v>
      </c>
      <c r="J148" s="69"/>
      <c r="K148" s="70"/>
      <c r="L148" s="70"/>
      <c r="M148" s="70"/>
      <c r="N148" s="70"/>
    </row>
    <row r="149" spans="1:14" x14ac:dyDescent="0.2">
      <c r="A149" s="15">
        <v>43895</v>
      </c>
      <c r="B149" s="16">
        <v>1.097</v>
      </c>
      <c r="C149" s="73">
        <f t="shared" si="18"/>
        <v>-4.0000000000000036E-3</v>
      </c>
      <c r="D149" s="18">
        <f t="shared" si="19"/>
        <v>-4.0000000000000036E-3</v>
      </c>
      <c r="E149" s="18">
        <f ca="1">IF(表2_36716262930345[[#This Row],[累计净值]]/MAX(INDIRECT("B21:B" &amp; ROW()))-1&lt;E148,表2_36716262930345[[#This Row],[累计净值]]/MAX(INDIRECT("B21:B" &amp; ROW()))-1,E148)</f>
        <v>-8.0876158382476859E-2</v>
      </c>
      <c r="F149" s="62">
        <f>表2_36716262930345[[#This Row],[累计净值]]</f>
        <v>1.097</v>
      </c>
      <c r="G149" s="20">
        <f>表2_36716262930345[[#This Row],[累计净值]]/$B$22-1</f>
        <v>-7.0338983050847403E-2</v>
      </c>
      <c r="J149" s="69"/>
      <c r="K149" s="70"/>
      <c r="L149" s="70"/>
      <c r="M149" s="70"/>
      <c r="N149" s="70"/>
    </row>
    <row r="150" spans="1:14" x14ac:dyDescent="0.2">
      <c r="A150" s="15">
        <v>43896</v>
      </c>
      <c r="B150" s="16">
        <v>1.1020000000000001</v>
      </c>
      <c r="C150" s="73">
        <f t="shared" si="18"/>
        <v>5.0000000000001155E-3</v>
      </c>
      <c r="D150" s="18" t="str">
        <f t="shared" si="19"/>
        <v>/</v>
      </c>
      <c r="E150" s="18">
        <f ca="1">IF(表2_36716262930345[[#This Row],[累计净值]]/MAX(INDIRECT("B21:B" &amp; ROW()))-1&lt;E149,表2_36716262930345[[#This Row],[累计净值]]/MAX(INDIRECT("B21:B" &amp; ROW()))-1,E149)</f>
        <v>-8.0876158382476859E-2</v>
      </c>
      <c r="F150" s="62">
        <f>表2_36716262930345[[#This Row],[累计净值]]</f>
        <v>1.1020000000000001</v>
      </c>
      <c r="G150" s="20">
        <f>表2_36716262930345[[#This Row],[累计净值]]/$B$22-1</f>
        <v>-6.6101694915254083E-2</v>
      </c>
      <c r="J150" s="69"/>
      <c r="K150" s="70"/>
      <c r="L150" s="70"/>
      <c r="M150" s="70"/>
      <c r="N150" s="70"/>
    </row>
    <row r="151" spans="1:14" x14ac:dyDescent="0.2">
      <c r="A151" s="15">
        <v>43899</v>
      </c>
      <c r="B151" s="16">
        <v>1.125</v>
      </c>
      <c r="C151" s="73">
        <f t="shared" ref="C151:C156" si="20">IFERROR(B151-B150,0)</f>
        <v>2.2999999999999909E-2</v>
      </c>
      <c r="D151" s="18" t="str">
        <f t="shared" ref="D151:D156" si="21">IF(C151&lt;0,C151,"/")</f>
        <v>/</v>
      </c>
      <c r="E151" s="18">
        <f ca="1">IF(表2_36716262930345[[#This Row],[累计净值]]/MAX(INDIRECT("B21:B" &amp; ROW()))-1&lt;E150,表2_36716262930345[[#This Row],[累计净值]]/MAX(INDIRECT("B21:B" &amp; ROW()))-1,E150)</f>
        <v>-8.0876158382476859E-2</v>
      </c>
      <c r="F151" s="62">
        <f>表2_36716262930345[[#This Row],[累计净值]]</f>
        <v>1.125</v>
      </c>
      <c r="G151" s="20">
        <f>表2_36716262930345[[#This Row],[累计净值]]/$B$22-1</f>
        <v>-4.6610169491525411E-2</v>
      </c>
      <c r="J151" s="69"/>
      <c r="K151" s="70"/>
      <c r="L151" s="70"/>
      <c r="M151" s="70"/>
      <c r="N151" s="70"/>
    </row>
    <row r="152" spans="1:14" x14ac:dyDescent="0.2">
      <c r="A152" s="15">
        <v>43900</v>
      </c>
      <c r="B152" s="16">
        <v>1.135</v>
      </c>
      <c r="C152" s="73">
        <f t="shared" si="20"/>
        <v>1.0000000000000009E-2</v>
      </c>
      <c r="D152" s="18" t="str">
        <f t="shared" si="21"/>
        <v>/</v>
      </c>
      <c r="E152" s="18">
        <f ca="1">IF(表2_36716262930345[[#This Row],[累计净值]]/MAX(INDIRECT("B21:B" &amp; ROW()))-1&lt;E151,表2_36716262930345[[#This Row],[累计净值]]/MAX(INDIRECT("B21:B" &amp; ROW()))-1,E151)</f>
        <v>-8.0876158382476859E-2</v>
      </c>
      <c r="F152" s="62">
        <f>表2_36716262930345[[#This Row],[累计净值]]</f>
        <v>1.135</v>
      </c>
      <c r="G152" s="20">
        <f>表2_36716262930345[[#This Row],[累计净值]]/$B$22-1</f>
        <v>-3.8135593220338881E-2</v>
      </c>
      <c r="J152" s="69"/>
      <c r="K152" s="70"/>
      <c r="L152" s="70"/>
      <c r="M152" s="70"/>
      <c r="N152" s="70"/>
    </row>
    <row r="153" spans="1:14" x14ac:dyDescent="0.2">
      <c r="A153" s="15">
        <v>43901</v>
      </c>
      <c r="B153" s="16">
        <v>1.1319999999999999</v>
      </c>
      <c r="C153" s="73">
        <f t="shared" si="20"/>
        <v>-3.0000000000001137E-3</v>
      </c>
      <c r="D153" s="18">
        <f t="shared" si="21"/>
        <v>-3.0000000000001137E-3</v>
      </c>
      <c r="E153" s="18">
        <f ca="1">IF(表2_36716262930345[[#This Row],[累计净值]]/MAX(INDIRECT("B21:B" &amp; ROW()))-1&lt;E152,表2_36716262930345[[#This Row],[累计净值]]/MAX(INDIRECT("B21:B" &amp; ROW()))-1,E152)</f>
        <v>-8.0876158382476859E-2</v>
      </c>
      <c r="F153" s="62">
        <f>表2_36716262930345[[#This Row],[累计净值]]</f>
        <v>1.1319999999999999</v>
      </c>
      <c r="G153" s="20">
        <f>表2_36716262930345[[#This Row],[累计净值]]/$B$22-1</f>
        <v>-4.067796610169494E-2</v>
      </c>
      <c r="J153" s="69"/>
      <c r="K153" s="70"/>
      <c r="L153" s="70"/>
      <c r="M153" s="70"/>
      <c r="N153" s="70"/>
    </row>
    <row r="154" spans="1:14" x14ac:dyDescent="0.2">
      <c r="A154" s="15">
        <v>43902</v>
      </c>
      <c r="B154" s="16">
        <v>1.147</v>
      </c>
      <c r="C154" s="73">
        <f t="shared" si="20"/>
        <v>1.5000000000000124E-2</v>
      </c>
      <c r="D154" s="18" t="str">
        <f t="shared" si="21"/>
        <v>/</v>
      </c>
      <c r="E154" s="18">
        <f ca="1">IF(表2_36716262930345[[#This Row],[累计净值]]/MAX(INDIRECT("B21:B" &amp; ROW()))-1&lt;E153,表2_36716262930345[[#This Row],[累计净值]]/MAX(INDIRECT("B21:B" &amp; ROW()))-1,E153)</f>
        <v>-8.0876158382476859E-2</v>
      </c>
      <c r="F154" s="62">
        <f>表2_36716262930345[[#This Row],[累计净值]]</f>
        <v>1.147</v>
      </c>
      <c r="G154" s="20">
        <f>表2_36716262930345[[#This Row],[累计净值]]/$B$22-1</f>
        <v>-2.7966101694915202E-2</v>
      </c>
      <c r="J154" s="69"/>
      <c r="K154" s="70"/>
      <c r="L154" s="70"/>
      <c r="M154" s="70"/>
      <c r="N154" s="70"/>
    </row>
    <row r="155" spans="1:14" x14ac:dyDescent="0.2">
      <c r="A155" s="15">
        <v>43903</v>
      </c>
      <c r="B155" s="16">
        <v>1.151</v>
      </c>
      <c r="C155" s="73">
        <f t="shared" si="20"/>
        <v>4.0000000000000036E-3</v>
      </c>
      <c r="D155" s="18" t="str">
        <f t="shared" si="21"/>
        <v>/</v>
      </c>
      <c r="E155" s="18">
        <f ca="1">IF(表2_36716262930345[[#This Row],[累计净值]]/MAX(INDIRECT("B21:B" &amp; ROW()))-1&lt;E154,表2_36716262930345[[#This Row],[累计净值]]/MAX(INDIRECT("B21:B" &amp; ROW()))-1,E154)</f>
        <v>-8.0876158382476859E-2</v>
      </c>
      <c r="F155" s="62">
        <f>表2_36716262930345[[#This Row],[累计净值]]</f>
        <v>1.151</v>
      </c>
      <c r="G155" s="20">
        <f>表2_36716262930345[[#This Row],[累计净值]]/$B$22-1</f>
        <v>-2.4576271186440568E-2</v>
      </c>
      <c r="J155" s="69"/>
      <c r="K155" s="70"/>
      <c r="L155" s="70"/>
      <c r="M155" s="70"/>
      <c r="N155" s="70"/>
    </row>
    <row r="156" spans="1:14" x14ac:dyDescent="0.2">
      <c r="A156" s="15">
        <v>43906</v>
      </c>
      <c r="B156" s="16">
        <v>1.147</v>
      </c>
      <c r="C156" s="73">
        <f t="shared" si="20"/>
        <v>-4.0000000000000036E-3</v>
      </c>
      <c r="D156" s="18">
        <f t="shared" si="21"/>
        <v>-4.0000000000000036E-3</v>
      </c>
      <c r="E156" s="18">
        <f ca="1">IF(表2_36716262930345[[#This Row],[累计净值]]/MAX(INDIRECT("B21:B" &amp; ROW()))-1&lt;E155,表2_36716262930345[[#This Row],[累计净值]]/MAX(INDIRECT("B21:B" &amp; ROW()))-1,E155)</f>
        <v>-8.0876158382476859E-2</v>
      </c>
      <c r="F156" s="62">
        <f>表2_36716262930345[[#This Row],[累计净值]]</f>
        <v>1.147</v>
      </c>
      <c r="G156" s="20">
        <f>表2_36716262930345[[#This Row],[累计净值]]/$B$22-1</f>
        <v>-2.7966101694915202E-2</v>
      </c>
      <c r="J156" s="69"/>
      <c r="K156" s="70"/>
      <c r="L156" s="70"/>
      <c r="M156" s="70"/>
      <c r="N156" s="70"/>
    </row>
    <row r="157" spans="1:14" x14ac:dyDescent="0.2">
      <c r="A157" s="15">
        <v>43907</v>
      </c>
      <c r="B157" s="16">
        <v>1.151</v>
      </c>
      <c r="C157" s="73">
        <f>IFERROR(B157-B156,0)</f>
        <v>4.0000000000000036E-3</v>
      </c>
      <c r="D157" s="18" t="str">
        <f>IF(C157&lt;0,C157,"/")</f>
        <v>/</v>
      </c>
      <c r="E157" s="18">
        <f ca="1">IF(表2_36716262930345[[#This Row],[累计净值]]/MAX(INDIRECT("B21:B" &amp; ROW()))-1&lt;E156,表2_36716262930345[[#This Row],[累计净值]]/MAX(INDIRECT("B21:B" &amp; ROW()))-1,E156)</f>
        <v>-8.0876158382476859E-2</v>
      </c>
      <c r="F157" s="62">
        <f>表2_36716262930345[[#This Row],[累计净值]]</f>
        <v>1.151</v>
      </c>
      <c r="G157" s="20">
        <f>表2_36716262930345[[#This Row],[累计净值]]/$B$22-1</f>
        <v>-2.4576271186440568E-2</v>
      </c>
      <c r="J157" s="69"/>
      <c r="K157" s="70"/>
      <c r="L157" s="70"/>
      <c r="M157" s="70"/>
      <c r="N157" s="70"/>
    </row>
    <row r="158" spans="1:14" x14ac:dyDescent="0.2">
      <c r="A158" s="15">
        <v>43908</v>
      </c>
      <c r="B158" s="16">
        <v>1.1679999999999999</v>
      </c>
      <c r="C158" s="73">
        <f>IFERROR(B158-B157,0)</f>
        <v>1.6999999999999904E-2</v>
      </c>
      <c r="D158" s="18" t="str">
        <f>IF(C158&lt;0,C158,"/")</f>
        <v>/</v>
      </c>
      <c r="E158" s="18">
        <f ca="1">IF(表2_36716262930345[[#This Row],[累计净值]]/MAX(INDIRECT("B21:B" &amp; ROW()))-1&lt;E157,表2_36716262930345[[#This Row],[累计净值]]/MAX(INDIRECT("B21:B" &amp; ROW()))-1,E157)</f>
        <v>-8.0876158382476859E-2</v>
      </c>
      <c r="F158" s="62">
        <f>表2_36716262930345[[#This Row],[累计净值]]</f>
        <v>1.1679999999999999</v>
      </c>
      <c r="G158" s="20">
        <f>表2_36716262930345[[#This Row],[累计净值]]/$B$22-1</f>
        <v>-1.0169491525423791E-2</v>
      </c>
      <c r="J158" s="69"/>
      <c r="K158" s="70"/>
      <c r="L158" s="70"/>
      <c r="M158" s="70"/>
      <c r="N158" s="70"/>
    </row>
    <row r="159" spans="1:14" x14ac:dyDescent="0.2">
      <c r="A159" s="15">
        <v>43909</v>
      </c>
      <c r="B159" s="16">
        <v>1.1859999999999999</v>
      </c>
      <c r="C159" s="73">
        <f>IFERROR(B159-B158,0)</f>
        <v>1.8000000000000016E-2</v>
      </c>
      <c r="D159" s="18" t="str">
        <f>IF(C159&lt;0,C159,"/")</f>
        <v>/</v>
      </c>
      <c r="E159" s="18">
        <f ca="1">IF(表2_36716262930345[[#This Row],[累计净值]]/MAX(INDIRECT("B21:B" &amp; ROW()))-1&lt;E158,表2_36716262930345[[#This Row],[累计净值]]/MAX(INDIRECT("B21:B" &amp; ROW()))-1,E158)</f>
        <v>-8.0876158382476859E-2</v>
      </c>
      <c r="F159" s="62">
        <f>表2_36716262930345[[#This Row],[累计净值]]</f>
        <v>1.1859999999999999</v>
      </c>
      <c r="G159" s="20">
        <f>表2_36716262930345[[#This Row],[累计净值]]/$B$22-1</f>
        <v>5.0847457627118953E-3</v>
      </c>
      <c r="J159" s="69"/>
      <c r="K159" s="70"/>
      <c r="L159" s="70"/>
      <c r="M159" s="70"/>
      <c r="N159" s="70"/>
    </row>
    <row r="160" spans="1:14" x14ac:dyDescent="0.2">
      <c r="A160" s="15">
        <v>43910</v>
      </c>
      <c r="B160" s="16">
        <v>1.1739999999999999</v>
      </c>
      <c r="C160" s="73">
        <f t="shared" ref="C160:C165" si="22">IFERROR(B160-B159,0)</f>
        <v>-1.2000000000000011E-2</v>
      </c>
      <c r="D160" s="18">
        <f t="shared" ref="D160:D165" si="23">IF(C160&lt;0,C160,"/")</f>
        <v>-1.2000000000000011E-2</v>
      </c>
      <c r="E160" s="18">
        <f ca="1">IF(表2_36716262930345[[#This Row],[累计净值]]/MAX(INDIRECT("B21:B" &amp; ROW()))-1&lt;E159,表2_36716262930345[[#This Row],[累计净值]]/MAX(INDIRECT("B21:B" &amp; ROW()))-1,E159)</f>
        <v>-8.0876158382476859E-2</v>
      </c>
      <c r="F160" s="62">
        <f>表2_36716262930345[[#This Row],[累计净值]]</f>
        <v>1.1739999999999999</v>
      </c>
      <c r="G160" s="20">
        <f>表2_36716262930345[[#This Row],[累计净值]]/$B$22-1</f>
        <v>-5.0847457627118953E-3</v>
      </c>
      <c r="J160" s="69"/>
      <c r="K160" s="70"/>
      <c r="L160" s="70"/>
      <c r="M160" s="70"/>
      <c r="N160" s="70"/>
    </row>
    <row r="161" spans="1:14" x14ac:dyDescent="0.2">
      <c r="A161" s="15">
        <v>43913</v>
      </c>
      <c r="B161" s="16">
        <v>1.1910000000000001</v>
      </c>
      <c r="C161" s="73">
        <f t="shared" si="22"/>
        <v>1.7000000000000126E-2</v>
      </c>
      <c r="D161" s="18" t="str">
        <f t="shared" si="23"/>
        <v>/</v>
      </c>
      <c r="E161" s="18">
        <f ca="1">IF(表2_36716262930345[[#This Row],[累计净值]]/MAX(INDIRECT("B21:B" &amp; ROW()))-1&lt;E160,表2_36716262930345[[#This Row],[累计净值]]/MAX(INDIRECT("B21:B" &amp; ROW()))-1,E160)</f>
        <v>-8.0876158382476859E-2</v>
      </c>
      <c r="F161" s="62">
        <f>表2_36716262930345[[#This Row],[累计净值]]</f>
        <v>1.1910000000000001</v>
      </c>
      <c r="G161" s="20">
        <f>表2_36716262930345[[#This Row],[累计净值]]/$B$22-1</f>
        <v>9.3220338983051043E-3</v>
      </c>
      <c r="J161" s="69"/>
      <c r="K161" s="70"/>
      <c r="L161" s="70"/>
      <c r="M161" s="70"/>
      <c r="N161" s="70"/>
    </row>
    <row r="162" spans="1:14" x14ac:dyDescent="0.2">
      <c r="A162" s="15">
        <v>43914</v>
      </c>
      <c r="B162" s="16">
        <v>1.1910000000000001</v>
      </c>
      <c r="C162" s="73">
        <f t="shared" si="22"/>
        <v>0</v>
      </c>
      <c r="D162" s="18" t="str">
        <f t="shared" si="23"/>
        <v>/</v>
      </c>
      <c r="E162" s="18">
        <f ca="1">IF(表2_36716262930345[[#This Row],[累计净值]]/MAX(INDIRECT("B21:B" &amp; ROW()))-1&lt;E161,表2_36716262930345[[#This Row],[累计净值]]/MAX(INDIRECT("B21:B" &amp; ROW()))-1,E161)</f>
        <v>-8.0876158382476859E-2</v>
      </c>
      <c r="F162" s="62">
        <f>表2_36716262930345[[#This Row],[累计净值]]</f>
        <v>1.1910000000000001</v>
      </c>
      <c r="G162" s="20">
        <f>表2_36716262930345[[#This Row],[累计净值]]/$B$22-1</f>
        <v>9.3220338983051043E-3</v>
      </c>
      <c r="J162" s="69"/>
      <c r="K162" s="70"/>
      <c r="L162" s="70"/>
      <c r="M162" s="70"/>
      <c r="N162" s="70"/>
    </row>
    <row r="163" spans="1:14" x14ac:dyDescent="0.2">
      <c r="A163" s="15">
        <v>43915</v>
      </c>
      <c r="B163" s="16">
        <v>1.1950000000000001</v>
      </c>
      <c r="C163" s="73">
        <f t="shared" si="22"/>
        <v>4.0000000000000036E-3</v>
      </c>
      <c r="D163" s="18" t="str">
        <f t="shared" si="23"/>
        <v>/</v>
      </c>
      <c r="E163" s="18">
        <f ca="1">IF(表2_36716262930345[[#This Row],[累计净值]]/MAX(INDIRECT("B21:B" &amp; ROW()))-1&lt;E162,表2_36716262930345[[#This Row],[累计净值]]/MAX(INDIRECT("B21:B" &amp; ROW()))-1,E162)</f>
        <v>-8.0876158382476859E-2</v>
      </c>
      <c r="F163" s="62">
        <f>表2_36716262930345[[#This Row],[累计净值]]</f>
        <v>1.1950000000000001</v>
      </c>
      <c r="G163" s="20">
        <f>表2_36716262930345[[#This Row],[累计净值]]/$B$22-1</f>
        <v>1.2711864406779849E-2</v>
      </c>
      <c r="J163" s="69"/>
      <c r="K163" s="70"/>
      <c r="L163" s="70"/>
      <c r="M163" s="70"/>
      <c r="N163" s="70"/>
    </row>
    <row r="164" spans="1:14" x14ac:dyDescent="0.2">
      <c r="A164" s="15">
        <v>43916</v>
      </c>
      <c r="B164" s="16">
        <v>1.198</v>
      </c>
      <c r="C164" s="73">
        <f t="shared" si="22"/>
        <v>2.9999999999998916E-3</v>
      </c>
      <c r="D164" s="18" t="str">
        <f t="shared" si="23"/>
        <v>/</v>
      </c>
      <c r="E164" s="18">
        <f ca="1">IF(表2_36716262930345[[#This Row],[累计净值]]/MAX(INDIRECT("B21:B" &amp; ROW()))-1&lt;E163,表2_36716262930345[[#This Row],[累计净值]]/MAX(INDIRECT("B21:B" &amp; ROW()))-1,E163)</f>
        <v>-8.0876158382476859E-2</v>
      </c>
      <c r="F164" s="62">
        <f>表2_36716262930345[[#This Row],[累计净值]]</f>
        <v>1.198</v>
      </c>
      <c r="G164" s="20">
        <f>表2_36716262930345[[#This Row],[累计净值]]/$B$22-1</f>
        <v>1.5254237288135686E-2</v>
      </c>
      <c r="J164" s="69"/>
      <c r="K164" s="70"/>
      <c r="L164" s="70"/>
      <c r="M164" s="70"/>
      <c r="N164" s="70"/>
    </row>
    <row r="165" spans="1:14" x14ac:dyDescent="0.2">
      <c r="A165" s="15">
        <v>43917</v>
      </c>
      <c r="B165" s="16">
        <v>1.1950000000000001</v>
      </c>
      <c r="C165" s="73">
        <f t="shared" si="22"/>
        <v>-2.9999999999998916E-3</v>
      </c>
      <c r="D165" s="18">
        <f t="shared" si="23"/>
        <v>-2.9999999999998916E-3</v>
      </c>
      <c r="E165" s="18">
        <f ca="1">IF(表2_36716262930345[[#This Row],[累计净值]]/MAX(INDIRECT("B21:B" &amp; ROW()))-1&lt;E164,表2_36716262930345[[#This Row],[累计净值]]/MAX(INDIRECT("B21:B" &amp; ROW()))-1,E164)</f>
        <v>-8.0876158382476859E-2</v>
      </c>
      <c r="F165" s="62">
        <f>表2_36716262930345[[#This Row],[累计净值]]</f>
        <v>1.1950000000000001</v>
      </c>
      <c r="G165" s="20">
        <f>表2_36716262930345[[#This Row],[累计净值]]/$B$22-1</f>
        <v>1.2711864406779849E-2</v>
      </c>
      <c r="J165" s="69"/>
      <c r="K165" s="70"/>
      <c r="L165" s="70"/>
      <c r="M165" s="70"/>
      <c r="N165" s="70"/>
    </row>
    <row r="166" spans="1:14" x14ac:dyDescent="0.2">
      <c r="A166" s="15">
        <v>43920</v>
      </c>
      <c r="B166" s="16">
        <v>1.214</v>
      </c>
      <c r="C166" s="73">
        <f t="shared" ref="C166:C171" si="24">IFERROR(B166-B165,0)</f>
        <v>1.8999999999999906E-2</v>
      </c>
      <c r="D166" s="18" t="str">
        <f t="shared" ref="D166:D171" si="25">IF(C166&lt;0,C166,"/")</f>
        <v>/</v>
      </c>
      <c r="E166" s="18">
        <f ca="1">IF(表2_36716262930345[[#This Row],[累计净值]]/MAX(INDIRECT("B21:B" &amp; ROW()))-1&lt;E165,表2_36716262930345[[#This Row],[累计净值]]/MAX(INDIRECT("B21:B" &amp; ROW()))-1,E165)</f>
        <v>-8.0876158382476859E-2</v>
      </c>
      <c r="F166" s="62">
        <f>表2_36716262930345[[#This Row],[累计净值]]</f>
        <v>1.214</v>
      </c>
      <c r="G166" s="20">
        <f>表2_36716262930345[[#This Row],[累计净值]]/$B$22-1</f>
        <v>2.8813559322033999E-2</v>
      </c>
      <c r="J166" s="69"/>
      <c r="K166" s="70"/>
      <c r="L166" s="70"/>
      <c r="M166" s="70"/>
      <c r="N166" s="70"/>
    </row>
    <row r="167" spans="1:14" x14ac:dyDescent="0.2">
      <c r="A167" s="15">
        <v>43921</v>
      </c>
      <c r="B167" s="16">
        <v>1.208</v>
      </c>
      <c r="C167" s="73">
        <f t="shared" si="24"/>
        <v>-6.0000000000000053E-3</v>
      </c>
      <c r="D167" s="18">
        <f t="shared" si="25"/>
        <v>-6.0000000000000053E-3</v>
      </c>
      <c r="E167" s="18">
        <f ca="1">IF(表2_36716262930345[[#This Row],[累计净值]]/MAX(INDIRECT("B21:B" &amp; ROW()))-1&lt;E166,表2_36716262930345[[#This Row],[累计净值]]/MAX(INDIRECT("B21:B" &amp; ROW()))-1,E166)</f>
        <v>-8.0876158382476859E-2</v>
      </c>
      <c r="F167" s="62">
        <f>表2_36716262930345[[#This Row],[累计净值]]</f>
        <v>1.208</v>
      </c>
      <c r="G167" s="20">
        <f>表2_36716262930345[[#This Row],[累计净值]]/$B$22-1</f>
        <v>2.3728813559322104E-2</v>
      </c>
      <c r="J167" s="69"/>
      <c r="K167" s="70"/>
      <c r="L167" s="70"/>
      <c r="M167" s="70"/>
      <c r="N167" s="70"/>
    </row>
    <row r="168" spans="1:14" x14ac:dyDescent="0.2">
      <c r="A168" s="15">
        <v>43922</v>
      </c>
      <c r="B168" s="16">
        <v>1.226</v>
      </c>
      <c r="C168" s="73">
        <f t="shared" si="24"/>
        <v>1.8000000000000016E-2</v>
      </c>
      <c r="D168" s="18" t="str">
        <f t="shared" si="25"/>
        <v>/</v>
      </c>
      <c r="E168" s="18">
        <f ca="1">IF(表2_36716262930345[[#This Row],[累计净值]]/MAX(INDIRECT("B21:B" &amp; ROW()))-1&lt;E167,表2_36716262930345[[#This Row],[累计净值]]/MAX(INDIRECT("B21:B" &amp; ROW()))-1,E167)</f>
        <v>-8.0876158382476859E-2</v>
      </c>
      <c r="F168" s="62">
        <f>表2_36716262930345[[#This Row],[累计净值]]</f>
        <v>1.226</v>
      </c>
      <c r="G168" s="20">
        <f>表2_36716262930345[[#This Row],[累计净值]]/$B$22-1</f>
        <v>3.8983050847457568E-2</v>
      </c>
      <c r="J168" s="69"/>
      <c r="K168" s="70"/>
      <c r="L168" s="70"/>
      <c r="M168" s="70"/>
      <c r="N168" s="70"/>
    </row>
    <row r="169" spans="1:14" x14ac:dyDescent="0.2">
      <c r="A169" s="15">
        <v>43923</v>
      </c>
      <c r="B169" s="16">
        <v>1.212</v>
      </c>
      <c r="C169" s="73">
        <f t="shared" si="24"/>
        <v>-1.4000000000000012E-2</v>
      </c>
      <c r="D169" s="18">
        <f t="shared" si="25"/>
        <v>-1.4000000000000012E-2</v>
      </c>
      <c r="E169" s="18">
        <f ca="1">IF(表2_36716262930345[[#This Row],[累计净值]]/MAX(INDIRECT("B21:B" &amp; ROW()))-1&lt;E168,表2_36716262930345[[#This Row],[累计净值]]/MAX(INDIRECT("B21:B" &amp; ROW()))-1,E168)</f>
        <v>-8.0876158382476859E-2</v>
      </c>
      <c r="F169" s="62">
        <f>表2_36716262930345[[#This Row],[累计净值]]</f>
        <v>1.212</v>
      </c>
      <c r="G169" s="20">
        <f>表2_36716262930345[[#This Row],[累计净值]]/$B$22-1</f>
        <v>2.7118644067796627E-2</v>
      </c>
      <c r="J169" s="69"/>
      <c r="K169" s="70"/>
      <c r="L169" s="70"/>
      <c r="M169" s="70"/>
      <c r="N169" s="70"/>
    </row>
    <row r="170" spans="1:14" x14ac:dyDescent="0.2">
      <c r="A170" s="15">
        <v>43924</v>
      </c>
      <c r="B170" s="16">
        <v>1.1990000000000001</v>
      </c>
      <c r="C170" s="73">
        <f t="shared" si="24"/>
        <v>-1.2999999999999901E-2</v>
      </c>
      <c r="D170" s="18">
        <f t="shared" si="25"/>
        <v>-1.2999999999999901E-2</v>
      </c>
      <c r="E170" s="18">
        <f ca="1">IF(表2_36716262930345[[#This Row],[累计净值]]/MAX(INDIRECT("B21:B" &amp; ROW()))-1&lt;E169,表2_36716262930345[[#This Row],[累计净值]]/MAX(INDIRECT("B21:B" &amp; ROW()))-1,E169)</f>
        <v>-8.0876158382476859E-2</v>
      </c>
      <c r="F170" s="62">
        <f>表2_36716262930345[[#This Row],[累计净值]]</f>
        <v>1.1990000000000001</v>
      </c>
      <c r="G170" s="20">
        <f>表2_36716262930345[[#This Row],[累计净值]]/$B$22-1</f>
        <v>1.6101694915254372E-2</v>
      </c>
      <c r="J170" s="69"/>
      <c r="K170" s="70"/>
      <c r="L170" s="70"/>
      <c r="M170" s="70"/>
      <c r="N170" s="70"/>
    </row>
    <row r="171" spans="1:14" x14ac:dyDescent="0.2">
      <c r="A171" s="15">
        <v>43928</v>
      </c>
      <c r="B171" s="16">
        <v>1.202</v>
      </c>
      <c r="C171" s="73">
        <f t="shared" si="24"/>
        <v>2.9999999999998916E-3</v>
      </c>
      <c r="D171" s="18" t="str">
        <f t="shared" si="25"/>
        <v>/</v>
      </c>
      <c r="E171" s="18">
        <f ca="1">IF(表2_36716262930345[[#This Row],[累计净值]]/MAX(INDIRECT("B21:B" &amp; ROW()))-1&lt;E170,表2_36716262930345[[#This Row],[累计净值]]/MAX(INDIRECT("B21:B" &amp; ROW()))-1,E170)</f>
        <v>-8.0876158382476859E-2</v>
      </c>
      <c r="F171" s="62">
        <f>表2_36716262930345[[#This Row],[累计净值]]</f>
        <v>1.202</v>
      </c>
      <c r="G171" s="20">
        <f>表2_36716262930345[[#This Row],[累计净值]]/$B$22-1</f>
        <v>1.8644067796610209E-2</v>
      </c>
      <c r="J171" s="69"/>
      <c r="K171" s="70"/>
      <c r="L171" s="70"/>
      <c r="M171" s="70"/>
      <c r="N171" s="70"/>
    </row>
    <row r="172" spans="1:14" x14ac:dyDescent="0.2">
      <c r="A172" s="15">
        <v>43929</v>
      </c>
      <c r="B172" s="16">
        <v>1.2090000000000001</v>
      </c>
      <c r="C172" s="73">
        <f t="shared" ref="C172:C177" si="26">IFERROR(B172-B171,0)</f>
        <v>7.0000000000001172E-3</v>
      </c>
      <c r="D172" s="18" t="str">
        <f t="shared" ref="D172:D177" si="27">IF(C172&lt;0,C172,"/")</f>
        <v>/</v>
      </c>
      <c r="E172" s="18">
        <f ca="1">IF(表2_36716262930345[[#This Row],[累计净值]]/MAX(INDIRECT("B21:B" &amp; ROW()))-1&lt;E171,表2_36716262930345[[#This Row],[累计净值]]/MAX(INDIRECT("B21:B" &amp; ROW()))-1,E171)</f>
        <v>-8.0876158382476859E-2</v>
      </c>
      <c r="F172" s="62">
        <f>表2_36716262930345[[#This Row],[累计净值]]</f>
        <v>1.2090000000000001</v>
      </c>
      <c r="G172" s="20">
        <f>表2_36716262930345[[#This Row],[累计净值]]/$B$22-1</f>
        <v>2.457627118644079E-2</v>
      </c>
      <c r="J172" s="69"/>
      <c r="K172" s="70"/>
      <c r="L172" s="70"/>
      <c r="M172" s="70"/>
      <c r="N172" s="70"/>
    </row>
    <row r="173" spans="1:14" x14ac:dyDescent="0.2">
      <c r="A173" s="15">
        <v>43930</v>
      </c>
      <c r="B173" s="16">
        <v>1.204</v>
      </c>
      <c r="C173" s="73">
        <f t="shared" si="26"/>
        <v>-5.0000000000001155E-3</v>
      </c>
      <c r="D173" s="18">
        <f t="shared" si="27"/>
        <v>-5.0000000000001155E-3</v>
      </c>
      <c r="E173" s="18">
        <f ca="1">IF(表2_36716262930345[[#This Row],[累计净值]]/MAX(INDIRECT("B21:B" &amp; ROW()))-1&lt;E172,表2_36716262930345[[#This Row],[累计净值]]/MAX(INDIRECT("B21:B" &amp; ROW()))-1,E172)</f>
        <v>-8.0876158382476859E-2</v>
      </c>
      <c r="F173" s="62">
        <f>表2_36716262930345[[#This Row],[累计净值]]</f>
        <v>1.204</v>
      </c>
      <c r="G173" s="20">
        <f>表2_36716262930345[[#This Row],[累计净值]]/$B$22-1</f>
        <v>2.0338983050847581E-2</v>
      </c>
      <c r="J173" s="69"/>
      <c r="K173" s="70"/>
      <c r="L173" s="70"/>
      <c r="M173" s="70"/>
      <c r="N173" s="70"/>
    </row>
    <row r="174" spans="1:14" x14ac:dyDescent="0.2">
      <c r="A174" s="15">
        <v>43931</v>
      </c>
      <c r="B174" s="16">
        <v>1.2110000000000001</v>
      </c>
      <c r="C174" s="73">
        <f t="shared" si="26"/>
        <v>7.0000000000001172E-3</v>
      </c>
      <c r="D174" s="18" t="str">
        <f t="shared" si="27"/>
        <v>/</v>
      </c>
      <c r="E174" s="18">
        <f ca="1">IF(表2_36716262930345[[#This Row],[累计净值]]/MAX(INDIRECT("B21:B" &amp; ROW()))-1&lt;E173,表2_36716262930345[[#This Row],[累计净值]]/MAX(INDIRECT("B21:B" &amp; ROW()))-1,E173)</f>
        <v>-8.0876158382476859E-2</v>
      </c>
      <c r="F174" s="62">
        <f>表2_36716262930345[[#This Row],[累计净值]]</f>
        <v>1.2110000000000001</v>
      </c>
      <c r="G174" s="20">
        <f>表2_36716262930345[[#This Row],[累计净值]]/$B$22-1</f>
        <v>2.6271186440678163E-2</v>
      </c>
      <c r="J174" s="69"/>
      <c r="K174" s="70"/>
      <c r="L174" s="70"/>
      <c r="M174" s="70"/>
      <c r="N174" s="70"/>
    </row>
    <row r="175" spans="1:14" x14ac:dyDescent="0.2">
      <c r="A175" s="15">
        <v>43934</v>
      </c>
      <c r="B175" s="16">
        <v>1.224</v>
      </c>
      <c r="C175" s="73">
        <f t="shared" si="26"/>
        <v>1.2999999999999901E-2</v>
      </c>
      <c r="D175" s="18" t="str">
        <f t="shared" si="27"/>
        <v>/</v>
      </c>
      <c r="E175" s="18">
        <f ca="1">IF(表2_36716262930345[[#This Row],[累计净值]]/MAX(INDIRECT("B21:B" &amp; ROW()))-1&lt;E174,表2_36716262930345[[#This Row],[累计净值]]/MAX(INDIRECT("B21:B" &amp; ROW()))-1,E174)</f>
        <v>-8.0876158382476859E-2</v>
      </c>
      <c r="F175" s="62">
        <f>表2_36716262930345[[#This Row],[累计净值]]</f>
        <v>1.224</v>
      </c>
      <c r="G175" s="20">
        <f>表2_36716262930345[[#This Row],[累计净值]]/$B$22-1</f>
        <v>3.7288135593220417E-2</v>
      </c>
      <c r="J175" s="69"/>
      <c r="K175" s="70"/>
      <c r="L175" s="70"/>
      <c r="M175" s="70"/>
      <c r="N175" s="70"/>
    </row>
    <row r="176" spans="1:14" x14ac:dyDescent="0.2">
      <c r="A176" s="15">
        <v>43935</v>
      </c>
      <c r="B176" s="16">
        <v>1.232</v>
      </c>
      <c r="C176" s="73">
        <f t="shared" si="26"/>
        <v>8.0000000000000071E-3</v>
      </c>
      <c r="D176" s="18" t="str">
        <f t="shared" si="27"/>
        <v>/</v>
      </c>
      <c r="E176" s="18">
        <f ca="1">IF(表2_36716262930345[[#This Row],[累计净值]]/MAX(INDIRECT("B21:B" &amp; ROW()))-1&lt;E175,表2_36716262930345[[#This Row],[累计净值]]/MAX(INDIRECT("B21:B" &amp; ROW()))-1,E175)</f>
        <v>-8.0876158382476859E-2</v>
      </c>
      <c r="F176" s="62">
        <f>表2_36716262930345[[#This Row],[累计净值]]</f>
        <v>1.232</v>
      </c>
      <c r="G176" s="20">
        <f>表2_36716262930345[[#This Row],[累计净值]]/$B$22-1</f>
        <v>4.4067796610169463E-2</v>
      </c>
      <c r="J176" s="69"/>
      <c r="K176" s="70"/>
      <c r="L176" s="70"/>
      <c r="M176" s="70"/>
      <c r="N176" s="70"/>
    </row>
    <row r="177" spans="1:14" x14ac:dyDescent="0.2">
      <c r="A177" s="15">
        <v>43936</v>
      </c>
      <c r="B177" s="96">
        <v>1.218</v>
      </c>
      <c r="C177" s="94">
        <f t="shared" si="26"/>
        <v>-1.4000000000000012E-2</v>
      </c>
      <c r="D177" s="95">
        <f t="shared" si="27"/>
        <v>-1.4000000000000012E-2</v>
      </c>
      <c r="E177" s="95">
        <f ca="1">IF(表2_36716262930345[[#This Row],[累计净值]]/MAX(INDIRECT("B21:B" &amp; ROW()))-1&lt;E176,表2_36716262930345[[#This Row],[累计净值]]/MAX(INDIRECT("B21:B" &amp; ROW()))-1,E176)</f>
        <v>-8.0876158382476859E-2</v>
      </c>
      <c r="F177" s="97">
        <f>表2_36716262930345[[#This Row],[累计净值]]</f>
        <v>1.218</v>
      </c>
      <c r="G177" s="20">
        <f>表2_36716262930345[[#This Row],[累计净值]]/$B$22-1</f>
        <v>3.2203389830508522E-2</v>
      </c>
      <c r="J177" s="69"/>
      <c r="K177" s="70"/>
      <c r="L177" s="70"/>
      <c r="M177" s="70"/>
      <c r="N177" s="70"/>
    </row>
    <row r="178" spans="1:14" x14ac:dyDescent="0.2">
      <c r="A178" s="15">
        <v>43937</v>
      </c>
      <c r="B178" s="96">
        <v>1.22</v>
      </c>
      <c r="C178" s="94">
        <f t="shared" ref="C178:C183" si="28">IFERROR(B178-B177,0)</f>
        <v>2.0000000000000018E-3</v>
      </c>
      <c r="D178" s="95" t="str">
        <f t="shared" ref="D178:D183" si="29">IF(C178&lt;0,C178,"/")</f>
        <v>/</v>
      </c>
      <c r="E178" s="95">
        <f ca="1">IF(表2_36716262930345[[#This Row],[累计净值]]/MAX(INDIRECT("B21:B" &amp; ROW()))-1&lt;E177,表2_36716262930345[[#This Row],[累计净值]]/MAX(INDIRECT("B21:B" &amp; ROW()))-1,E177)</f>
        <v>-8.0876158382476859E-2</v>
      </c>
      <c r="F178" s="97">
        <f>表2_36716262930345[[#This Row],[累计净值]]</f>
        <v>1.22</v>
      </c>
      <c r="G178" s="20">
        <f>表2_36716262930345[[#This Row],[累计净值]]/$B$22-1</f>
        <v>3.3898305084745894E-2</v>
      </c>
      <c r="J178" s="69"/>
      <c r="K178" s="70"/>
      <c r="L178" s="70"/>
      <c r="M178" s="70"/>
      <c r="N178" s="70"/>
    </row>
    <row r="179" spans="1:14" x14ac:dyDescent="0.2">
      <c r="A179" s="15">
        <v>43938</v>
      </c>
      <c r="B179" s="96">
        <v>1.2150000000000001</v>
      </c>
      <c r="C179" s="94">
        <f t="shared" si="28"/>
        <v>-4.9999999999998934E-3</v>
      </c>
      <c r="D179" s="95">
        <f t="shared" si="29"/>
        <v>-4.9999999999998934E-3</v>
      </c>
      <c r="E179" s="95">
        <f ca="1">IF(表2_36716262930345[[#This Row],[累计净值]]/MAX(INDIRECT("B21:B" &amp; ROW()))-1&lt;E178,表2_36716262930345[[#This Row],[累计净值]]/MAX(INDIRECT("B21:B" &amp; ROW()))-1,E178)</f>
        <v>-8.0876158382476859E-2</v>
      </c>
      <c r="F179" s="97">
        <f>表2_36716262930345[[#This Row],[累计净值]]</f>
        <v>1.2150000000000001</v>
      </c>
      <c r="G179" s="20">
        <f>表2_36716262930345[[#This Row],[累计净值]]/$B$22-1</f>
        <v>2.9661016949152685E-2</v>
      </c>
      <c r="J179" s="69"/>
      <c r="K179" s="70"/>
      <c r="L179" s="70"/>
      <c r="M179" s="70"/>
      <c r="N179" s="70"/>
    </row>
    <row r="180" spans="1:14" x14ac:dyDescent="0.2">
      <c r="A180" s="15">
        <v>43941</v>
      </c>
      <c r="B180" s="96">
        <v>1.216</v>
      </c>
      <c r="C180" s="94">
        <f t="shared" si="28"/>
        <v>9.9999999999988987E-4</v>
      </c>
      <c r="D180" s="95" t="str">
        <f t="shared" si="29"/>
        <v>/</v>
      </c>
      <c r="E180" s="95">
        <f ca="1">IF(表2_36716262930345[[#This Row],[累计净值]]/MAX(INDIRECT("B21:B" &amp; ROW()))-1&lt;E179,表2_36716262930345[[#This Row],[累计净值]]/MAX(INDIRECT("B21:B" &amp; ROW()))-1,E179)</f>
        <v>-8.0876158382476859E-2</v>
      </c>
      <c r="F180" s="97">
        <f>表2_36716262930345[[#This Row],[累计净值]]</f>
        <v>1.216</v>
      </c>
      <c r="G180" s="20">
        <f>表2_36716262930345[[#This Row],[累计净值]]/$B$22-1</f>
        <v>3.050847457627115E-2</v>
      </c>
      <c r="J180" s="69"/>
      <c r="K180" s="70"/>
      <c r="L180" s="70"/>
      <c r="M180" s="70"/>
      <c r="N180" s="70"/>
    </row>
    <row r="181" spans="1:14" x14ac:dyDescent="0.2">
      <c r="A181" s="15">
        <v>43942</v>
      </c>
      <c r="B181" s="96">
        <v>1.2250000000000001</v>
      </c>
      <c r="C181" s="94">
        <f t="shared" si="28"/>
        <v>9.000000000000119E-3</v>
      </c>
      <c r="D181" s="95" t="str">
        <f t="shared" si="29"/>
        <v>/</v>
      </c>
      <c r="E181" s="95">
        <f ca="1">IF(表2_36716262930345[[#This Row],[累计净值]]/MAX(INDIRECT("B21:B" &amp; ROW()))-1&lt;E180,表2_36716262930345[[#This Row],[累计净值]]/MAX(INDIRECT("B21:B" &amp; ROW()))-1,E180)</f>
        <v>-8.0876158382476859E-2</v>
      </c>
      <c r="F181" s="97">
        <f>表2_36716262930345[[#This Row],[累计净值]]</f>
        <v>1.2250000000000001</v>
      </c>
      <c r="G181" s="20">
        <f>表2_36716262930345[[#This Row],[累计净值]]/$B$22-1</f>
        <v>3.8135593220339103E-2</v>
      </c>
      <c r="J181" s="69"/>
      <c r="K181" s="70"/>
      <c r="L181" s="70"/>
      <c r="M181" s="70"/>
      <c r="N181" s="70"/>
    </row>
    <row r="182" spans="1:14" x14ac:dyDescent="0.2">
      <c r="A182" s="15">
        <v>43943</v>
      </c>
      <c r="B182" s="96">
        <v>1.248</v>
      </c>
      <c r="C182" s="94">
        <f t="shared" si="28"/>
        <v>2.2999999999999909E-2</v>
      </c>
      <c r="D182" s="95" t="str">
        <f t="shared" si="29"/>
        <v>/</v>
      </c>
      <c r="E182" s="95">
        <f ca="1">IF(表2_36716262930345[[#This Row],[累计净值]]/MAX(INDIRECT("B21:B" &amp; ROW()))-1&lt;E181,表2_36716262930345[[#This Row],[累计净值]]/MAX(INDIRECT("B21:B" &amp; ROW()))-1,E181)</f>
        <v>-8.0876158382476859E-2</v>
      </c>
      <c r="F182" s="97">
        <f>表2_36716262930345[[#This Row],[累计净值]]</f>
        <v>1.248</v>
      </c>
      <c r="G182" s="20">
        <f>表2_36716262930345[[#This Row],[累计净值]]/$B$22-1</f>
        <v>5.7627118644067776E-2</v>
      </c>
      <c r="J182" s="69"/>
      <c r="K182" s="70"/>
      <c r="L182" s="70"/>
      <c r="M182" s="70"/>
      <c r="N182" s="70"/>
    </row>
    <row r="183" spans="1:14" x14ac:dyDescent="0.2">
      <c r="A183" s="15">
        <v>43944</v>
      </c>
      <c r="B183" s="96">
        <v>1.258</v>
      </c>
      <c r="C183" s="94">
        <f t="shared" si="28"/>
        <v>1.0000000000000009E-2</v>
      </c>
      <c r="D183" s="95" t="str">
        <f t="shared" si="29"/>
        <v>/</v>
      </c>
      <c r="E183" s="95">
        <f ca="1">IF(表2_36716262930345[[#This Row],[累计净值]]/MAX(INDIRECT("B21:B" &amp; ROW()))-1&lt;E182,表2_36716262930345[[#This Row],[累计净值]]/MAX(INDIRECT("B21:B" &amp; ROW()))-1,E182)</f>
        <v>-8.0876158382476859E-2</v>
      </c>
      <c r="F183" s="97">
        <f>表2_36716262930345[[#This Row],[累计净值]]</f>
        <v>1.258</v>
      </c>
      <c r="G183" s="20">
        <f>表2_36716262930345[[#This Row],[累计净值]]/$B$22-1</f>
        <v>6.6101694915254194E-2</v>
      </c>
      <c r="J183" s="69"/>
      <c r="K183" s="70"/>
      <c r="L183" s="70"/>
      <c r="M183" s="70"/>
      <c r="N183" s="70"/>
    </row>
    <row r="184" spans="1:14" x14ac:dyDescent="0.2">
      <c r="A184" s="15">
        <v>43945</v>
      </c>
      <c r="B184" s="96">
        <v>1.2450000000000001</v>
      </c>
      <c r="C184" s="94">
        <f t="shared" ref="C184:C189" si="30">IFERROR(B184-B183,0)</f>
        <v>-1.2999999999999901E-2</v>
      </c>
      <c r="D184" s="95">
        <f t="shared" ref="D184:D189" si="31">IF(C184&lt;0,C184,"/")</f>
        <v>-1.2999999999999901E-2</v>
      </c>
      <c r="E184" s="95">
        <f ca="1">IF(表2_36716262930345[[#This Row],[累计净值]]/MAX(INDIRECT("B21:B" &amp; ROW()))-1&lt;E183,表2_36716262930345[[#This Row],[累计净值]]/MAX(INDIRECT("B21:B" &amp; ROW()))-1,E183)</f>
        <v>-8.0876158382476859E-2</v>
      </c>
      <c r="F184" s="97">
        <f>表2_36716262930345[[#This Row],[累计净值]]</f>
        <v>1.2450000000000001</v>
      </c>
      <c r="G184" s="20">
        <f>表2_36716262930345[[#This Row],[累计净值]]/$B$22-1</f>
        <v>5.508474576271194E-2</v>
      </c>
      <c r="J184" s="69"/>
      <c r="K184" s="70"/>
      <c r="L184" s="70"/>
      <c r="M184" s="70"/>
      <c r="N184" s="70"/>
    </row>
    <row r="185" spans="1:14" x14ac:dyDescent="0.2">
      <c r="A185" s="15">
        <v>43948</v>
      </c>
      <c r="B185" s="96">
        <v>1.262</v>
      </c>
      <c r="C185" s="94">
        <f t="shared" si="30"/>
        <v>1.6999999999999904E-2</v>
      </c>
      <c r="D185" s="95" t="str">
        <f t="shared" si="31"/>
        <v>/</v>
      </c>
      <c r="E185" s="95">
        <f ca="1">IF(表2_36716262930345[[#This Row],[累计净值]]/MAX(INDIRECT("B21:B" &amp; ROW()))-1&lt;E184,表2_36716262930345[[#This Row],[累计净值]]/MAX(INDIRECT("B21:B" &amp; ROW()))-1,E184)</f>
        <v>-8.0876158382476859E-2</v>
      </c>
      <c r="F185" s="97">
        <f>表2_36716262930345[[#This Row],[累计净值]]</f>
        <v>1.262</v>
      </c>
      <c r="G185" s="20">
        <f>表2_36716262930345[[#This Row],[累计净值]]/$B$22-1</f>
        <v>6.9491525423728939E-2</v>
      </c>
      <c r="J185" s="69"/>
      <c r="K185" s="70"/>
      <c r="L185" s="70"/>
      <c r="M185" s="70"/>
      <c r="N185" s="70"/>
    </row>
    <row r="186" spans="1:14" x14ac:dyDescent="0.2">
      <c r="A186" s="15">
        <v>43949</v>
      </c>
      <c r="B186" s="96">
        <v>1.2609999999999999</v>
      </c>
      <c r="C186" s="94">
        <f t="shared" si="30"/>
        <v>-1.0000000000001119E-3</v>
      </c>
      <c r="D186" s="95">
        <f t="shared" si="31"/>
        <v>-1.0000000000001119E-3</v>
      </c>
      <c r="E186" s="95">
        <f ca="1">IF(表2_36716262930345[[#This Row],[累计净值]]/MAX(INDIRECT("B21:B" &amp; ROW()))-1&lt;E185,表2_36716262930345[[#This Row],[累计净值]]/MAX(INDIRECT("B21:B" &amp; ROW()))-1,E185)</f>
        <v>-8.0876158382476859E-2</v>
      </c>
      <c r="F186" s="97">
        <f>表2_36716262930345[[#This Row],[累计净值]]</f>
        <v>1.2609999999999999</v>
      </c>
      <c r="G186" s="20">
        <f>表2_36716262930345[[#This Row],[累计净值]]/$B$22-1</f>
        <v>6.8644067796610031E-2</v>
      </c>
      <c r="J186" s="69"/>
      <c r="K186" s="70"/>
      <c r="L186" s="70"/>
      <c r="M186" s="70"/>
      <c r="N186" s="70"/>
    </row>
    <row r="187" spans="1:14" x14ac:dyDescent="0.2">
      <c r="A187" s="15">
        <v>43950</v>
      </c>
      <c r="B187" s="96">
        <v>1.2430000000000001</v>
      </c>
      <c r="C187" s="94">
        <f t="shared" si="30"/>
        <v>-1.7999999999999794E-2</v>
      </c>
      <c r="D187" s="95">
        <f t="shared" si="31"/>
        <v>-1.7999999999999794E-2</v>
      </c>
      <c r="E187" s="95">
        <f ca="1">IF(表2_36716262930345[[#This Row],[累计净值]]/MAX(INDIRECT("B21:B" &amp; ROW()))-1&lt;E186,表2_36716262930345[[#This Row],[累计净值]]/MAX(INDIRECT("B21:B" &amp; ROW()))-1,E186)</f>
        <v>-8.0876158382476859E-2</v>
      </c>
      <c r="F187" s="97">
        <f>表2_36716262930345[[#This Row],[累计净值]]</f>
        <v>1.2430000000000001</v>
      </c>
      <c r="G187" s="20">
        <f>表2_36716262930345[[#This Row],[累计净值]]/$B$22-1</f>
        <v>5.3389830508474789E-2</v>
      </c>
      <c r="J187" s="69"/>
      <c r="K187" s="70"/>
      <c r="L187" s="70"/>
      <c r="M187" s="70"/>
      <c r="N187" s="70"/>
    </row>
    <row r="188" spans="1:14" x14ac:dyDescent="0.2">
      <c r="A188" s="15">
        <v>43951</v>
      </c>
      <c r="B188" s="96">
        <v>1.232</v>
      </c>
      <c r="C188" s="94">
        <f t="shared" si="30"/>
        <v>-1.1000000000000121E-2</v>
      </c>
      <c r="D188" s="95">
        <f t="shared" si="31"/>
        <v>-1.1000000000000121E-2</v>
      </c>
      <c r="E188" s="95">
        <f ca="1">IF(表2_36716262930345[[#This Row],[累计净值]]/MAX(INDIRECT("B21:B" &amp; ROW()))-1&lt;E187,表2_36716262930345[[#This Row],[累计净值]]/MAX(INDIRECT("B21:B" &amp; ROW()))-1,E187)</f>
        <v>-8.0876158382476859E-2</v>
      </c>
      <c r="F188" s="97">
        <f>表2_36716262930345[[#This Row],[累计净值]]</f>
        <v>1.232</v>
      </c>
      <c r="G188" s="20">
        <f>表2_36716262930345[[#This Row],[累计净值]]/$B$22-1</f>
        <v>4.4067796610169463E-2</v>
      </c>
      <c r="J188" s="69"/>
      <c r="K188" s="70"/>
      <c r="L188" s="70"/>
      <c r="M188" s="70"/>
      <c r="N188" s="70"/>
    </row>
    <row r="189" spans="1:14" x14ac:dyDescent="0.2">
      <c r="A189" s="15">
        <v>43957</v>
      </c>
      <c r="B189" s="104">
        <v>1.2290000000000001</v>
      </c>
      <c r="C189" s="101">
        <f t="shared" si="30"/>
        <v>-2.9999999999998916E-3</v>
      </c>
      <c r="D189" s="102">
        <f t="shared" si="31"/>
        <v>-2.9999999999998916E-3</v>
      </c>
      <c r="E189" s="102">
        <f ca="1">IF(表2_36716262930345[[#This Row],[累计净值]]/MAX(INDIRECT("B21:B" &amp; ROW()))-1&lt;E188,表2_36716262930345[[#This Row],[累计净值]]/MAX(INDIRECT("B21:B" &amp; ROW()))-1,E188)</f>
        <v>-8.0876158382476859E-2</v>
      </c>
      <c r="F189" s="97">
        <f>表2_36716262930345[[#This Row],[累计净值]]</f>
        <v>1.2290000000000001</v>
      </c>
      <c r="G189" s="20">
        <f>表2_36716262930345[[#This Row],[累计净值]]/$B$22-1</f>
        <v>4.1525423728813626E-2</v>
      </c>
      <c r="J189" s="69"/>
      <c r="K189" s="70"/>
      <c r="L189" s="70"/>
      <c r="M189" s="70"/>
      <c r="N189" s="70"/>
    </row>
    <row r="190" spans="1:14" x14ac:dyDescent="0.2">
      <c r="A190" s="15">
        <v>43958</v>
      </c>
      <c r="B190" s="104">
        <v>1.238</v>
      </c>
      <c r="C190" s="101">
        <f t="shared" ref="C190:C195" si="32">IFERROR(B190-B189,0)</f>
        <v>8.999999999999897E-3</v>
      </c>
      <c r="D190" s="102" t="str">
        <f t="shared" ref="D190:D195" si="33">IF(C190&lt;0,C190,"/")</f>
        <v>/</v>
      </c>
      <c r="E190" s="102">
        <f ca="1">IF(表2_36716262930345[[#This Row],[累计净值]]/MAX(INDIRECT("B21:B" &amp; ROW()))-1&lt;E189,表2_36716262930345[[#This Row],[累计净值]]/MAX(INDIRECT("B21:B" &amp; ROW()))-1,E189)</f>
        <v>-8.0876158382476859E-2</v>
      </c>
      <c r="F190" s="103">
        <f>表2_36716262930345[[#This Row],[累计净值]]</f>
        <v>1.238</v>
      </c>
      <c r="G190" s="20">
        <f>表2_36716262930345[[#This Row],[累计净值]]/$B$22-1</f>
        <v>4.9152542372881358E-2</v>
      </c>
      <c r="J190" s="69"/>
      <c r="K190" s="70"/>
      <c r="L190" s="70"/>
      <c r="M190" s="70"/>
      <c r="N190" s="70"/>
    </row>
    <row r="191" spans="1:14" x14ac:dyDescent="0.2">
      <c r="A191" s="15">
        <v>43959</v>
      </c>
      <c r="B191" s="104">
        <v>1.2470000000000001</v>
      </c>
      <c r="C191" s="101">
        <f t="shared" si="32"/>
        <v>9.000000000000119E-3</v>
      </c>
      <c r="D191" s="102" t="str">
        <f t="shared" si="33"/>
        <v>/</v>
      </c>
      <c r="E191" s="102">
        <f ca="1">IF(表2_36716262930345[[#This Row],[累计净值]]/MAX(INDIRECT("B21:B" &amp; ROW()))-1&lt;E190,表2_36716262930345[[#This Row],[累计净值]]/MAX(INDIRECT("B21:B" &amp; ROW()))-1,E190)</f>
        <v>-8.0876158382476859E-2</v>
      </c>
      <c r="F191" s="103">
        <f>表2_36716262930345[[#This Row],[累计净值]]</f>
        <v>1.2470000000000001</v>
      </c>
      <c r="G191" s="20">
        <f>表2_36716262930345[[#This Row],[累计净值]]/$B$22-1</f>
        <v>5.6779661016949312E-2</v>
      </c>
      <c r="J191" s="69"/>
      <c r="K191" s="70"/>
      <c r="L191" s="70"/>
      <c r="M191" s="70"/>
      <c r="N191" s="70"/>
    </row>
    <row r="192" spans="1:14" x14ac:dyDescent="0.2">
      <c r="A192" s="15">
        <v>43962</v>
      </c>
      <c r="B192" s="104">
        <v>1.2370000000000001</v>
      </c>
      <c r="C192" s="101">
        <f t="shared" si="32"/>
        <v>-1.0000000000000009E-2</v>
      </c>
      <c r="D192" s="102">
        <f t="shared" si="33"/>
        <v>-1.0000000000000009E-2</v>
      </c>
      <c r="E192" s="102">
        <f ca="1">IF(表2_36716262930345[[#This Row],[累计净值]]/MAX(INDIRECT("B21:B" &amp; ROW()))-1&lt;E191,表2_36716262930345[[#This Row],[累计净值]]/MAX(INDIRECT("B21:B" &amp; ROW()))-1,E191)</f>
        <v>-8.0876158382476859E-2</v>
      </c>
      <c r="F192" s="103">
        <f>表2_36716262930345[[#This Row],[累计净值]]</f>
        <v>1.2370000000000001</v>
      </c>
      <c r="G192" s="20">
        <f>表2_36716262930345[[#This Row],[累计净值]]/$B$22-1</f>
        <v>4.8305084745762894E-2</v>
      </c>
      <c r="J192" s="69"/>
      <c r="K192" s="70"/>
      <c r="L192" s="70"/>
      <c r="M192" s="70"/>
      <c r="N192" s="70"/>
    </row>
    <row r="193" spans="1:14" x14ac:dyDescent="0.2">
      <c r="A193" s="15">
        <v>43963</v>
      </c>
      <c r="B193" s="104">
        <v>1.25</v>
      </c>
      <c r="C193" s="101">
        <f t="shared" si="32"/>
        <v>1.2999999999999901E-2</v>
      </c>
      <c r="D193" s="102" t="str">
        <f t="shared" si="33"/>
        <v>/</v>
      </c>
      <c r="E193" s="102">
        <f ca="1">IF(表2_36716262930345[[#This Row],[累计净值]]/MAX(INDIRECT("B21:B" &amp; ROW()))-1&lt;E192,表2_36716262930345[[#This Row],[累计净值]]/MAX(INDIRECT("B21:B" &amp; ROW()))-1,E192)</f>
        <v>-8.0876158382476859E-2</v>
      </c>
      <c r="F193" s="103">
        <f>表2_36716262930345[[#This Row],[累计净值]]</f>
        <v>1.25</v>
      </c>
      <c r="G193" s="20">
        <f>表2_36716262930345[[#This Row],[累计净值]]/$B$22-1</f>
        <v>5.9322033898305149E-2</v>
      </c>
      <c r="J193" s="69"/>
      <c r="K193" s="70"/>
      <c r="L193" s="70"/>
      <c r="M193" s="70"/>
      <c r="N193" s="70"/>
    </row>
    <row r="194" spans="1:14" x14ac:dyDescent="0.2">
      <c r="A194" s="15">
        <v>43964</v>
      </c>
      <c r="B194" s="104">
        <v>1.266</v>
      </c>
      <c r="C194" s="101">
        <f t="shared" si="32"/>
        <v>1.6000000000000014E-2</v>
      </c>
      <c r="D194" s="102" t="str">
        <f t="shared" si="33"/>
        <v>/</v>
      </c>
      <c r="E194" s="102">
        <f ca="1">IF(表2_36716262930345[[#This Row],[累计净值]]/MAX(INDIRECT("B21:B" &amp; ROW()))-1&lt;E193,表2_36716262930345[[#This Row],[累计净值]]/MAX(INDIRECT("B21:B" &amp; ROW()))-1,E193)</f>
        <v>-8.0876158382476859E-2</v>
      </c>
      <c r="F194" s="103">
        <f>表2_36716262930345[[#This Row],[累计净值]]</f>
        <v>1.266</v>
      </c>
      <c r="G194" s="20">
        <f>表2_36716262930345[[#This Row],[累计净值]]/$B$22-1</f>
        <v>7.2881355932203462E-2</v>
      </c>
      <c r="J194" s="69"/>
      <c r="K194" s="70"/>
      <c r="L194" s="70"/>
      <c r="M194" s="70"/>
      <c r="N194" s="70"/>
    </row>
    <row r="195" spans="1:14" x14ac:dyDescent="0.2">
      <c r="A195" s="15">
        <v>43965</v>
      </c>
      <c r="B195" s="104">
        <v>1.262</v>
      </c>
      <c r="C195" s="101">
        <f t="shared" si="32"/>
        <v>-4.0000000000000036E-3</v>
      </c>
      <c r="D195" s="102">
        <f t="shared" si="33"/>
        <v>-4.0000000000000036E-3</v>
      </c>
      <c r="E195" s="102">
        <f ca="1">IF(表2_36716262930345[[#This Row],[累计净值]]/MAX(INDIRECT("B21:B" &amp; ROW()))-1&lt;E194,表2_36716262930345[[#This Row],[累计净值]]/MAX(INDIRECT("B21:B" &amp; ROW()))-1,E194)</f>
        <v>-8.0876158382476859E-2</v>
      </c>
      <c r="F195" s="103">
        <f>表2_36716262930345[[#This Row],[累计净值]]</f>
        <v>1.262</v>
      </c>
      <c r="G195" s="20">
        <f>表2_36716262930345[[#This Row],[累计净值]]/$B$22-1</f>
        <v>6.9491525423728939E-2</v>
      </c>
      <c r="J195" s="69"/>
      <c r="K195" s="70"/>
      <c r="L195" s="70"/>
      <c r="M195" s="70"/>
      <c r="N195" s="70"/>
    </row>
    <row r="196" spans="1:14" x14ac:dyDescent="0.2">
      <c r="A196" s="15">
        <v>43966</v>
      </c>
      <c r="B196" s="104">
        <v>1.2569999999999999</v>
      </c>
      <c r="C196" s="101">
        <f t="shared" ref="C196:C201" si="34">IFERROR(B196-B195,0)</f>
        <v>-5.0000000000001155E-3</v>
      </c>
      <c r="D196" s="102">
        <f t="shared" ref="D196:D201" si="35">IF(C196&lt;0,C196,"/")</f>
        <v>-5.0000000000001155E-3</v>
      </c>
      <c r="E196" s="102">
        <f ca="1">IF(表2_36716262930345[[#This Row],[累计净值]]/MAX(INDIRECT("B21:B" &amp; ROW()))-1&lt;E195,表2_36716262930345[[#This Row],[累计净值]]/MAX(INDIRECT("B21:B" &amp; ROW()))-1,E195)</f>
        <v>-8.0876158382476859E-2</v>
      </c>
      <c r="F196" s="103">
        <f>表2_36716262930345[[#This Row],[累计净值]]</f>
        <v>1.2569999999999999</v>
      </c>
      <c r="G196" s="20">
        <f>表2_36716262930345[[#This Row],[累计净值]]/$B$22-1</f>
        <v>6.5254237288135508E-2</v>
      </c>
      <c r="J196" s="69"/>
      <c r="K196" s="70"/>
      <c r="L196" s="70"/>
      <c r="M196" s="70"/>
      <c r="N196" s="70"/>
    </row>
    <row r="197" spans="1:14" x14ac:dyDescent="0.2">
      <c r="A197" s="15">
        <v>43969</v>
      </c>
      <c r="B197" s="104">
        <v>1.286</v>
      </c>
      <c r="C197" s="101">
        <f t="shared" si="34"/>
        <v>2.9000000000000137E-2</v>
      </c>
      <c r="D197" s="102" t="str">
        <f t="shared" si="35"/>
        <v>/</v>
      </c>
      <c r="E197" s="102">
        <f ca="1">IF(表2_36716262930345[[#This Row],[累计净值]]/MAX(INDIRECT("B21:B" &amp; ROW()))-1&lt;E196,表2_36716262930345[[#This Row],[累计净值]]/MAX(INDIRECT("B21:B" &amp; ROW()))-1,E196)</f>
        <v>-8.0876158382476859E-2</v>
      </c>
      <c r="F197" s="103">
        <f>表2_36716262930345[[#This Row],[累计净值]]</f>
        <v>1.286</v>
      </c>
      <c r="G197" s="20">
        <f>表2_36716262930345[[#This Row],[累计净值]]/$B$22-1</f>
        <v>8.9830508474576298E-2</v>
      </c>
      <c r="J197" s="69"/>
      <c r="K197" s="70"/>
      <c r="L197" s="70"/>
      <c r="M197" s="70"/>
      <c r="N197" s="70"/>
    </row>
    <row r="198" spans="1:14" x14ac:dyDescent="0.2">
      <c r="A198" s="15">
        <v>43970</v>
      </c>
      <c r="B198" s="104">
        <v>1.31</v>
      </c>
      <c r="C198" s="101">
        <f t="shared" si="34"/>
        <v>2.4000000000000021E-2</v>
      </c>
      <c r="D198" s="102" t="str">
        <f t="shared" si="35"/>
        <v>/</v>
      </c>
      <c r="E198" s="102">
        <f ca="1">IF(表2_36716262930345[[#This Row],[累计净值]]/MAX(INDIRECT("B21:B" &amp; ROW()))-1&lt;E197,表2_36716262930345[[#This Row],[累计净值]]/MAX(INDIRECT("B21:B" &amp; ROW()))-1,E197)</f>
        <v>-8.0876158382476859E-2</v>
      </c>
      <c r="F198" s="103">
        <f>表2_36716262930345[[#This Row],[累计净值]]</f>
        <v>1.31</v>
      </c>
      <c r="G198" s="20">
        <f>表2_36716262930345[[#This Row],[累计净值]]/$B$22-1</f>
        <v>0.11016949152542388</v>
      </c>
      <c r="J198" s="69"/>
      <c r="K198" s="70"/>
      <c r="L198" s="70"/>
      <c r="M198" s="70"/>
      <c r="N198" s="70"/>
    </row>
    <row r="199" spans="1:14" x14ac:dyDescent="0.2">
      <c r="A199" s="15">
        <v>43971</v>
      </c>
      <c r="B199" s="104">
        <v>1.3149999999999999</v>
      </c>
      <c r="C199" s="101">
        <f t="shared" si="34"/>
        <v>4.9999999999998934E-3</v>
      </c>
      <c r="D199" s="102" t="str">
        <f t="shared" si="35"/>
        <v>/</v>
      </c>
      <c r="E199" s="102">
        <f ca="1">IF(表2_36716262930345[[#This Row],[累计净值]]/MAX(INDIRECT("B21:B" &amp; ROW()))-1&lt;E198,表2_36716262930345[[#This Row],[累计净值]]/MAX(INDIRECT("B21:B" &amp; ROW()))-1,E198)</f>
        <v>-8.0876158382476859E-2</v>
      </c>
      <c r="F199" s="103">
        <f>表2_36716262930345[[#This Row],[累计净值]]</f>
        <v>1.3149999999999999</v>
      </c>
      <c r="G199" s="20">
        <f>表2_36716262930345[[#This Row],[累计净值]]/$B$22-1</f>
        <v>0.11440677966101687</v>
      </c>
      <c r="J199" s="69"/>
      <c r="K199" s="70"/>
      <c r="L199" s="70"/>
      <c r="M199" s="70"/>
      <c r="N199" s="70"/>
    </row>
    <row r="200" spans="1:14" x14ac:dyDescent="0.2">
      <c r="A200" s="15">
        <v>43972</v>
      </c>
      <c r="B200" s="112">
        <v>1.302</v>
      </c>
      <c r="C200" s="108">
        <f t="shared" si="34"/>
        <v>-1.2999999999999901E-2</v>
      </c>
      <c r="D200" s="109">
        <f t="shared" si="35"/>
        <v>-1.2999999999999901E-2</v>
      </c>
      <c r="E200" s="109">
        <f ca="1">IF(表2_36716262930345[[#This Row],[累计净值]]/MAX(INDIRECT("B21:B" &amp; ROW()))-1&lt;E199,表2_36716262930345[[#This Row],[累计净值]]/MAX(INDIRECT("B21:B" &amp; ROW()))-1,E199)</f>
        <v>-8.0876158382476859E-2</v>
      </c>
      <c r="F200" s="103">
        <f>表2_36716262930345[[#This Row],[累计净值]]</f>
        <v>1.302</v>
      </c>
      <c r="G200" s="20">
        <f>表2_36716262930345[[#This Row],[累计净值]]/$B$22-1</f>
        <v>0.10338983050847461</v>
      </c>
      <c r="J200" s="69"/>
      <c r="K200" s="70"/>
      <c r="L200" s="70"/>
      <c r="M200" s="70"/>
      <c r="N200" s="70"/>
    </row>
    <row r="201" spans="1:14" x14ac:dyDescent="0.2">
      <c r="A201" s="15">
        <v>43973</v>
      </c>
      <c r="B201" s="112">
        <v>1.2969999999999999</v>
      </c>
      <c r="C201" s="108">
        <f t="shared" si="34"/>
        <v>-5.0000000000001155E-3</v>
      </c>
      <c r="D201" s="109">
        <f t="shared" si="35"/>
        <v>-5.0000000000001155E-3</v>
      </c>
      <c r="E201" s="109">
        <f ca="1">IF(表2_36716262930345[[#This Row],[累计净值]]/MAX(INDIRECT("B21:B" &amp; ROW()))-1&lt;E200,表2_36716262930345[[#This Row],[累计净值]]/MAX(INDIRECT("B21:B" &amp; ROW()))-1,E200)</f>
        <v>-8.0876158382476859E-2</v>
      </c>
      <c r="F201" s="110">
        <f>表2_36716262930345[[#This Row],[累计净值]]</f>
        <v>1.2969999999999999</v>
      </c>
      <c r="G201" s="20">
        <f>表2_36716262930345[[#This Row],[累计净值]]/$B$22-1</f>
        <v>9.9152542372881403E-2</v>
      </c>
      <c r="J201" s="69"/>
      <c r="K201" s="70"/>
      <c r="L201" s="70"/>
      <c r="M201" s="70"/>
      <c r="N201" s="70"/>
    </row>
    <row r="202" spans="1:14" x14ac:dyDescent="0.2">
      <c r="A202" s="15">
        <v>43976</v>
      </c>
      <c r="B202" s="112">
        <v>1.288</v>
      </c>
      <c r="C202" s="108">
        <f t="shared" ref="C202:C207" si="36">IFERROR(B202-B201,0)</f>
        <v>-8.999999999999897E-3</v>
      </c>
      <c r="D202" s="109">
        <f t="shared" ref="D202:D207" si="37">IF(C202&lt;0,C202,"/")</f>
        <v>-8.999999999999897E-3</v>
      </c>
      <c r="E202" s="109">
        <f ca="1">IF(表2_36716262930345[[#This Row],[累计净值]]/MAX(INDIRECT("B21:B" &amp; ROW()))-1&lt;E201,表2_36716262930345[[#This Row],[累计净值]]/MAX(INDIRECT("B21:B" &amp; ROW()))-1,E201)</f>
        <v>-8.0876158382476859E-2</v>
      </c>
      <c r="F202" s="110">
        <f>表2_36716262930345[[#This Row],[累计净值]]</f>
        <v>1.288</v>
      </c>
      <c r="G202" s="20">
        <f>表2_36716262930345[[#This Row],[累计净值]]/$B$22-1</f>
        <v>9.1525423728813671E-2</v>
      </c>
      <c r="J202" s="69"/>
      <c r="K202" s="70"/>
      <c r="L202" s="70"/>
      <c r="M202" s="70"/>
      <c r="N202" s="70"/>
    </row>
    <row r="203" spans="1:14" x14ac:dyDescent="0.2">
      <c r="A203" s="15">
        <v>43977</v>
      </c>
      <c r="B203" s="112">
        <v>1.274</v>
      </c>
      <c r="C203" s="108">
        <f t="shared" si="36"/>
        <v>-1.4000000000000012E-2</v>
      </c>
      <c r="D203" s="109">
        <f t="shared" si="37"/>
        <v>-1.4000000000000012E-2</v>
      </c>
      <c r="E203" s="109">
        <f ca="1">IF(表2_36716262930345[[#This Row],[累计净值]]/MAX(INDIRECT("B21:B" &amp; ROW()))-1&lt;E202,表2_36716262930345[[#This Row],[累计净值]]/MAX(INDIRECT("B21:B" &amp; ROW()))-1,E202)</f>
        <v>-8.0876158382476859E-2</v>
      </c>
      <c r="F203" s="110">
        <f>表2_36716262930345[[#This Row],[累计净值]]</f>
        <v>1.274</v>
      </c>
      <c r="G203" s="20">
        <f>表2_36716262930345[[#This Row],[累计净值]]/$B$22-1</f>
        <v>7.9661016949152508E-2</v>
      </c>
    </row>
    <row r="204" spans="1:14" x14ac:dyDescent="0.2">
      <c r="A204" s="15">
        <v>43978</v>
      </c>
      <c r="B204" s="112">
        <v>1.2589999999999999</v>
      </c>
      <c r="C204" s="108">
        <f t="shared" si="36"/>
        <v>-1.5000000000000124E-2</v>
      </c>
      <c r="D204" s="109">
        <f t="shared" si="37"/>
        <v>-1.5000000000000124E-2</v>
      </c>
      <c r="E204" s="109">
        <f ca="1">IF(表2_36716262930345[[#This Row],[累计净值]]/MAX(INDIRECT("B21:B" &amp; ROW()))-1&lt;E203,表2_36716262930345[[#This Row],[累计净值]]/MAX(INDIRECT("B21:B" &amp; ROW()))-1,E203)</f>
        <v>-8.0876158382476859E-2</v>
      </c>
      <c r="F204" s="110">
        <f>表2_36716262930345[[#This Row],[累计净值]]</f>
        <v>1.2589999999999999</v>
      </c>
      <c r="G204" s="20">
        <f>表2_36716262930345[[#This Row],[累计净值]]/$B$22-1</f>
        <v>6.6949152542372881E-2</v>
      </c>
    </row>
    <row r="205" spans="1:14" x14ac:dyDescent="0.2">
      <c r="A205" s="15">
        <v>43979</v>
      </c>
      <c r="B205" s="112">
        <v>1.276</v>
      </c>
      <c r="C205" s="108">
        <f t="shared" si="36"/>
        <v>1.7000000000000126E-2</v>
      </c>
      <c r="D205" s="109" t="str">
        <f t="shared" si="37"/>
        <v>/</v>
      </c>
      <c r="E205" s="109">
        <f ca="1">IF(表2_36716262930345[[#This Row],[累计净值]]/MAX(INDIRECT("B21:B" &amp; ROW()))-1&lt;E204,表2_36716262930345[[#This Row],[累计净值]]/MAX(INDIRECT("B21:B" &amp; ROW()))-1,E204)</f>
        <v>-8.0876158382476859E-2</v>
      </c>
      <c r="F205" s="110">
        <f>表2_36716262930345[[#This Row],[累计净值]]</f>
        <v>1.276</v>
      </c>
      <c r="G205" s="20">
        <f>表2_36716262930345[[#This Row],[累计净值]]/$B$22-1</f>
        <v>8.135593220338988E-2</v>
      </c>
    </row>
    <row r="206" spans="1:14" x14ac:dyDescent="0.2">
      <c r="A206" s="15">
        <v>43980</v>
      </c>
      <c r="B206" s="112">
        <v>1.2929999999999999</v>
      </c>
      <c r="C206" s="108">
        <f t="shared" si="36"/>
        <v>1.6999999999999904E-2</v>
      </c>
      <c r="D206" s="109" t="str">
        <f t="shared" si="37"/>
        <v>/</v>
      </c>
      <c r="E206" s="109">
        <f ca="1">IF(表2_36716262930345[[#This Row],[累计净值]]/MAX(INDIRECT("B21:B" &amp; ROW()))-1&lt;E205,表2_36716262930345[[#This Row],[累计净值]]/MAX(INDIRECT("B21:B" &amp; ROW()))-1,E205)</f>
        <v>-8.0876158382476859E-2</v>
      </c>
      <c r="F206" s="110">
        <f>表2_36716262930345[[#This Row],[累计净值]]</f>
        <v>1.2929999999999999</v>
      </c>
      <c r="G206" s="20">
        <f>表2_36716262930345[[#This Row],[累计净值]]/$B$22-1</f>
        <v>9.576271186440688E-2</v>
      </c>
    </row>
    <row r="207" spans="1:14" x14ac:dyDescent="0.2">
      <c r="A207" s="15">
        <v>43983</v>
      </c>
      <c r="B207" s="112">
        <v>1.33</v>
      </c>
      <c r="C207" s="108">
        <f t="shared" si="36"/>
        <v>3.7000000000000144E-2</v>
      </c>
      <c r="D207" s="109" t="str">
        <f t="shared" si="37"/>
        <v>/</v>
      </c>
      <c r="E207" s="109">
        <f ca="1">IF(表2_36716262930345[[#This Row],[累计净值]]/MAX(INDIRECT("B21:B" &amp; ROW()))-1&lt;E206,表2_36716262930345[[#This Row],[累计净值]]/MAX(INDIRECT("B21:B" &amp; ROW()))-1,E206)</f>
        <v>-8.0876158382476859E-2</v>
      </c>
      <c r="F207" s="110">
        <f>表2_36716262930345[[#This Row],[累计净值]]</f>
        <v>1.33</v>
      </c>
      <c r="G207" s="20">
        <f>表2_36716262930345[[#This Row],[累计净值]]/$B$22-1</f>
        <v>0.12711864406779672</v>
      </c>
    </row>
    <row r="208" spans="1:14" x14ac:dyDescent="0.2">
      <c r="A208" s="15">
        <v>43984</v>
      </c>
      <c r="B208" s="112">
        <v>1.331</v>
      </c>
      <c r="C208" s="108">
        <f t="shared" ref="C208:C214" si="38">IFERROR(B208-B207,0)</f>
        <v>9.9999999999988987E-4</v>
      </c>
      <c r="D208" s="109" t="str">
        <f t="shared" ref="D208:D214" si="39">IF(C208&lt;0,C208,"/")</f>
        <v>/</v>
      </c>
      <c r="E208" s="109">
        <f ca="1">IF(表2_36716262930345[[#This Row],[累计净值]]/MAX(INDIRECT("B21:B" &amp; ROW()))-1&lt;E207,表2_36716262930345[[#This Row],[累计净值]]/MAX(INDIRECT("B21:B" &amp; ROW()))-1,E207)</f>
        <v>-8.0876158382476859E-2</v>
      </c>
      <c r="F208" s="110">
        <f>表2_36716262930345[[#This Row],[累计净值]]</f>
        <v>1.331</v>
      </c>
      <c r="G208" s="20">
        <f>表2_36716262930345[[#This Row],[累计净值]]/$B$22-1</f>
        <v>0.12796610169491518</v>
      </c>
    </row>
    <row r="209" spans="1:7" x14ac:dyDescent="0.2">
      <c r="A209" s="15">
        <v>43985</v>
      </c>
      <c r="B209" s="112">
        <v>1.33</v>
      </c>
      <c r="C209" s="108">
        <f t="shared" si="38"/>
        <v>-9.9999999999988987E-4</v>
      </c>
      <c r="D209" s="109">
        <f t="shared" si="39"/>
        <v>-9.9999999999988987E-4</v>
      </c>
      <c r="E209" s="109">
        <f ca="1">IF(表2_36716262930345[[#This Row],[累计净值]]/MAX(INDIRECT("B21:B" &amp; ROW()))-1&lt;E208,表2_36716262930345[[#This Row],[累计净值]]/MAX(INDIRECT("B21:B" &amp; ROW()))-1,E208)</f>
        <v>-8.0876158382476859E-2</v>
      </c>
      <c r="F209" s="110">
        <f>表2_36716262930345[[#This Row],[累计净值]]</f>
        <v>1.33</v>
      </c>
      <c r="G209" s="20">
        <f>表2_36716262930345[[#This Row],[累计净值]]/$B$22-1</f>
        <v>0.12711864406779672</v>
      </c>
    </row>
    <row r="210" spans="1:7" x14ac:dyDescent="0.2">
      <c r="A210" s="15">
        <v>43986</v>
      </c>
      <c r="B210" s="112">
        <v>1.3169999999999999</v>
      </c>
      <c r="C210" s="108">
        <f t="shared" si="38"/>
        <v>-1.3000000000000123E-2</v>
      </c>
      <c r="D210" s="109">
        <f t="shared" si="39"/>
        <v>-1.3000000000000123E-2</v>
      </c>
      <c r="E210" s="109">
        <f ca="1">IF(表2_36716262930345[[#This Row],[累计净值]]/MAX(INDIRECT("B21:B" &amp; ROW()))-1&lt;E209,表2_36716262930345[[#This Row],[累计净值]]/MAX(INDIRECT("B21:B" &amp; ROW()))-1,E209)</f>
        <v>-8.0876158382476859E-2</v>
      </c>
      <c r="F210" s="110">
        <f>表2_36716262930345[[#This Row],[累计净值]]</f>
        <v>1.3169999999999999</v>
      </c>
      <c r="G210" s="20">
        <f>表2_36716262930345[[#This Row],[累计净值]]/$B$22-1</f>
        <v>0.11610169491525424</v>
      </c>
    </row>
    <row r="211" spans="1:7" x14ac:dyDescent="0.2">
      <c r="A211" s="15">
        <v>43987</v>
      </c>
      <c r="B211" s="112">
        <v>1.3109999999999999</v>
      </c>
      <c r="C211" s="108">
        <f t="shared" si="38"/>
        <v>-6.0000000000000053E-3</v>
      </c>
      <c r="D211" s="109">
        <f t="shared" si="39"/>
        <v>-6.0000000000000053E-3</v>
      </c>
      <c r="E211" s="109">
        <f ca="1">IF(表2_36716262930345[[#This Row],[累计净值]]/MAX(INDIRECT("B21:B" &amp; ROW()))-1&lt;E210,表2_36716262930345[[#This Row],[累计净值]]/MAX(INDIRECT("B21:B" &amp; ROW()))-1,E210)</f>
        <v>-8.0876158382476859E-2</v>
      </c>
      <c r="F211" s="110">
        <f>表2_36716262930345[[#This Row],[累计净值]]</f>
        <v>1.3109999999999999</v>
      </c>
      <c r="G211" s="20">
        <f>表2_36716262930345[[#This Row],[累计净值]]/$B$22-1</f>
        <v>0.11101694915254234</v>
      </c>
    </row>
    <row r="212" spans="1:7" x14ac:dyDescent="0.2">
      <c r="A212" s="15">
        <v>43990</v>
      </c>
      <c r="B212" s="112">
        <v>1.3260000000000001</v>
      </c>
      <c r="C212" s="108">
        <f t="shared" si="38"/>
        <v>1.5000000000000124E-2</v>
      </c>
      <c r="D212" s="109" t="str">
        <f t="shared" si="39"/>
        <v>/</v>
      </c>
      <c r="E212" s="109">
        <f ca="1">IF(表2_36716262930345[[#This Row],[累计净值]]/MAX(INDIRECT("B21:B" &amp; ROW()))-1&lt;E211,表2_36716262930345[[#This Row],[累计净值]]/MAX(INDIRECT("B21:B" &amp; ROW()))-1,E211)</f>
        <v>-8.0876158382476859E-2</v>
      </c>
      <c r="F212" s="110">
        <f>表2_36716262930345[[#This Row],[累计净值]]</f>
        <v>1.3260000000000001</v>
      </c>
      <c r="G212" s="20">
        <f>表2_36716262930345[[#This Row],[累计净值]]/$B$22-1</f>
        <v>0.12372881355932219</v>
      </c>
    </row>
    <row r="213" spans="1:7" x14ac:dyDescent="0.2">
      <c r="A213" s="15">
        <v>43991</v>
      </c>
      <c r="B213" s="112">
        <v>1.341</v>
      </c>
      <c r="C213" s="108">
        <f t="shared" si="38"/>
        <v>1.4999999999999902E-2</v>
      </c>
      <c r="D213" s="109" t="str">
        <f t="shared" si="39"/>
        <v>/</v>
      </c>
      <c r="E213" s="109">
        <f ca="1">IF(表2_36716262930345[[#This Row],[累计净值]]/MAX(INDIRECT("B21:B" &amp; ROW()))-1&lt;E212,表2_36716262930345[[#This Row],[累计净值]]/MAX(INDIRECT("B21:B" &amp; ROW()))-1,E212)</f>
        <v>-8.0876158382476859E-2</v>
      </c>
      <c r="F213" s="110">
        <f>表2_36716262930345[[#This Row],[累计净值]]</f>
        <v>1.341</v>
      </c>
      <c r="G213" s="20">
        <f>表2_36716262930345[[#This Row],[累计净值]]/$B$22-1</f>
        <v>0.13644067796610182</v>
      </c>
    </row>
    <row r="214" spans="1:7" x14ac:dyDescent="0.2">
      <c r="A214" s="15">
        <v>43992</v>
      </c>
      <c r="B214" s="112">
        <v>1.357</v>
      </c>
      <c r="C214" s="108">
        <f t="shared" si="38"/>
        <v>1.6000000000000014E-2</v>
      </c>
      <c r="D214" s="109" t="str">
        <f t="shared" si="39"/>
        <v>/</v>
      </c>
      <c r="E214" s="109">
        <f ca="1">IF(表2_36716262930345[[#This Row],[累计净值]]/MAX(INDIRECT("B21:B" &amp; ROW()))-1&lt;E213,表2_36716262930345[[#This Row],[累计净值]]/MAX(INDIRECT("B21:B" &amp; ROW()))-1,E213)</f>
        <v>-8.0876158382476859E-2</v>
      </c>
      <c r="F214" s="110">
        <f>表2_36716262930345[[#This Row],[累计净值]]</f>
        <v>1.357</v>
      </c>
      <c r="G214" s="20">
        <f>表2_36716262930345[[#This Row],[累计净值]]/$B$22-1</f>
        <v>0.15000000000000013</v>
      </c>
    </row>
    <row r="215" spans="1:7" x14ac:dyDescent="0.2">
      <c r="A215" s="15">
        <v>43993</v>
      </c>
      <c r="B215" s="112">
        <v>1.355</v>
      </c>
      <c r="C215" s="108">
        <f t="shared" ref="C215:C220" si="40">IFERROR(B215-B214,0)</f>
        <v>-2.0000000000000018E-3</v>
      </c>
      <c r="D215" s="109">
        <f t="shared" ref="D215:D220" si="41">IF(C215&lt;0,C215,"/")</f>
        <v>-2.0000000000000018E-3</v>
      </c>
      <c r="E215" s="109">
        <f ca="1">IF(表2_36716262930345[[#This Row],[累计净值]]/MAX(INDIRECT("B21:B" &amp; ROW()))-1&lt;E214,表2_36716262930345[[#This Row],[累计净值]]/MAX(INDIRECT("B21:B" &amp; ROW()))-1,E214)</f>
        <v>-8.0876158382476859E-2</v>
      </c>
      <c r="F215" s="110">
        <f>表2_36716262930345[[#This Row],[累计净值]]</f>
        <v>1.355</v>
      </c>
      <c r="G215" s="20">
        <f>表2_36716262930345[[#This Row],[累计净值]]/$B$22-1</f>
        <v>0.14830508474576276</v>
      </c>
    </row>
    <row r="216" spans="1:7" x14ac:dyDescent="0.2">
      <c r="A216" s="15">
        <v>43994</v>
      </c>
      <c r="B216" s="112">
        <v>1.36</v>
      </c>
      <c r="C216" s="108">
        <f t="shared" si="40"/>
        <v>5.0000000000001155E-3</v>
      </c>
      <c r="D216" s="109" t="str">
        <f t="shared" si="41"/>
        <v>/</v>
      </c>
      <c r="E216" s="109">
        <f ca="1">IF(表2_36716262930345[[#This Row],[累计净值]]/MAX(INDIRECT("B21:B" &amp; ROW()))-1&lt;E215,表2_36716262930345[[#This Row],[累计净值]]/MAX(INDIRECT("B21:B" &amp; ROW()))-1,E215)</f>
        <v>-8.0876158382476859E-2</v>
      </c>
      <c r="F216" s="110">
        <f>表2_36716262930345[[#This Row],[累计净值]]</f>
        <v>1.36</v>
      </c>
      <c r="G216" s="20">
        <f>表2_36716262930345[[#This Row],[累计净值]]/$B$22-1</f>
        <v>0.15254237288135597</v>
      </c>
    </row>
    <row r="217" spans="1:7" x14ac:dyDescent="0.2">
      <c r="A217" s="15">
        <v>43997</v>
      </c>
      <c r="B217" s="112">
        <v>1.359</v>
      </c>
      <c r="C217" s="108">
        <f t="shared" si="40"/>
        <v>-1.0000000000001119E-3</v>
      </c>
      <c r="D217" s="109">
        <f t="shared" si="41"/>
        <v>-1.0000000000001119E-3</v>
      </c>
      <c r="E217" s="109">
        <f ca="1">IF(表2_36716262930345[[#This Row],[累计净值]]/MAX(INDIRECT("B21:B" &amp; ROW()))-1&lt;E216,表2_36716262930345[[#This Row],[累计净值]]/MAX(INDIRECT("B21:B" &amp; ROW()))-1,E216)</f>
        <v>-8.0876158382476859E-2</v>
      </c>
      <c r="F217" s="110">
        <f>表2_36716262930345[[#This Row],[累计净值]]</f>
        <v>1.359</v>
      </c>
      <c r="G217" s="20">
        <f>表2_36716262930345[[#This Row],[累计净值]]/$B$22-1</f>
        <v>0.15169491525423728</v>
      </c>
    </row>
    <row r="218" spans="1:7" x14ac:dyDescent="0.2">
      <c r="A218" s="15">
        <v>43998</v>
      </c>
      <c r="B218" s="112">
        <v>1.3560000000000001</v>
      </c>
      <c r="C218" s="108">
        <f t="shared" si="40"/>
        <v>-2.9999999999998916E-3</v>
      </c>
      <c r="D218" s="109">
        <f t="shared" si="41"/>
        <v>-2.9999999999998916E-3</v>
      </c>
      <c r="E218" s="109">
        <f ca="1">IF(表2_36716262930345[[#This Row],[累计净值]]/MAX(INDIRECT("B21:B" &amp; ROW()))-1&lt;E217,表2_36716262930345[[#This Row],[累计净值]]/MAX(INDIRECT("B21:B" &amp; ROW()))-1,E217)</f>
        <v>-8.0876158382476859E-2</v>
      </c>
      <c r="F218" s="110">
        <f>表2_36716262930345[[#This Row],[累计净值]]</f>
        <v>1.3560000000000001</v>
      </c>
      <c r="G218" s="20">
        <f>表2_36716262930345[[#This Row],[累计净值]]/$B$22-1</f>
        <v>0.14915254237288145</v>
      </c>
    </row>
    <row r="219" spans="1:7" x14ac:dyDescent="0.2">
      <c r="A219" s="15">
        <v>43999</v>
      </c>
      <c r="B219" s="112">
        <v>1.3580000000000001</v>
      </c>
      <c r="C219" s="108">
        <f t="shared" si="40"/>
        <v>2.0000000000000018E-3</v>
      </c>
      <c r="D219" s="109" t="str">
        <f t="shared" si="41"/>
        <v>/</v>
      </c>
      <c r="E219" s="109">
        <f ca="1">IF(表2_36716262930345[[#This Row],[累计净值]]/MAX(INDIRECT("B21:B" &amp; ROW()))-1&lt;E218,表2_36716262930345[[#This Row],[累计净值]]/MAX(INDIRECT("B21:B" &amp; ROW()))-1,E218)</f>
        <v>-8.0876158382476859E-2</v>
      </c>
      <c r="F219" s="110">
        <f>表2_36716262930345[[#This Row],[累计净值]]</f>
        <v>1.3580000000000001</v>
      </c>
      <c r="G219" s="20">
        <f>表2_36716262930345[[#This Row],[累计净值]]/$B$22-1</f>
        <v>0.15084745762711882</v>
      </c>
    </row>
    <row r="220" spans="1:7" x14ac:dyDescent="0.2">
      <c r="A220" s="15">
        <v>44000</v>
      </c>
      <c r="B220" s="112">
        <v>1.3660000000000001</v>
      </c>
      <c r="C220" s="108">
        <f t="shared" si="40"/>
        <v>8.0000000000000071E-3</v>
      </c>
      <c r="D220" s="109" t="str">
        <f t="shared" si="41"/>
        <v>/</v>
      </c>
      <c r="E220" s="109">
        <f ca="1">IF(表2_36716262930345[[#This Row],[累计净值]]/MAX(INDIRECT("B21:B" &amp; ROW()))-1&lt;E219,表2_36716262930345[[#This Row],[累计净值]]/MAX(INDIRECT("B21:B" &amp; ROW()))-1,E219)</f>
        <v>-8.0876158382476859E-2</v>
      </c>
      <c r="F220" s="110">
        <f>表2_36716262930345[[#This Row],[累计净值]]</f>
        <v>1.3660000000000001</v>
      </c>
      <c r="G220" s="20">
        <f>表2_36716262930345[[#This Row],[累计净值]]/$B$22-1</f>
        <v>0.15762711864406787</v>
      </c>
    </row>
    <row r="221" spans="1:7" x14ac:dyDescent="0.2">
      <c r="A221" s="15">
        <v>44001</v>
      </c>
      <c r="B221" s="112">
        <v>1.371</v>
      </c>
      <c r="C221" s="108">
        <f t="shared" ref="C221:C226" si="42">IFERROR(B221-B220,0)</f>
        <v>4.9999999999998934E-3</v>
      </c>
      <c r="D221" s="109" t="str">
        <f t="shared" ref="D221:D226" si="43">IF(C221&lt;0,C221,"/")</f>
        <v>/</v>
      </c>
      <c r="E221" s="109">
        <f ca="1">IF(表2_36716262930345[[#This Row],[累计净值]]/MAX(INDIRECT("B21:B" &amp; ROW()))-1&lt;E220,表2_36716262930345[[#This Row],[累计净值]]/MAX(INDIRECT("B21:B" &amp; ROW()))-1,E220)</f>
        <v>-8.0876158382476859E-2</v>
      </c>
      <c r="F221" s="110">
        <f>表2_36716262930345[[#This Row],[累计净值]]</f>
        <v>1.371</v>
      </c>
      <c r="G221" s="20">
        <f>表2_36716262930345[[#This Row],[累计净值]]/$B$22-1</f>
        <v>0.16186440677966107</v>
      </c>
    </row>
    <row r="222" spans="1:7" x14ac:dyDescent="0.2">
      <c r="A222" s="15">
        <v>44004</v>
      </c>
      <c r="B222" s="112">
        <v>1.3740000000000001</v>
      </c>
      <c r="C222" s="108">
        <f t="shared" si="42"/>
        <v>3.0000000000001137E-3</v>
      </c>
      <c r="D222" s="109" t="str">
        <f t="shared" si="43"/>
        <v>/</v>
      </c>
      <c r="E222" s="109">
        <f ca="1">IF(表2_36716262930345[[#This Row],[累计净值]]/MAX(INDIRECT("B21:B" &amp; ROW()))-1&lt;E221,表2_36716262930345[[#This Row],[累计净值]]/MAX(INDIRECT("B21:B" &amp; ROW()))-1,E221)</f>
        <v>-8.0876158382476859E-2</v>
      </c>
      <c r="F222" s="110">
        <f>表2_36716262930345[[#This Row],[累计净值]]</f>
        <v>1.3740000000000001</v>
      </c>
      <c r="G222" s="20">
        <f>表2_36716262930345[[#This Row],[累计净值]]/$B$22-1</f>
        <v>0.16440677966101713</v>
      </c>
    </row>
    <row r="223" spans="1:7" x14ac:dyDescent="0.2">
      <c r="A223" s="15">
        <v>44005</v>
      </c>
      <c r="B223" s="112">
        <v>1.3680000000000001</v>
      </c>
      <c r="C223" s="108">
        <f t="shared" si="42"/>
        <v>-6.0000000000000053E-3</v>
      </c>
      <c r="D223" s="109">
        <f t="shared" si="43"/>
        <v>-6.0000000000000053E-3</v>
      </c>
      <c r="E223" s="109">
        <f ca="1">IF(表2_36716262930345[[#This Row],[累计净值]]/MAX(INDIRECT("B21:B" &amp; ROW()))-1&lt;E222,表2_36716262930345[[#This Row],[累计净值]]/MAX(INDIRECT("B21:B" &amp; ROW()))-1,E222)</f>
        <v>-8.0876158382476859E-2</v>
      </c>
      <c r="F223" s="110">
        <f>表2_36716262930345[[#This Row],[累计净值]]</f>
        <v>1.3680000000000001</v>
      </c>
      <c r="G223" s="20">
        <f>表2_36716262930345[[#This Row],[累计净值]]/$B$22-1</f>
        <v>0.15932203389830524</v>
      </c>
    </row>
    <row r="224" spans="1:7" x14ac:dyDescent="0.2">
      <c r="A224" s="15">
        <v>44006</v>
      </c>
      <c r="B224" s="112">
        <v>1.3779999999999999</v>
      </c>
      <c r="C224" s="108">
        <f t="shared" si="42"/>
        <v>9.9999999999997868E-3</v>
      </c>
      <c r="D224" s="109" t="str">
        <f t="shared" si="43"/>
        <v>/</v>
      </c>
      <c r="E224" s="109">
        <f ca="1">IF(表2_36716262930345[[#This Row],[累计净值]]/MAX(INDIRECT("B21:B" &amp; ROW()))-1&lt;E223,表2_36716262930345[[#This Row],[累计净值]]/MAX(INDIRECT("B21:B" &amp; ROW()))-1,E223)</f>
        <v>-8.0876158382476859E-2</v>
      </c>
      <c r="F224" s="110">
        <f>表2_36716262930345[[#This Row],[累计净值]]</f>
        <v>1.3779999999999999</v>
      </c>
      <c r="G224" s="20">
        <f>表2_36716262930345[[#This Row],[累计净值]]/$B$22-1</f>
        <v>0.16779661016949143</v>
      </c>
    </row>
    <row r="225" spans="1:7" x14ac:dyDescent="0.2">
      <c r="A225" s="15">
        <v>44011</v>
      </c>
      <c r="B225" s="112">
        <v>1.3680000000000001</v>
      </c>
      <c r="C225" s="108">
        <f t="shared" si="42"/>
        <v>-9.9999999999997868E-3</v>
      </c>
      <c r="D225" s="109">
        <f t="shared" si="43"/>
        <v>-9.9999999999997868E-3</v>
      </c>
      <c r="E225" s="109">
        <f ca="1">IF(表2_36716262930345[[#This Row],[累计净值]]/MAX(INDIRECT("B21:B" &amp; ROW()))-1&lt;E224,表2_36716262930345[[#This Row],[累计净值]]/MAX(INDIRECT("B21:B" &amp; ROW()))-1,E224)</f>
        <v>-8.0876158382476859E-2</v>
      </c>
      <c r="F225" s="110">
        <f>表2_36716262930345[[#This Row],[累计净值]]</f>
        <v>1.3680000000000001</v>
      </c>
      <c r="G225" s="20">
        <f>表2_36716262930345[[#This Row],[累计净值]]/$B$22-1</f>
        <v>0.15932203389830524</v>
      </c>
    </row>
    <row r="226" spans="1:7" x14ac:dyDescent="0.2">
      <c r="A226" s="15">
        <v>44012</v>
      </c>
      <c r="B226" s="112">
        <v>1.38</v>
      </c>
      <c r="C226" s="108">
        <f t="shared" si="42"/>
        <v>1.1999999999999789E-2</v>
      </c>
      <c r="D226" s="109" t="str">
        <f t="shared" si="43"/>
        <v>/</v>
      </c>
      <c r="E226" s="109">
        <f ca="1">IF(表2_36716262930345[[#This Row],[累计净值]]/MAX(INDIRECT("B21:B" &amp; ROW()))-1&lt;E225,表2_36716262930345[[#This Row],[累计净值]]/MAX(INDIRECT("B21:B" &amp; ROW()))-1,E225)</f>
        <v>-8.0876158382476859E-2</v>
      </c>
      <c r="F226" s="110">
        <f>表2_36716262930345[[#This Row],[累计净值]]</f>
        <v>1.38</v>
      </c>
      <c r="G226" s="20">
        <f>表2_36716262930345[[#This Row],[累计净值]]/$B$22-1</f>
        <v>0.16949152542372881</v>
      </c>
    </row>
    <row r="227" spans="1:7" x14ac:dyDescent="0.2">
      <c r="A227" s="15">
        <v>44013</v>
      </c>
      <c r="B227" s="112">
        <v>1.395</v>
      </c>
      <c r="C227" s="108">
        <f t="shared" ref="C227:C233" si="44">IFERROR(B227-B226,0)</f>
        <v>1.5000000000000124E-2</v>
      </c>
      <c r="D227" s="109" t="str">
        <f t="shared" ref="D227:D233" si="45">IF(C227&lt;0,C227,"/")</f>
        <v>/</v>
      </c>
      <c r="E227" s="109">
        <f ca="1">IF(表2_36716262930345[[#This Row],[累计净值]]/MAX(INDIRECT("B21:B" &amp; ROW()))-1&lt;E226,表2_36716262930345[[#This Row],[累计净值]]/MAX(INDIRECT("B21:B" &amp; ROW()))-1,E226)</f>
        <v>-8.0876158382476859E-2</v>
      </c>
      <c r="F227" s="110">
        <f>表2_36716262930345[[#This Row],[累计净值]]</f>
        <v>1.395</v>
      </c>
      <c r="G227" s="20">
        <f>表2_36716262930345[[#This Row],[累计净值]]/$B$22-1</f>
        <v>0.18220338983050866</v>
      </c>
    </row>
    <row r="228" spans="1:7" x14ac:dyDescent="0.2">
      <c r="A228" s="15">
        <v>44014</v>
      </c>
      <c r="B228" s="112">
        <v>1.41</v>
      </c>
      <c r="C228" s="108">
        <f t="shared" si="44"/>
        <v>1.4999999999999902E-2</v>
      </c>
      <c r="D228" s="109" t="str">
        <f t="shared" si="45"/>
        <v>/</v>
      </c>
      <c r="E228" s="109">
        <f ca="1">IF(表2_36716262930345[[#This Row],[累计净值]]/MAX(INDIRECT("B21:B" &amp; ROW()))-1&lt;E227,表2_36716262930345[[#This Row],[累计净值]]/MAX(INDIRECT("B21:B" &amp; ROW()))-1,E227)</f>
        <v>-8.0876158382476859E-2</v>
      </c>
      <c r="F228" s="110">
        <f>表2_36716262930345[[#This Row],[累计净值]]</f>
        <v>1.41</v>
      </c>
      <c r="G228" s="20">
        <f>表2_36716262930345[[#This Row],[累计净值]]/$B$22-1</f>
        <v>0.19491525423728806</v>
      </c>
    </row>
    <row r="229" spans="1:7" x14ac:dyDescent="0.2">
      <c r="A229" s="15">
        <v>44015</v>
      </c>
      <c r="B229" s="112">
        <v>1.431</v>
      </c>
      <c r="C229" s="108">
        <f t="shared" si="44"/>
        <v>2.100000000000013E-2</v>
      </c>
      <c r="D229" s="109" t="str">
        <f t="shared" si="45"/>
        <v>/</v>
      </c>
      <c r="E229" s="109">
        <f ca="1">IF(表2_36716262930345[[#This Row],[累计净值]]/MAX(INDIRECT("B21:B" &amp; ROW()))-1&lt;E228,表2_36716262930345[[#This Row],[累计净值]]/MAX(INDIRECT("B21:B" &amp; ROW()))-1,E228)</f>
        <v>-8.0876158382476859E-2</v>
      </c>
      <c r="F229" s="110">
        <f>表2_36716262930345[[#This Row],[累计净值]]</f>
        <v>1.431</v>
      </c>
      <c r="G229" s="20">
        <f>表2_36716262930345[[#This Row],[累计净值]]/$B$22-1</f>
        <v>0.2127118644067798</v>
      </c>
    </row>
    <row r="230" spans="1:7" x14ac:dyDescent="0.2">
      <c r="A230" s="15">
        <v>44018</v>
      </c>
      <c r="B230" s="112">
        <v>1.4910000000000001</v>
      </c>
      <c r="C230" s="108">
        <f t="shared" si="44"/>
        <v>6.0000000000000053E-2</v>
      </c>
      <c r="D230" s="109" t="str">
        <f t="shared" si="45"/>
        <v>/</v>
      </c>
      <c r="E230" s="109">
        <f ca="1">IF(表2_36716262930345[[#This Row],[累计净值]]/MAX(INDIRECT("B21:B" &amp; ROW()))-1&lt;E229,表2_36716262930345[[#This Row],[累计净值]]/MAX(INDIRECT("B21:B" &amp; ROW()))-1,E229)</f>
        <v>-8.0876158382476859E-2</v>
      </c>
      <c r="F230" s="110">
        <f>表2_36716262930345[[#This Row],[累计净值]]</f>
        <v>1.4910000000000001</v>
      </c>
      <c r="G230" s="20">
        <f>表2_36716262930345[[#This Row],[累计净值]]/$B$22-1</f>
        <v>0.26355932203389854</v>
      </c>
    </row>
    <row r="231" spans="1:7" x14ac:dyDescent="0.2">
      <c r="A231" s="15">
        <v>44019</v>
      </c>
      <c r="B231" s="112">
        <v>1.524</v>
      </c>
      <c r="C231" s="108">
        <f t="shared" si="44"/>
        <v>3.2999999999999918E-2</v>
      </c>
      <c r="D231" s="109" t="str">
        <f t="shared" si="45"/>
        <v>/</v>
      </c>
      <c r="E231" s="109">
        <f ca="1">IF(表2_36716262930345[[#This Row],[累计净值]]/MAX(INDIRECT("B21:B" &amp; ROW()))-1&lt;E230,表2_36716262930345[[#This Row],[累计净值]]/MAX(INDIRECT("B21:B" &amp; ROW()))-1,E230)</f>
        <v>-8.0876158382476859E-2</v>
      </c>
      <c r="F231" s="110">
        <f>表2_36716262930345[[#This Row],[累计净值]]</f>
        <v>1.524</v>
      </c>
      <c r="G231" s="20">
        <f>表2_36716262930345[[#This Row],[累计净值]]/$B$22-1</f>
        <v>0.29152542372881363</v>
      </c>
    </row>
    <row r="232" spans="1:7" x14ac:dyDescent="0.2">
      <c r="A232" s="15">
        <v>44020</v>
      </c>
      <c r="B232" s="112">
        <v>1.5469999999999999</v>
      </c>
      <c r="C232" s="108">
        <f t="shared" si="44"/>
        <v>2.2999999999999909E-2</v>
      </c>
      <c r="D232" s="109" t="str">
        <f t="shared" si="45"/>
        <v>/</v>
      </c>
      <c r="E232" s="109">
        <f ca="1">IF(表2_36716262930345[[#This Row],[累计净值]]/MAX(INDIRECT("B21:B" &amp; ROW()))-1&lt;E231,表2_36716262930345[[#This Row],[累计净值]]/MAX(INDIRECT("B21:B" &amp; ROW()))-1,E231)</f>
        <v>-8.0876158382476859E-2</v>
      </c>
      <c r="F232" s="110">
        <f>表2_36716262930345[[#This Row],[累计净值]]</f>
        <v>1.5469999999999999</v>
      </c>
      <c r="G232" s="20">
        <f>表2_36716262930345[[#This Row],[累计净值]]/$B$22-1</f>
        <v>0.3110169491525423</v>
      </c>
    </row>
    <row r="233" spans="1:7" x14ac:dyDescent="0.2">
      <c r="A233" s="15">
        <v>44021</v>
      </c>
      <c r="B233" s="112">
        <v>1.577</v>
      </c>
      <c r="C233" s="108">
        <f t="shared" si="44"/>
        <v>3.0000000000000027E-2</v>
      </c>
      <c r="D233" s="109" t="str">
        <f t="shared" si="45"/>
        <v>/</v>
      </c>
      <c r="E233" s="109">
        <f ca="1">IF(表2_36716262930345[[#This Row],[累计净值]]/MAX(INDIRECT("B21:B" &amp; ROW()))-1&lt;E232,表2_36716262930345[[#This Row],[累计净值]]/MAX(INDIRECT("B21:B" &amp; ROW()))-1,E232)</f>
        <v>-8.0876158382476859E-2</v>
      </c>
      <c r="F233" s="110">
        <f>表2_36716262930345[[#This Row],[累计净值]]</f>
        <v>1.577</v>
      </c>
      <c r="G233" s="20">
        <f>表2_36716262930345[[#This Row],[累计净值]]/$B$22-1</f>
        <v>0.33644067796610178</v>
      </c>
    </row>
    <row r="234" spans="1:7" x14ac:dyDescent="0.2">
      <c r="A234" s="15">
        <v>44022</v>
      </c>
      <c r="B234" s="112">
        <v>1.56</v>
      </c>
      <c r="C234" s="108">
        <f t="shared" ref="C234:C239" si="46">IFERROR(B234-B233,0)</f>
        <v>-1.6999999999999904E-2</v>
      </c>
      <c r="D234" s="109">
        <f t="shared" ref="D234:D239" si="47">IF(C234&lt;0,C234,"/")</f>
        <v>-1.6999999999999904E-2</v>
      </c>
      <c r="E234" s="109">
        <f ca="1">IF(表2_36716262930345[[#This Row],[累计净值]]/MAX(INDIRECT("B21:B" &amp; ROW()))-1&lt;E233,表2_36716262930345[[#This Row],[累计净值]]/MAX(INDIRECT("B21:B" &amp; ROW()))-1,E233)</f>
        <v>-8.0876158382476859E-2</v>
      </c>
      <c r="F234" s="110">
        <f>表2_36716262930345[[#This Row],[累计净值]]</f>
        <v>1.56</v>
      </c>
      <c r="G234" s="20">
        <f>表2_36716262930345[[#This Row],[累计净值]]/$B$22-1</f>
        <v>0.32203389830508478</v>
      </c>
    </row>
    <row r="235" spans="1:7" x14ac:dyDescent="0.2">
      <c r="A235" s="15">
        <v>44025</v>
      </c>
      <c r="B235" s="112">
        <v>1.62</v>
      </c>
      <c r="C235" s="108">
        <f t="shared" si="46"/>
        <v>6.0000000000000053E-2</v>
      </c>
      <c r="D235" s="109" t="str">
        <f t="shared" si="47"/>
        <v>/</v>
      </c>
      <c r="E235" s="109">
        <f ca="1">IF(表2_36716262930345[[#This Row],[累计净值]]/MAX(INDIRECT("B21:B" &amp; ROW()))-1&lt;E234,表2_36716262930345[[#This Row],[累计净值]]/MAX(INDIRECT("B21:B" &amp; ROW()))-1,E234)</f>
        <v>-8.0876158382476859E-2</v>
      </c>
      <c r="F235" s="110">
        <f>表2_36716262930345[[#This Row],[累计净值]]</f>
        <v>1.62</v>
      </c>
      <c r="G235" s="20">
        <f>表2_36716262930345[[#This Row],[累计净值]]/$B$22-1</f>
        <v>0.37288135593220351</v>
      </c>
    </row>
    <row r="236" spans="1:7" x14ac:dyDescent="0.2">
      <c r="A236" s="15">
        <v>44026</v>
      </c>
      <c r="B236" s="112">
        <v>1.6279999999999999</v>
      </c>
      <c r="C236" s="108">
        <f t="shared" si="46"/>
        <v>7.9999999999997851E-3</v>
      </c>
      <c r="D236" s="109" t="str">
        <f t="shared" si="47"/>
        <v>/</v>
      </c>
      <c r="E236" s="109">
        <f ca="1">IF(表2_36716262930345[[#This Row],[累计净值]]/MAX(INDIRECT("B21:B" &amp; ROW()))-1&lt;E235,表2_36716262930345[[#This Row],[累计净值]]/MAX(INDIRECT("B21:B" &amp; ROW()))-1,E235)</f>
        <v>-8.0876158382476859E-2</v>
      </c>
      <c r="F236" s="110">
        <f>表2_36716262930345[[#This Row],[累计净值]]</f>
        <v>1.6279999999999999</v>
      </c>
      <c r="G236" s="20">
        <f>表2_36716262930345[[#This Row],[累计净值]]/$B$22-1</f>
        <v>0.37966101694915255</v>
      </c>
    </row>
    <row r="237" spans="1:7" x14ac:dyDescent="0.2">
      <c r="A237" s="15">
        <v>44027</v>
      </c>
      <c r="B237" s="112">
        <v>1.6140000000000001</v>
      </c>
      <c r="C237" s="108">
        <f t="shared" si="46"/>
        <v>-1.399999999999979E-2</v>
      </c>
      <c r="D237" s="109">
        <f t="shared" si="47"/>
        <v>-1.399999999999979E-2</v>
      </c>
      <c r="E237" s="109">
        <f ca="1">IF(表2_36716262930345[[#This Row],[累计净值]]/MAX(INDIRECT("B21:B" &amp; ROW()))-1&lt;E236,表2_36716262930345[[#This Row],[累计净值]]/MAX(INDIRECT("B21:B" &amp; ROW()))-1,E236)</f>
        <v>-8.0876158382476859E-2</v>
      </c>
      <c r="F237" s="110">
        <f>表2_36716262930345[[#This Row],[累计净值]]</f>
        <v>1.6140000000000001</v>
      </c>
      <c r="G237" s="20">
        <f>表2_36716262930345[[#This Row],[累计净值]]/$B$22-1</f>
        <v>0.36779661016949161</v>
      </c>
    </row>
    <row r="238" spans="1:7" x14ac:dyDescent="0.2">
      <c r="A238" s="15">
        <v>44028</v>
      </c>
      <c r="B238" s="112">
        <v>1.5860000000000001</v>
      </c>
      <c r="C238" s="108">
        <f t="shared" si="46"/>
        <v>-2.8000000000000025E-2</v>
      </c>
      <c r="D238" s="109">
        <f t="shared" si="47"/>
        <v>-2.8000000000000025E-2</v>
      </c>
      <c r="E238" s="109">
        <f ca="1">IF(表2_36716262930345[[#This Row],[累计净值]]/MAX(INDIRECT("B21:B" &amp; ROW()))-1&lt;E237,表2_36716262930345[[#This Row],[累计净值]]/MAX(INDIRECT("B21:B" &amp; ROW()))-1,E237)</f>
        <v>-8.0876158382476859E-2</v>
      </c>
      <c r="F238" s="110">
        <f>表2_36716262930345[[#This Row],[累计净值]]</f>
        <v>1.5860000000000001</v>
      </c>
      <c r="G238" s="20">
        <f>表2_36716262930345[[#This Row],[累计净值]]/$B$22-1</f>
        <v>0.34406779661016973</v>
      </c>
    </row>
    <row r="239" spans="1:7" x14ac:dyDescent="0.2">
      <c r="A239" s="15">
        <v>44029</v>
      </c>
      <c r="B239" s="112">
        <v>1.593</v>
      </c>
      <c r="C239" s="108">
        <f t="shared" si="46"/>
        <v>6.9999999999998952E-3</v>
      </c>
      <c r="D239" s="109" t="str">
        <f t="shared" si="47"/>
        <v>/</v>
      </c>
      <c r="E239" s="109">
        <f ca="1">IF(表2_36716262930345[[#This Row],[累计净值]]/MAX(INDIRECT("B21:B" &amp; ROW()))-1&lt;E238,表2_36716262930345[[#This Row],[累计净值]]/MAX(INDIRECT("B21:B" &amp; ROW()))-1,E238)</f>
        <v>-8.0876158382476859E-2</v>
      </c>
      <c r="F239" s="110">
        <f>表2_36716262930345[[#This Row],[累计净值]]</f>
        <v>1.593</v>
      </c>
      <c r="G239" s="20">
        <f>表2_36716262930345[[#This Row],[累计净值]]/$B$22-1</f>
        <v>0.35000000000000009</v>
      </c>
    </row>
    <row r="240" spans="1:7" x14ac:dyDescent="0.2">
      <c r="A240" s="15">
        <v>44032</v>
      </c>
      <c r="B240" s="112">
        <v>1.609</v>
      </c>
      <c r="C240" s="108">
        <f t="shared" ref="C240:C248" si="48">IFERROR(B240-B239,0)</f>
        <v>1.6000000000000014E-2</v>
      </c>
      <c r="D240" s="109" t="str">
        <f t="shared" ref="D240:D248" si="49">IF(C240&lt;0,C240,"/")</f>
        <v>/</v>
      </c>
      <c r="E240" s="109">
        <f ca="1">IF(表2_36716262930345[[#This Row],[累计净值]]/MAX(INDIRECT("B21:B" &amp; ROW()))-1&lt;E239,表2_36716262930345[[#This Row],[累计净值]]/MAX(INDIRECT("B21:B" &amp; ROW()))-1,E239)</f>
        <v>-8.0876158382476859E-2</v>
      </c>
      <c r="F240" s="110">
        <f>表2_36716262930345[[#This Row],[累计净值]]</f>
        <v>1.609</v>
      </c>
      <c r="G240" s="20">
        <f>表2_36716262930345[[#This Row],[累计净值]]/$B$22-1</f>
        <v>0.3635593220338984</v>
      </c>
    </row>
    <row r="241" spans="1:7" x14ac:dyDescent="0.2">
      <c r="A241" s="15">
        <v>44033</v>
      </c>
      <c r="B241" s="112">
        <v>1.62</v>
      </c>
      <c r="C241" s="108">
        <f t="shared" si="48"/>
        <v>1.1000000000000121E-2</v>
      </c>
      <c r="D241" s="109" t="str">
        <f t="shared" si="49"/>
        <v>/</v>
      </c>
      <c r="E241" s="109">
        <f ca="1">IF(表2_36716262930345[[#This Row],[累计净值]]/MAX(INDIRECT("B21:B" &amp; ROW()))-1&lt;E240,表2_36716262930345[[#This Row],[累计净值]]/MAX(INDIRECT("B21:B" &amp; ROW()))-1,E240)</f>
        <v>-8.0876158382476859E-2</v>
      </c>
      <c r="F241" s="110">
        <f>表2_36716262930345[[#This Row],[累计净值]]</f>
        <v>1.62</v>
      </c>
      <c r="G241" s="20">
        <f>表2_36716262930345[[#This Row],[累计净值]]/$B$22-1</f>
        <v>0.37288135593220351</v>
      </c>
    </row>
    <row r="242" spans="1:7" x14ac:dyDescent="0.2">
      <c r="A242" s="15">
        <v>44034</v>
      </c>
      <c r="B242" s="112">
        <v>1.6459999999999999</v>
      </c>
      <c r="C242" s="108">
        <f t="shared" si="48"/>
        <v>2.5999999999999801E-2</v>
      </c>
      <c r="D242" s="109" t="str">
        <f t="shared" si="49"/>
        <v>/</v>
      </c>
      <c r="E242" s="109">
        <f ca="1">IF(表2_36716262930345[[#This Row],[累计净值]]/MAX(INDIRECT("B21:B" &amp; ROW()))-1&lt;E241,表2_36716262930345[[#This Row],[累计净值]]/MAX(INDIRECT("B21:B" &amp; ROW()))-1,E241)</f>
        <v>-8.0876158382476859E-2</v>
      </c>
      <c r="F242" s="110">
        <f>表2_36716262930345[[#This Row],[累计净值]]</f>
        <v>1.6459999999999999</v>
      </c>
      <c r="G242" s="20">
        <f>表2_36716262930345[[#This Row],[累计净值]]/$B$22-1</f>
        <v>0.39491525423728824</v>
      </c>
    </row>
    <row r="243" spans="1:7" x14ac:dyDescent="0.2">
      <c r="A243" s="15">
        <v>44035</v>
      </c>
      <c r="B243" s="112">
        <v>1.627</v>
      </c>
      <c r="C243" s="108">
        <f t="shared" si="48"/>
        <v>-1.8999999999999906E-2</v>
      </c>
      <c r="D243" s="109">
        <f t="shared" si="49"/>
        <v>-1.8999999999999906E-2</v>
      </c>
      <c r="E243" s="109">
        <f ca="1">IF(表2_36716262930345[[#This Row],[累计净值]]/MAX(INDIRECT("B21:B" &amp; ROW()))-1&lt;E242,表2_36716262930345[[#This Row],[累计净值]]/MAX(INDIRECT("B21:B" &amp; ROW()))-1,E242)</f>
        <v>-8.0876158382476859E-2</v>
      </c>
      <c r="F243" s="110">
        <f>表2_36716262930345[[#This Row],[累计净值]]</f>
        <v>1.627</v>
      </c>
      <c r="G243" s="20">
        <f>表2_36716262930345[[#This Row],[累计净值]]/$B$22-1</f>
        <v>0.37881355932203387</v>
      </c>
    </row>
    <row r="244" spans="1:7" x14ac:dyDescent="0.2">
      <c r="A244" s="15">
        <v>44036</v>
      </c>
      <c r="B244" s="112">
        <v>1.615</v>
      </c>
      <c r="C244" s="108">
        <f t="shared" si="48"/>
        <v>-1.2000000000000011E-2</v>
      </c>
      <c r="D244" s="109">
        <f t="shared" si="49"/>
        <v>-1.2000000000000011E-2</v>
      </c>
      <c r="E244" s="109">
        <f ca="1">IF(表2_36716262930345[[#This Row],[累计净值]]/MAX(INDIRECT("B21:B" &amp; ROW()))-1&lt;E243,表2_36716262930345[[#This Row],[累计净值]]/MAX(INDIRECT("B21:B" &amp; ROW()))-1,E243)</f>
        <v>-8.0876158382476859E-2</v>
      </c>
      <c r="F244" s="110">
        <f>表2_36716262930345[[#This Row],[累计净值]]</f>
        <v>1.615</v>
      </c>
      <c r="G244" s="20">
        <f>表2_36716262930345[[#This Row],[累计净值]]/$B$22-1</f>
        <v>0.3686440677966103</v>
      </c>
    </row>
    <row r="245" spans="1:7" x14ac:dyDescent="0.2">
      <c r="A245" s="15">
        <v>44039</v>
      </c>
      <c r="B245" s="112">
        <v>1.625</v>
      </c>
      <c r="C245" s="108">
        <f t="shared" si="48"/>
        <v>1.0000000000000009E-2</v>
      </c>
      <c r="D245" s="109" t="str">
        <f t="shared" si="49"/>
        <v>/</v>
      </c>
      <c r="E245" s="109">
        <f ca="1">IF(表2_36716262930345[[#This Row],[累计净值]]/MAX(INDIRECT("B21:B" &amp; ROW()))-1&lt;E244,表2_36716262930345[[#This Row],[累计净值]]/MAX(INDIRECT("B21:B" &amp; ROW()))-1,E244)</f>
        <v>-8.0876158382476859E-2</v>
      </c>
      <c r="F245" s="110">
        <f>表2_36716262930345[[#This Row],[累计净值]]</f>
        <v>1.625</v>
      </c>
      <c r="G245" s="20">
        <f>表2_36716262930345[[#This Row],[累计净值]]/$B$22-1</f>
        <v>0.37711864406779672</v>
      </c>
    </row>
    <row r="246" spans="1:7" x14ac:dyDescent="0.2">
      <c r="A246" s="15">
        <v>44040</v>
      </c>
      <c r="B246" s="112">
        <v>1.6319999999999999</v>
      </c>
      <c r="C246" s="108">
        <f t="shared" si="48"/>
        <v>6.9999999999998952E-3</v>
      </c>
      <c r="D246" s="109" t="str">
        <f t="shared" si="49"/>
        <v>/</v>
      </c>
      <c r="E246" s="109">
        <f ca="1">IF(表2_36716262930345[[#This Row],[累计净值]]/MAX(INDIRECT("B21:B" &amp; ROW()))-1&lt;E245,表2_36716262930345[[#This Row],[累计净值]]/MAX(INDIRECT("B21:B" &amp; ROW()))-1,E245)</f>
        <v>-8.0876158382476859E-2</v>
      </c>
      <c r="F246" s="110">
        <f>表2_36716262930345[[#This Row],[累计净值]]</f>
        <v>1.6319999999999999</v>
      </c>
      <c r="G246" s="20">
        <f>表2_36716262930345[[#This Row],[累计净值]]/$B$22-1</f>
        <v>0.38305084745762707</v>
      </c>
    </row>
    <row r="247" spans="1:7" x14ac:dyDescent="0.2">
      <c r="A247" s="15">
        <v>44041</v>
      </c>
      <c r="B247" s="112">
        <v>1.635</v>
      </c>
      <c r="C247" s="108">
        <f t="shared" si="48"/>
        <v>3.0000000000001137E-3</v>
      </c>
      <c r="D247" s="109" t="str">
        <f t="shared" si="49"/>
        <v>/</v>
      </c>
      <c r="E247" s="109">
        <f ca="1">IF(表2_36716262930345[[#This Row],[累计净值]]/MAX(INDIRECT("B21:B" &amp; ROW()))-1&lt;E246,表2_36716262930345[[#This Row],[累计净值]]/MAX(INDIRECT("B21:B" &amp; ROW()))-1,E246)</f>
        <v>-8.0876158382476859E-2</v>
      </c>
      <c r="F247" s="110">
        <f>表2_36716262930345[[#This Row],[累计净值]]</f>
        <v>1.635</v>
      </c>
      <c r="G247" s="20">
        <f>表2_36716262930345[[#This Row],[累计净值]]/$B$22-1</f>
        <v>0.38559322033898313</v>
      </c>
    </row>
    <row r="248" spans="1:7" x14ac:dyDescent="0.2">
      <c r="A248" s="15">
        <v>44042</v>
      </c>
      <c r="B248" s="112">
        <v>1.643</v>
      </c>
      <c r="C248" s="108">
        <f t="shared" si="48"/>
        <v>8.0000000000000071E-3</v>
      </c>
      <c r="D248" s="109" t="str">
        <f t="shared" si="49"/>
        <v>/</v>
      </c>
      <c r="E248" s="109">
        <f ca="1">IF(表2_36716262930345[[#This Row],[累计净值]]/MAX(INDIRECT("B21:B" &amp; ROW()))-1&lt;E247,表2_36716262930345[[#This Row],[累计净值]]/MAX(INDIRECT("B21:B" &amp; ROW()))-1,E247)</f>
        <v>-8.0876158382476859E-2</v>
      </c>
      <c r="F248" s="110">
        <f>表2_36716262930345[[#This Row],[累计净值]]</f>
        <v>1.643</v>
      </c>
      <c r="G248" s="20">
        <f>表2_36716262930345[[#This Row],[累计净值]]/$B$22-1</f>
        <v>0.39237288135593218</v>
      </c>
    </row>
    <row r="249" spans="1:7" x14ac:dyDescent="0.2">
      <c r="A249" s="15">
        <v>44043</v>
      </c>
      <c r="B249" s="112">
        <v>1.655</v>
      </c>
      <c r="C249" s="108">
        <f t="shared" ref="C249:C254" si="50">IFERROR(B249-B248,0)</f>
        <v>1.2000000000000011E-2</v>
      </c>
      <c r="D249" s="109" t="str">
        <f t="shared" ref="D249:D254" si="51">IF(C249&lt;0,C249,"/")</f>
        <v>/</v>
      </c>
      <c r="E249" s="109">
        <f ca="1">IF(表2_36716262930345[[#This Row],[累计净值]]/MAX(INDIRECT("B21:B" &amp; ROW()))-1&lt;E248,表2_36716262930345[[#This Row],[累计净值]]/MAX(INDIRECT("B21:B" &amp; ROW()))-1,E248)</f>
        <v>-8.0876158382476859E-2</v>
      </c>
      <c r="F249" s="110">
        <f>表2_36716262930345[[#This Row],[累计净值]]</f>
        <v>1.655</v>
      </c>
      <c r="G249" s="20">
        <f>表2_36716262930345[[#This Row],[累计净值]]/$B$22-1</f>
        <v>0.40254237288135597</v>
      </c>
    </row>
    <row r="250" spans="1:7" x14ac:dyDescent="0.2">
      <c r="A250" s="15">
        <v>44046</v>
      </c>
      <c r="B250" s="112">
        <v>1.694</v>
      </c>
      <c r="C250" s="108">
        <f t="shared" si="50"/>
        <v>3.8999999999999924E-2</v>
      </c>
      <c r="D250" s="109" t="str">
        <f t="shared" si="51"/>
        <v>/</v>
      </c>
      <c r="E250" s="109">
        <f ca="1">IF(表2_36716262930345[[#This Row],[累计净值]]/MAX(INDIRECT("B21:B" &amp; ROW()))-1&lt;E249,表2_36716262930345[[#This Row],[累计净值]]/MAX(INDIRECT("B21:B" &amp; ROW()))-1,E249)</f>
        <v>-8.0876158382476859E-2</v>
      </c>
      <c r="F250" s="110">
        <f>表2_36716262930345[[#This Row],[累计净值]]</f>
        <v>1.694</v>
      </c>
      <c r="G250" s="20">
        <f>表2_36716262930345[[#This Row],[累计净值]]/$B$22-1</f>
        <v>0.43559322033898318</v>
      </c>
    </row>
    <row r="251" spans="1:7" x14ac:dyDescent="0.2">
      <c r="A251" s="15">
        <v>44047</v>
      </c>
      <c r="B251" s="112">
        <v>1.71</v>
      </c>
      <c r="C251" s="108">
        <f t="shared" si="50"/>
        <v>1.6000000000000014E-2</v>
      </c>
      <c r="D251" s="109" t="str">
        <f t="shared" si="51"/>
        <v>/</v>
      </c>
      <c r="E251" s="109">
        <f ca="1">IF(表2_36716262930345[[#This Row],[累计净值]]/MAX(INDIRECT("B21:B" &amp; ROW()))-1&lt;E250,表2_36716262930345[[#This Row],[累计净值]]/MAX(INDIRECT("B21:B" &amp; ROW()))-1,E250)</f>
        <v>-8.0876158382476859E-2</v>
      </c>
      <c r="F251" s="110">
        <f>表2_36716262930345[[#This Row],[累计净值]]</f>
        <v>1.71</v>
      </c>
      <c r="G251" s="20">
        <f>表2_36716262930345[[#This Row],[累计净值]]/$B$22-1</f>
        <v>0.44915254237288149</v>
      </c>
    </row>
    <row r="252" spans="1:7" x14ac:dyDescent="0.2">
      <c r="A252" s="15">
        <v>44048</v>
      </c>
      <c r="B252" s="112">
        <v>1.7210000000000001</v>
      </c>
      <c r="C252" s="108">
        <f t="shared" si="50"/>
        <v>1.1000000000000121E-2</v>
      </c>
      <c r="D252" s="109" t="str">
        <f t="shared" si="51"/>
        <v>/</v>
      </c>
      <c r="E252" s="109">
        <f ca="1">IF(表2_36716262930345[[#This Row],[累计净值]]/MAX(INDIRECT("B21:B" &amp; ROW()))-1&lt;E251,表2_36716262930345[[#This Row],[累计净值]]/MAX(INDIRECT("B21:B" &amp; ROW()))-1,E251)</f>
        <v>-8.0876158382476859E-2</v>
      </c>
      <c r="F252" s="110">
        <f>表2_36716262930345[[#This Row],[累计净值]]</f>
        <v>1.7210000000000001</v>
      </c>
      <c r="G252" s="20">
        <f>表2_36716262930345[[#This Row],[累计净值]]/$B$22-1</f>
        <v>0.4584745762711866</v>
      </c>
    </row>
    <row r="253" spans="1:7" x14ac:dyDescent="0.2">
      <c r="A253" s="15">
        <v>44049</v>
      </c>
      <c r="B253" s="112">
        <v>1.7130000000000001</v>
      </c>
      <c r="C253" s="108">
        <f t="shared" si="50"/>
        <v>-8.0000000000000071E-3</v>
      </c>
      <c r="D253" s="109">
        <f t="shared" si="51"/>
        <v>-8.0000000000000071E-3</v>
      </c>
      <c r="E253" s="109">
        <f ca="1">IF(表2_36716262930345[[#This Row],[累计净值]]/MAX(INDIRECT("B21:B" &amp; ROW()))-1&lt;E252,表2_36716262930345[[#This Row],[累计净值]]/MAX(INDIRECT("B21:B" &amp; ROW()))-1,E252)</f>
        <v>-8.0876158382476859E-2</v>
      </c>
      <c r="F253" s="110">
        <f>表2_36716262930345[[#This Row],[累计净值]]</f>
        <v>1.7130000000000001</v>
      </c>
      <c r="G253" s="20">
        <f>表2_36716262930345[[#This Row],[累计净值]]/$B$22-1</f>
        <v>0.45169491525423733</v>
      </c>
    </row>
    <row r="254" spans="1:7" x14ac:dyDescent="0.2">
      <c r="A254" s="15">
        <v>44050</v>
      </c>
      <c r="B254" s="112">
        <v>1.71</v>
      </c>
      <c r="C254" s="108">
        <f t="shared" si="50"/>
        <v>-3.0000000000001137E-3</v>
      </c>
      <c r="D254" s="109">
        <f t="shared" si="51"/>
        <v>-3.0000000000001137E-3</v>
      </c>
      <c r="E254" s="109">
        <f ca="1">IF(表2_36716262930345[[#This Row],[累计净值]]/MAX(INDIRECT("B21:B" &amp; ROW()))-1&lt;E253,表2_36716262930345[[#This Row],[累计净值]]/MAX(INDIRECT("B21:B" &amp; ROW()))-1,E253)</f>
        <v>-8.0876158382476859E-2</v>
      </c>
      <c r="F254" s="110">
        <f>表2_36716262930345[[#This Row],[累计净值]]</f>
        <v>1.71</v>
      </c>
      <c r="G254" s="20">
        <f>表2_36716262930345[[#This Row],[累计净值]]/$B$22-1</f>
        <v>0.44915254237288149</v>
      </c>
    </row>
    <row r="255" spans="1:7" x14ac:dyDescent="0.2">
      <c r="A255" s="15">
        <v>44053</v>
      </c>
      <c r="B255" s="112">
        <v>1.681</v>
      </c>
      <c r="C255" s="108">
        <f t="shared" ref="C255:C260" si="52">IFERROR(B255-B254,0)</f>
        <v>-2.8999999999999915E-2</v>
      </c>
      <c r="D255" s="109">
        <f t="shared" ref="D255:D260" si="53">IF(C255&lt;0,C255,"/")</f>
        <v>-2.8999999999999915E-2</v>
      </c>
      <c r="E255" s="109">
        <f ca="1">IF(表2_36716262930345[[#This Row],[累计净值]]/MAX(INDIRECT("B21:B" &amp; ROW()))-1&lt;E254,表2_36716262930345[[#This Row],[累计净值]]/MAX(INDIRECT("B21:B" &amp; ROW()))-1,E254)</f>
        <v>-8.0876158382476859E-2</v>
      </c>
      <c r="F255" s="110">
        <f>表2_36716262930345[[#This Row],[累计净值]]</f>
        <v>1.681</v>
      </c>
      <c r="G255" s="20">
        <f>表2_36716262930345[[#This Row],[累计净值]]/$B$22-1</f>
        <v>0.4245762711864407</v>
      </c>
    </row>
    <row r="256" spans="1:7" x14ac:dyDescent="0.2">
      <c r="A256" s="15">
        <v>44054</v>
      </c>
      <c r="B256" s="112">
        <v>1.659</v>
      </c>
      <c r="C256" s="108">
        <f t="shared" si="52"/>
        <v>-2.200000000000002E-2</v>
      </c>
      <c r="D256" s="109">
        <f t="shared" si="53"/>
        <v>-2.200000000000002E-2</v>
      </c>
      <c r="E256" s="109">
        <f ca="1">IF(表2_36716262930345[[#This Row],[累计净值]]/MAX(INDIRECT("B21:B" &amp; ROW()))-1&lt;E255,表2_36716262930345[[#This Row],[累计净值]]/MAX(INDIRECT("B21:B" &amp; ROW()))-1,E255)</f>
        <v>-8.0876158382476859E-2</v>
      </c>
      <c r="F256" s="110">
        <f>表2_36716262930345[[#This Row],[累计净值]]</f>
        <v>1.659</v>
      </c>
      <c r="G256" s="20">
        <f>表2_36716262930345[[#This Row],[累计净值]]/$B$22-1</f>
        <v>0.40593220338983071</v>
      </c>
    </row>
    <row r="257" spans="1:7" x14ac:dyDescent="0.2">
      <c r="A257" s="15">
        <v>44055</v>
      </c>
      <c r="B257" s="112">
        <v>1.625</v>
      </c>
      <c r="C257" s="108">
        <f t="shared" si="52"/>
        <v>-3.400000000000003E-2</v>
      </c>
      <c r="D257" s="109">
        <f t="shared" si="53"/>
        <v>-3.400000000000003E-2</v>
      </c>
      <c r="E257" s="109">
        <f ca="1">IF(表2_36716262930345[[#This Row],[累计净值]]/MAX(INDIRECT("B21:B" &amp; ROW()))-1&lt;E256,表2_36716262930345[[#This Row],[累计净值]]/MAX(INDIRECT("B21:B" &amp; ROW()))-1,E256)</f>
        <v>-8.0876158382476859E-2</v>
      </c>
      <c r="F257" s="110">
        <f>表2_36716262930345[[#This Row],[累计净值]]</f>
        <v>1.625</v>
      </c>
      <c r="G257" s="20">
        <f>表2_36716262930345[[#This Row],[累计净值]]/$B$22-1</f>
        <v>0.37711864406779672</v>
      </c>
    </row>
    <row r="258" spans="1:7" x14ac:dyDescent="0.2">
      <c r="A258" s="15">
        <v>44056</v>
      </c>
      <c r="B258" s="112">
        <v>1.631</v>
      </c>
      <c r="C258" s="108">
        <f t="shared" si="52"/>
        <v>6.0000000000000053E-3</v>
      </c>
      <c r="D258" s="109" t="str">
        <f t="shared" si="53"/>
        <v>/</v>
      </c>
      <c r="E258" s="109">
        <f ca="1">IF(表2_36716262930345[[#This Row],[累计净值]]/MAX(INDIRECT("B21:B" &amp; ROW()))-1&lt;E257,表2_36716262930345[[#This Row],[累计净值]]/MAX(INDIRECT("B21:B" &amp; ROW()))-1,E257)</f>
        <v>-8.0876158382476859E-2</v>
      </c>
      <c r="F258" s="110">
        <f>表2_36716262930345[[#This Row],[累计净值]]</f>
        <v>1.631</v>
      </c>
      <c r="G258" s="20">
        <f>表2_36716262930345[[#This Row],[累计净值]]/$B$22-1</f>
        <v>0.38220338983050861</v>
      </c>
    </row>
    <row r="259" spans="1:7" x14ac:dyDescent="0.2">
      <c r="A259" s="15">
        <v>44057</v>
      </c>
      <c r="B259" s="112">
        <v>1.65</v>
      </c>
      <c r="C259" s="108">
        <f t="shared" si="52"/>
        <v>1.8999999999999906E-2</v>
      </c>
      <c r="D259" s="109" t="str">
        <f t="shared" si="53"/>
        <v>/</v>
      </c>
      <c r="E259" s="109">
        <f ca="1">IF(表2_36716262930345[[#This Row],[累计净值]]/MAX(INDIRECT("B21:B" &amp; ROW()))-1&lt;E258,表2_36716262930345[[#This Row],[累计净值]]/MAX(INDIRECT("B21:B" &amp; ROW()))-1,E258)</f>
        <v>-8.0876158382476859E-2</v>
      </c>
      <c r="F259" s="110">
        <f>表2_36716262930345[[#This Row],[累计净值]]</f>
        <v>1.65</v>
      </c>
      <c r="G259" s="20">
        <f>表2_36716262930345[[#This Row],[累计净值]]/$B$22-1</f>
        <v>0.39830508474576276</v>
      </c>
    </row>
    <row r="260" spans="1:7" x14ac:dyDescent="0.2">
      <c r="A260" s="15">
        <v>44060</v>
      </c>
      <c r="B260" s="112">
        <v>1.6739999999999999</v>
      </c>
      <c r="C260" s="108">
        <f t="shared" si="52"/>
        <v>2.4000000000000021E-2</v>
      </c>
      <c r="D260" s="109" t="str">
        <f t="shared" si="53"/>
        <v>/</v>
      </c>
      <c r="E260" s="109">
        <f ca="1">IF(表2_36716262930345[[#This Row],[累计净值]]/MAX(INDIRECT("B21:B" &amp; ROW()))-1&lt;E259,表2_36716262930345[[#This Row],[累计净值]]/MAX(INDIRECT("B21:B" &amp; ROW()))-1,E259)</f>
        <v>-8.0876158382476859E-2</v>
      </c>
      <c r="F260" s="110">
        <f>表2_36716262930345[[#This Row],[累计净值]]</f>
        <v>1.6739999999999999</v>
      </c>
      <c r="G260" s="20">
        <f>表2_36716262930345[[#This Row],[累计净值]]/$B$22-1</f>
        <v>0.41864406779661012</v>
      </c>
    </row>
    <row r="261" spans="1:7" x14ac:dyDescent="0.2">
      <c r="A261" s="15">
        <v>44061</v>
      </c>
      <c r="B261" s="112">
        <v>1.696</v>
      </c>
      <c r="C261" s="108">
        <f t="shared" ref="C261:C266" si="54">IFERROR(B261-B260,0)</f>
        <v>2.200000000000002E-2</v>
      </c>
      <c r="D261" s="109" t="str">
        <f t="shared" ref="D261:D266" si="55">IF(C261&lt;0,C261,"/")</f>
        <v>/</v>
      </c>
      <c r="E261" s="109">
        <f ca="1">IF(表2_36716262930345[[#This Row],[累计净值]]/MAX(INDIRECT("B21:B" &amp; ROW()))-1&lt;E260,表2_36716262930345[[#This Row],[累计净值]]/MAX(INDIRECT("B21:B" &amp; ROW()))-1,E260)</f>
        <v>-8.0876158382476859E-2</v>
      </c>
      <c r="F261" s="110">
        <f>表2_36716262930345[[#This Row],[累计净值]]</f>
        <v>1.696</v>
      </c>
      <c r="G261" s="20">
        <f>表2_36716262930345[[#This Row],[累计净值]]/$B$22-1</f>
        <v>0.43728813559322033</v>
      </c>
    </row>
    <row r="262" spans="1:7" x14ac:dyDescent="0.2">
      <c r="A262" s="15">
        <v>44062</v>
      </c>
      <c r="B262" s="112">
        <v>1.71</v>
      </c>
      <c r="C262" s="108">
        <f t="shared" si="54"/>
        <v>1.4000000000000012E-2</v>
      </c>
      <c r="D262" s="109" t="str">
        <f t="shared" si="55"/>
        <v>/</v>
      </c>
      <c r="E262" s="109">
        <f ca="1">IF(表2_36716262930345[[#This Row],[累计净值]]/MAX(INDIRECT("B21:B" &amp; ROW()))-1&lt;E261,表2_36716262930345[[#This Row],[累计净值]]/MAX(INDIRECT("B21:B" &amp; ROW()))-1,E261)</f>
        <v>-8.0876158382476859E-2</v>
      </c>
      <c r="F262" s="110">
        <f>表2_36716262930345[[#This Row],[累计净值]]</f>
        <v>1.71</v>
      </c>
      <c r="G262" s="20">
        <f>表2_36716262930345[[#This Row],[累计净值]]/$B$22-1</f>
        <v>0.44915254237288149</v>
      </c>
    </row>
    <row r="263" spans="1:7" x14ac:dyDescent="0.2">
      <c r="A263" s="15">
        <v>44063</v>
      </c>
      <c r="B263" s="112">
        <v>1.704</v>
      </c>
      <c r="C263" s="108">
        <f t="shared" si="54"/>
        <v>-6.0000000000000053E-3</v>
      </c>
      <c r="D263" s="109">
        <f t="shared" si="55"/>
        <v>-6.0000000000000053E-3</v>
      </c>
      <c r="E263" s="109">
        <f ca="1">IF(表2_36716262930345[[#This Row],[累计净值]]/MAX(INDIRECT("B21:B" &amp; ROW()))-1&lt;E262,表2_36716262930345[[#This Row],[累计净值]]/MAX(INDIRECT("B21:B" &amp; ROW()))-1,E262)</f>
        <v>-8.0876158382476859E-2</v>
      </c>
      <c r="F263" s="110">
        <f>表2_36716262930345[[#This Row],[累计净值]]</f>
        <v>1.704</v>
      </c>
      <c r="G263" s="20">
        <f>表2_36716262930345[[#This Row],[累计净值]]/$B$22-1</f>
        <v>0.4440677966101696</v>
      </c>
    </row>
    <row r="264" spans="1:7" x14ac:dyDescent="0.2">
      <c r="A264" s="15">
        <v>44064</v>
      </c>
      <c r="B264" s="112">
        <v>1.6870000000000001</v>
      </c>
      <c r="C264" s="108">
        <f t="shared" si="54"/>
        <v>-1.6999999999999904E-2</v>
      </c>
      <c r="D264" s="109">
        <f t="shared" si="55"/>
        <v>-1.6999999999999904E-2</v>
      </c>
      <c r="E264" s="109">
        <f ca="1">IF(表2_36716262930345[[#This Row],[累计净值]]/MAX(INDIRECT("B21:B" &amp; ROW()))-1&lt;E263,表2_36716262930345[[#This Row],[累计净值]]/MAX(INDIRECT("B21:B" &amp; ROW()))-1,E263)</f>
        <v>-8.0876158382476859E-2</v>
      </c>
      <c r="F264" s="110">
        <f>表2_36716262930345[[#This Row],[累计净值]]</f>
        <v>1.6870000000000001</v>
      </c>
      <c r="G264" s="20">
        <f>表2_36716262930345[[#This Row],[累计净值]]/$B$22-1</f>
        <v>0.4296610169491526</v>
      </c>
    </row>
    <row r="265" spans="1:7" x14ac:dyDescent="0.2">
      <c r="A265" s="15">
        <v>44067</v>
      </c>
      <c r="B265" s="112">
        <v>1.655</v>
      </c>
      <c r="C265" s="108">
        <f t="shared" si="54"/>
        <v>-3.2000000000000028E-2</v>
      </c>
      <c r="D265" s="109">
        <f t="shared" si="55"/>
        <v>-3.2000000000000028E-2</v>
      </c>
      <c r="E265" s="109">
        <f ca="1">IF(表2_36716262930345[[#This Row],[累计净值]]/MAX(INDIRECT("B21:B" &amp; ROW()))-1&lt;E264,表2_36716262930345[[#This Row],[累计净值]]/MAX(INDIRECT("B21:B" &amp; ROW()))-1,E264)</f>
        <v>-8.0876158382476859E-2</v>
      </c>
      <c r="F265" s="110">
        <f>表2_36716262930345[[#This Row],[累计净值]]</f>
        <v>1.655</v>
      </c>
      <c r="G265" s="20">
        <f>表2_36716262930345[[#This Row],[累计净值]]/$B$22-1</f>
        <v>0.40254237288135597</v>
      </c>
    </row>
    <row r="266" spans="1:7" x14ac:dyDescent="0.2">
      <c r="A266" s="15">
        <v>44068</v>
      </c>
      <c r="B266" s="112">
        <v>1.637</v>
      </c>
      <c r="C266" s="108">
        <f t="shared" si="54"/>
        <v>-1.8000000000000016E-2</v>
      </c>
      <c r="D266" s="109">
        <f t="shared" si="55"/>
        <v>-1.8000000000000016E-2</v>
      </c>
      <c r="E266" s="109">
        <f ca="1">IF(表2_36716262930345[[#This Row],[累计净值]]/MAX(INDIRECT("B21:B" &amp; ROW()))-1&lt;E265,表2_36716262930345[[#This Row],[累计净值]]/MAX(INDIRECT("B21:B" &amp; ROW()))-1,E265)</f>
        <v>-8.0876158382476859E-2</v>
      </c>
      <c r="F266" s="110">
        <f>表2_36716262930345[[#This Row],[累计净值]]</f>
        <v>1.637</v>
      </c>
      <c r="G266" s="20">
        <f>表2_36716262930345[[#This Row],[累计净值]]/$B$22-1</f>
        <v>0.38728813559322051</v>
      </c>
    </row>
    <row r="267" spans="1:7" x14ac:dyDescent="0.2">
      <c r="A267" s="15">
        <v>44069</v>
      </c>
      <c r="B267" s="112">
        <v>1.623</v>
      </c>
      <c r="C267" s="108">
        <f t="shared" ref="C267:C273" si="56">IFERROR(B267-B266,0)</f>
        <v>-1.4000000000000012E-2</v>
      </c>
      <c r="D267" s="109">
        <f t="shared" ref="D267:D273" si="57">IF(C267&lt;0,C267,"/")</f>
        <v>-1.4000000000000012E-2</v>
      </c>
      <c r="E267" s="109">
        <f ca="1">IF(表2_36716262930345[[#This Row],[累计净值]]/MAX(INDIRECT("B21:B" &amp; ROW()))-1&lt;E266,表2_36716262930345[[#This Row],[累计净值]]/MAX(INDIRECT("B21:B" &amp; ROW()))-1,E266)</f>
        <v>-8.0876158382476859E-2</v>
      </c>
      <c r="F267" s="110">
        <f>表2_36716262930345[[#This Row],[累计净值]]</f>
        <v>1.623</v>
      </c>
      <c r="G267" s="20">
        <f>表2_36716262930345[[#This Row],[累计净值]]/$B$22-1</f>
        <v>0.37542372881355934</v>
      </c>
    </row>
    <row r="268" spans="1:7" x14ac:dyDescent="0.2">
      <c r="A268" s="15">
        <v>44070</v>
      </c>
      <c r="B268" s="112">
        <v>1.633</v>
      </c>
      <c r="C268" s="108">
        <f t="shared" si="56"/>
        <v>1.0000000000000009E-2</v>
      </c>
      <c r="D268" s="109" t="str">
        <f t="shared" si="57"/>
        <v>/</v>
      </c>
      <c r="E268" s="109">
        <f ca="1">IF(表2_36716262930345[[#This Row],[累计净值]]/MAX(INDIRECT("B21:B" &amp; ROW()))-1&lt;E267,表2_36716262930345[[#This Row],[累计净值]]/MAX(INDIRECT("B21:B" &amp; ROW()))-1,E267)</f>
        <v>-8.0876158382476859E-2</v>
      </c>
      <c r="F268" s="110">
        <f>表2_36716262930345[[#This Row],[累计净值]]</f>
        <v>1.633</v>
      </c>
      <c r="G268" s="20">
        <f>表2_36716262930345[[#This Row],[累计净值]]/$B$22-1</f>
        <v>0.38389830508474576</v>
      </c>
    </row>
    <row r="269" spans="1:7" x14ac:dyDescent="0.2">
      <c r="A269" s="15">
        <v>44071</v>
      </c>
      <c r="B269" s="112">
        <v>1.6459999999999999</v>
      </c>
      <c r="C269" s="108">
        <f t="shared" si="56"/>
        <v>1.2999999999999901E-2</v>
      </c>
      <c r="D269" s="109" t="str">
        <f t="shared" si="57"/>
        <v>/</v>
      </c>
      <c r="E269" s="109">
        <f ca="1">IF(表2_36716262930345[[#This Row],[累计净值]]/MAX(INDIRECT("B21:B" &amp; ROW()))-1&lt;E268,表2_36716262930345[[#This Row],[累计净值]]/MAX(INDIRECT("B21:B" &amp; ROW()))-1,E268)</f>
        <v>-8.0876158382476859E-2</v>
      </c>
      <c r="F269" s="110">
        <f>表2_36716262930345[[#This Row],[累计净值]]</f>
        <v>1.6459999999999999</v>
      </c>
      <c r="G269" s="20">
        <f>表2_36716262930345[[#This Row],[累计净值]]/$B$22-1</f>
        <v>0.39491525423728824</v>
      </c>
    </row>
    <row r="270" spans="1:7" x14ac:dyDescent="0.2">
      <c r="A270" s="15">
        <v>44074</v>
      </c>
      <c r="B270" s="112">
        <v>1.661</v>
      </c>
      <c r="C270" s="108">
        <f t="shared" si="56"/>
        <v>1.5000000000000124E-2</v>
      </c>
      <c r="D270" s="109" t="str">
        <f t="shared" si="57"/>
        <v>/</v>
      </c>
      <c r="E270" s="109">
        <f ca="1">IF(表2_36716262930345[[#This Row],[累计净值]]/MAX(INDIRECT("B21:B" &amp; ROW()))-1&lt;E269,表2_36716262930345[[#This Row],[累计净值]]/MAX(INDIRECT("B21:B" &amp; ROW()))-1,E269)</f>
        <v>-8.0876158382476859E-2</v>
      </c>
      <c r="F270" s="110">
        <f>表2_36716262930345[[#This Row],[累计净值]]</f>
        <v>1.661</v>
      </c>
      <c r="G270" s="20">
        <f>表2_36716262930345[[#This Row],[累计净值]]/$B$22-1</f>
        <v>0.40762711864406787</v>
      </c>
    </row>
    <row r="271" spans="1:7" x14ac:dyDescent="0.2">
      <c r="A271" s="15">
        <v>44075</v>
      </c>
      <c r="B271" s="112">
        <v>1.669</v>
      </c>
      <c r="C271" s="108">
        <f t="shared" si="56"/>
        <v>8.0000000000000071E-3</v>
      </c>
      <c r="D271" s="109" t="str">
        <f t="shared" si="57"/>
        <v>/</v>
      </c>
      <c r="E271" s="109">
        <f ca="1">IF(表2_36716262930345[[#This Row],[累计净值]]/MAX(INDIRECT("B21:B" &amp; ROW()))-1&lt;E270,表2_36716262930345[[#This Row],[累计净值]]/MAX(INDIRECT("B21:B" &amp; ROW()))-1,E270)</f>
        <v>-8.0876158382476859E-2</v>
      </c>
      <c r="F271" s="110">
        <f>表2_36716262930345[[#This Row],[累计净值]]</f>
        <v>1.669</v>
      </c>
      <c r="G271" s="20">
        <f>表2_36716262930345[[#This Row],[累计净值]]/$B$22-1</f>
        <v>0.41440677966101713</v>
      </c>
    </row>
    <row r="272" spans="1:7" x14ac:dyDescent="0.2">
      <c r="A272" s="15">
        <v>44076</v>
      </c>
      <c r="B272" s="112">
        <v>1.6739999999999999</v>
      </c>
      <c r="C272" s="108">
        <f t="shared" si="56"/>
        <v>4.9999999999998934E-3</v>
      </c>
      <c r="D272" s="109" t="str">
        <f t="shared" si="57"/>
        <v>/</v>
      </c>
      <c r="E272" s="109">
        <f ca="1">IF(表2_36716262930345[[#This Row],[累计净值]]/MAX(INDIRECT("B21:B" &amp; ROW()))-1&lt;E271,表2_36716262930345[[#This Row],[累计净值]]/MAX(INDIRECT("B21:B" &amp; ROW()))-1,E271)</f>
        <v>-8.0876158382476859E-2</v>
      </c>
      <c r="F272" s="110">
        <f>表2_36716262930345[[#This Row],[累计净值]]</f>
        <v>1.6739999999999999</v>
      </c>
      <c r="G272" s="20">
        <f>表2_36716262930345[[#This Row],[累计净值]]/$B$22-1</f>
        <v>0.41864406779661012</v>
      </c>
    </row>
    <row r="273" spans="1:7" x14ac:dyDescent="0.2">
      <c r="A273" s="15">
        <v>44077</v>
      </c>
      <c r="B273" s="112">
        <v>1.6839999999999999</v>
      </c>
      <c r="C273" s="108">
        <f t="shared" si="56"/>
        <v>1.0000000000000009E-2</v>
      </c>
      <c r="D273" s="109" t="str">
        <f t="shared" si="57"/>
        <v>/</v>
      </c>
      <c r="E273" s="109">
        <f ca="1">IF(表2_36716262930345[[#This Row],[累计净值]]/MAX(INDIRECT("B21:B" &amp; ROW()))-1&lt;E272,表2_36716262930345[[#This Row],[累计净值]]/MAX(INDIRECT("B21:B" &amp; ROW()))-1,E272)</f>
        <v>-8.0876158382476859E-2</v>
      </c>
      <c r="F273" s="110">
        <f>表2_36716262930345[[#This Row],[累计净值]]</f>
        <v>1.6839999999999999</v>
      </c>
      <c r="G273" s="20">
        <f>表2_36716262930345[[#This Row],[累计净值]]/$B$22-1</f>
        <v>0.42711864406779654</v>
      </c>
    </row>
    <row r="274" spans="1:7" x14ac:dyDescent="0.2">
      <c r="A274" s="15">
        <v>44078</v>
      </c>
      <c r="B274" s="112">
        <v>1.6830000000000001</v>
      </c>
      <c r="C274" s="108">
        <f t="shared" ref="C274:C279" si="58">IFERROR(B274-B273,0)</f>
        <v>-9.9999999999988987E-4</v>
      </c>
      <c r="D274" s="109">
        <f t="shared" ref="D274:D279" si="59">IF(C274&lt;0,C274,"/")</f>
        <v>-9.9999999999988987E-4</v>
      </c>
      <c r="E274" s="109">
        <f ca="1">IF(表2_36716262930345[[#This Row],[累计净值]]/MAX(INDIRECT("B21:B" &amp; ROW()))-1&lt;E273,表2_36716262930345[[#This Row],[累计净值]]/MAX(INDIRECT("B21:B" &amp; ROW()))-1,E273)</f>
        <v>-8.0876158382476859E-2</v>
      </c>
      <c r="F274" s="110">
        <f>表2_36716262930345[[#This Row],[累计净值]]</f>
        <v>1.6830000000000001</v>
      </c>
      <c r="G274" s="20">
        <f>表2_36716262930345[[#This Row],[累计净值]]/$B$22-1</f>
        <v>0.42627118644067807</v>
      </c>
    </row>
    <row r="275" spans="1:7" x14ac:dyDescent="0.2">
      <c r="A275" s="15">
        <v>44081</v>
      </c>
      <c r="B275" s="112">
        <v>1.7050000000000001</v>
      </c>
      <c r="C275" s="108">
        <f t="shared" si="58"/>
        <v>2.200000000000002E-2</v>
      </c>
      <c r="D275" s="109" t="str">
        <f t="shared" si="59"/>
        <v>/</v>
      </c>
      <c r="E275" s="109">
        <f ca="1">IF(表2_36716262930345[[#This Row],[累计净值]]/MAX(INDIRECT("B21:B" &amp; ROW()))-1&lt;E274,表2_36716262930345[[#This Row],[累计净值]]/MAX(INDIRECT("B21:B" &amp; ROW()))-1,E274)</f>
        <v>-8.0876158382476859E-2</v>
      </c>
      <c r="F275" s="110">
        <f>表2_36716262930345[[#This Row],[累计净值]]</f>
        <v>1.7050000000000001</v>
      </c>
      <c r="G275" s="20">
        <f>表2_36716262930345[[#This Row],[累计净值]]/$B$22-1</f>
        <v>0.44491525423728828</v>
      </c>
    </row>
    <row r="276" spans="1:7" x14ac:dyDescent="0.2">
      <c r="A276" s="15">
        <v>44082</v>
      </c>
      <c r="B276" s="112">
        <v>1.7010000000000001</v>
      </c>
      <c r="C276" s="108">
        <f t="shared" si="58"/>
        <v>-4.0000000000000036E-3</v>
      </c>
      <c r="D276" s="109">
        <f t="shared" si="59"/>
        <v>-4.0000000000000036E-3</v>
      </c>
      <c r="E276" s="109">
        <f ca="1">IF(表2_36716262930345[[#This Row],[累计净值]]/MAX(INDIRECT("B21:B" &amp; ROW()))-1&lt;E275,表2_36716262930345[[#This Row],[累计净值]]/MAX(INDIRECT("B21:B" &amp; ROW()))-1,E275)</f>
        <v>-8.0876158382476859E-2</v>
      </c>
      <c r="F276" s="110">
        <f>表2_36716262930345[[#This Row],[累计净值]]</f>
        <v>1.7010000000000001</v>
      </c>
      <c r="G276" s="20">
        <f>表2_36716262930345[[#This Row],[累计净值]]/$B$22-1</f>
        <v>0.44152542372881376</v>
      </c>
    </row>
    <row r="277" spans="1:7" x14ac:dyDescent="0.2">
      <c r="A277" s="15">
        <v>44083</v>
      </c>
      <c r="B277" s="112">
        <v>1.7130000000000001</v>
      </c>
      <c r="C277" s="108">
        <f t="shared" si="58"/>
        <v>1.2000000000000011E-2</v>
      </c>
      <c r="D277" s="109" t="str">
        <f t="shared" si="59"/>
        <v>/</v>
      </c>
      <c r="E277" s="109">
        <f ca="1">IF(表2_36716262930345[[#This Row],[累计净值]]/MAX(INDIRECT("B21:B" &amp; ROW()))-1&lt;E276,表2_36716262930345[[#This Row],[累计净值]]/MAX(INDIRECT("B21:B" &amp; ROW()))-1,E276)</f>
        <v>-8.0876158382476859E-2</v>
      </c>
      <c r="F277" s="110">
        <f>表2_36716262930345[[#This Row],[累计净值]]</f>
        <v>1.7130000000000001</v>
      </c>
      <c r="G277" s="20">
        <f>表2_36716262930345[[#This Row],[累计净值]]/$B$22-1</f>
        <v>0.45169491525423733</v>
      </c>
    </row>
    <row r="278" spans="1:7" x14ac:dyDescent="0.2">
      <c r="A278" s="15">
        <v>44084</v>
      </c>
      <c r="B278" s="112">
        <v>1.7150000000000001</v>
      </c>
      <c r="C278" s="108">
        <f t="shared" si="58"/>
        <v>2.0000000000000018E-3</v>
      </c>
      <c r="D278" s="109" t="str">
        <f t="shared" si="59"/>
        <v>/</v>
      </c>
      <c r="E278" s="109">
        <f ca="1">IF(表2_36716262930345[[#This Row],[累计净值]]/MAX(INDIRECT("B21:B" &amp; ROW()))-1&lt;E277,表2_36716262930345[[#This Row],[累计净值]]/MAX(INDIRECT("B21:B" &amp; ROW()))-1,E277)</f>
        <v>-8.0876158382476859E-2</v>
      </c>
      <c r="F278" s="110">
        <f>表2_36716262930345[[#This Row],[累计净值]]</f>
        <v>1.7150000000000001</v>
      </c>
      <c r="G278" s="20">
        <f>表2_36716262930345[[#This Row],[累计净值]]/$B$22-1</f>
        <v>0.4533898305084747</v>
      </c>
    </row>
    <row r="279" spans="1:7" x14ac:dyDescent="0.2">
      <c r="A279" s="15">
        <v>44085</v>
      </c>
      <c r="B279" s="112">
        <v>1.722</v>
      </c>
      <c r="C279" s="108">
        <f t="shared" si="58"/>
        <v>6.9999999999998952E-3</v>
      </c>
      <c r="D279" s="109" t="str">
        <f t="shared" si="59"/>
        <v>/</v>
      </c>
      <c r="E279" s="109">
        <f ca="1">IF(表2_36716262930345[[#This Row],[累计净值]]/MAX(INDIRECT("B21:B" &amp; ROW()))-1&lt;E278,表2_36716262930345[[#This Row],[累计净值]]/MAX(INDIRECT("B21:B" &amp; ROW()))-1,E278)</f>
        <v>-8.0876158382476859E-2</v>
      </c>
      <c r="F279" s="110">
        <f>表2_36716262930345[[#This Row],[累计净值]]</f>
        <v>1.722</v>
      </c>
      <c r="G279" s="20">
        <f>表2_36716262930345[[#This Row],[累计净值]]/$B$22-1</f>
        <v>0.45932203389830506</v>
      </c>
    </row>
    <row r="280" spans="1:7" x14ac:dyDescent="0.2">
      <c r="A280" s="15">
        <v>44088</v>
      </c>
      <c r="B280" s="112">
        <v>1.7310000000000001</v>
      </c>
      <c r="C280" s="108">
        <f t="shared" ref="C280:C285" si="60">IFERROR(B280-B279,0)</f>
        <v>9.000000000000119E-3</v>
      </c>
      <c r="D280" s="109" t="str">
        <f t="shared" ref="D280:D285" si="61">IF(C280&lt;0,C280,"/")</f>
        <v>/</v>
      </c>
      <c r="E280" s="109">
        <f ca="1">IF(表2_36716262930345[[#This Row],[累计净值]]/MAX(INDIRECT("B21:B" &amp; ROW()))-1&lt;E279,表2_36716262930345[[#This Row],[累计净值]]/MAX(INDIRECT("B21:B" &amp; ROW()))-1,E279)</f>
        <v>-8.0876158382476859E-2</v>
      </c>
      <c r="F280" s="110">
        <f>表2_36716262930345[[#This Row],[累计净值]]</f>
        <v>1.7310000000000001</v>
      </c>
      <c r="G280" s="20">
        <f>表2_36716262930345[[#This Row],[累计净值]]/$B$22-1</f>
        <v>0.46694915254237301</v>
      </c>
    </row>
    <row r="281" spans="1:7" x14ac:dyDescent="0.2">
      <c r="A281" s="15">
        <v>44089</v>
      </c>
      <c r="B281" s="112">
        <v>1.732</v>
      </c>
      <c r="C281" s="108">
        <f t="shared" si="60"/>
        <v>9.9999999999988987E-4</v>
      </c>
      <c r="D281" s="109" t="str">
        <f t="shared" si="61"/>
        <v>/</v>
      </c>
      <c r="E281" s="109">
        <f ca="1">IF(表2_36716262930345[[#This Row],[累计净值]]/MAX(INDIRECT("B21:B" &amp; ROW()))-1&lt;E280,表2_36716262930345[[#This Row],[累计净值]]/MAX(INDIRECT("B21:B" &amp; ROW()))-1,E280)</f>
        <v>-8.0876158382476859E-2</v>
      </c>
      <c r="F281" s="110">
        <f>表2_36716262930345[[#This Row],[累计净值]]</f>
        <v>1.732</v>
      </c>
      <c r="G281" s="20">
        <f>表2_36716262930345[[#This Row],[累计净值]]/$B$22-1</f>
        <v>0.4677966101694917</v>
      </c>
    </row>
    <row r="282" spans="1:7" x14ac:dyDescent="0.2">
      <c r="A282" s="15">
        <v>44090</v>
      </c>
      <c r="B282" s="112">
        <v>1.716</v>
      </c>
      <c r="C282" s="108">
        <f t="shared" si="60"/>
        <v>-1.6000000000000014E-2</v>
      </c>
      <c r="D282" s="109">
        <f t="shared" si="61"/>
        <v>-1.6000000000000014E-2</v>
      </c>
      <c r="E282" s="109">
        <f ca="1">IF(表2_36716262930345[[#This Row],[累计净值]]/MAX(INDIRECT("B21:B" &amp; ROW()))-1&lt;E281,表2_36716262930345[[#This Row],[累计净值]]/MAX(INDIRECT("B21:B" &amp; ROW()))-1,E281)</f>
        <v>-8.0876158382476859E-2</v>
      </c>
      <c r="F282" s="110">
        <f>表2_36716262930345[[#This Row],[累计净值]]</f>
        <v>1.716</v>
      </c>
      <c r="G282" s="20">
        <f>表2_36716262930345[[#This Row],[累计净值]]/$B$22-1</f>
        <v>0.45423728813559316</v>
      </c>
    </row>
    <row r="283" spans="1:7" x14ac:dyDescent="0.2">
      <c r="A283" s="15">
        <v>44091</v>
      </c>
      <c r="B283" s="112">
        <v>1.7150000000000001</v>
      </c>
      <c r="C283" s="108">
        <f t="shared" si="60"/>
        <v>-9.9999999999988987E-4</v>
      </c>
      <c r="D283" s="109">
        <f t="shared" si="61"/>
        <v>-9.9999999999988987E-4</v>
      </c>
      <c r="E283" s="109">
        <f ca="1">IF(表2_36716262930345[[#This Row],[累计净值]]/MAX(INDIRECT("B21:B" &amp; ROW()))-1&lt;E282,表2_36716262930345[[#This Row],[累计净值]]/MAX(INDIRECT("B21:B" &amp; ROW()))-1,E282)</f>
        <v>-8.0876158382476859E-2</v>
      </c>
      <c r="F283" s="110">
        <f>表2_36716262930345[[#This Row],[累计净值]]</f>
        <v>1.7150000000000001</v>
      </c>
      <c r="G283" s="20">
        <f>表2_36716262930345[[#This Row],[累计净值]]/$B$22-1</f>
        <v>0.4533898305084747</v>
      </c>
    </row>
    <row r="284" spans="1:7" x14ac:dyDescent="0.2">
      <c r="A284" s="15">
        <v>44092</v>
      </c>
      <c r="B284" s="63">
        <v>1.726</v>
      </c>
      <c r="C284" s="64">
        <f t="shared" si="60"/>
        <v>1.0999999999999899E-2</v>
      </c>
      <c r="D284" s="65" t="str">
        <f t="shared" si="61"/>
        <v>/</v>
      </c>
      <c r="E284" s="65">
        <f ca="1">IF(表2_36716262930345[[#This Row],[累计净值]]/MAX(INDIRECT("B21:B" &amp; ROW()))-1&lt;E283,表2_36716262930345[[#This Row],[累计净值]]/MAX(INDIRECT("B21:B" &amp; ROW()))-1,E283)</f>
        <v>-8.0876158382476859E-2</v>
      </c>
      <c r="F284" s="66">
        <f>表2_36716262930345[[#This Row],[累计净值]]</f>
        <v>1.726</v>
      </c>
      <c r="G284" s="20">
        <f>表2_36716262930345[[#This Row],[累计净值]]/$B$22-1</f>
        <v>0.4627118644067798</v>
      </c>
    </row>
    <row r="285" spans="1:7" x14ac:dyDescent="0.2">
      <c r="A285" s="15">
        <v>44095</v>
      </c>
      <c r="B285" s="112">
        <v>1.7330000000000001</v>
      </c>
      <c r="C285" s="108">
        <f t="shared" si="60"/>
        <v>7.0000000000001172E-3</v>
      </c>
      <c r="D285" s="109" t="str">
        <f t="shared" si="61"/>
        <v>/</v>
      </c>
      <c r="E285" s="109">
        <f ca="1">IF(表2_36716262930345[[#This Row],[累计净值]]/MAX(INDIRECT("B21:B" &amp; ROW()))-1&lt;E284,表2_36716262930345[[#This Row],[累计净值]]/MAX(INDIRECT("B21:B" &amp; ROW()))-1,E284)</f>
        <v>-8.0876158382476859E-2</v>
      </c>
      <c r="F285" s="110">
        <f>表2_36716262930345[[#This Row],[累计净值]]</f>
        <v>1.7330000000000001</v>
      </c>
      <c r="G285" s="20">
        <f>表2_36716262930345[[#This Row],[累计净值]]/$B$22-1</f>
        <v>0.46864406779661039</v>
      </c>
    </row>
    <row r="286" spans="1:7" x14ac:dyDescent="0.2">
      <c r="A286" s="15">
        <v>44096</v>
      </c>
      <c r="B286" s="112">
        <v>1.7450000000000001</v>
      </c>
      <c r="C286" s="108">
        <f t="shared" ref="C286:C291" si="62">IFERROR(B286-B285,0)</f>
        <v>1.2000000000000011E-2</v>
      </c>
      <c r="D286" s="109" t="str">
        <f t="shared" ref="D286:D291" si="63">IF(C286&lt;0,C286,"/")</f>
        <v>/</v>
      </c>
      <c r="E286" s="109">
        <f ca="1">IF(表2_36716262930345[[#This Row],[累计净值]]/MAX(INDIRECT("B21:B" &amp; ROW()))-1&lt;E285,表2_36716262930345[[#This Row],[累计净值]]/MAX(INDIRECT("B21:B" &amp; ROW()))-1,E285)</f>
        <v>-8.0876158382476859E-2</v>
      </c>
      <c r="F286" s="110">
        <f>表2_36716262930345[[#This Row],[累计净值]]</f>
        <v>1.7450000000000001</v>
      </c>
      <c r="G286" s="20">
        <f>表2_36716262930345[[#This Row],[累计净值]]/$B$22-1</f>
        <v>0.47881355932203418</v>
      </c>
    </row>
    <row r="287" spans="1:7" x14ac:dyDescent="0.2">
      <c r="A287" s="15">
        <v>44097</v>
      </c>
      <c r="B287" s="112">
        <v>1.7390000000000001</v>
      </c>
      <c r="C287" s="108">
        <f t="shared" si="62"/>
        <v>-6.0000000000000053E-3</v>
      </c>
      <c r="D287" s="109">
        <f t="shared" si="63"/>
        <v>-6.0000000000000053E-3</v>
      </c>
      <c r="E287" s="109">
        <f ca="1">IF(表2_36716262930345[[#This Row],[累计净值]]/MAX(INDIRECT("B21:B" &amp; ROW()))-1&lt;E286,表2_36716262930345[[#This Row],[累计净值]]/MAX(INDIRECT("B21:B" &amp; ROW()))-1,E286)</f>
        <v>-8.0876158382476859E-2</v>
      </c>
      <c r="F287" s="110">
        <f>表2_36716262930345[[#This Row],[累计净值]]</f>
        <v>1.7390000000000001</v>
      </c>
      <c r="G287" s="20">
        <f>表2_36716262930345[[#This Row],[累计净值]]/$B$22-1</f>
        <v>0.47372881355932228</v>
      </c>
    </row>
    <row r="288" spans="1:7" x14ac:dyDescent="0.2">
      <c r="A288" s="15">
        <v>44098</v>
      </c>
      <c r="B288" s="112">
        <v>1.712</v>
      </c>
      <c r="C288" s="108">
        <f t="shared" si="62"/>
        <v>-2.7000000000000135E-2</v>
      </c>
      <c r="D288" s="109">
        <f t="shared" si="63"/>
        <v>-2.7000000000000135E-2</v>
      </c>
      <c r="E288" s="109">
        <f ca="1">IF(表2_36716262930345[[#This Row],[累计净值]]/MAX(INDIRECT("B21:B" &amp; ROW()))-1&lt;E287,表2_36716262930345[[#This Row],[累计净值]]/MAX(INDIRECT("B21:B" &amp; ROW()))-1,E287)</f>
        <v>-8.0876158382476859E-2</v>
      </c>
      <c r="F288" s="110">
        <f>表2_36716262930345[[#This Row],[累计净值]]</f>
        <v>1.712</v>
      </c>
      <c r="G288" s="20">
        <f>表2_36716262930345[[#This Row],[累计净值]]/$B$22-1</f>
        <v>0.45084745762711864</v>
      </c>
    </row>
    <row r="289" spans="1:7" x14ac:dyDescent="0.2">
      <c r="A289" s="15">
        <v>44099</v>
      </c>
      <c r="B289" s="112">
        <v>1.704</v>
      </c>
      <c r="C289" s="108">
        <f t="shared" si="62"/>
        <v>-8.0000000000000071E-3</v>
      </c>
      <c r="D289" s="109">
        <f t="shared" si="63"/>
        <v>-8.0000000000000071E-3</v>
      </c>
      <c r="E289" s="109">
        <f ca="1">IF(表2_36716262930345[[#This Row],[累计净值]]/MAX(INDIRECT("B21:B" &amp; ROW()))-1&lt;E288,表2_36716262930345[[#This Row],[累计净值]]/MAX(INDIRECT("B21:B" &amp; ROW()))-1,E288)</f>
        <v>-8.0876158382476859E-2</v>
      </c>
      <c r="F289" s="110">
        <f>表2_36716262930345[[#This Row],[累计净值]]</f>
        <v>1.704</v>
      </c>
      <c r="G289" s="20">
        <f>表2_36716262930345[[#This Row],[累计净值]]/$B$22-1</f>
        <v>0.4440677966101696</v>
      </c>
    </row>
    <row r="290" spans="1:7" x14ac:dyDescent="0.2">
      <c r="A290" s="15">
        <v>44102</v>
      </c>
      <c r="B290" s="112">
        <v>1.732</v>
      </c>
      <c r="C290" s="108">
        <f t="shared" si="62"/>
        <v>2.8000000000000025E-2</v>
      </c>
      <c r="D290" s="109" t="str">
        <f t="shared" si="63"/>
        <v>/</v>
      </c>
      <c r="E290" s="109">
        <f ca="1">IF(表2_36716262930345[[#This Row],[累计净值]]/MAX(INDIRECT("B21:B" &amp; ROW()))-1&lt;E289,表2_36716262930345[[#This Row],[累计净值]]/MAX(INDIRECT("B21:B" &amp; ROW()))-1,E289)</f>
        <v>-8.0876158382476859E-2</v>
      </c>
      <c r="F290" s="110">
        <f>表2_36716262930345[[#This Row],[累计净值]]</f>
        <v>1.732</v>
      </c>
      <c r="G290" s="20">
        <f>表2_36716262930345[[#This Row],[累计净值]]/$B$22-1</f>
        <v>0.4677966101694917</v>
      </c>
    </row>
    <row r="291" spans="1:7" x14ac:dyDescent="0.2">
      <c r="A291" s="15">
        <v>44103</v>
      </c>
      <c r="B291" s="112">
        <v>1.746</v>
      </c>
      <c r="C291" s="108">
        <f t="shared" si="62"/>
        <v>1.4000000000000012E-2</v>
      </c>
      <c r="D291" s="109" t="str">
        <f t="shared" si="63"/>
        <v>/</v>
      </c>
      <c r="E291" s="109">
        <f ca="1">IF(表2_36716262930345[[#This Row],[累计净值]]/MAX(INDIRECT("B21:B" &amp; ROW()))-1&lt;E290,表2_36716262930345[[#This Row],[累计净值]]/MAX(INDIRECT("B21:B" &amp; ROW()))-1,E290)</f>
        <v>-8.0876158382476859E-2</v>
      </c>
      <c r="F291" s="110">
        <f>表2_36716262930345[[#This Row],[累计净值]]</f>
        <v>1.746</v>
      </c>
      <c r="G291" s="20">
        <f>表2_36716262930345[[#This Row],[累计净值]]/$B$22-1</f>
        <v>0.47966101694915264</v>
      </c>
    </row>
    <row r="292" spans="1:7" x14ac:dyDescent="0.2">
      <c r="A292" s="15">
        <v>44104</v>
      </c>
      <c r="B292" s="112">
        <v>1.746</v>
      </c>
      <c r="C292" s="108">
        <f t="shared" ref="C292:C293" si="64">IFERROR(B292-B291,0)</f>
        <v>0</v>
      </c>
      <c r="D292" s="109" t="str">
        <f t="shared" ref="D292:D293" si="65">IF(C292&lt;0,C292,"/")</f>
        <v>/</v>
      </c>
      <c r="E292" s="109">
        <f ca="1">IF(表2_36716262930345[[#This Row],[累计净值]]/MAX(INDIRECT("B21:B" &amp; ROW()))-1&lt;E291,表2_36716262930345[[#This Row],[累计净值]]/MAX(INDIRECT("B21:B" &amp; ROW()))-1,E291)</f>
        <v>-8.0876158382476859E-2</v>
      </c>
      <c r="F292" s="110">
        <f>表2_36716262930345[[#This Row],[累计净值]]</f>
        <v>1.746</v>
      </c>
      <c r="G292" s="20">
        <f>表2_36716262930345[[#This Row],[累计净值]]/$B$22-1</f>
        <v>0.47966101694915264</v>
      </c>
    </row>
    <row r="293" spans="1:7" x14ac:dyDescent="0.2">
      <c r="A293" s="15">
        <v>44113</v>
      </c>
      <c r="B293" s="112">
        <v>1.7370000000000001</v>
      </c>
      <c r="C293" s="108">
        <f t="shared" si="64"/>
        <v>-8.999999999999897E-3</v>
      </c>
      <c r="D293" s="109">
        <f t="shared" si="65"/>
        <v>-8.999999999999897E-3</v>
      </c>
      <c r="E293" s="109">
        <f ca="1">IF(表2_36716262930345[[#This Row],[累计净值]]/MAX(INDIRECT("B21:B" &amp; ROW()))-1&lt;E292,表2_36716262930345[[#This Row],[累计净值]]/MAX(INDIRECT("B21:B" &amp; ROW()))-1,E292)</f>
        <v>-8.0876158382476859E-2</v>
      </c>
      <c r="F293" s="110">
        <f>表2_36716262930345[[#This Row],[累计净值]]</f>
        <v>1.7370000000000001</v>
      </c>
      <c r="G293" s="20">
        <f>表2_36716262930345[[#This Row],[累计净值]]/$B$22-1</f>
        <v>0.47203389830508491</v>
      </c>
    </row>
    <row r="294" spans="1:7" x14ac:dyDescent="0.2">
      <c r="A294" s="15">
        <v>44116</v>
      </c>
      <c r="B294" s="112">
        <v>1.7509999999999999</v>
      </c>
      <c r="C294" s="108">
        <f t="shared" ref="C294:C295" si="66">IFERROR(B294-B293,0)</f>
        <v>1.399999999999979E-2</v>
      </c>
      <c r="D294" s="109" t="str">
        <f t="shared" ref="D294:D295" si="67">IF(C294&lt;0,C294,"/")</f>
        <v>/</v>
      </c>
      <c r="E294" s="109">
        <f ca="1">IF(表2_36716262930345[[#This Row],[累计净值]]/MAX(INDIRECT("B21:B" &amp; ROW()))-1&lt;E293,表2_36716262930345[[#This Row],[累计净值]]/MAX(INDIRECT("B21:B" &amp; ROW()))-1,E293)</f>
        <v>-8.0876158382476859E-2</v>
      </c>
      <c r="F294" s="110">
        <f>表2_36716262930345[[#This Row],[累计净值]]</f>
        <v>1.7509999999999999</v>
      </c>
      <c r="G294" s="20">
        <f>表2_36716262930345[[#This Row],[累计净值]]/$B$22-1</f>
        <v>0.48389830508474585</v>
      </c>
    </row>
    <row r="295" spans="1:7" x14ac:dyDescent="0.2">
      <c r="A295" s="15">
        <v>44117</v>
      </c>
      <c r="B295" s="112">
        <v>1.7589999999999999</v>
      </c>
      <c r="C295" s="108">
        <f t="shared" si="66"/>
        <v>8.0000000000000071E-3</v>
      </c>
      <c r="D295" s="109" t="str">
        <f t="shared" si="67"/>
        <v>/</v>
      </c>
      <c r="E295" s="109">
        <f ca="1">IF(表2_36716262930345[[#This Row],[累计净值]]/MAX(INDIRECT("B21:B" &amp; ROW()))-1&lt;E294,表2_36716262930345[[#This Row],[累计净值]]/MAX(INDIRECT("B21:B" &amp; ROW()))-1,E294)</f>
        <v>-8.0876158382476859E-2</v>
      </c>
      <c r="F295" s="110">
        <f>表2_36716262930345[[#This Row],[累计净值]]</f>
        <v>1.7589999999999999</v>
      </c>
      <c r="G295" s="20">
        <f>表2_36716262930345[[#This Row],[累计净值]]/$B$22-1</f>
        <v>0.4906779661016949</v>
      </c>
    </row>
    <row r="296" spans="1:7" x14ac:dyDescent="0.2">
      <c r="A296" s="15">
        <v>44118</v>
      </c>
      <c r="B296" s="112">
        <v>1.7310000000000001</v>
      </c>
      <c r="C296" s="108">
        <f t="shared" ref="C296:C301" si="68">IFERROR(B296-B295,0)</f>
        <v>-2.7999999999999803E-2</v>
      </c>
      <c r="D296" s="109">
        <f t="shared" ref="D296:D301" si="69">IF(C296&lt;0,C296,"/")</f>
        <v>-2.7999999999999803E-2</v>
      </c>
      <c r="E296" s="109">
        <f ca="1">IF(表2_36716262930345[[#This Row],[累计净值]]/MAX(INDIRECT("B21:B" &amp; ROW()))-1&lt;E295,表2_36716262930345[[#This Row],[累计净值]]/MAX(INDIRECT("B21:B" &amp; ROW()))-1,E295)</f>
        <v>-8.0876158382476859E-2</v>
      </c>
      <c r="F296" s="110">
        <f>表2_36716262930345[[#This Row],[累计净值]]</f>
        <v>1.7310000000000001</v>
      </c>
      <c r="G296" s="20">
        <f>表2_36716262930345[[#This Row],[累计净值]]/$B$22-1</f>
        <v>0.46694915254237301</v>
      </c>
    </row>
    <row r="297" spans="1:7" x14ac:dyDescent="0.2">
      <c r="A297" s="15">
        <v>44119</v>
      </c>
      <c r="B297" s="112">
        <v>1.71</v>
      </c>
      <c r="C297" s="108">
        <f t="shared" si="68"/>
        <v>-2.100000000000013E-2</v>
      </c>
      <c r="D297" s="109">
        <f t="shared" si="69"/>
        <v>-2.100000000000013E-2</v>
      </c>
      <c r="E297" s="109">
        <f ca="1">IF(表2_36716262930345[[#This Row],[累计净值]]/MAX(INDIRECT("B21:B" &amp; ROW()))-1&lt;E296,表2_36716262930345[[#This Row],[累计净值]]/MAX(INDIRECT("B21:B" &amp; ROW()))-1,E296)</f>
        <v>-8.0876158382476859E-2</v>
      </c>
      <c r="F297" s="110">
        <f>表2_36716262930345[[#This Row],[累计净值]]</f>
        <v>1.71</v>
      </c>
      <c r="G297" s="20">
        <f>表2_36716262930345[[#This Row],[累计净值]]/$B$22-1</f>
        <v>0.44915254237288149</v>
      </c>
    </row>
    <row r="298" spans="1:7" x14ac:dyDescent="0.2">
      <c r="A298" s="15">
        <v>44120</v>
      </c>
      <c r="B298" s="112">
        <v>1.6950000000000001</v>
      </c>
      <c r="C298" s="108">
        <f t="shared" si="68"/>
        <v>-1.4999999999999902E-2</v>
      </c>
      <c r="D298" s="109">
        <f t="shared" si="69"/>
        <v>-1.4999999999999902E-2</v>
      </c>
      <c r="E298" s="109">
        <f ca="1">IF(表2_36716262930345[[#This Row],[累计净值]]/MAX(INDIRECT("B21:B" &amp; ROW()))-1&lt;E297,表2_36716262930345[[#This Row],[累计净值]]/MAX(INDIRECT("B21:B" &amp; ROW()))-1,E297)</f>
        <v>-8.0876158382476859E-2</v>
      </c>
      <c r="F298" s="110">
        <f>表2_36716262930345[[#This Row],[累计净值]]</f>
        <v>1.6950000000000001</v>
      </c>
      <c r="G298" s="20">
        <f>表2_36716262930345[[#This Row],[累计净值]]/$B$22-1</f>
        <v>0.43644067796610186</v>
      </c>
    </row>
    <row r="299" spans="1:7" x14ac:dyDescent="0.2">
      <c r="A299" s="15">
        <v>44123</v>
      </c>
      <c r="B299" s="112">
        <v>1.6850000000000001</v>
      </c>
      <c r="C299" s="108">
        <f t="shared" si="68"/>
        <v>-1.0000000000000009E-2</v>
      </c>
      <c r="D299" s="109">
        <f t="shared" si="69"/>
        <v>-1.0000000000000009E-2</v>
      </c>
      <c r="E299" s="109">
        <f ca="1">IF(表2_36716262930345[[#This Row],[累计净值]]/MAX(INDIRECT("B21:B" &amp; ROW()))-1&lt;E298,表2_36716262930345[[#This Row],[累计净值]]/MAX(INDIRECT("B21:B" &amp; ROW()))-1,E298)</f>
        <v>-8.0876158382476859E-2</v>
      </c>
      <c r="F299" s="110">
        <f>表2_36716262930345[[#This Row],[累计净值]]</f>
        <v>1.6850000000000001</v>
      </c>
      <c r="G299" s="20">
        <f>表2_36716262930345[[#This Row],[累计净值]]/$B$22-1</f>
        <v>0.42796610169491545</v>
      </c>
    </row>
    <row r="300" spans="1:7" x14ac:dyDescent="0.2">
      <c r="A300" s="15">
        <v>44124</v>
      </c>
      <c r="B300" s="112">
        <v>1.679</v>
      </c>
      <c r="C300" s="108">
        <f t="shared" si="68"/>
        <v>-6.0000000000000053E-3</v>
      </c>
      <c r="D300" s="109">
        <f t="shared" si="69"/>
        <v>-6.0000000000000053E-3</v>
      </c>
      <c r="E300" s="109">
        <f ca="1">IF(表2_36716262930345[[#This Row],[累计净值]]/MAX(INDIRECT("B21:B" &amp; ROW()))-1&lt;E299,表2_36716262930345[[#This Row],[累计净值]]/MAX(INDIRECT("B21:B" &amp; ROW()))-1,E299)</f>
        <v>-8.0876158382476859E-2</v>
      </c>
      <c r="F300" s="110">
        <f>表2_36716262930345[[#This Row],[累计净值]]</f>
        <v>1.679</v>
      </c>
      <c r="G300" s="20">
        <f>表2_36716262930345[[#This Row],[累计净值]]/$B$22-1</f>
        <v>0.42288135593220355</v>
      </c>
    </row>
    <row r="301" spans="1:7" x14ac:dyDescent="0.2">
      <c r="A301" s="15">
        <v>44125</v>
      </c>
      <c r="B301" s="112">
        <v>1.6719999999999999</v>
      </c>
      <c r="C301" s="108">
        <f t="shared" si="68"/>
        <v>-7.0000000000001172E-3</v>
      </c>
      <c r="D301" s="109">
        <f t="shared" si="69"/>
        <v>-7.0000000000001172E-3</v>
      </c>
      <c r="E301" s="109">
        <f ca="1">IF(表2_36716262930345[[#This Row],[累计净值]]/MAX(INDIRECT("B21:B" &amp; ROW()))-1&lt;E300,表2_36716262930345[[#This Row],[累计净值]]/MAX(INDIRECT("B21:B" &amp; ROW()))-1,E300)</f>
        <v>-8.0876158382476859E-2</v>
      </c>
      <c r="F301" s="110">
        <f>表2_36716262930345[[#This Row],[累计净值]]</f>
        <v>1.6719999999999999</v>
      </c>
      <c r="G301" s="20">
        <f>表2_36716262930345[[#This Row],[累计净值]]/$B$22-1</f>
        <v>0.41694915254237297</v>
      </c>
    </row>
    <row r="302" spans="1:7" x14ac:dyDescent="0.2">
      <c r="A302" s="15">
        <v>44126</v>
      </c>
      <c r="B302" s="112">
        <v>1.681</v>
      </c>
      <c r="C302" s="108">
        <f t="shared" ref="C302:C310" si="70">IFERROR(B302-B301,0)</f>
        <v>9.000000000000119E-3</v>
      </c>
      <c r="D302" s="109" t="str">
        <f t="shared" ref="D302:D310" si="71">IF(C302&lt;0,C302,"/")</f>
        <v>/</v>
      </c>
      <c r="E302" s="109">
        <f ca="1">IF(表2_36716262930345[[#This Row],[累计净值]]/MAX(INDIRECT("B21:B" &amp; ROW()))-1&lt;E301,表2_36716262930345[[#This Row],[累计净值]]/MAX(INDIRECT("B21:B" &amp; ROW()))-1,E301)</f>
        <v>-8.0876158382476859E-2</v>
      </c>
      <c r="F302" s="110">
        <f>表2_36716262930345[[#This Row],[累计净值]]</f>
        <v>1.681</v>
      </c>
      <c r="G302" s="20">
        <f>表2_36716262930345[[#This Row],[累计净值]]/$B$22-1</f>
        <v>0.4245762711864407</v>
      </c>
    </row>
    <row r="303" spans="1:7" x14ac:dyDescent="0.2">
      <c r="A303" s="15">
        <v>44127</v>
      </c>
      <c r="B303" s="112">
        <v>1.6779999999999999</v>
      </c>
      <c r="C303" s="108">
        <f t="shared" si="70"/>
        <v>-3.0000000000001137E-3</v>
      </c>
      <c r="D303" s="109">
        <f t="shared" si="71"/>
        <v>-3.0000000000001137E-3</v>
      </c>
      <c r="E303" s="109">
        <f ca="1">IF(表2_36716262930345[[#This Row],[累计净值]]/MAX(INDIRECT("B21:B" &amp; ROW()))-1&lt;E302,表2_36716262930345[[#This Row],[累计净值]]/MAX(INDIRECT("B21:B" &amp; ROW()))-1,E302)</f>
        <v>-8.0876158382476859E-2</v>
      </c>
      <c r="F303" s="110">
        <f>表2_36716262930345[[#This Row],[累计净值]]</f>
        <v>1.6779999999999999</v>
      </c>
      <c r="G303" s="20">
        <f>表2_36716262930345[[#This Row],[累计净值]]/$B$22-1</f>
        <v>0.42203389830508486</v>
      </c>
    </row>
    <row r="304" spans="1:7" x14ac:dyDescent="0.2">
      <c r="A304" s="15">
        <v>44130</v>
      </c>
      <c r="B304" s="112">
        <v>1.6890000000000001</v>
      </c>
      <c r="C304" s="108">
        <f t="shared" si="70"/>
        <v>1.1000000000000121E-2</v>
      </c>
      <c r="D304" s="109" t="str">
        <f t="shared" si="71"/>
        <v>/</v>
      </c>
      <c r="E304" s="109">
        <f ca="1">IF(表2_36716262930345[[#This Row],[累计净值]]/MAX(INDIRECT("B21:B" &amp; ROW()))-1&lt;E303,表2_36716262930345[[#This Row],[累计净值]]/MAX(INDIRECT("B21:B" &amp; ROW()))-1,E303)</f>
        <v>-8.0876158382476859E-2</v>
      </c>
      <c r="F304" s="110">
        <f>表2_36716262930345[[#This Row],[累计净值]]</f>
        <v>1.6890000000000001</v>
      </c>
      <c r="G304" s="20">
        <f>表2_36716262930345[[#This Row],[累计净值]]/$B$22-1</f>
        <v>0.43135593220338997</v>
      </c>
    </row>
    <row r="305" spans="1:7" x14ac:dyDescent="0.2">
      <c r="A305" s="15">
        <v>44131</v>
      </c>
      <c r="B305" s="112">
        <v>1.7190000000000001</v>
      </c>
      <c r="C305" s="108">
        <f t="shared" si="70"/>
        <v>3.0000000000000027E-2</v>
      </c>
      <c r="D305" s="109" t="str">
        <f t="shared" si="71"/>
        <v>/</v>
      </c>
      <c r="E305" s="109">
        <f ca="1">IF(表2_36716262930345[[#This Row],[累计净值]]/MAX(INDIRECT("B21:B" &amp; ROW()))-1&lt;E304,表2_36716262930345[[#This Row],[累计净值]]/MAX(INDIRECT("B21:B" &amp; ROW()))-1,E304)</f>
        <v>-8.0876158382476859E-2</v>
      </c>
      <c r="F305" s="110">
        <f>表2_36716262930345[[#This Row],[累计净值]]</f>
        <v>1.7190000000000001</v>
      </c>
      <c r="G305" s="20">
        <f>表2_36716262930345[[#This Row],[累计净值]]/$B$22-1</f>
        <v>0.45677966101694922</v>
      </c>
    </row>
    <row r="306" spans="1:7" x14ac:dyDescent="0.2">
      <c r="A306" s="15">
        <v>44132</v>
      </c>
      <c r="B306" s="112">
        <v>1.7310000000000001</v>
      </c>
      <c r="C306" s="108">
        <f t="shared" si="70"/>
        <v>1.2000000000000011E-2</v>
      </c>
      <c r="D306" s="109" t="str">
        <f t="shared" si="71"/>
        <v>/</v>
      </c>
      <c r="E306" s="109">
        <f ca="1">IF(表2_36716262930345[[#This Row],[累计净值]]/MAX(INDIRECT("B21:B" &amp; ROW()))-1&lt;E305,表2_36716262930345[[#This Row],[累计净值]]/MAX(INDIRECT("B21:B" &amp; ROW()))-1,E305)</f>
        <v>-8.0876158382476859E-2</v>
      </c>
      <c r="F306" s="110">
        <f>表2_36716262930345[[#This Row],[累计净值]]</f>
        <v>1.7310000000000001</v>
      </c>
      <c r="G306" s="20">
        <f>表2_36716262930345[[#This Row],[累计净值]]/$B$22-1</f>
        <v>0.46694915254237301</v>
      </c>
    </row>
    <row r="307" spans="1:7" x14ac:dyDescent="0.2">
      <c r="A307" s="15">
        <v>44133</v>
      </c>
      <c r="B307" s="112">
        <v>1.75</v>
      </c>
      <c r="C307" s="108">
        <f t="shared" si="70"/>
        <v>1.8999999999999906E-2</v>
      </c>
      <c r="D307" s="109" t="str">
        <f t="shared" si="71"/>
        <v>/</v>
      </c>
      <c r="E307" s="109">
        <f ca="1">IF(表2_36716262930345[[#This Row],[累计净值]]/MAX(INDIRECT("B21:B" &amp; ROW()))-1&lt;E306,表2_36716262930345[[#This Row],[累计净值]]/MAX(INDIRECT("B21:B" &amp; ROW()))-1,E306)</f>
        <v>-8.0876158382476859E-2</v>
      </c>
      <c r="F307" s="110">
        <f>表2_36716262930345[[#This Row],[累计净值]]</f>
        <v>1.75</v>
      </c>
      <c r="G307" s="20">
        <f>表2_36716262930345[[#This Row],[累计净值]]/$B$22-1</f>
        <v>0.48305084745762716</v>
      </c>
    </row>
    <row r="308" spans="1:7" x14ac:dyDescent="0.2">
      <c r="A308" s="15">
        <v>44134</v>
      </c>
      <c r="B308" s="112">
        <v>1.778</v>
      </c>
      <c r="C308" s="108">
        <f t="shared" si="70"/>
        <v>2.8000000000000025E-2</v>
      </c>
      <c r="D308" s="109" t="str">
        <f t="shared" si="71"/>
        <v>/</v>
      </c>
      <c r="E308" s="109">
        <f ca="1">IF(表2_36716262930345[[#This Row],[累计净值]]/MAX(INDIRECT("B21:B" &amp; ROW()))-1&lt;E307,表2_36716262930345[[#This Row],[累计净值]]/MAX(INDIRECT("B21:B" &amp; ROW()))-1,E307)</f>
        <v>-8.0876158382476859E-2</v>
      </c>
      <c r="F308" s="110">
        <f>表2_36716262930345[[#This Row],[累计净值]]</f>
        <v>1.778</v>
      </c>
      <c r="G308" s="20">
        <f>表2_36716262930345[[#This Row],[累计净值]]/$B$22-1</f>
        <v>0.50677966101694927</v>
      </c>
    </row>
    <row r="309" spans="1:7" x14ac:dyDescent="0.2">
      <c r="A309" s="15">
        <v>44137</v>
      </c>
      <c r="B309" s="112">
        <v>1.8260000000000001</v>
      </c>
      <c r="C309" s="108">
        <f t="shared" si="70"/>
        <v>4.8000000000000043E-2</v>
      </c>
      <c r="D309" s="109" t="str">
        <f t="shared" si="71"/>
        <v>/</v>
      </c>
      <c r="E309" s="109">
        <f ca="1">IF(表2_36716262930345[[#This Row],[累计净值]]/MAX(INDIRECT("B21:B" &amp; ROW()))-1&lt;E308,表2_36716262930345[[#This Row],[累计净值]]/MAX(INDIRECT("B21:B" &amp; ROW()))-1,E308)</f>
        <v>-8.0876158382476859E-2</v>
      </c>
      <c r="F309" s="110">
        <f>表2_36716262930345[[#This Row],[累计净值]]</f>
        <v>1.8260000000000001</v>
      </c>
      <c r="G309" s="20">
        <f>表2_36716262930345[[#This Row],[累计净值]]/$B$22-1</f>
        <v>0.54745762711864421</v>
      </c>
    </row>
    <row r="310" spans="1:7" x14ac:dyDescent="0.2">
      <c r="A310" s="15">
        <v>44138</v>
      </c>
      <c r="B310" s="112">
        <v>1.825</v>
      </c>
      <c r="C310" s="108">
        <f t="shared" si="70"/>
        <v>-1.0000000000001119E-3</v>
      </c>
      <c r="D310" s="109">
        <f t="shared" si="71"/>
        <v>-1.0000000000001119E-3</v>
      </c>
      <c r="E310" s="109">
        <f ca="1">IF(表2_36716262930345[[#This Row],[累计净值]]/MAX(INDIRECT("B21:B" &amp; ROW()))-1&lt;E309,表2_36716262930345[[#This Row],[累计净值]]/MAX(INDIRECT("B21:B" &amp; ROW()))-1,E309)</f>
        <v>-8.0876158382476859E-2</v>
      </c>
      <c r="F310" s="110">
        <f>表2_36716262930345[[#This Row],[累计净值]]</f>
        <v>1.825</v>
      </c>
      <c r="G310" s="20">
        <f>表2_36716262930345[[#This Row],[累计净值]]/$B$22-1</f>
        <v>0.54661016949152552</v>
      </c>
    </row>
    <row r="311" spans="1:7" x14ac:dyDescent="0.2">
      <c r="A311" s="15">
        <v>44139</v>
      </c>
      <c r="B311" s="112">
        <v>1.825</v>
      </c>
      <c r="C311" s="108">
        <f t="shared" ref="C311:C316" si="72">IFERROR(B311-B310,0)</f>
        <v>0</v>
      </c>
      <c r="D311" s="109" t="str">
        <f t="shared" ref="D311:D316" si="73">IF(C311&lt;0,C311,"/")</f>
        <v>/</v>
      </c>
      <c r="E311" s="109">
        <f ca="1">IF(表2_36716262930345[[#This Row],[累计净值]]/MAX(INDIRECT("B21:B" &amp; ROW()))-1&lt;E310,表2_36716262930345[[#This Row],[累计净值]]/MAX(INDIRECT("B21:B" &amp; ROW()))-1,E310)</f>
        <v>-8.0876158382476859E-2</v>
      </c>
      <c r="F311" s="110">
        <f>表2_36716262930345[[#This Row],[累计净值]]</f>
        <v>1.825</v>
      </c>
      <c r="G311" s="20">
        <f>表2_36716262930345[[#This Row],[累计净值]]/$B$22-1</f>
        <v>0.54661016949152552</v>
      </c>
    </row>
    <row r="312" spans="1:7" x14ac:dyDescent="0.2">
      <c r="A312" s="15">
        <v>44140</v>
      </c>
      <c r="B312" s="112">
        <v>1.835</v>
      </c>
      <c r="C312" s="108">
        <f t="shared" si="72"/>
        <v>1.0000000000000009E-2</v>
      </c>
      <c r="D312" s="109" t="str">
        <f t="shared" si="73"/>
        <v>/</v>
      </c>
      <c r="E312" s="109">
        <f ca="1">IF(表2_36716262930345[[#This Row],[累计净值]]/MAX(INDIRECT("B21:B" &amp; ROW()))-1&lt;E311,表2_36716262930345[[#This Row],[累计净值]]/MAX(INDIRECT("B21:B" &amp; ROW()))-1,E311)</f>
        <v>-8.0876158382476859E-2</v>
      </c>
      <c r="F312" s="110">
        <f>表2_36716262930345[[#This Row],[累计净值]]</f>
        <v>1.835</v>
      </c>
      <c r="G312" s="20">
        <f>表2_36716262930345[[#This Row],[累计净值]]/$B$22-1</f>
        <v>0.55508474576271194</v>
      </c>
    </row>
    <row r="313" spans="1:7" x14ac:dyDescent="0.2">
      <c r="A313" s="15">
        <v>44141</v>
      </c>
      <c r="B313" s="112">
        <v>1.8580000000000001</v>
      </c>
      <c r="C313" s="108">
        <f t="shared" si="72"/>
        <v>2.3000000000000131E-2</v>
      </c>
      <c r="D313" s="109" t="str">
        <f t="shared" si="73"/>
        <v>/</v>
      </c>
      <c r="E313" s="109">
        <f ca="1">IF(表2_36716262930345[[#This Row],[累计净值]]/MAX(INDIRECT("B21:B" &amp; ROW()))-1&lt;E312,表2_36716262930345[[#This Row],[累计净值]]/MAX(INDIRECT("B21:B" &amp; ROW()))-1,E312)</f>
        <v>-8.0876158382476859E-2</v>
      </c>
      <c r="F313" s="110">
        <f>表2_36716262930345[[#This Row],[累计净值]]</f>
        <v>1.8580000000000001</v>
      </c>
      <c r="G313" s="20">
        <f>表2_36716262930345[[#This Row],[累计净值]]/$B$22-1</f>
        <v>0.57457627118644083</v>
      </c>
    </row>
    <row r="314" spans="1:7" x14ac:dyDescent="0.2">
      <c r="A314" s="15">
        <v>44144</v>
      </c>
      <c r="B314" s="112">
        <v>1.8839999999999999</v>
      </c>
      <c r="C314" s="108">
        <f t="shared" si="72"/>
        <v>2.5999999999999801E-2</v>
      </c>
      <c r="D314" s="109" t="str">
        <f t="shared" si="73"/>
        <v>/</v>
      </c>
      <c r="E314" s="109">
        <f ca="1">IF(表2_36716262930345[[#This Row],[累计净值]]/MAX(INDIRECT("B21:B" &amp; ROW()))-1&lt;E313,表2_36716262930345[[#This Row],[累计净值]]/MAX(INDIRECT("B21:B" &amp; ROW()))-1,E313)</f>
        <v>-8.0876158382476859E-2</v>
      </c>
      <c r="F314" s="110">
        <f>表2_36716262930345[[#This Row],[累计净值]]</f>
        <v>1.8839999999999999</v>
      </c>
      <c r="G314" s="20">
        <f>表2_36716262930345[[#This Row],[累计净值]]/$B$22-1</f>
        <v>0.59661016949152534</v>
      </c>
    </row>
    <row r="315" spans="1:7" x14ac:dyDescent="0.2">
      <c r="A315" s="15">
        <v>44145</v>
      </c>
      <c r="B315" s="112">
        <v>1.8460000000000001</v>
      </c>
      <c r="C315" s="108">
        <f t="shared" si="72"/>
        <v>-3.7999999999999812E-2</v>
      </c>
      <c r="D315" s="109">
        <f t="shared" si="73"/>
        <v>-3.7999999999999812E-2</v>
      </c>
      <c r="E315" s="109">
        <f ca="1">IF(表2_36716262930345[[#This Row],[累计净值]]/MAX(INDIRECT("B21:B" &amp; ROW()))-1&lt;E314,表2_36716262930345[[#This Row],[累计净值]]/MAX(INDIRECT("B21:B" &amp; ROW()))-1,E314)</f>
        <v>-8.0876158382476859E-2</v>
      </c>
      <c r="F315" s="110">
        <f>表2_36716262930345[[#This Row],[累计净值]]</f>
        <v>1.8460000000000001</v>
      </c>
      <c r="G315" s="20">
        <f>表2_36716262930345[[#This Row],[累计净值]]/$B$22-1</f>
        <v>0.56440677966101704</v>
      </c>
    </row>
    <row r="316" spans="1:7" x14ac:dyDescent="0.2">
      <c r="A316" s="15">
        <v>44146</v>
      </c>
      <c r="B316" s="112">
        <v>1.835</v>
      </c>
      <c r="C316" s="108">
        <f t="shared" si="72"/>
        <v>-1.1000000000000121E-2</v>
      </c>
      <c r="D316" s="109">
        <f t="shared" si="73"/>
        <v>-1.1000000000000121E-2</v>
      </c>
      <c r="E316" s="109">
        <f ca="1">IF(表2_36716262930345[[#This Row],[累计净值]]/MAX(INDIRECT("B21:B" &amp; ROW()))-1&lt;E315,表2_36716262930345[[#This Row],[累计净值]]/MAX(INDIRECT("B21:B" &amp; ROW()))-1,E315)</f>
        <v>-8.0876158382476859E-2</v>
      </c>
      <c r="F316" s="110">
        <f>表2_36716262930345[[#This Row],[累计净值]]</f>
        <v>1.835</v>
      </c>
      <c r="G316" s="20">
        <f>表2_36716262930345[[#This Row],[累计净值]]/$B$22-1</f>
        <v>0.55508474576271194</v>
      </c>
    </row>
    <row r="317" spans="1:7" x14ac:dyDescent="0.2">
      <c r="A317" s="15">
        <v>44147</v>
      </c>
      <c r="B317" s="112">
        <v>1.837</v>
      </c>
      <c r="C317" s="108">
        <f t="shared" ref="C317:C318" si="74">IFERROR(B317-B316,0)</f>
        <v>2.0000000000000018E-3</v>
      </c>
      <c r="D317" s="109" t="str">
        <f t="shared" ref="D317:D318" si="75">IF(C317&lt;0,C317,"/")</f>
        <v>/</v>
      </c>
      <c r="E317" s="109">
        <f ca="1">IF(表2_36716262930345[[#This Row],[累计净值]]/MAX(INDIRECT("B21:B" &amp; ROW()))-1&lt;E316,表2_36716262930345[[#This Row],[累计净值]]/MAX(INDIRECT("B21:B" &amp; ROW()))-1,E316)</f>
        <v>-8.0876158382476859E-2</v>
      </c>
      <c r="F317" s="110">
        <f>表2_36716262930345[[#This Row],[累计净值]]</f>
        <v>1.837</v>
      </c>
      <c r="G317" s="20">
        <f>表2_36716262930345[[#This Row],[累计净值]]/$B$22-1</f>
        <v>0.55677966101694931</v>
      </c>
    </row>
    <row r="318" spans="1:7" x14ac:dyDescent="0.2">
      <c r="A318" s="15">
        <v>44148</v>
      </c>
      <c r="B318" s="112">
        <v>1.851</v>
      </c>
      <c r="C318" s="108">
        <f t="shared" si="74"/>
        <v>1.4000000000000012E-2</v>
      </c>
      <c r="D318" s="109" t="str">
        <f t="shared" si="75"/>
        <v>/</v>
      </c>
      <c r="E318" s="109">
        <f ca="1">IF(表2_36716262930345[[#This Row],[累计净值]]/MAX(INDIRECT("B21:B" &amp; ROW()))-1&lt;E317,表2_36716262930345[[#This Row],[累计净值]]/MAX(INDIRECT("B21:B" &amp; ROW()))-1,E317)</f>
        <v>-8.0876158382476859E-2</v>
      </c>
      <c r="F318" s="110">
        <f>表2_36716262930345[[#This Row],[累计净值]]</f>
        <v>1.851</v>
      </c>
      <c r="G318" s="20">
        <f>表2_36716262930345[[#This Row],[累计净值]]/$B$22-1</f>
        <v>0.56864406779661025</v>
      </c>
    </row>
    <row r="319" spans="1:7" x14ac:dyDescent="0.2">
      <c r="A319" s="15">
        <v>44151</v>
      </c>
      <c r="B319" s="112">
        <v>1.857</v>
      </c>
      <c r="C319" s="108">
        <f>IFERROR(B319-B318,0)</f>
        <v>6.0000000000000053E-3</v>
      </c>
      <c r="D319" s="109" t="str">
        <f>IF(C319&lt;0,C319,"/")</f>
        <v>/</v>
      </c>
      <c r="E319" s="109">
        <f ca="1">IF(表2_36716262930345[[#This Row],[累计净值]]/MAX(INDIRECT("B21:B" &amp; ROW()))-1&lt;E318,表2_36716262930345[[#This Row],[累计净值]]/MAX(INDIRECT("B21:B" &amp; ROW()))-1,E318)</f>
        <v>-8.0876158382476859E-2</v>
      </c>
      <c r="F319" s="110">
        <f>表2_36716262930345[[#This Row],[累计净值]]</f>
        <v>1.857</v>
      </c>
      <c r="G319" s="20">
        <f>表2_36716262930345[[#This Row],[累计净值]]/$B$22-1</f>
        <v>0.57372881355932215</v>
      </c>
    </row>
    <row r="320" spans="1:7" x14ac:dyDescent="0.2">
      <c r="A320" s="15">
        <v>44152</v>
      </c>
      <c r="B320" s="112">
        <v>1.861</v>
      </c>
      <c r="C320" s="108">
        <f t="shared" ref="C320:C321" si="76">IFERROR(B320-B319,0)</f>
        <v>4.0000000000000036E-3</v>
      </c>
      <c r="D320" s="109" t="str">
        <f t="shared" ref="D320:D321" si="77">IF(C320&lt;0,C320,"/")</f>
        <v>/</v>
      </c>
      <c r="E320" s="109">
        <f ca="1">IF(表2_36716262930345[[#This Row],[累计净值]]/MAX(INDIRECT("B21:B" &amp; ROW()))-1&lt;E319,表2_36716262930345[[#This Row],[累计净值]]/MAX(INDIRECT("B21:B" &amp; ROW()))-1,E319)</f>
        <v>-8.0876158382476859E-2</v>
      </c>
      <c r="F320" s="110">
        <f>表2_36716262930345[[#This Row],[累计净值]]</f>
        <v>1.861</v>
      </c>
      <c r="G320" s="20">
        <f>表2_36716262930345[[#This Row],[累计净值]]/$B$22-1</f>
        <v>0.57711864406779667</v>
      </c>
    </row>
    <row r="321" spans="1:7" x14ac:dyDescent="0.2">
      <c r="A321" s="15">
        <v>44153</v>
      </c>
      <c r="B321" s="112">
        <v>1.891</v>
      </c>
      <c r="C321" s="108">
        <f t="shared" si="76"/>
        <v>3.0000000000000027E-2</v>
      </c>
      <c r="D321" s="109" t="str">
        <f t="shared" si="77"/>
        <v>/</v>
      </c>
      <c r="E321" s="109">
        <f ca="1">IF(表2_36716262930345[[#This Row],[累计净值]]/MAX(INDIRECT("B21:B" &amp; ROW()))-1&lt;E320,表2_36716262930345[[#This Row],[累计净值]]/MAX(INDIRECT("B21:B" &amp; ROW()))-1,E320)</f>
        <v>-8.0876158382476859E-2</v>
      </c>
      <c r="F321" s="110">
        <f>表2_36716262930345[[#This Row],[累计净值]]</f>
        <v>1.891</v>
      </c>
      <c r="G321" s="20">
        <f>表2_36716262930345[[#This Row],[累计净值]]/$B$22-1</f>
        <v>0.60254237288135593</v>
      </c>
    </row>
    <row r="322" spans="1:7" x14ac:dyDescent="0.2">
      <c r="A322" s="15">
        <v>44154</v>
      </c>
      <c r="B322" s="112">
        <v>1.91</v>
      </c>
      <c r="C322" s="108">
        <f t="shared" ref="C322:C327" si="78">IFERROR(B322-B321,0)</f>
        <v>1.8999999999999906E-2</v>
      </c>
      <c r="D322" s="109" t="str">
        <f t="shared" ref="D322:D327" si="79">IF(C322&lt;0,C322,"/")</f>
        <v>/</v>
      </c>
      <c r="E322" s="109">
        <f ca="1">IF(表2_36716262930345[[#This Row],[累计净值]]/MAX(INDIRECT("B21:B" &amp; ROW()))-1&lt;E321,表2_36716262930345[[#This Row],[累计净值]]/MAX(INDIRECT("B21:B" &amp; ROW()))-1,E321)</f>
        <v>-8.0876158382476859E-2</v>
      </c>
      <c r="F322" s="110">
        <f>表2_36716262930345[[#This Row],[累计净值]]</f>
        <v>1.91</v>
      </c>
      <c r="G322" s="20">
        <f>表2_36716262930345[[#This Row],[累计净值]]/$B$22-1</f>
        <v>0.6186440677966103</v>
      </c>
    </row>
    <row r="323" spans="1:7" x14ac:dyDescent="0.2">
      <c r="A323" s="15">
        <v>44155</v>
      </c>
      <c r="B323" s="112">
        <v>1.9039999999999999</v>
      </c>
      <c r="C323" s="108">
        <f t="shared" si="78"/>
        <v>-6.0000000000000053E-3</v>
      </c>
      <c r="D323" s="109">
        <f t="shared" si="79"/>
        <v>-6.0000000000000053E-3</v>
      </c>
      <c r="E323" s="109">
        <f ca="1">IF(表2_36716262930345[[#This Row],[累计净值]]/MAX(INDIRECT("B21:B" &amp; ROW()))-1&lt;E322,表2_36716262930345[[#This Row],[累计净值]]/MAX(INDIRECT("B21:B" &amp; ROW()))-1,E322)</f>
        <v>-8.0876158382476859E-2</v>
      </c>
      <c r="F323" s="110">
        <f>表2_36716262930345[[#This Row],[累计净值]]</f>
        <v>1.9039999999999999</v>
      </c>
      <c r="G323" s="20">
        <f>表2_36716262930345[[#This Row],[累计净值]]/$B$22-1</f>
        <v>0.6135593220338984</v>
      </c>
    </row>
    <row r="324" spans="1:7" x14ac:dyDescent="0.2">
      <c r="A324" s="15">
        <v>44158</v>
      </c>
      <c r="B324" s="112">
        <v>1.8959999999999999</v>
      </c>
      <c r="C324" s="108">
        <f t="shared" si="78"/>
        <v>-8.0000000000000071E-3</v>
      </c>
      <c r="D324" s="109">
        <f t="shared" si="79"/>
        <v>-8.0000000000000071E-3</v>
      </c>
      <c r="E324" s="109">
        <f ca="1">IF(表2_36716262930345[[#This Row],[累计净值]]/MAX(INDIRECT("B21:B" &amp; ROW()))-1&lt;E323,表2_36716262930345[[#This Row],[累计净值]]/MAX(INDIRECT("B21:B" &amp; ROW()))-1,E323)</f>
        <v>-8.0876158382476859E-2</v>
      </c>
      <c r="F324" s="110">
        <f>表2_36716262930345[[#This Row],[累计净值]]</f>
        <v>1.8959999999999999</v>
      </c>
      <c r="G324" s="20">
        <f>表2_36716262930345[[#This Row],[累计净值]]/$B$22-1</f>
        <v>0.60677966101694913</v>
      </c>
    </row>
    <row r="325" spans="1:7" x14ac:dyDescent="0.2">
      <c r="A325" s="15">
        <v>44159</v>
      </c>
      <c r="B325" s="112">
        <v>1.8759999999999999</v>
      </c>
      <c r="C325" s="108">
        <f t="shared" si="78"/>
        <v>-2.0000000000000018E-2</v>
      </c>
      <c r="D325" s="109">
        <f t="shared" si="79"/>
        <v>-2.0000000000000018E-2</v>
      </c>
      <c r="E325" s="109">
        <f ca="1">IF(表2_36716262930345[[#This Row],[累计净值]]/MAX(INDIRECT("B21:B" &amp; ROW()))-1&lt;E324,表2_36716262930345[[#This Row],[累计净值]]/MAX(INDIRECT("B21:B" &amp; ROW()))-1,E324)</f>
        <v>-8.0876158382476859E-2</v>
      </c>
      <c r="F325" s="110">
        <f>表2_36716262930345[[#This Row],[累计净值]]</f>
        <v>1.8759999999999999</v>
      </c>
      <c r="G325" s="20">
        <f>表2_36716262930345[[#This Row],[累计净值]]/$B$22-1</f>
        <v>0.5898305084745763</v>
      </c>
    </row>
    <row r="326" spans="1:7" x14ac:dyDescent="0.2">
      <c r="A326" s="15">
        <v>44160</v>
      </c>
      <c r="B326" s="112">
        <v>1.859</v>
      </c>
      <c r="C326" s="108">
        <f t="shared" si="78"/>
        <v>-1.6999999999999904E-2</v>
      </c>
      <c r="D326" s="109">
        <f t="shared" si="79"/>
        <v>-1.6999999999999904E-2</v>
      </c>
      <c r="E326" s="109">
        <f ca="1">IF(表2_36716262930345[[#This Row],[累计净值]]/MAX(INDIRECT("B21:B" &amp; ROW()))-1&lt;E325,表2_36716262930345[[#This Row],[累计净值]]/MAX(INDIRECT("B21:B" &amp; ROW()))-1,E325)</f>
        <v>-8.0876158382476859E-2</v>
      </c>
      <c r="F326" s="110">
        <f>表2_36716262930345[[#This Row],[累计净值]]</f>
        <v>1.859</v>
      </c>
      <c r="G326" s="20">
        <f>表2_36716262930345[[#This Row],[累计净值]]/$B$22-1</f>
        <v>0.5754237288135593</v>
      </c>
    </row>
    <row r="327" spans="1:7" x14ac:dyDescent="0.2">
      <c r="A327" s="15">
        <v>44161</v>
      </c>
      <c r="B327" s="112">
        <v>1.865</v>
      </c>
      <c r="C327" s="108">
        <f t="shared" si="78"/>
        <v>6.0000000000000053E-3</v>
      </c>
      <c r="D327" s="109" t="str">
        <f t="shared" si="79"/>
        <v>/</v>
      </c>
      <c r="E327" s="109">
        <f ca="1">IF(表2_36716262930345[[#This Row],[累计净值]]/MAX(INDIRECT("B21:B" &amp; ROW()))-1&lt;E326,表2_36716262930345[[#This Row],[累计净值]]/MAX(INDIRECT("B21:B" &amp; ROW()))-1,E326)</f>
        <v>-8.0876158382476859E-2</v>
      </c>
      <c r="F327" s="110">
        <f>表2_36716262930345[[#This Row],[累计净值]]</f>
        <v>1.865</v>
      </c>
      <c r="G327" s="20">
        <f>表2_36716262930345[[#This Row],[累计净值]]/$B$22-1</f>
        <v>0.58050847457627119</v>
      </c>
    </row>
    <row r="328" spans="1:7" x14ac:dyDescent="0.2">
      <c r="A328" s="15">
        <v>44162</v>
      </c>
      <c r="B328" s="112">
        <v>1.887</v>
      </c>
      <c r="C328" s="108">
        <f t="shared" ref="C328:C333" si="80">IFERROR(B328-B327,0)</f>
        <v>2.200000000000002E-2</v>
      </c>
      <c r="D328" s="109" t="str">
        <f t="shared" ref="D328:D333" si="81">IF(C328&lt;0,C328,"/")</f>
        <v>/</v>
      </c>
      <c r="E328" s="109">
        <f ca="1">IF(表2_36716262930345[[#This Row],[累计净值]]/MAX(INDIRECT("B21:B" &amp; ROW()))-1&lt;E327,表2_36716262930345[[#This Row],[累计净值]]/MAX(INDIRECT("B21:B" &amp; ROW()))-1,E327)</f>
        <v>-8.0876158382476859E-2</v>
      </c>
      <c r="F328" s="110">
        <f>表2_36716262930345[[#This Row],[累计净值]]</f>
        <v>1.887</v>
      </c>
      <c r="G328" s="20">
        <f>表2_36716262930345[[#This Row],[累计净值]]/$B$22-1</f>
        <v>0.5991525423728814</v>
      </c>
    </row>
    <row r="329" spans="1:7" x14ac:dyDescent="0.2">
      <c r="A329" s="15">
        <v>44165</v>
      </c>
      <c r="B329" s="112">
        <v>1.909</v>
      </c>
      <c r="C329" s="108">
        <f t="shared" si="80"/>
        <v>2.200000000000002E-2</v>
      </c>
      <c r="D329" s="109" t="str">
        <f t="shared" si="81"/>
        <v>/</v>
      </c>
      <c r="E329" s="109">
        <f ca="1">IF(表2_36716262930345[[#This Row],[累计净值]]/MAX(INDIRECT("B21:B" &amp; ROW()))-1&lt;E328,表2_36716262930345[[#This Row],[累计净值]]/MAX(INDIRECT("B21:B" &amp; ROW()))-1,E328)</f>
        <v>-8.0876158382476859E-2</v>
      </c>
      <c r="F329" s="110">
        <f>表2_36716262930345[[#This Row],[累计净值]]</f>
        <v>1.909</v>
      </c>
      <c r="G329" s="20">
        <f>表2_36716262930345[[#This Row],[累计净值]]/$B$22-1</f>
        <v>0.61779661016949161</v>
      </c>
    </row>
    <row r="330" spans="1:7" x14ac:dyDescent="0.2">
      <c r="A330" s="15">
        <v>44166</v>
      </c>
      <c r="B330" s="112">
        <v>1.9379999999999999</v>
      </c>
      <c r="C330" s="108">
        <f t="shared" si="80"/>
        <v>2.8999999999999915E-2</v>
      </c>
      <c r="D330" s="109" t="str">
        <f t="shared" si="81"/>
        <v>/</v>
      </c>
      <c r="E330" s="109">
        <f ca="1">IF(表2_36716262930345[[#This Row],[累计净值]]/MAX(INDIRECT("B21:B" &amp; ROW()))-1&lt;E329,表2_36716262930345[[#This Row],[累计净值]]/MAX(INDIRECT("B21:B" &amp; ROW()))-1,E329)</f>
        <v>-8.0876158382476859E-2</v>
      </c>
      <c r="F330" s="110">
        <f>表2_36716262930345[[#This Row],[累计净值]]</f>
        <v>1.9379999999999999</v>
      </c>
      <c r="G330" s="20">
        <f>表2_36716262930345[[#This Row],[累计净值]]/$B$22-1</f>
        <v>0.64237288135593218</v>
      </c>
    </row>
    <row r="331" spans="1:7" x14ac:dyDescent="0.2">
      <c r="A331" s="15">
        <v>44167</v>
      </c>
      <c r="B331" s="112">
        <v>1.982</v>
      </c>
      <c r="C331" s="108">
        <f t="shared" si="80"/>
        <v>4.4000000000000039E-2</v>
      </c>
      <c r="D331" s="109" t="str">
        <f t="shared" si="81"/>
        <v>/</v>
      </c>
      <c r="E331" s="109">
        <f ca="1">IF(表2_36716262930345[[#This Row],[累计净值]]/MAX(INDIRECT("B21:B" &amp; ROW()))-1&lt;E330,表2_36716262930345[[#This Row],[累计净值]]/MAX(INDIRECT("B21:B" &amp; ROW()))-1,E330)</f>
        <v>-8.0876158382476859E-2</v>
      </c>
      <c r="F331" s="110">
        <f>表2_36716262930345[[#This Row],[累计净值]]</f>
        <v>1.982</v>
      </c>
      <c r="G331" s="20">
        <f>表2_36716262930345[[#This Row],[累计净值]]/$B$22-1</f>
        <v>0.6796610169491526</v>
      </c>
    </row>
    <row r="332" spans="1:7" x14ac:dyDescent="0.2">
      <c r="A332" s="15">
        <v>44168</v>
      </c>
      <c r="B332" s="112">
        <v>1.9690000000000001</v>
      </c>
      <c r="C332" s="108">
        <f t="shared" si="80"/>
        <v>-1.2999999999999901E-2</v>
      </c>
      <c r="D332" s="109">
        <f t="shared" si="81"/>
        <v>-1.2999999999999901E-2</v>
      </c>
      <c r="E332" s="109">
        <f ca="1">IF(表2_36716262930345[[#This Row],[累计净值]]/MAX(INDIRECT("B21:B" &amp; ROW()))-1&lt;E331,表2_36716262930345[[#This Row],[累计净值]]/MAX(INDIRECT("B21:B" &amp; ROW()))-1,E331)</f>
        <v>-8.0876158382476859E-2</v>
      </c>
      <c r="F332" s="110">
        <f>表2_36716262930345[[#This Row],[累计净值]]</f>
        <v>1.9690000000000001</v>
      </c>
      <c r="G332" s="20">
        <f>表2_36716262930345[[#This Row],[累计净值]]/$B$22-1</f>
        <v>0.66864406779661034</v>
      </c>
    </row>
    <row r="333" spans="1:7" x14ac:dyDescent="0.2">
      <c r="A333" s="15">
        <v>44169</v>
      </c>
      <c r="B333" s="112">
        <v>1.9650000000000001</v>
      </c>
      <c r="C333" s="108">
        <f t="shared" si="80"/>
        <v>-4.0000000000000036E-3</v>
      </c>
      <c r="D333" s="109">
        <f t="shared" si="81"/>
        <v>-4.0000000000000036E-3</v>
      </c>
      <c r="E333" s="109">
        <f ca="1">IF(表2_36716262930345[[#This Row],[累计净值]]/MAX(INDIRECT("B21:B" &amp; ROW()))-1&lt;E332,表2_36716262930345[[#This Row],[累计净值]]/MAX(INDIRECT("B21:B" &amp; ROW()))-1,E332)</f>
        <v>-8.0876158382476859E-2</v>
      </c>
      <c r="F333" s="110">
        <f>表2_36716262930345[[#This Row],[累计净值]]</f>
        <v>1.9650000000000001</v>
      </c>
      <c r="G333" s="20">
        <f>表2_36716262930345[[#This Row],[累计净值]]/$B$22-1</f>
        <v>0.66525423728813582</v>
      </c>
    </row>
    <row r="334" spans="1:7" x14ac:dyDescent="0.2">
      <c r="A334" s="15">
        <v>44172</v>
      </c>
      <c r="B334" s="112">
        <v>1.9910000000000001</v>
      </c>
      <c r="C334" s="108">
        <f t="shared" ref="C334:C339" si="82">IFERROR(B334-B333,0)</f>
        <v>2.6000000000000023E-2</v>
      </c>
      <c r="D334" s="109" t="str">
        <f t="shared" ref="D334:D339" si="83">IF(C334&lt;0,C334,"/")</f>
        <v>/</v>
      </c>
      <c r="E334" s="109">
        <f ca="1">IF(表2_36716262930345[[#This Row],[累计净值]]/MAX(INDIRECT("B21:B" &amp; ROW()))-1&lt;E333,表2_36716262930345[[#This Row],[累计净值]]/MAX(INDIRECT("B21:B" &amp; ROW()))-1,E333)</f>
        <v>-8.0876158382476859E-2</v>
      </c>
      <c r="F334" s="110">
        <f>表2_36716262930345[[#This Row],[累计净值]]</f>
        <v>1.9910000000000001</v>
      </c>
      <c r="G334" s="20">
        <f>表2_36716262930345[[#This Row],[累计净值]]/$B$22-1</f>
        <v>0.68728813559322055</v>
      </c>
    </row>
    <row r="335" spans="1:7" x14ac:dyDescent="0.2">
      <c r="A335" s="15">
        <v>44173</v>
      </c>
      <c r="B335" s="112">
        <v>1.996</v>
      </c>
      <c r="C335" s="108">
        <f t="shared" si="82"/>
        <v>4.9999999999998934E-3</v>
      </c>
      <c r="D335" s="109" t="str">
        <f t="shared" si="83"/>
        <v>/</v>
      </c>
      <c r="E335" s="109">
        <f ca="1">IF(表2_36716262930345[[#This Row],[累计净值]]/MAX(INDIRECT("B21:B" &amp; ROW()))-1&lt;E334,表2_36716262930345[[#This Row],[累计净值]]/MAX(INDIRECT("B21:B" &amp; ROW()))-1,E334)</f>
        <v>-8.0876158382476859E-2</v>
      </c>
      <c r="F335" s="110">
        <f>表2_36716262930345[[#This Row],[累计净值]]</f>
        <v>1.996</v>
      </c>
      <c r="G335" s="20">
        <f>表2_36716262930345[[#This Row],[累计净值]]/$B$22-1</f>
        <v>0.69152542372881354</v>
      </c>
    </row>
    <row r="336" spans="1:7" x14ac:dyDescent="0.2">
      <c r="A336" s="15">
        <v>44174</v>
      </c>
      <c r="B336" s="112">
        <v>2.012</v>
      </c>
      <c r="C336" s="108">
        <f t="shared" si="82"/>
        <v>1.6000000000000014E-2</v>
      </c>
      <c r="D336" s="109" t="str">
        <f t="shared" si="83"/>
        <v>/</v>
      </c>
      <c r="E336" s="109">
        <f ca="1">IF(表2_36716262930345[[#This Row],[累计净值]]/MAX(INDIRECT("B21:B" &amp; ROW()))-1&lt;E335,表2_36716262930345[[#This Row],[累计净值]]/MAX(INDIRECT("B21:B" &amp; ROW()))-1,E335)</f>
        <v>-8.0876158382476859E-2</v>
      </c>
      <c r="F336" s="110">
        <f>表2_36716262930345[[#This Row],[累计净值]]</f>
        <v>2.012</v>
      </c>
      <c r="G336" s="20">
        <f>表2_36716262930345[[#This Row],[累计净值]]/$B$22-1</f>
        <v>0.70508474576271207</v>
      </c>
    </row>
    <row r="337" spans="1:7" x14ac:dyDescent="0.2">
      <c r="A337" s="15">
        <v>44175</v>
      </c>
      <c r="B337" s="112">
        <v>2.0590000000000002</v>
      </c>
      <c r="C337" s="108">
        <f t="shared" si="82"/>
        <v>4.7000000000000153E-2</v>
      </c>
      <c r="D337" s="109" t="str">
        <f t="shared" si="83"/>
        <v>/</v>
      </c>
      <c r="E337" s="109">
        <f ca="1">IF(表2_36716262930345[[#This Row],[累计净值]]/MAX(INDIRECT("B21:B" &amp; ROW()))-1&lt;E336,表2_36716262930345[[#This Row],[累计净值]]/MAX(INDIRECT("B21:B" &amp; ROW()))-1,E336)</f>
        <v>-8.0876158382476859E-2</v>
      </c>
      <c r="F337" s="110">
        <f>表2_36716262930345[[#This Row],[累计净值]]</f>
        <v>2.0590000000000002</v>
      </c>
      <c r="G337" s="20">
        <f>表2_36716262930345[[#This Row],[累计净值]]/$B$22-1</f>
        <v>0.74491525423728833</v>
      </c>
    </row>
    <row r="338" spans="1:7" x14ac:dyDescent="0.2">
      <c r="A338" s="15">
        <v>44176</v>
      </c>
      <c r="B338" s="117">
        <v>2.0859999999999999</v>
      </c>
      <c r="C338" s="108">
        <f t="shared" si="82"/>
        <v>2.6999999999999691E-2</v>
      </c>
      <c r="D338" s="109" t="str">
        <f t="shared" si="83"/>
        <v>/</v>
      </c>
      <c r="E338" s="109">
        <f ca="1">IF(表2_36716262930345[[#This Row],[累计净值]]/MAX(INDIRECT("B21:B" &amp; ROW()))-1&lt;E337,表2_36716262930345[[#This Row],[累计净值]]/MAX(INDIRECT("B21:B" &amp; ROW()))-1,E337)</f>
        <v>-8.0876158382476859E-2</v>
      </c>
      <c r="F338" s="110">
        <f>表2_36716262930345[[#This Row],[累计净值]]</f>
        <v>2.0859999999999999</v>
      </c>
      <c r="G338" s="20">
        <f>表2_36716262930345[[#This Row],[累计净值]]/$B$22-1</f>
        <v>0.76779661016949152</v>
      </c>
    </row>
    <row r="339" spans="1:7" x14ac:dyDescent="0.2">
      <c r="A339" s="15">
        <v>44179</v>
      </c>
      <c r="B339" s="112">
        <v>2.0379999999999998</v>
      </c>
      <c r="C339" s="108">
        <f t="shared" si="82"/>
        <v>-4.8000000000000043E-2</v>
      </c>
      <c r="D339" s="109">
        <f t="shared" si="83"/>
        <v>-4.8000000000000043E-2</v>
      </c>
      <c r="E339" s="109">
        <f ca="1">IF(表2_36716262930345[[#This Row],[累计净值]]/MAX(INDIRECT("B21:B" &amp; ROW()))-1&lt;E338,表2_36716262930345[[#This Row],[累计净值]]/MAX(INDIRECT("B21:B" &amp; ROW()))-1,E338)</f>
        <v>-8.0876158382476859E-2</v>
      </c>
      <c r="F339" s="110">
        <f>表2_36716262930345[[#This Row],[累计净值]]</f>
        <v>2.0379999999999998</v>
      </c>
      <c r="G339" s="20">
        <f>表2_36716262930345[[#This Row],[累计净值]]/$B$22-1</f>
        <v>0.72711864406779658</v>
      </c>
    </row>
    <row r="340" spans="1:7" x14ac:dyDescent="0.2">
      <c r="A340" s="15">
        <v>44180</v>
      </c>
      <c r="B340" s="112">
        <v>1.99</v>
      </c>
      <c r="C340" s="108">
        <f t="shared" ref="C340:C346" si="84">IFERROR(B340-B339,0)</f>
        <v>-4.7999999999999821E-2</v>
      </c>
      <c r="D340" s="109">
        <f t="shared" ref="D340:D346" si="85">IF(C340&lt;0,C340,"/")</f>
        <v>-4.7999999999999821E-2</v>
      </c>
      <c r="E340" s="109">
        <f ca="1">IF(表2_36716262930345[[#This Row],[累计净值]]/MAX(INDIRECT("B21:B" &amp; ROW()))-1&lt;E339,表2_36716262930345[[#This Row],[累计净值]]/MAX(INDIRECT("B21:B" &amp; ROW()))-1,E339)</f>
        <v>-8.0876158382476859E-2</v>
      </c>
      <c r="F340" s="110">
        <f>表2_36716262930345[[#This Row],[累计净值]]</f>
        <v>1.99</v>
      </c>
      <c r="G340" s="20">
        <f>表2_36716262930345[[#This Row],[累计净值]]/$B$22-1</f>
        <v>0.68644067796610186</v>
      </c>
    </row>
    <row r="341" spans="1:7" x14ac:dyDescent="0.2">
      <c r="A341" s="15">
        <v>44181</v>
      </c>
      <c r="B341" s="112">
        <v>2.0070000000000001</v>
      </c>
      <c r="C341" s="108">
        <f t="shared" si="84"/>
        <v>1.7000000000000126E-2</v>
      </c>
      <c r="D341" s="109" t="str">
        <f t="shared" si="85"/>
        <v>/</v>
      </c>
      <c r="E341" s="109">
        <f ca="1">IF(表2_36716262930345[[#This Row],[累计净值]]/MAX(INDIRECT("B21:B" &amp; ROW()))-1&lt;E340,表2_36716262930345[[#This Row],[累计净值]]/MAX(INDIRECT("B21:B" &amp; ROW()))-1,E340)</f>
        <v>-8.0876158382476859E-2</v>
      </c>
      <c r="F341" s="110">
        <f>表2_36716262930345[[#This Row],[累计净值]]</f>
        <v>2.0070000000000001</v>
      </c>
      <c r="G341" s="20">
        <f>表2_36716262930345[[#This Row],[累计净值]]/$B$22-1</f>
        <v>0.70084745762711886</v>
      </c>
    </row>
    <row r="342" spans="1:7" x14ac:dyDescent="0.2">
      <c r="A342" s="15">
        <v>44182</v>
      </c>
      <c r="B342" s="112">
        <v>2.0019999999999998</v>
      </c>
      <c r="C342" s="108">
        <f t="shared" si="84"/>
        <v>-5.0000000000003375E-3</v>
      </c>
      <c r="D342" s="109">
        <f t="shared" si="85"/>
        <v>-5.0000000000003375E-3</v>
      </c>
      <c r="E342" s="109">
        <f ca="1">IF(表2_36716262930345[[#This Row],[累计净值]]/MAX(INDIRECT("B21:B" &amp; ROW()))-1&lt;E341,表2_36716262930345[[#This Row],[累计净值]]/MAX(INDIRECT("B21:B" &amp; ROW()))-1,E341)</f>
        <v>-8.0876158382476859E-2</v>
      </c>
      <c r="F342" s="110">
        <f>表2_36716262930345[[#This Row],[累计净值]]</f>
        <v>2.0019999999999998</v>
      </c>
      <c r="G342" s="20">
        <f>表2_36716262930345[[#This Row],[累计净值]]/$B$22-1</f>
        <v>0.69661016949152543</v>
      </c>
    </row>
    <row r="343" spans="1:7" x14ac:dyDescent="0.2">
      <c r="A343" s="15">
        <v>44183</v>
      </c>
      <c r="B343" s="112">
        <v>2.032</v>
      </c>
      <c r="C343" s="108">
        <f t="shared" si="84"/>
        <v>3.0000000000000249E-2</v>
      </c>
      <c r="D343" s="109" t="str">
        <f t="shared" si="85"/>
        <v>/</v>
      </c>
      <c r="E343" s="109">
        <f ca="1">IF(表2_36716262930345[[#This Row],[累计净值]]/MAX(INDIRECT("B21:B" &amp; ROW()))-1&lt;E342,表2_36716262930345[[#This Row],[累计净值]]/MAX(INDIRECT("B21:B" &amp; ROW()))-1,E342)</f>
        <v>-8.0876158382476859E-2</v>
      </c>
      <c r="F343" s="110">
        <f>表2_36716262930345[[#This Row],[累计净值]]</f>
        <v>2.032</v>
      </c>
      <c r="G343" s="20">
        <f>表2_36716262930345[[#This Row],[累计净值]]/$B$22-1</f>
        <v>0.72203389830508491</v>
      </c>
    </row>
    <row r="344" spans="1:7" x14ac:dyDescent="0.2">
      <c r="A344" s="15">
        <v>44186</v>
      </c>
      <c r="B344" s="112">
        <v>2.0489999999999999</v>
      </c>
      <c r="C344" s="108">
        <f t="shared" si="84"/>
        <v>1.6999999999999904E-2</v>
      </c>
      <c r="D344" s="109" t="str">
        <f t="shared" si="85"/>
        <v>/</v>
      </c>
      <c r="E344" s="109">
        <f ca="1">IF(表2_36716262930345[[#This Row],[累计净值]]/MAX(INDIRECT("B21:B" &amp; ROW()))-1&lt;E343,表2_36716262930345[[#This Row],[累计净值]]/MAX(INDIRECT("B21:B" &amp; ROW()))-1,E343)</f>
        <v>-8.0876158382476859E-2</v>
      </c>
      <c r="F344" s="110">
        <f>表2_36716262930345[[#This Row],[累计净值]]</f>
        <v>2.0489999999999999</v>
      </c>
      <c r="G344" s="20">
        <f>表2_36716262930345[[#This Row],[累计净值]]/$B$22-1</f>
        <v>0.73644067796610169</v>
      </c>
    </row>
    <row r="345" spans="1:7" x14ac:dyDescent="0.2">
      <c r="A345" s="15">
        <v>44187</v>
      </c>
      <c r="B345" s="112">
        <v>2.036</v>
      </c>
      <c r="C345" s="108">
        <f t="shared" si="84"/>
        <v>-1.2999999999999901E-2</v>
      </c>
      <c r="D345" s="109">
        <f t="shared" si="85"/>
        <v>-1.2999999999999901E-2</v>
      </c>
      <c r="E345" s="109">
        <f ca="1">IF(表2_36716262930345[[#This Row],[累计净值]]/MAX(INDIRECT("B21:B" &amp; ROW()))-1&lt;E344,表2_36716262930345[[#This Row],[累计净值]]/MAX(INDIRECT("B21:B" &amp; ROW()))-1,E344)</f>
        <v>-8.0876158382476859E-2</v>
      </c>
      <c r="F345" s="110">
        <f>表2_36716262930345[[#This Row],[累计净值]]</f>
        <v>2.036</v>
      </c>
      <c r="G345" s="20">
        <f>表2_36716262930345[[#This Row],[累计净值]]/$B$22-1</f>
        <v>0.72542372881355943</v>
      </c>
    </row>
    <row r="346" spans="1:7" x14ac:dyDescent="0.2">
      <c r="A346" s="15">
        <v>44188</v>
      </c>
      <c r="B346" s="112">
        <v>1.9990000000000001</v>
      </c>
      <c r="C346" s="108">
        <f t="shared" si="84"/>
        <v>-3.6999999999999922E-2</v>
      </c>
      <c r="D346" s="109">
        <f t="shared" si="85"/>
        <v>-3.6999999999999922E-2</v>
      </c>
      <c r="E346" s="109">
        <f ca="1">IF(表2_36716262930345[[#This Row],[累计净值]]/MAX(INDIRECT("B21:B" &amp; ROW()))-1&lt;E345,表2_36716262930345[[#This Row],[累计净值]]/MAX(INDIRECT("B21:B" &amp; ROW()))-1,E345)</f>
        <v>-8.0876158382476859E-2</v>
      </c>
      <c r="F346" s="110">
        <f>表2_36716262930345[[#This Row],[累计净值]]</f>
        <v>1.9990000000000001</v>
      </c>
      <c r="G346" s="20">
        <f>表2_36716262930345[[#This Row],[累计净值]]/$B$22-1</f>
        <v>0.6940677966101696</v>
      </c>
    </row>
    <row r="347" spans="1:7" x14ac:dyDescent="0.2">
      <c r="A347" s="15">
        <v>44189</v>
      </c>
      <c r="B347" s="112">
        <v>1.996</v>
      </c>
      <c r="C347" s="108">
        <f t="shared" ref="C347:C348" si="86">IFERROR(B347-B346,0)</f>
        <v>-3.0000000000001137E-3</v>
      </c>
      <c r="D347" s="109">
        <f t="shared" ref="D347:D348" si="87">IF(C347&lt;0,C347,"/")</f>
        <v>-3.0000000000001137E-3</v>
      </c>
      <c r="E347" s="109">
        <f ca="1">IF(表2_36716262930345[[#This Row],[累计净值]]/MAX(INDIRECT("B21:B" &amp; ROW()))-1&lt;E346,表2_36716262930345[[#This Row],[累计净值]]/MAX(INDIRECT("B21:B" &amp; ROW()))-1,E346)</f>
        <v>-8.0876158382476859E-2</v>
      </c>
      <c r="F347" s="110">
        <f>表2_36716262930345[[#This Row],[累计净值]]</f>
        <v>1.996</v>
      </c>
      <c r="G347" s="20">
        <f>表2_36716262930345[[#This Row],[累计净值]]/$B$22-1</f>
        <v>0.69152542372881354</v>
      </c>
    </row>
    <row r="348" spans="1:7" x14ac:dyDescent="0.2">
      <c r="A348" s="15">
        <v>44190</v>
      </c>
      <c r="B348" s="112">
        <v>1.98</v>
      </c>
      <c r="C348" s="108">
        <f t="shared" si="86"/>
        <v>-1.6000000000000014E-2</v>
      </c>
      <c r="D348" s="109">
        <f t="shared" si="87"/>
        <v>-1.6000000000000014E-2</v>
      </c>
      <c r="E348" s="109">
        <f ca="1">IF(表2_36716262930345[[#This Row],[累计净值]]/MAX(INDIRECT("B21:B" &amp; ROW()))-1&lt;E347,表2_36716262930345[[#This Row],[累计净值]]/MAX(INDIRECT("B21:B" &amp; ROW()))-1,E347)</f>
        <v>-8.0876158382476859E-2</v>
      </c>
      <c r="F348" s="110">
        <f>表2_36716262930345[[#This Row],[累计净值]]</f>
        <v>1.98</v>
      </c>
      <c r="G348" s="20">
        <f>表2_36716262930345[[#This Row],[累计净值]]/$B$22-1</f>
        <v>0.67796610169491522</v>
      </c>
    </row>
    <row r="349" spans="1:7" x14ac:dyDescent="0.2">
      <c r="A349" s="15">
        <v>44193</v>
      </c>
      <c r="B349" s="112">
        <v>1.9690000000000001</v>
      </c>
      <c r="C349" s="108">
        <f t="shared" ref="C349:C354" si="88">IFERROR(B349-B348,0)</f>
        <v>-1.0999999999999899E-2</v>
      </c>
      <c r="D349" s="109">
        <f t="shared" ref="D349:D354" si="89">IF(C349&lt;0,C349,"/")</f>
        <v>-1.0999999999999899E-2</v>
      </c>
      <c r="E349" s="109">
        <f ca="1">IF(表2_36716262930345[[#This Row],[累计净值]]/MAX(INDIRECT("B21:B" &amp; ROW()))-1&lt;E348,表2_36716262930345[[#This Row],[累计净值]]/MAX(INDIRECT("B21:B" &amp; ROW()))-1,E348)</f>
        <v>-8.0876158382476859E-2</v>
      </c>
      <c r="F349" s="110">
        <f>表2_36716262930345[[#This Row],[累计净值]]</f>
        <v>1.9690000000000001</v>
      </c>
      <c r="G349" s="20">
        <f>表2_36716262930345[[#This Row],[累计净值]]/$B$22-1</f>
        <v>0.66864406779661034</v>
      </c>
    </row>
    <row r="350" spans="1:7" x14ac:dyDescent="0.2">
      <c r="A350" s="15">
        <v>44194</v>
      </c>
      <c r="B350" s="112">
        <v>1.9570000000000001</v>
      </c>
      <c r="C350" s="108">
        <f t="shared" si="88"/>
        <v>-1.2000000000000011E-2</v>
      </c>
      <c r="D350" s="109">
        <f t="shared" si="89"/>
        <v>-1.2000000000000011E-2</v>
      </c>
      <c r="E350" s="109">
        <f ca="1">IF(表2_36716262930345[[#This Row],[累计净值]]/MAX(INDIRECT("B21:B" &amp; ROW()))-1&lt;E349,表2_36716262930345[[#This Row],[累计净值]]/MAX(INDIRECT("B21:B" &amp; ROW()))-1,E349)</f>
        <v>-8.0876158382476859E-2</v>
      </c>
      <c r="F350" s="110">
        <f>表2_36716262930345[[#This Row],[累计净值]]</f>
        <v>1.9570000000000001</v>
      </c>
      <c r="G350" s="20">
        <f>表2_36716262930345[[#This Row],[累计净值]]/$B$22-1</f>
        <v>0.65847457627118655</v>
      </c>
    </row>
    <row r="351" spans="1:7" x14ac:dyDescent="0.2">
      <c r="A351" s="15">
        <v>44195</v>
      </c>
      <c r="B351" s="112">
        <v>1.9610000000000001</v>
      </c>
      <c r="C351" s="108">
        <f t="shared" si="88"/>
        <v>4.0000000000000036E-3</v>
      </c>
      <c r="D351" s="109" t="str">
        <f t="shared" si="89"/>
        <v>/</v>
      </c>
      <c r="E351" s="109">
        <f ca="1">IF(表2_36716262930345[[#This Row],[累计净值]]/MAX(INDIRECT("B21:B" &amp; ROW()))-1&lt;E350,表2_36716262930345[[#This Row],[累计净值]]/MAX(INDIRECT("B21:B" &amp; ROW()))-1,E350)</f>
        <v>-8.0876158382476859E-2</v>
      </c>
      <c r="F351" s="110">
        <f>表2_36716262930345[[#This Row],[累计净值]]</f>
        <v>1.9610000000000001</v>
      </c>
      <c r="G351" s="20">
        <f>表2_36716262930345[[#This Row],[累计净值]]/$B$22-1</f>
        <v>0.66186440677966107</v>
      </c>
    </row>
    <row r="352" spans="1:7" x14ac:dyDescent="0.2">
      <c r="A352" s="15">
        <v>44196</v>
      </c>
      <c r="B352" s="112">
        <v>1.9650000000000001</v>
      </c>
      <c r="C352" s="108">
        <f t="shared" si="88"/>
        <v>4.0000000000000036E-3</v>
      </c>
      <c r="D352" s="109" t="str">
        <f t="shared" si="89"/>
        <v>/</v>
      </c>
      <c r="E352" s="109">
        <f ca="1">IF(表2_36716262930345[[#This Row],[累计净值]]/MAX(INDIRECT("B21:B" &amp; ROW()))-1&lt;E351,表2_36716262930345[[#This Row],[累计净值]]/MAX(INDIRECT("B21:B" &amp; ROW()))-1,E351)</f>
        <v>-8.0876158382476859E-2</v>
      </c>
      <c r="F352" s="110">
        <f>表2_36716262930345[[#This Row],[累计净值]]</f>
        <v>1.9650000000000001</v>
      </c>
      <c r="G352" s="20">
        <f>表2_36716262930345[[#This Row],[累计净值]]/$B$22-1</f>
        <v>0.66525423728813582</v>
      </c>
    </row>
    <row r="353" spans="1:7" x14ac:dyDescent="0.2">
      <c r="A353" s="15">
        <v>44200</v>
      </c>
      <c r="B353" s="112">
        <v>1.9610000000000001</v>
      </c>
      <c r="C353" s="108">
        <f t="shared" si="88"/>
        <v>-4.0000000000000036E-3</v>
      </c>
      <c r="D353" s="109">
        <f t="shared" si="89"/>
        <v>-4.0000000000000036E-3</v>
      </c>
      <c r="E353" s="109">
        <f ca="1">IF(表2_36716262930345[[#This Row],[累计净值]]/MAX(INDIRECT("B21:B" &amp; ROW()))-1&lt;E352,表2_36716262930345[[#This Row],[累计净值]]/MAX(INDIRECT("B21:B" &amp; ROW()))-1,E352)</f>
        <v>-8.0876158382476859E-2</v>
      </c>
      <c r="F353" s="110">
        <f>表2_36716262930345[[#This Row],[累计净值]]</f>
        <v>1.9610000000000001</v>
      </c>
      <c r="G353" s="20">
        <f>表2_36716262930345[[#This Row],[累计净值]]/$B$22-1</f>
        <v>0.66186440677966107</v>
      </c>
    </row>
    <row r="354" spans="1:7" x14ac:dyDescent="0.2">
      <c r="A354" s="15">
        <v>44201</v>
      </c>
      <c r="B354" s="112">
        <v>1.976</v>
      </c>
      <c r="C354" s="108">
        <f t="shared" si="88"/>
        <v>1.4999999999999902E-2</v>
      </c>
      <c r="D354" s="109" t="str">
        <f t="shared" si="89"/>
        <v>/</v>
      </c>
      <c r="E354" s="109">
        <f ca="1">IF(表2_36716262930345[[#This Row],[累计净值]]/MAX(INDIRECT("B21:B" &amp; ROW()))-1&lt;E353,表2_36716262930345[[#This Row],[累计净值]]/MAX(INDIRECT("B21:B" &amp; ROW()))-1,E353)</f>
        <v>-8.0876158382476859E-2</v>
      </c>
      <c r="F354" s="110">
        <f>表2_36716262930345[[#This Row],[累计净值]]</f>
        <v>1.976</v>
      </c>
      <c r="G354" s="20">
        <f>表2_36716262930345[[#This Row],[累计净值]]/$B$22-1</f>
        <v>0.6745762711864407</v>
      </c>
    </row>
    <row r="355" spans="1:7" x14ac:dyDescent="0.2">
      <c r="A355" s="15">
        <v>44202</v>
      </c>
      <c r="B355" s="112">
        <v>1.9630000000000001</v>
      </c>
      <c r="C355" s="108">
        <f t="shared" ref="C355:C356" si="90">IFERROR(B355-B354,0)</f>
        <v>-1.2999999999999901E-2</v>
      </c>
      <c r="D355" s="109">
        <f t="shared" ref="D355:D356" si="91">IF(C355&lt;0,C355,"/")</f>
        <v>-1.2999999999999901E-2</v>
      </c>
      <c r="E355" s="109">
        <f ca="1">IF(表2_36716262930345[[#This Row],[累计净值]]/MAX(INDIRECT("B21:B" &amp; ROW()))-1&lt;E354,表2_36716262930345[[#This Row],[累计净值]]/MAX(INDIRECT("B21:B" &amp; ROW()))-1,E354)</f>
        <v>-8.0876158382476859E-2</v>
      </c>
      <c r="F355" s="110">
        <f>表2_36716262930345[[#This Row],[累计净值]]</f>
        <v>1.9630000000000001</v>
      </c>
      <c r="G355" s="20">
        <f>表2_36716262930345[[#This Row],[累计净值]]/$B$22-1</f>
        <v>0.66355932203389845</v>
      </c>
    </row>
    <row r="356" spans="1:7" x14ac:dyDescent="0.2">
      <c r="A356" s="15">
        <v>44203</v>
      </c>
      <c r="B356" s="112">
        <v>1.9590000000000001</v>
      </c>
      <c r="C356" s="108">
        <f t="shared" si="90"/>
        <v>-4.0000000000000036E-3</v>
      </c>
      <c r="D356" s="109">
        <f t="shared" si="91"/>
        <v>-4.0000000000000036E-3</v>
      </c>
      <c r="E356" s="109">
        <f ca="1">IF(表2_36716262930345[[#This Row],[累计净值]]/MAX(INDIRECT("B21:B" &amp; ROW()))-1&lt;E355,表2_36716262930345[[#This Row],[累计净值]]/MAX(INDIRECT("B21:B" &amp; ROW()))-1,E355)</f>
        <v>-8.0876158382476859E-2</v>
      </c>
      <c r="F356" s="110">
        <f>表2_36716262930345[[#This Row],[累计净值]]</f>
        <v>1.9590000000000001</v>
      </c>
      <c r="G356" s="20">
        <f>表2_36716262930345[[#This Row],[累计净值]]/$B$22-1</f>
        <v>0.66016949152542392</v>
      </c>
    </row>
    <row r="357" spans="1:7" x14ac:dyDescent="0.2">
      <c r="A357" s="15">
        <v>44204</v>
      </c>
      <c r="B357" s="112">
        <v>1.9530000000000001</v>
      </c>
      <c r="C357" s="108">
        <f>IFERROR(B357-B356,0)</f>
        <v>-6.0000000000000053E-3</v>
      </c>
      <c r="D357" s="109">
        <f>IF(C357&lt;0,C357,"/")</f>
        <v>-6.0000000000000053E-3</v>
      </c>
      <c r="E357" s="109">
        <f ca="1">IF(表2_36716262930345[[#This Row],[累计净值]]/MAX(INDIRECT("B21:B" &amp; ROW()))-1&lt;E356,表2_36716262930345[[#This Row],[累计净值]]/MAX(INDIRECT("B21:B" &amp; ROW()))-1,E356)</f>
        <v>-8.0876158382476859E-2</v>
      </c>
      <c r="F357" s="110">
        <f>表2_36716262930345[[#This Row],[累计净值]]</f>
        <v>1.9530000000000001</v>
      </c>
      <c r="G357" s="20">
        <f>表2_36716262930345[[#This Row],[累计净值]]/$B$22-1</f>
        <v>0.65508474576271203</v>
      </c>
    </row>
    <row r="358" spans="1:7" x14ac:dyDescent="0.2">
      <c r="A358" s="15">
        <v>44207</v>
      </c>
      <c r="B358" s="112">
        <v>1.944</v>
      </c>
      <c r="C358" s="108">
        <f>IFERROR(B358-B357,0)</f>
        <v>-9.000000000000119E-3</v>
      </c>
      <c r="D358" s="109">
        <f>IF(C358&lt;0,C358,"/")</f>
        <v>-9.000000000000119E-3</v>
      </c>
      <c r="E358" s="109">
        <f ca="1">IF(表2_36716262930345[[#This Row],[累计净值]]/MAX(INDIRECT("B21:B" &amp; ROW()))-1&lt;E357,表2_36716262930345[[#This Row],[累计净值]]/MAX(INDIRECT("B21:B" &amp; ROW()))-1,E357)</f>
        <v>-8.0876158382476859E-2</v>
      </c>
      <c r="F358" s="110">
        <f>表2_36716262930345[[#This Row],[累计净值]]</f>
        <v>1.944</v>
      </c>
      <c r="G358" s="20">
        <f>表2_36716262930345[[#This Row],[累计净值]]/$B$22-1</f>
        <v>0.64745762711864407</v>
      </c>
    </row>
    <row r="359" spans="1:7" x14ac:dyDescent="0.2">
      <c r="A359" s="15">
        <v>44208</v>
      </c>
      <c r="B359" s="112">
        <v>1.962</v>
      </c>
      <c r="C359" s="108">
        <f>IFERROR(B359-B358,0)</f>
        <v>1.8000000000000016E-2</v>
      </c>
      <c r="D359" s="109" t="str">
        <f>IF(C359&lt;0,C359,"/")</f>
        <v>/</v>
      </c>
      <c r="E359" s="109">
        <f ca="1">IF(表2_36716262930345[[#This Row],[累计净值]]/MAX(INDIRECT("B21:B" &amp; ROW()))-1&lt;E358,表2_36716262930345[[#This Row],[累计净值]]/MAX(INDIRECT("B21:B" &amp; ROW()))-1,E358)</f>
        <v>-8.0876158382476859E-2</v>
      </c>
      <c r="F359" s="110">
        <f>表2_36716262930345[[#This Row],[累计净值]]</f>
        <v>1.962</v>
      </c>
      <c r="G359" s="20">
        <f>表2_36716262930345[[#This Row],[累计净值]]/$B$22-1</f>
        <v>0.66271186440677976</v>
      </c>
    </row>
    <row r="360" spans="1:7" x14ac:dyDescent="0.2">
      <c r="A360" s="15">
        <v>44209</v>
      </c>
      <c r="B360" s="112">
        <v>1.952</v>
      </c>
      <c r="C360" s="108">
        <f>IFERROR(B360-B359,0)</f>
        <v>-1.0000000000000009E-2</v>
      </c>
      <c r="D360" s="109">
        <f>IF(C360&lt;0,C360,"/")</f>
        <v>-1.0000000000000009E-2</v>
      </c>
      <c r="E360" s="109">
        <f ca="1">IF(表2_36716262930345[[#This Row],[累计净值]]/MAX(INDIRECT("B21:B" &amp; ROW()))-1&lt;E359,表2_36716262930345[[#This Row],[累计净值]]/MAX(INDIRECT("B21:B" &amp; ROW()))-1,E359)</f>
        <v>-8.0876158382476859E-2</v>
      </c>
      <c r="F360" s="110">
        <f>表2_36716262930345[[#This Row],[累计净值]]</f>
        <v>1.952</v>
      </c>
      <c r="G360" s="20">
        <f>表2_36716262930345[[#This Row],[累计净值]]/$B$22-1</f>
        <v>0.65423728813559334</v>
      </c>
    </row>
    <row r="361" spans="1:7" x14ac:dyDescent="0.2">
      <c r="A361" s="15">
        <v>44210</v>
      </c>
      <c r="B361" s="112">
        <v>1.9379999999999999</v>
      </c>
      <c r="C361" s="108">
        <f t="shared" ref="C361:C362" si="92">IFERROR(B361-B360,0)</f>
        <v>-1.4000000000000012E-2</v>
      </c>
      <c r="D361" s="109">
        <f t="shared" ref="D361:D362" si="93">IF(C361&lt;0,C361,"/")</f>
        <v>-1.4000000000000012E-2</v>
      </c>
      <c r="E361" s="109">
        <f ca="1">IF(表2_36716262930345[[#This Row],[累计净值]]/MAX(INDIRECT("B21:B" &amp; ROW()))-1&lt;E360,表2_36716262930345[[#This Row],[累计净值]]/MAX(INDIRECT("B21:B" &amp; ROW()))-1,E360)</f>
        <v>-8.0876158382476859E-2</v>
      </c>
      <c r="F361" s="110">
        <f>表2_36716262930345[[#This Row],[累计净值]]</f>
        <v>1.9379999999999999</v>
      </c>
      <c r="G361" s="20">
        <f>表2_36716262930345[[#This Row],[累计净值]]/$B$22-1</f>
        <v>0.64237288135593218</v>
      </c>
    </row>
    <row r="362" spans="1:7" x14ac:dyDescent="0.2">
      <c r="A362" s="15">
        <v>44211</v>
      </c>
      <c r="B362" s="112">
        <v>1.9319999999999999</v>
      </c>
      <c r="C362" s="108">
        <f t="shared" si="92"/>
        <v>-6.0000000000000053E-3</v>
      </c>
      <c r="D362" s="109">
        <f t="shared" si="93"/>
        <v>-6.0000000000000053E-3</v>
      </c>
      <c r="E362" s="109">
        <f ca="1">IF(表2_36716262930345[[#This Row],[累计净值]]/MAX(INDIRECT("B21:B" &amp; ROW()))-1&lt;E361,表2_36716262930345[[#This Row],[累计净值]]/MAX(INDIRECT("B21:B" &amp; ROW()))-1,E361)</f>
        <v>-8.0876158382476859E-2</v>
      </c>
      <c r="F362" s="110">
        <f>表2_36716262930345[[#This Row],[累计净值]]</f>
        <v>1.9319999999999999</v>
      </c>
      <c r="G362" s="20">
        <f>表2_36716262930345[[#This Row],[累计净值]]/$B$22-1</f>
        <v>0.63728813559322028</v>
      </c>
    </row>
    <row r="363" spans="1:7" x14ac:dyDescent="0.2">
      <c r="A363" s="15">
        <v>44214</v>
      </c>
      <c r="B363" s="112">
        <v>1.929</v>
      </c>
      <c r="C363" s="108">
        <f t="shared" ref="C363:C369" si="94">IFERROR(B363-B362,0)</f>
        <v>-2.9999999999998916E-3</v>
      </c>
      <c r="D363" s="109">
        <f t="shared" ref="D363:D369" si="95">IF(C363&lt;0,C363,"/")</f>
        <v>-2.9999999999998916E-3</v>
      </c>
      <c r="E363" s="109">
        <f ca="1">IF(表2_36716262930345[[#This Row],[累计净值]]/MAX(INDIRECT("B21:B" &amp; ROW()))-1&lt;E362,表2_36716262930345[[#This Row],[累计净值]]/MAX(INDIRECT("B21:B" &amp; ROW()))-1,E362)</f>
        <v>-8.0876158382476859E-2</v>
      </c>
      <c r="F363" s="110">
        <f>表2_36716262930345[[#This Row],[累计净值]]</f>
        <v>1.929</v>
      </c>
      <c r="G363" s="20">
        <f>表2_36716262930345[[#This Row],[累计净值]]/$B$22-1</f>
        <v>0.63474576271186445</v>
      </c>
    </row>
    <row r="364" spans="1:7" x14ac:dyDescent="0.2">
      <c r="A364" s="15">
        <v>44215</v>
      </c>
      <c r="B364" s="112">
        <v>1.913</v>
      </c>
      <c r="C364" s="108">
        <f t="shared" si="94"/>
        <v>-1.6000000000000014E-2</v>
      </c>
      <c r="D364" s="109">
        <f t="shared" si="95"/>
        <v>-1.6000000000000014E-2</v>
      </c>
      <c r="E364" s="109">
        <f ca="1">IF(表2_36716262930345[[#This Row],[累计净值]]/MAX(INDIRECT("B21:B" &amp; ROW()))-1&lt;E363,表2_36716262930345[[#This Row],[累计净值]]/MAX(INDIRECT("B21:B" &amp; ROW()))-1,E363)</f>
        <v>-8.2933844678811042E-2</v>
      </c>
      <c r="F364" s="110">
        <f>表2_36716262930345[[#This Row],[累计净值]]</f>
        <v>1.913</v>
      </c>
      <c r="G364" s="20">
        <f>表2_36716262930345[[#This Row],[累计净值]]/$B$22-1</f>
        <v>0.62118644067796613</v>
      </c>
    </row>
    <row r="365" spans="1:7" x14ac:dyDescent="0.2">
      <c r="A365" s="15">
        <v>44216</v>
      </c>
      <c r="B365" s="112">
        <v>1.905</v>
      </c>
      <c r="C365" s="108">
        <f t="shared" si="94"/>
        <v>-8.0000000000000071E-3</v>
      </c>
      <c r="D365" s="109">
        <f t="shared" si="95"/>
        <v>-8.0000000000000071E-3</v>
      </c>
      <c r="E365" s="109">
        <f ca="1">IF(表2_36716262930345[[#This Row],[累计净值]]/MAX(INDIRECT("B21:B" &amp; ROW()))-1&lt;E364,表2_36716262930345[[#This Row],[累计净值]]/MAX(INDIRECT("B21:B" &amp; ROW()))-1,E364)</f>
        <v>-8.6768935762224331E-2</v>
      </c>
      <c r="F365" s="110">
        <f>表2_36716262930345[[#This Row],[累计净值]]</f>
        <v>1.905</v>
      </c>
      <c r="G365" s="20">
        <f>表2_36716262930345[[#This Row],[累计净值]]/$B$22-1</f>
        <v>0.61440677966101709</v>
      </c>
    </row>
    <row r="366" spans="1:7" x14ac:dyDescent="0.2">
      <c r="A366" s="15">
        <v>44217</v>
      </c>
      <c r="B366" s="112">
        <v>1.9059999999999999</v>
      </c>
      <c r="C366" s="108">
        <f t="shared" si="94"/>
        <v>9.9999999999988987E-4</v>
      </c>
      <c r="D366" s="109" t="str">
        <f t="shared" si="95"/>
        <v>/</v>
      </c>
      <c r="E366" s="109">
        <f ca="1">IF(表2_36716262930345[[#This Row],[累计净值]]/MAX(INDIRECT("B21:B" &amp; ROW()))-1&lt;E365,表2_36716262930345[[#This Row],[累计净值]]/MAX(INDIRECT("B21:B" &amp; ROW()))-1,E365)</f>
        <v>-8.6768935762224331E-2</v>
      </c>
      <c r="F366" s="110">
        <f>表2_36716262930345[[#This Row],[累计净值]]</f>
        <v>1.9059999999999999</v>
      </c>
      <c r="G366" s="20">
        <f>表2_36716262930345[[#This Row],[累计净值]]/$B$22-1</f>
        <v>0.61525423728813555</v>
      </c>
    </row>
    <row r="367" spans="1:7" x14ac:dyDescent="0.2">
      <c r="A367" s="15">
        <v>44218</v>
      </c>
      <c r="B367" s="112">
        <v>1.903</v>
      </c>
      <c r="C367" s="108">
        <f t="shared" si="94"/>
        <v>-2.9999999999998916E-3</v>
      </c>
      <c r="D367" s="109">
        <f t="shared" si="95"/>
        <v>-2.9999999999998916E-3</v>
      </c>
      <c r="E367" s="109">
        <f ca="1">IF(表2_36716262930345[[#This Row],[累计净值]]/MAX(INDIRECT("B21:B" &amp; ROW()))-1&lt;E366,表2_36716262930345[[#This Row],[累计净值]]/MAX(INDIRECT("B21:B" &amp; ROW()))-1,E366)</f>
        <v>-8.7727708533077542E-2</v>
      </c>
      <c r="F367" s="110">
        <f>表2_36716262930345[[#This Row],[累计净值]]</f>
        <v>1.903</v>
      </c>
      <c r="G367" s="20">
        <f>表2_36716262930345[[#This Row],[累计净值]]/$B$22-1</f>
        <v>0.61271186440677972</v>
      </c>
    </row>
    <row r="368" spans="1:7" x14ac:dyDescent="0.2">
      <c r="A368" s="15">
        <v>44221</v>
      </c>
      <c r="B368" s="112">
        <v>1.901</v>
      </c>
      <c r="C368" s="108">
        <f t="shared" si="94"/>
        <v>-2.0000000000000018E-3</v>
      </c>
      <c r="D368" s="109">
        <f t="shared" si="95"/>
        <v>-2.0000000000000018E-3</v>
      </c>
      <c r="E368" s="109">
        <f ca="1">IF(表2_36716262930345[[#This Row],[累计净值]]/MAX(INDIRECT("B21:B" &amp; ROW()))-1&lt;E367,表2_36716262930345[[#This Row],[累计净值]]/MAX(INDIRECT("B21:B" &amp; ROW()))-1,E367)</f>
        <v>-8.8686481303930864E-2</v>
      </c>
      <c r="F368" s="110">
        <f>表2_36716262930345[[#This Row],[累计净值]]</f>
        <v>1.901</v>
      </c>
      <c r="G368" s="20">
        <f>表2_36716262930345[[#This Row],[累计净值]]/$B$22-1</f>
        <v>0.61101694915254257</v>
      </c>
    </row>
    <row r="369" spans="1:9" x14ac:dyDescent="0.2">
      <c r="A369" s="15">
        <v>44222</v>
      </c>
      <c r="B369" s="112">
        <v>1.899</v>
      </c>
      <c r="C369" s="108">
        <f t="shared" si="94"/>
        <v>-2.0000000000000018E-3</v>
      </c>
      <c r="D369" s="109">
        <f t="shared" si="95"/>
        <v>-2.0000000000000018E-3</v>
      </c>
      <c r="E369" s="109">
        <f ca="1">IF(表2_36716262930345[[#This Row],[累计净值]]/MAX(INDIRECT("B21:B" &amp; ROW()))-1&lt;E368,表2_36716262930345[[#This Row],[累计净值]]/MAX(INDIRECT("B21:B" &amp; ROW()))-1,E368)</f>
        <v>-8.9645254074784186E-2</v>
      </c>
      <c r="F369" s="110">
        <f>表2_36716262930345[[#This Row],[累计净值]]</f>
        <v>1.899</v>
      </c>
      <c r="G369" s="20">
        <f>表2_36716262930345[[#This Row],[累计净值]]/$B$22-1</f>
        <v>0.60932203389830519</v>
      </c>
      <c r="I369" s="219"/>
    </row>
    <row r="370" spans="1:9" x14ac:dyDescent="0.2">
      <c r="A370" s="15">
        <v>44223</v>
      </c>
      <c r="B370" s="112">
        <v>1.9059999999999999</v>
      </c>
      <c r="C370" s="108">
        <f>IFERROR(B370-B369,0)</f>
        <v>6.9999999999998952E-3</v>
      </c>
      <c r="D370" s="109" t="str">
        <f>IF(C370&lt;0,C370,"/")</f>
        <v>/</v>
      </c>
      <c r="E370" s="109">
        <f ca="1">IF(表2_36716262930345[[#This Row],[累计净值]]/MAX(INDIRECT("B21:B" &amp; ROW()))-1&lt;E369,表2_36716262930345[[#This Row],[累计净值]]/MAX(INDIRECT("B21:B" &amp; ROW()))-1,E369)</f>
        <v>-8.9645254074784186E-2</v>
      </c>
      <c r="F370" s="110">
        <f>表2_36716262930345[[#This Row],[累计净值]]</f>
        <v>1.9059999999999999</v>
      </c>
      <c r="G370" s="20">
        <f>表2_36716262930345[[#This Row],[累计净值]]/$B$22-1</f>
        <v>0.61525423728813555</v>
      </c>
    </row>
    <row r="371" spans="1:9" x14ac:dyDescent="0.2">
      <c r="A371" s="15">
        <v>44224</v>
      </c>
      <c r="B371" s="112">
        <v>1.899</v>
      </c>
      <c r="C371" s="108">
        <f t="shared" ref="C371:C372" si="96">IFERROR(B371-B370,0)</f>
        <v>-6.9999999999998952E-3</v>
      </c>
      <c r="D371" s="109">
        <f t="shared" ref="D371:D372" si="97">IF(C371&lt;0,C371,"/")</f>
        <v>-6.9999999999998952E-3</v>
      </c>
      <c r="E371" s="109">
        <f ca="1">IF(表2_36716262930345[[#This Row],[累计净值]]/MAX(INDIRECT("B21:B" &amp; ROW()))-1&lt;E370,表2_36716262930345[[#This Row],[累计净值]]/MAX(INDIRECT("B21:B" &amp; ROW()))-1,E370)</f>
        <v>-8.9645254074784186E-2</v>
      </c>
      <c r="F371" s="110">
        <f>表2_36716262930345[[#This Row],[累计净值]]</f>
        <v>1.899</v>
      </c>
      <c r="G371" s="20">
        <f>表2_36716262930345[[#This Row],[累计净值]]/$B$22-1</f>
        <v>0.60932203389830519</v>
      </c>
    </row>
    <row r="372" spans="1:9" x14ac:dyDescent="0.2">
      <c r="A372" s="15">
        <v>44225</v>
      </c>
      <c r="B372" s="112">
        <v>1.893</v>
      </c>
      <c r="C372" s="108">
        <f t="shared" si="96"/>
        <v>-6.0000000000000053E-3</v>
      </c>
      <c r="D372" s="109">
        <f t="shared" si="97"/>
        <v>-6.0000000000000053E-3</v>
      </c>
      <c r="E372" s="109">
        <f ca="1">IF(表2_36716262930345[[#This Row],[累计净值]]/MAX(INDIRECT("B21:B" &amp; ROW()))-1&lt;E371,表2_36716262930345[[#This Row],[累计净值]]/MAX(INDIRECT("B21:B" &amp; ROW()))-1,E371)</f>
        <v>-9.2521572387344153E-2</v>
      </c>
      <c r="F372" s="110">
        <f>表2_36716262930345[[#This Row],[累计净值]]</f>
        <v>1.893</v>
      </c>
      <c r="G372" s="20">
        <f>表2_36716262930345[[#This Row],[累计净值]]/$B$22-1</f>
        <v>0.6042372881355933</v>
      </c>
    </row>
    <row r="373" spans="1:9" x14ac:dyDescent="0.2">
      <c r="A373" s="15">
        <v>44228</v>
      </c>
      <c r="B373" s="112">
        <v>1.875</v>
      </c>
      <c r="C373" s="108">
        <f>IFERROR(B373-B372,0)</f>
        <v>-1.8000000000000016E-2</v>
      </c>
      <c r="D373" s="109">
        <f>IF(C373&lt;0,C373,"/")</f>
        <v>-1.8000000000000016E-2</v>
      </c>
      <c r="E373" s="109">
        <f ca="1">IF(表2_36716262930345[[#This Row],[累计净值]]/MAX(INDIRECT("B21:B" &amp; ROW()))-1&lt;E372,表2_36716262930345[[#This Row],[累计净值]]/MAX(INDIRECT("B21:B" &amp; ROW()))-1,E372)</f>
        <v>-0.10115052732502394</v>
      </c>
      <c r="F373" s="110">
        <f>表2_36716262930345[[#This Row],[累计净值]]</f>
        <v>1.875</v>
      </c>
      <c r="G373" s="20">
        <f>表2_36716262930345[[#This Row],[累计净值]]/$B$22-1</f>
        <v>0.58898305084745761</v>
      </c>
    </row>
    <row r="374" spans="1:9" x14ac:dyDescent="0.2">
      <c r="A374" s="15">
        <v>44229</v>
      </c>
      <c r="B374" s="112">
        <v>1.883</v>
      </c>
      <c r="C374" s="108">
        <f>IFERROR(B374-B373,0)</f>
        <v>8.0000000000000071E-3</v>
      </c>
      <c r="D374" s="109" t="str">
        <f>IF(C374&lt;0,C374,"/")</f>
        <v>/</v>
      </c>
      <c r="E374" s="109">
        <f ca="1">IF(表2_36716262930345[[#This Row],[累计净值]]/MAX(INDIRECT("B21:B" &amp; ROW()))-1&lt;E373,表2_36716262930345[[#This Row],[累计净值]]/MAX(INDIRECT("B21:B" &amp; ROW()))-1,E373)</f>
        <v>-0.10115052732502394</v>
      </c>
      <c r="F374" s="110">
        <f>表2_36716262930345[[#This Row],[累计净值]]</f>
        <v>1.883</v>
      </c>
      <c r="G374" s="20">
        <f>表2_36716262930345[[#This Row],[累计净值]]/$B$22-1</f>
        <v>0.59576271186440688</v>
      </c>
    </row>
    <row r="375" spans="1:9" x14ac:dyDescent="0.2">
      <c r="A375" s="15">
        <v>44230</v>
      </c>
      <c r="B375" s="112">
        <v>1.883</v>
      </c>
      <c r="C375" s="108">
        <f>IFERROR(B375-B374,0)</f>
        <v>0</v>
      </c>
      <c r="D375" s="109" t="str">
        <f>IF(C375&lt;0,C375,"/")</f>
        <v>/</v>
      </c>
      <c r="E375" s="109">
        <f ca="1">IF(表2_36716262930345[[#This Row],[累计净值]]/MAX(INDIRECT("B21:B" &amp; ROW()))-1&lt;E374,表2_36716262930345[[#This Row],[累计净值]]/MAX(INDIRECT("B21:B" &amp; ROW()))-1,E374)</f>
        <v>-0.10115052732502394</v>
      </c>
      <c r="F375" s="110">
        <f>表2_36716262930345[[#This Row],[累计净值]]</f>
        <v>1.883</v>
      </c>
      <c r="G375" s="20">
        <f>表2_36716262930345[[#This Row],[累计净值]]/$B$22-1</f>
        <v>0.59576271186440688</v>
      </c>
    </row>
    <row r="376" spans="1:9" x14ac:dyDescent="0.2">
      <c r="A376" s="15">
        <v>44231</v>
      </c>
      <c r="B376" s="112">
        <v>1.867</v>
      </c>
      <c r="C376" s="108">
        <f t="shared" ref="C376:C377" si="98">IFERROR(B376-B375,0)</f>
        <v>-1.6000000000000014E-2</v>
      </c>
      <c r="D376" s="109">
        <f t="shared" ref="D376:D377" si="99">IF(C376&lt;0,C376,"/")</f>
        <v>-1.6000000000000014E-2</v>
      </c>
      <c r="E376" s="109">
        <f ca="1">IF(表2_36716262930345[[#This Row],[累计净值]]/MAX(INDIRECT("B21:B" &amp; ROW()))-1&lt;E375,表2_36716262930345[[#This Row],[累计净值]]/MAX(INDIRECT("B21:B" &amp; ROW()))-1,E375)</f>
        <v>-0.10498561840843712</v>
      </c>
      <c r="F376" s="110">
        <f>表2_36716262930345[[#This Row],[累计净值]]</f>
        <v>1.867</v>
      </c>
      <c r="G376" s="20">
        <f>表2_36716262930345[[#This Row],[累计净值]]/$B$22-1</f>
        <v>0.58220338983050857</v>
      </c>
    </row>
    <row r="377" spans="1:9" x14ac:dyDescent="0.2">
      <c r="A377" s="15">
        <v>44232</v>
      </c>
      <c r="B377" s="112">
        <v>1.857</v>
      </c>
      <c r="C377" s="108">
        <f t="shared" si="98"/>
        <v>-1.0000000000000009E-2</v>
      </c>
      <c r="D377" s="109">
        <f t="shared" si="99"/>
        <v>-1.0000000000000009E-2</v>
      </c>
      <c r="E377" s="109">
        <f ca="1">IF(表2_36716262930345[[#This Row],[累计净值]]/MAX(INDIRECT("B21:B" &amp; ROW()))-1&lt;E376,表2_36716262930345[[#This Row],[累计净值]]/MAX(INDIRECT("B21:B" &amp; ROW()))-1,E376)</f>
        <v>-0.10977948226270373</v>
      </c>
      <c r="F377" s="110">
        <f>表2_36716262930345[[#This Row],[累计净值]]</f>
        <v>1.857</v>
      </c>
      <c r="G377" s="20">
        <f>表2_36716262930345[[#This Row],[累计净值]]/$B$22-1</f>
        <v>0.57372881355932215</v>
      </c>
    </row>
    <row r="378" spans="1:9" x14ac:dyDescent="0.2">
      <c r="A378" s="15">
        <v>44235</v>
      </c>
      <c r="B378" s="112">
        <v>1.857</v>
      </c>
      <c r="C378" s="108">
        <f>IFERROR(B378-B377,0)</f>
        <v>0</v>
      </c>
      <c r="D378" s="109" t="str">
        <f>IF(C378&lt;0,C378,"/")</f>
        <v>/</v>
      </c>
      <c r="E378" s="109">
        <f ca="1">IF(表2_36716262930345[[#This Row],[累计净值]]/MAX(INDIRECT("B21:B" &amp; ROW()))-1&lt;E377,表2_36716262930345[[#This Row],[累计净值]]/MAX(INDIRECT("B21:B" &amp; ROW()))-1,E377)</f>
        <v>-0.10977948226270373</v>
      </c>
      <c r="F378" s="110">
        <f>表2_36716262930345[[#This Row],[累计净值]]</f>
        <v>1.857</v>
      </c>
      <c r="G378" s="20">
        <f>表2_36716262930345[[#This Row],[累计净值]]/$B$22-1</f>
        <v>0.57372881355932215</v>
      </c>
    </row>
    <row r="379" spans="1:9" x14ac:dyDescent="0.2">
      <c r="A379" s="15">
        <v>44236</v>
      </c>
      <c r="B379" s="112">
        <v>1.8640000000000001</v>
      </c>
      <c r="C379" s="108">
        <f t="shared" ref="C379:C381" si="100">IFERROR(B379-B378,0)</f>
        <v>7.0000000000001172E-3</v>
      </c>
      <c r="D379" s="109" t="str">
        <f t="shared" ref="D379:D381" si="101">IF(C379&lt;0,C379,"/")</f>
        <v>/</v>
      </c>
      <c r="E379" s="109">
        <f ca="1">IF(表2_36716262930345[[#This Row],[累计净值]]/MAX(INDIRECT("B21:B" &amp; ROW()))-1&lt;E378,表2_36716262930345[[#This Row],[累计净值]]/MAX(INDIRECT("B21:B" &amp; ROW()))-1,E378)</f>
        <v>-0.10977948226270373</v>
      </c>
      <c r="F379" s="110">
        <f>表2_36716262930345[[#This Row],[累计净值]]</f>
        <v>1.8640000000000001</v>
      </c>
      <c r="G379" s="20">
        <f>表2_36716262930345[[#This Row],[累计净值]]/$B$22-1</f>
        <v>0.57966101694915273</v>
      </c>
    </row>
    <row r="380" spans="1:9" x14ac:dyDescent="0.2">
      <c r="A380" s="15">
        <v>44237</v>
      </c>
      <c r="B380" s="112">
        <v>1.867</v>
      </c>
      <c r="C380" s="108">
        <f t="shared" si="100"/>
        <v>2.9999999999998916E-3</v>
      </c>
      <c r="D380" s="109" t="str">
        <f t="shared" si="101"/>
        <v>/</v>
      </c>
      <c r="E380" s="109">
        <f ca="1">IF(表2_36716262930345[[#This Row],[累计净值]]/MAX(INDIRECT("B21:B" &amp; ROW()))-1&lt;E379,表2_36716262930345[[#This Row],[累计净值]]/MAX(INDIRECT("B21:B" &amp; ROW()))-1,E379)</f>
        <v>-0.10977948226270373</v>
      </c>
      <c r="F380" s="110">
        <f>表2_36716262930345[[#This Row],[累计净值]]</f>
        <v>1.867</v>
      </c>
      <c r="G380" s="20">
        <f>表2_36716262930345[[#This Row],[累计净值]]/$B$22-1</f>
        <v>0.58220338983050857</v>
      </c>
    </row>
    <row r="381" spans="1:9" x14ac:dyDescent="0.2">
      <c r="A381" s="15">
        <v>44245</v>
      </c>
      <c r="B381" s="112">
        <v>1.8839999999999999</v>
      </c>
      <c r="C381" s="108">
        <f t="shared" si="100"/>
        <v>1.6999999999999904E-2</v>
      </c>
      <c r="D381" s="109" t="str">
        <f t="shared" si="101"/>
        <v>/</v>
      </c>
      <c r="E381" s="109">
        <f ca="1">IF(表2_36716262930345[[#This Row],[累计净值]]/MAX(INDIRECT("B21:B" &amp; ROW()))-1&lt;E380,表2_36716262930345[[#This Row],[累计净值]]/MAX(INDIRECT("B21:B" &amp; ROW()))-1,E380)</f>
        <v>-0.10977948226270373</v>
      </c>
      <c r="F381" s="110">
        <f>表2_36716262930345[[#This Row],[累计净值]]</f>
        <v>1.8839999999999999</v>
      </c>
      <c r="G381" s="20">
        <f>表2_36716262930345[[#This Row],[累计净值]]/$B$22-1</f>
        <v>0.59661016949152534</v>
      </c>
    </row>
    <row r="382" spans="1:9" x14ac:dyDescent="0.2">
      <c r="A382" s="15">
        <v>44246</v>
      </c>
      <c r="B382" s="112">
        <v>1.879</v>
      </c>
      <c r="C382" s="108">
        <f>IFERROR(B382-B381,0)</f>
        <v>-4.9999999999998934E-3</v>
      </c>
      <c r="D382" s="109">
        <f>IF(C382&lt;0,C382,"/")</f>
        <v>-4.9999999999998934E-3</v>
      </c>
      <c r="E382" s="109">
        <f ca="1">IF(表2_36716262930345[[#This Row],[累计净值]]/MAX(INDIRECT("B21:B" &amp; ROW()))-1&lt;E381,表2_36716262930345[[#This Row],[累计净值]]/MAX(INDIRECT("B21:B" &amp; ROW()))-1,E381)</f>
        <v>-0.10977948226270373</v>
      </c>
      <c r="F382" s="110">
        <f>表2_36716262930345[[#This Row],[累计净值]]</f>
        <v>1.879</v>
      </c>
      <c r="G382" s="20">
        <f>表2_36716262930345[[#This Row],[累计净值]]/$B$22-1</f>
        <v>0.59237288135593236</v>
      </c>
    </row>
    <row r="383" spans="1:9" x14ac:dyDescent="0.2">
      <c r="A383" s="15">
        <v>44249</v>
      </c>
      <c r="B383" s="112">
        <v>1.8759999999999999</v>
      </c>
      <c r="C383" s="108">
        <f>IFERROR(B383-B382,0)</f>
        <v>-3.0000000000001137E-3</v>
      </c>
      <c r="D383" s="109">
        <f>IF(C383&lt;0,C383,"/")</f>
        <v>-3.0000000000001137E-3</v>
      </c>
      <c r="E383" s="109">
        <f ca="1">IF(表2_36716262930345[[#This Row],[累计净值]]/MAX(INDIRECT("B21:B" &amp; ROW()))-1&lt;E382,表2_36716262930345[[#This Row],[累计净值]]/MAX(INDIRECT("B21:B" &amp; ROW()))-1,E382)</f>
        <v>-0.10977948226270373</v>
      </c>
      <c r="F383" s="110">
        <f>表2_36716262930345[[#This Row],[累计净值]]</f>
        <v>1.8759999999999999</v>
      </c>
      <c r="G383" s="20">
        <f>表2_36716262930345[[#This Row],[累计净值]]/$B$22-1</f>
        <v>0.5898305084745763</v>
      </c>
    </row>
    <row r="384" spans="1:9" x14ac:dyDescent="0.2">
      <c r="A384" s="15">
        <v>44250</v>
      </c>
      <c r="B384" s="112">
        <v>1.87</v>
      </c>
      <c r="C384" s="108">
        <f>IFERROR(B384-B383,0)</f>
        <v>-5.9999999999997833E-3</v>
      </c>
      <c r="D384" s="109">
        <f>IF(C384&lt;0,C384,"/")</f>
        <v>-5.9999999999997833E-3</v>
      </c>
      <c r="E384" s="109">
        <f ca="1">IF(表2_36716262930345[[#This Row],[累计净值]]/MAX(INDIRECT("B21:B" &amp; ROW()))-1&lt;E383,表2_36716262930345[[#This Row],[累计净值]]/MAX(INDIRECT("B21:B" &amp; ROW()))-1,E383)</f>
        <v>-0.10977948226270373</v>
      </c>
      <c r="F384" s="110">
        <f>表2_36716262930345[[#This Row],[累计净值]]</f>
        <v>1.87</v>
      </c>
      <c r="G384" s="20">
        <f>表2_36716262930345[[#This Row],[累计净值]]/$B$22-1</f>
        <v>0.58474576271186463</v>
      </c>
    </row>
    <row r="385" spans="1:7" x14ac:dyDescent="0.2">
      <c r="A385" s="15">
        <v>44251</v>
      </c>
      <c r="B385" s="112">
        <v>1.859</v>
      </c>
      <c r="C385" s="108">
        <f t="shared" ref="C385:C387" si="102">IFERROR(B385-B384,0)</f>
        <v>-1.1000000000000121E-2</v>
      </c>
      <c r="D385" s="109">
        <f t="shared" ref="D385:D387" si="103">IF(C385&lt;0,C385,"/")</f>
        <v>-1.1000000000000121E-2</v>
      </c>
      <c r="E385" s="109">
        <f ca="1">IF(表2_36716262930345[[#This Row],[累计净值]]/MAX(INDIRECT("B21:B" &amp; ROW()))-1&lt;E384,表2_36716262930345[[#This Row],[累计净值]]/MAX(INDIRECT("B21:B" &amp; ROW()))-1,E384)</f>
        <v>-0.10977948226270373</v>
      </c>
      <c r="F385" s="110">
        <f>表2_36716262930345[[#This Row],[累计净值]]</f>
        <v>1.859</v>
      </c>
      <c r="G385" s="20">
        <f>表2_36716262930345[[#This Row],[累计净值]]/$B$22-1</f>
        <v>0.5754237288135593</v>
      </c>
    </row>
    <row r="386" spans="1:7" x14ac:dyDescent="0.2">
      <c r="A386" s="15">
        <v>44252</v>
      </c>
      <c r="B386" s="112">
        <v>1.871</v>
      </c>
      <c r="C386" s="108">
        <f t="shared" si="102"/>
        <v>1.2000000000000011E-2</v>
      </c>
      <c r="D386" s="109" t="str">
        <f t="shared" si="103"/>
        <v>/</v>
      </c>
      <c r="E386" s="109">
        <f ca="1">IF(表2_36716262930345[[#This Row],[累计净值]]/MAX(INDIRECT("B21:B" &amp; ROW()))-1&lt;E385,表2_36716262930345[[#This Row],[累计净值]]/MAX(INDIRECT("B21:B" &amp; ROW()))-1,E385)</f>
        <v>-0.10977948226270373</v>
      </c>
      <c r="F386" s="110">
        <f>表2_36716262930345[[#This Row],[累计净值]]</f>
        <v>1.871</v>
      </c>
      <c r="G386" s="20">
        <f>表2_36716262930345[[#This Row],[累计净值]]/$B$22-1</f>
        <v>0.58559322033898309</v>
      </c>
    </row>
    <row r="387" spans="1:7" x14ac:dyDescent="0.2">
      <c r="A387" s="15">
        <v>44253</v>
      </c>
      <c r="B387" s="112">
        <v>1.875</v>
      </c>
      <c r="C387" s="108">
        <f t="shared" si="102"/>
        <v>4.0000000000000036E-3</v>
      </c>
      <c r="D387" s="109" t="str">
        <f t="shared" si="103"/>
        <v>/</v>
      </c>
      <c r="E387" s="109">
        <f ca="1">IF(表2_36716262930345[[#This Row],[累计净值]]/MAX(INDIRECT("B21:B" &amp; ROW()))-1&lt;E386,表2_36716262930345[[#This Row],[累计净值]]/MAX(INDIRECT("B21:B" &amp; ROW()))-1,E386)</f>
        <v>-0.10977948226270373</v>
      </c>
      <c r="F387" s="110">
        <f>表2_36716262930345[[#This Row],[累计净值]]</f>
        <v>1.875</v>
      </c>
      <c r="G387" s="20">
        <f>表2_36716262930345[[#This Row],[累计净值]]/$B$22-1</f>
        <v>0.58898305084745761</v>
      </c>
    </row>
    <row r="388" spans="1:7" x14ac:dyDescent="0.2">
      <c r="A388" s="15">
        <v>44256</v>
      </c>
      <c r="B388" s="112">
        <v>1.889</v>
      </c>
      <c r="C388" s="108">
        <f t="shared" ref="C388:C390" si="104">IFERROR(B388-B387,0)</f>
        <v>1.4000000000000012E-2</v>
      </c>
      <c r="D388" s="109" t="str">
        <f t="shared" ref="D388:D390" si="105">IF(C388&lt;0,C388,"/")</f>
        <v>/</v>
      </c>
      <c r="E388" s="109">
        <f ca="1">IF(表2_36716262930345[[#This Row],[累计净值]]/MAX(INDIRECT("B21:B" &amp; ROW()))-1&lt;E387,表2_36716262930345[[#This Row],[累计净值]]/MAX(INDIRECT("B21:B" &amp; ROW()))-1,E387)</f>
        <v>-0.10977948226270373</v>
      </c>
      <c r="F388" s="110">
        <f>表2_36716262930345[[#This Row],[累计净值]]</f>
        <v>1.889</v>
      </c>
      <c r="G388" s="20">
        <f>表2_36716262930345[[#This Row],[累计净值]]/$B$22-1</f>
        <v>0.60084745762711878</v>
      </c>
    </row>
    <row r="389" spans="1:7" x14ac:dyDescent="0.2">
      <c r="A389" s="15">
        <v>44257</v>
      </c>
      <c r="B389" s="112">
        <v>1.8859999999999999</v>
      </c>
      <c r="C389" s="108">
        <f t="shared" si="104"/>
        <v>-3.0000000000001137E-3</v>
      </c>
      <c r="D389" s="109">
        <f t="shared" si="105"/>
        <v>-3.0000000000001137E-3</v>
      </c>
      <c r="E389" s="109">
        <f ca="1">IF(表2_36716262930345[[#This Row],[累计净值]]/MAX(INDIRECT("B21:B" &amp; ROW()))-1&lt;E388,表2_36716262930345[[#This Row],[累计净值]]/MAX(INDIRECT("B21:B" &amp; ROW()))-1,E388)</f>
        <v>-0.10977948226270373</v>
      </c>
      <c r="F389" s="110">
        <f>表2_36716262930345[[#This Row],[累计净值]]</f>
        <v>1.8859999999999999</v>
      </c>
      <c r="G389" s="20">
        <f>表2_36716262930345[[#This Row],[累计净值]]/$B$22-1</f>
        <v>0.59830508474576272</v>
      </c>
    </row>
    <row r="390" spans="1:7" x14ac:dyDescent="0.2">
      <c r="A390" s="15">
        <v>44258</v>
      </c>
      <c r="B390" s="112">
        <v>1.8879999999999999</v>
      </c>
      <c r="C390" s="108">
        <f t="shared" si="104"/>
        <v>2.0000000000000018E-3</v>
      </c>
      <c r="D390" s="109" t="str">
        <f t="shared" si="105"/>
        <v>/</v>
      </c>
      <c r="E390" s="109">
        <f ca="1">IF(表2_36716262930345[[#This Row],[累计净值]]/MAX(INDIRECT("B21:B" &amp; ROW()))-1&lt;E389,表2_36716262930345[[#This Row],[累计净值]]/MAX(INDIRECT("B21:B" &amp; ROW()))-1,E389)</f>
        <v>-0.10977948226270373</v>
      </c>
      <c r="F390" s="110">
        <f>表2_36716262930345[[#This Row],[累计净值]]</f>
        <v>1.8879999999999999</v>
      </c>
      <c r="G390" s="20">
        <f>表2_36716262930345[[#This Row],[累计净值]]/$B$22-1</f>
        <v>0.60000000000000009</v>
      </c>
    </row>
    <row r="391" spans="1:7" x14ac:dyDescent="0.2">
      <c r="A391" s="15">
        <v>44259</v>
      </c>
      <c r="B391" s="112">
        <v>1.8979999999999999</v>
      </c>
      <c r="C391" s="108">
        <f>IFERROR(B391-B390,0)</f>
        <v>1.0000000000000009E-2</v>
      </c>
      <c r="D391" s="109" t="str">
        <f>IF(C391&lt;0,C391,"/")</f>
        <v>/</v>
      </c>
      <c r="E391" s="109">
        <f ca="1">IF(表2_36716262930345[[#This Row],[累计净值]]/MAX(INDIRECT("B21:B" &amp; ROW()))-1&lt;E390,表2_36716262930345[[#This Row],[累计净值]]/MAX(INDIRECT("B21:B" &amp; ROW()))-1,E390)</f>
        <v>-0.10977948226270373</v>
      </c>
      <c r="F391" s="110">
        <f>表2_36716262930345[[#This Row],[累计净值]]</f>
        <v>1.8979999999999999</v>
      </c>
      <c r="G391" s="20">
        <f>表2_36716262930345[[#This Row],[累计净值]]/$B$22-1</f>
        <v>0.60847457627118651</v>
      </c>
    </row>
    <row r="392" spans="1:7" x14ac:dyDescent="0.2">
      <c r="A392" s="15">
        <v>44260</v>
      </c>
      <c r="B392" s="112">
        <v>1.897</v>
      </c>
      <c r="C392" s="108">
        <f t="shared" ref="C392:C397" si="106">IFERROR(B392-B391,0)</f>
        <v>-9.9999999999988987E-4</v>
      </c>
      <c r="D392" s="109">
        <f t="shared" ref="D392:D397" si="107">IF(C392&lt;0,C392,"/")</f>
        <v>-9.9999999999988987E-4</v>
      </c>
      <c r="E392" s="109">
        <f ca="1">IF(表2_36716262930345[[#This Row],[累计净值]]/MAX(INDIRECT("B21:B" &amp; ROW()))-1&lt;E391,表2_36716262930345[[#This Row],[累计净值]]/MAX(INDIRECT("B21:B" &amp; ROW()))-1,E391)</f>
        <v>-0.10977948226270373</v>
      </c>
      <c r="F392" s="110">
        <f>表2_36716262930345[[#This Row],[累计净值]]</f>
        <v>1.897</v>
      </c>
      <c r="G392" s="20">
        <f>表2_36716262930345[[#This Row],[累计净值]]/$B$22-1</f>
        <v>0.60762711864406782</v>
      </c>
    </row>
    <row r="393" spans="1:7" x14ac:dyDescent="0.2">
      <c r="A393" s="15">
        <v>44263</v>
      </c>
      <c r="B393" s="112">
        <v>1.9139999999999999</v>
      </c>
      <c r="C393" s="108">
        <f t="shared" si="106"/>
        <v>1.6999999999999904E-2</v>
      </c>
      <c r="D393" s="109" t="str">
        <f t="shared" si="107"/>
        <v>/</v>
      </c>
      <c r="E393" s="109">
        <f ca="1">IF(表2_36716262930345[[#This Row],[累计净值]]/MAX(INDIRECT("B21:B" &amp; ROW()))-1&lt;E392,表2_36716262930345[[#This Row],[累计净值]]/MAX(INDIRECT("B21:B" &amp; ROW()))-1,E392)</f>
        <v>-0.10977948226270373</v>
      </c>
      <c r="F393" s="110">
        <f>表2_36716262930345[[#This Row],[累计净值]]</f>
        <v>1.9139999999999999</v>
      </c>
      <c r="G393" s="20">
        <f>表2_36716262930345[[#This Row],[累计净值]]/$B$22-1</f>
        <v>0.62203389830508482</v>
      </c>
    </row>
    <row r="394" spans="1:7" x14ac:dyDescent="0.2">
      <c r="A394" s="15">
        <v>44264</v>
      </c>
      <c r="B394" s="112">
        <v>1.919</v>
      </c>
      <c r="C394" s="108">
        <f t="shared" si="106"/>
        <v>5.0000000000001155E-3</v>
      </c>
      <c r="D394" s="109" t="str">
        <f t="shared" si="107"/>
        <v>/</v>
      </c>
      <c r="E394" s="109">
        <f ca="1">IF(表2_36716262930345[[#This Row],[累计净值]]/MAX(INDIRECT("B21:B" &amp; ROW()))-1&lt;E393,表2_36716262930345[[#This Row],[累计净值]]/MAX(INDIRECT("B21:B" &amp; ROW()))-1,E393)</f>
        <v>-0.10977948226270373</v>
      </c>
      <c r="F394" s="110">
        <f>表2_36716262930345[[#This Row],[累计净值]]</f>
        <v>1.919</v>
      </c>
      <c r="G394" s="20">
        <f>表2_36716262930345[[#This Row],[累计净值]]/$B$22-1</f>
        <v>0.62627118644067803</v>
      </c>
    </row>
    <row r="395" spans="1:7" x14ac:dyDescent="0.2">
      <c r="A395" s="15">
        <v>44265</v>
      </c>
      <c r="B395" s="112">
        <v>1.9119999999999999</v>
      </c>
      <c r="C395" s="108">
        <f t="shared" si="106"/>
        <v>-7.0000000000001172E-3</v>
      </c>
      <c r="D395" s="109">
        <f t="shared" si="107"/>
        <v>-7.0000000000001172E-3</v>
      </c>
      <c r="E395" s="109">
        <f ca="1">IF(表2_36716262930345[[#This Row],[累计净值]]/MAX(INDIRECT("B21:B" &amp; ROW()))-1&lt;E394,表2_36716262930345[[#This Row],[累计净值]]/MAX(INDIRECT("B21:B" &amp; ROW()))-1,E394)</f>
        <v>-0.10977948226270373</v>
      </c>
      <c r="F395" s="110">
        <f>表2_36716262930345[[#This Row],[累计净值]]</f>
        <v>1.9119999999999999</v>
      </c>
      <c r="G395" s="20">
        <f>表2_36716262930345[[#This Row],[累计净值]]/$B$22-1</f>
        <v>0.62033898305084745</v>
      </c>
    </row>
    <row r="396" spans="1:7" x14ac:dyDescent="0.2">
      <c r="A396" s="15">
        <v>44266</v>
      </c>
      <c r="B396" s="112">
        <v>1.9079999999999999</v>
      </c>
      <c r="C396" s="108">
        <f t="shared" si="106"/>
        <v>-4.0000000000000036E-3</v>
      </c>
      <c r="D396" s="109">
        <f t="shared" si="107"/>
        <v>-4.0000000000000036E-3</v>
      </c>
      <c r="E396" s="109">
        <f ca="1">IF(表2_36716262930345[[#This Row],[累计净值]]/MAX(INDIRECT("B21:B" &amp; ROW()))-1&lt;E395,表2_36716262930345[[#This Row],[累计净值]]/MAX(INDIRECT("B21:B" &amp; ROW()))-1,E395)</f>
        <v>-0.10977948226270373</v>
      </c>
      <c r="F396" s="110">
        <f>表2_36716262930345[[#This Row],[累计净值]]</f>
        <v>1.9079999999999999</v>
      </c>
      <c r="G396" s="20">
        <f>表2_36716262930345[[#This Row],[累计净值]]/$B$22-1</f>
        <v>0.61694915254237293</v>
      </c>
    </row>
    <row r="397" spans="1:7" x14ac:dyDescent="0.2">
      <c r="A397" s="15">
        <v>44267</v>
      </c>
      <c r="B397" s="112">
        <v>1.9039999999999999</v>
      </c>
      <c r="C397" s="108">
        <f t="shared" si="106"/>
        <v>-4.0000000000000036E-3</v>
      </c>
      <c r="D397" s="109">
        <f t="shared" si="107"/>
        <v>-4.0000000000000036E-3</v>
      </c>
      <c r="E397" s="109">
        <f ca="1">IF(表2_36716262930345[[#This Row],[累计净值]]/MAX(INDIRECT("B21:B" &amp; ROW()))-1&lt;E396,表2_36716262930345[[#This Row],[累计净值]]/MAX(INDIRECT("B21:B" &amp; ROW()))-1,E396)</f>
        <v>-0.10977948226270373</v>
      </c>
      <c r="F397" s="110">
        <f>表2_36716262930345[[#This Row],[累计净值]]</f>
        <v>1.9039999999999999</v>
      </c>
      <c r="G397" s="20">
        <f>表2_36716262930345[[#This Row],[累计净值]]/$B$22-1</f>
        <v>0.6135593220338984</v>
      </c>
    </row>
    <row r="398" spans="1:7" x14ac:dyDescent="0.2">
      <c r="A398" s="15">
        <v>44270</v>
      </c>
      <c r="B398" s="112">
        <v>1.9019999999999999</v>
      </c>
      <c r="C398" s="108">
        <f t="shared" ref="C398:C402" si="108">IFERROR(B398-B397,0)</f>
        <v>-2.0000000000000018E-3</v>
      </c>
      <c r="D398" s="109">
        <f t="shared" ref="D398:D402" si="109">IF(C398&lt;0,C398,"/")</f>
        <v>-2.0000000000000018E-3</v>
      </c>
      <c r="E398" s="109">
        <f ca="1">IF(表2_36716262930345[[#This Row],[累计净值]]/MAX(INDIRECT("B21:B" &amp; ROW()))-1&lt;E397,表2_36716262930345[[#This Row],[累计净值]]/MAX(INDIRECT("B21:B" &amp; ROW()))-1,E397)</f>
        <v>-0.10977948226270373</v>
      </c>
      <c r="F398" s="110">
        <f>表2_36716262930345[[#This Row],[累计净值]]</f>
        <v>1.9019999999999999</v>
      </c>
      <c r="G398" s="20">
        <f>表2_36716262930345[[#This Row],[累计净值]]/$B$22-1</f>
        <v>0.61186440677966103</v>
      </c>
    </row>
    <row r="399" spans="1:7" x14ac:dyDescent="0.2">
      <c r="A399" s="15">
        <v>44271</v>
      </c>
      <c r="B399" s="112">
        <v>1.911</v>
      </c>
      <c r="C399" s="108">
        <f t="shared" si="108"/>
        <v>9.000000000000119E-3</v>
      </c>
      <c r="D399" s="109" t="str">
        <f t="shared" si="109"/>
        <v>/</v>
      </c>
      <c r="E399" s="109">
        <f ca="1">IF(表2_36716262930345[[#This Row],[累计净值]]/MAX(INDIRECT("B21:B" &amp; ROW()))-1&lt;E398,表2_36716262930345[[#This Row],[累计净值]]/MAX(INDIRECT("B21:B" &amp; ROW()))-1,E398)</f>
        <v>-0.10977948226270373</v>
      </c>
      <c r="F399" s="110">
        <f>表2_36716262930345[[#This Row],[累计净值]]</f>
        <v>1.911</v>
      </c>
      <c r="G399" s="20">
        <f>表2_36716262930345[[#This Row],[累计净值]]/$B$22-1</f>
        <v>0.61949152542372898</v>
      </c>
    </row>
    <row r="400" spans="1:7" x14ac:dyDescent="0.2">
      <c r="A400" s="15">
        <v>44272</v>
      </c>
      <c r="B400" s="112">
        <v>1.913</v>
      </c>
      <c r="C400" s="108">
        <f t="shared" si="108"/>
        <v>2.0000000000000018E-3</v>
      </c>
      <c r="D400" s="109" t="str">
        <f t="shared" si="109"/>
        <v>/</v>
      </c>
      <c r="E400" s="109">
        <f ca="1">IF(表2_36716262930345[[#This Row],[累计净值]]/MAX(INDIRECT("B21:B" &amp; ROW()))-1&lt;E399,表2_36716262930345[[#This Row],[累计净值]]/MAX(INDIRECT("B21:B" &amp; ROW()))-1,E399)</f>
        <v>-0.10977948226270373</v>
      </c>
      <c r="F400" s="110">
        <f>表2_36716262930345[[#This Row],[累计净值]]</f>
        <v>1.913</v>
      </c>
      <c r="G400" s="20">
        <f>表2_36716262930345[[#This Row],[累计净值]]/$B$22-1</f>
        <v>0.62118644067796613</v>
      </c>
    </row>
    <row r="401" spans="1:7" x14ac:dyDescent="0.2">
      <c r="A401" s="15">
        <v>44273</v>
      </c>
      <c r="B401" s="112">
        <v>1.911</v>
      </c>
      <c r="C401" s="108">
        <f t="shared" si="108"/>
        <v>-2.0000000000000018E-3</v>
      </c>
      <c r="D401" s="109">
        <f t="shared" si="109"/>
        <v>-2.0000000000000018E-3</v>
      </c>
      <c r="E401" s="109">
        <f ca="1">IF(表2_36716262930345[[#This Row],[累计净值]]/MAX(INDIRECT("B21:B" &amp; ROW()))-1&lt;E400,表2_36716262930345[[#This Row],[累计净值]]/MAX(INDIRECT("B21:B" &amp; ROW()))-1,E400)</f>
        <v>-0.10977948226270373</v>
      </c>
      <c r="F401" s="110">
        <f>表2_36716262930345[[#This Row],[累计净值]]</f>
        <v>1.911</v>
      </c>
      <c r="G401" s="20">
        <f>表2_36716262930345[[#This Row],[累计净值]]/$B$22-1</f>
        <v>0.61949152542372898</v>
      </c>
    </row>
    <row r="402" spans="1:7" x14ac:dyDescent="0.2">
      <c r="A402" s="15">
        <v>44274</v>
      </c>
      <c r="B402" s="112">
        <v>1.913</v>
      </c>
      <c r="C402" s="108">
        <f t="shared" si="108"/>
        <v>2.0000000000000018E-3</v>
      </c>
      <c r="D402" s="109" t="str">
        <f t="shared" si="109"/>
        <v>/</v>
      </c>
      <c r="E402" s="109">
        <f ca="1">IF(表2_36716262930345[[#This Row],[累计净值]]/MAX(INDIRECT("B21:B" &amp; ROW()))-1&lt;E401,表2_36716262930345[[#This Row],[累计净值]]/MAX(INDIRECT("B21:B" &amp; ROW()))-1,E401)</f>
        <v>-0.10977948226270373</v>
      </c>
      <c r="F402" s="110">
        <f>表2_36716262930345[[#This Row],[累计净值]]</f>
        <v>1.913</v>
      </c>
      <c r="G402" s="20">
        <f>表2_36716262930345[[#This Row],[累计净值]]/$B$22-1</f>
        <v>0.62118644067796613</v>
      </c>
    </row>
    <row r="403" spans="1:7" x14ac:dyDescent="0.2">
      <c r="A403" s="15">
        <v>44277</v>
      </c>
      <c r="B403" s="112">
        <v>1.905</v>
      </c>
      <c r="C403" s="108">
        <f>IFERROR(B403-B402,0)</f>
        <v>-8.0000000000000071E-3</v>
      </c>
      <c r="D403" s="109">
        <f>IF(C403&lt;0,C403,"/")</f>
        <v>-8.0000000000000071E-3</v>
      </c>
      <c r="E403" s="109">
        <f ca="1">IF(表2_36716262930345[[#This Row],[累计净值]]/MAX(INDIRECT("B21:B" &amp; ROW()))-1&lt;E402,表2_36716262930345[[#This Row],[累计净值]]/MAX(INDIRECT("B21:B" &amp; ROW()))-1,E402)</f>
        <v>-0.10977948226270373</v>
      </c>
      <c r="F403" s="110">
        <f>表2_36716262930345[[#This Row],[累计净值]]</f>
        <v>1.905</v>
      </c>
      <c r="G403" s="20">
        <f>表2_36716262930345[[#This Row],[累计净值]]/$B$22-1</f>
        <v>0.61440677966101709</v>
      </c>
    </row>
    <row r="404" spans="1:7" x14ac:dyDescent="0.2">
      <c r="A404" s="15">
        <v>44278</v>
      </c>
      <c r="B404" s="112">
        <v>1.9259999999999999</v>
      </c>
      <c r="C404" s="108">
        <f t="shared" ref="C404:C407" si="110">IFERROR(B404-B403,0)</f>
        <v>2.0999999999999908E-2</v>
      </c>
      <c r="D404" s="109" t="str">
        <f t="shared" ref="D404:D407" si="111">IF(C404&lt;0,C404,"/")</f>
        <v>/</v>
      </c>
      <c r="E404" s="109">
        <f ca="1">IF(表2_36716262930345[[#This Row],[累计净值]]/MAX(INDIRECT("B21:B" &amp; ROW()))-1&lt;E403,表2_36716262930345[[#This Row],[累计净值]]/MAX(INDIRECT("B21:B" &amp; ROW()))-1,E403)</f>
        <v>-0.10977948226270373</v>
      </c>
      <c r="F404" s="110">
        <f>表2_36716262930345[[#This Row],[累计净值]]</f>
        <v>1.9259999999999999</v>
      </c>
      <c r="G404" s="20">
        <f>表2_36716262930345[[#This Row],[累计净值]]/$B$22-1</f>
        <v>0.63220338983050861</v>
      </c>
    </row>
    <row r="405" spans="1:7" x14ac:dyDescent="0.2">
      <c r="A405" s="15">
        <v>44279</v>
      </c>
      <c r="B405" s="112">
        <v>1.9339999999999999</v>
      </c>
      <c r="C405" s="108">
        <f t="shared" si="110"/>
        <v>8.0000000000000071E-3</v>
      </c>
      <c r="D405" s="109" t="str">
        <f t="shared" si="111"/>
        <v>/</v>
      </c>
      <c r="E405" s="109">
        <f ca="1">IF(表2_36716262930345[[#This Row],[累计净值]]/MAX(INDIRECT("B21:B" &amp; ROW()))-1&lt;E404,表2_36716262930345[[#This Row],[累计净值]]/MAX(INDIRECT("B21:B" &amp; ROW()))-1,E404)</f>
        <v>-0.10977948226270373</v>
      </c>
      <c r="F405" s="110">
        <f>表2_36716262930345[[#This Row],[累计净值]]</f>
        <v>1.9339999999999999</v>
      </c>
      <c r="G405" s="20">
        <f>表2_36716262930345[[#This Row],[累计净值]]/$B$22-1</f>
        <v>0.63898305084745766</v>
      </c>
    </row>
    <row r="406" spans="1:7" x14ac:dyDescent="0.2">
      <c r="A406" s="15">
        <v>44280</v>
      </c>
      <c r="B406" s="112">
        <v>1.94</v>
      </c>
      <c r="C406" s="108">
        <f t="shared" si="110"/>
        <v>6.0000000000000053E-3</v>
      </c>
      <c r="D406" s="109" t="str">
        <f t="shared" si="111"/>
        <v>/</v>
      </c>
      <c r="E406" s="109">
        <f ca="1">IF(表2_36716262930345[[#This Row],[累计净值]]/MAX(INDIRECT("B21:B" &amp; ROW()))-1&lt;E405,表2_36716262930345[[#This Row],[累计净值]]/MAX(INDIRECT("B21:B" &amp; ROW()))-1,E405)</f>
        <v>-0.10977948226270373</v>
      </c>
      <c r="F406" s="110">
        <f>表2_36716262930345[[#This Row],[累计净值]]</f>
        <v>1.94</v>
      </c>
      <c r="G406" s="20">
        <f>表2_36716262930345[[#This Row],[累计净值]]/$B$22-1</f>
        <v>0.64406779661016955</v>
      </c>
    </row>
    <row r="407" spans="1:7" x14ac:dyDescent="0.2">
      <c r="A407" s="15">
        <v>44281</v>
      </c>
      <c r="B407" s="112">
        <v>1.92</v>
      </c>
      <c r="C407" s="108">
        <f t="shared" si="110"/>
        <v>-2.0000000000000018E-2</v>
      </c>
      <c r="D407" s="109">
        <f t="shared" si="111"/>
        <v>-2.0000000000000018E-2</v>
      </c>
      <c r="E407" s="109">
        <f ca="1">IF(表2_36716262930345[[#This Row],[累计净值]]/MAX(INDIRECT("B21:B" &amp; ROW()))-1&lt;E406,表2_36716262930345[[#This Row],[累计净值]]/MAX(INDIRECT("B21:B" &amp; ROW()))-1,E406)</f>
        <v>-0.10977948226270373</v>
      </c>
      <c r="F407" s="110">
        <f>表2_36716262930345[[#This Row],[累计净值]]</f>
        <v>1.92</v>
      </c>
      <c r="G407" s="20">
        <f>表2_36716262930345[[#This Row],[累计净值]]/$B$22-1</f>
        <v>0.62711864406779672</v>
      </c>
    </row>
    <row r="408" spans="1:7" x14ac:dyDescent="0.2">
      <c r="A408" s="15">
        <v>44284</v>
      </c>
      <c r="B408" s="112">
        <v>1.907</v>
      </c>
      <c r="C408" s="108">
        <f t="shared" ref="C408:C413" si="112">IFERROR(B408-B407,0)</f>
        <v>-1.2999999999999901E-2</v>
      </c>
      <c r="D408" s="109">
        <f t="shared" ref="D408:D413" si="113">IF(C408&lt;0,C408,"/")</f>
        <v>-1.2999999999999901E-2</v>
      </c>
      <c r="E408" s="109">
        <f ca="1">IF(表2_36716262930345[[#This Row],[累计净值]]/MAX(INDIRECT("B21:B" &amp; ROW()))-1&lt;E407,表2_36716262930345[[#This Row],[累计净值]]/MAX(INDIRECT("B21:B" &amp; ROW()))-1,E407)</f>
        <v>-0.10977948226270373</v>
      </c>
      <c r="F408" s="110">
        <f>表2_36716262930345[[#This Row],[累计净值]]</f>
        <v>1.907</v>
      </c>
      <c r="G408" s="20">
        <f>表2_36716262930345[[#This Row],[累计净值]]/$B$22-1</f>
        <v>0.61610169491525424</v>
      </c>
    </row>
    <row r="409" spans="1:7" x14ac:dyDescent="0.2">
      <c r="A409" s="15">
        <v>44285</v>
      </c>
      <c r="B409" s="112">
        <v>1.907</v>
      </c>
      <c r="C409" s="108">
        <f t="shared" si="112"/>
        <v>0</v>
      </c>
      <c r="D409" s="109" t="str">
        <f t="shared" si="113"/>
        <v>/</v>
      </c>
      <c r="E409" s="109">
        <f ca="1">IF(表2_36716262930345[[#This Row],[累计净值]]/MAX(INDIRECT("B21:B" &amp; ROW()))-1&lt;E408,表2_36716262930345[[#This Row],[累计净值]]/MAX(INDIRECT("B21:B" &amp; ROW()))-1,E408)</f>
        <v>-0.10977948226270373</v>
      </c>
      <c r="F409" s="110">
        <f>表2_36716262930345[[#This Row],[累计净值]]</f>
        <v>1.907</v>
      </c>
      <c r="G409" s="20">
        <f>表2_36716262930345[[#This Row],[累计净值]]/$B$22-1</f>
        <v>0.61610169491525424</v>
      </c>
    </row>
    <row r="410" spans="1:7" x14ac:dyDescent="0.2">
      <c r="A410" s="15">
        <v>44286</v>
      </c>
      <c r="B410" s="112">
        <v>1.903</v>
      </c>
      <c r="C410" s="108">
        <f t="shared" si="112"/>
        <v>-4.0000000000000036E-3</v>
      </c>
      <c r="D410" s="109">
        <f t="shared" si="113"/>
        <v>-4.0000000000000036E-3</v>
      </c>
      <c r="E410" s="109">
        <f ca="1">IF(表2_36716262930345[[#This Row],[累计净值]]/MAX(INDIRECT("B21:B" &amp; ROW()))-1&lt;E409,表2_36716262930345[[#This Row],[累计净值]]/MAX(INDIRECT("B21:B" &amp; ROW()))-1,E409)</f>
        <v>-0.10977948226270373</v>
      </c>
      <c r="F410" s="110">
        <f>表2_36716262930345[[#This Row],[累计净值]]</f>
        <v>1.903</v>
      </c>
      <c r="G410" s="20">
        <f>表2_36716262930345[[#This Row],[累计净值]]/$B$22-1</f>
        <v>0.61271186440677972</v>
      </c>
    </row>
    <row r="411" spans="1:7" x14ac:dyDescent="0.2">
      <c r="A411" s="15">
        <v>44287</v>
      </c>
      <c r="B411" s="112">
        <v>1.901</v>
      </c>
      <c r="C411" s="108">
        <f t="shared" si="112"/>
        <v>-2.0000000000000018E-3</v>
      </c>
      <c r="D411" s="109">
        <f t="shared" si="113"/>
        <v>-2.0000000000000018E-3</v>
      </c>
      <c r="E411" s="109">
        <f ca="1">IF(表2_36716262930345[[#This Row],[累计净值]]/MAX(INDIRECT("B21:B" &amp; ROW()))-1&lt;E410,表2_36716262930345[[#This Row],[累计净值]]/MAX(INDIRECT("B21:B" &amp; ROW()))-1,E410)</f>
        <v>-0.10977948226270373</v>
      </c>
      <c r="F411" s="110">
        <f>表2_36716262930345[[#This Row],[累计净值]]</f>
        <v>1.901</v>
      </c>
      <c r="G411" s="20">
        <f>表2_36716262930345[[#This Row],[累计净值]]/$B$22-1</f>
        <v>0.61101694915254257</v>
      </c>
    </row>
    <row r="412" spans="1:7" x14ac:dyDescent="0.2">
      <c r="A412" s="15">
        <v>44288</v>
      </c>
      <c r="B412" s="112">
        <v>1.901</v>
      </c>
      <c r="C412" s="108">
        <f t="shared" si="112"/>
        <v>0</v>
      </c>
      <c r="D412" s="109" t="str">
        <f t="shared" si="113"/>
        <v>/</v>
      </c>
      <c r="E412" s="109">
        <f ca="1">IF(表2_36716262930345[[#This Row],[累计净值]]/MAX(INDIRECT("B21:B" &amp; ROW()))-1&lt;E411,表2_36716262930345[[#This Row],[累计净值]]/MAX(INDIRECT("B21:B" &amp; ROW()))-1,E411)</f>
        <v>-0.10977948226270373</v>
      </c>
      <c r="F412" s="110">
        <f>表2_36716262930345[[#This Row],[累计净值]]</f>
        <v>1.901</v>
      </c>
      <c r="G412" s="20">
        <f>表2_36716262930345[[#This Row],[累计净值]]/$B$22-1</f>
        <v>0.61101694915254257</v>
      </c>
    </row>
    <row r="413" spans="1:7" x14ac:dyDescent="0.2">
      <c r="A413" s="15">
        <v>44292</v>
      </c>
      <c r="B413" s="112">
        <v>1.899</v>
      </c>
      <c r="C413" s="108">
        <f t="shared" si="112"/>
        <v>-2.0000000000000018E-3</v>
      </c>
      <c r="D413" s="109">
        <f t="shared" si="113"/>
        <v>-2.0000000000000018E-3</v>
      </c>
      <c r="E413" s="109">
        <f ca="1">IF(表2_36716262930345[[#This Row],[累计净值]]/MAX(INDIRECT("B21:B" &amp; ROW()))-1&lt;E412,表2_36716262930345[[#This Row],[累计净值]]/MAX(INDIRECT("B21:B" &amp; ROW()))-1,E412)</f>
        <v>-0.10977948226270373</v>
      </c>
      <c r="F413" s="110">
        <f>表2_36716262930345[[#This Row],[累计净值]]</f>
        <v>1.899</v>
      </c>
      <c r="G413" s="20">
        <f>表2_36716262930345[[#This Row],[累计净值]]/$B$22-1</f>
        <v>0.60932203389830519</v>
      </c>
    </row>
    <row r="414" spans="1:7" x14ac:dyDescent="0.2">
      <c r="A414" s="15">
        <v>44293</v>
      </c>
      <c r="B414" s="112">
        <v>1.897</v>
      </c>
      <c r="C414" s="108">
        <f t="shared" ref="C414:C420" si="114">IFERROR(B414-B413,0)</f>
        <v>-2.0000000000000018E-3</v>
      </c>
      <c r="D414" s="109">
        <f t="shared" ref="D414:D420" si="115">IF(C414&lt;0,C414,"/")</f>
        <v>-2.0000000000000018E-3</v>
      </c>
      <c r="E414" s="109">
        <f ca="1">IF(表2_36716262930345[[#This Row],[累计净值]]/MAX(INDIRECT("B21:B" &amp; ROW()))-1&lt;E413,表2_36716262930345[[#This Row],[累计净值]]/MAX(INDIRECT("B21:B" &amp; ROW()))-1,E413)</f>
        <v>-0.10977948226270373</v>
      </c>
      <c r="F414" s="110">
        <f>表2_36716262930345[[#This Row],[累计净值]]</f>
        <v>1.897</v>
      </c>
      <c r="G414" s="20">
        <f>表2_36716262930345[[#This Row],[累计净值]]/$B$22-1</f>
        <v>0.60762711864406782</v>
      </c>
    </row>
    <row r="415" spans="1:7" x14ac:dyDescent="0.2">
      <c r="A415" s="15">
        <v>44294</v>
      </c>
      <c r="B415" s="112">
        <v>1.887</v>
      </c>
      <c r="C415" s="108">
        <f t="shared" si="114"/>
        <v>-1.0000000000000009E-2</v>
      </c>
      <c r="D415" s="109">
        <f t="shared" si="115"/>
        <v>-1.0000000000000009E-2</v>
      </c>
      <c r="E415" s="109">
        <f ca="1">IF(表2_36716262930345[[#This Row],[累计净值]]/MAX(INDIRECT("B21:B" &amp; ROW()))-1&lt;E414,表2_36716262930345[[#This Row],[累计净值]]/MAX(INDIRECT("B21:B" &amp; ROW()))-1,E414)</f>
        <v>-0.10977948226270373</v>
      </c>
      <c r="F415" s="110">
        <f>表2_36716262930345[[#This Row],[累计净值]]</f>
        <v>1.887</v>
      </c>
      <c r="G415" s="20">
        <f>表2_36716262930345[[#This Row],[累计净值]]/$B$22-1</f>
        <v>0.5991525423728814</v>
      </c>
    </row>
    <row r="416" spans="1:7" x14ac:dyDescent="0.2">
      <c r="A416" s="15">
        <v>44295</v>
      </c>
      <c r="B416" s="112">
        <v>1.88</v>
      </c>
      <c r="C416" s="108">
        <f t="shared" si="114"/>
        <v>-7.0000000000001172E-3</v>
      </c>
      <c r="D416" s="109">
        <f t="shared" si="115"/>
        <v>-7.0000000000001172E-3</v>
      </c>
      <c r="E416" s="109">
        <f ca="1">IF(表2_36716262930345[[#This Row],[累计净值]]/MAX(INDIRECT("B21:B" &amp; ROW()))-1&lt;E415,表2_36716262930345[[#This Row],[累计净值]]/MAX(INDIRECT("B21:B" &amp; ROW()))-1,E415)</f>
        <v>-0.10977948226270373</v>
      </c>
      <c r="F416" s="110">
        <f>表2_36716262930345[[#This Row],[累计净值]]</f>
        <v>1.88</v>
      </c>
      <c r="G416" s="20">
        <f>表2_36716262930345[[#This Row],[累计净值]]/$B$22-1</f>
        <v>0.59322033898305082</v>
      </c>
    </row>
    <row r="417" spans="1:7" x14ac:dyDescent="0.2">
      <c r="A417" s="15">
        <v>44298</v>
      </c>
      <c r="B417" s="112">
        <v>1.875</v>
      </c>
      <c r="C417" s="108">
        <f t="shared" si="114"/>
        <v>-4.9999999999998934E-3</v>
      </c>
      <c r="D417" s="109">
        <f t="shared" si="115"/>
        <v>-4.9999999999998934E-3</v>
      </c>
      <c r="E417" s="109">
        <f ca="1">IF(表2_36716262930345[[#This Row],[累计净值]]/MAX(INDIRECT("B21:B" &amp; ROW()))-1&lt;E416,表2_36716262930345[[#This Row],[累计净值]]/MAX(INDIRECT("B21:B" &amp; ROW()))-1,E416)</f>
        <v>-0.10977948226270373</v>
      </c>
      <c r="F417" s="110">
        <f>表2_36716262930345[[#This Row],[累计净值]]</f>
        <v>1.875</v>
      </c>
      <c r="G417" s="20">
        <f>表2_36716262930345[[#This Row],[累计净值]]/$B$22-1</f>
        <v>0.58898305084745761</v>
      </c>
    </row>
    <row r="418" spans="1:7" x14ac:dyDescent="0.2">
      <c r="A418" s="15">
        <v>44299</v>
      </c>
      <c r="B418" s="112">
        <v>1.8839999999999999</v>
      </c>
      <c r="C418" s="108">
        <f t="shared" si="114"/>
        <v>8.999999999999897E-3</v>
      </c>
      <c r="D418" s="109" t="str">
        <f t="shared" si="115"/>
        <v>/</v>
      </c>
      <c r="E418" s="109">
        <f ca="1">IF(表2_36716262930345[[#This Row],[累计净值]]/MAX(INDIRECT("B21:B" &amp; ROW()))-1&lt;E417,表2_36716262930345[[#This Row],[累计净值]]/MAX(INDIRECT("B21:B" &amp; ROW()))-1,E417)</f>
        <v>-0.10977948226270373</v>
      </c>
      <c r="F418" s="110">
        <f>表2_36716262930345[[#This Row],[累计净值]]</f>
        <v>1.8839999999999999</v>
      </c>
      <c r="G418" s="20">
        <f>表2_36716262930345[[#This Row],[累计净值]]/$B$22-1</f>
        <v>0.59661016949152534</v>
      </c>
    </row>
    <row r="419" spans="1:7" x14ac:dyDescent="0.2">
      <c r="A419" s="15">
        <v>44300</v>
      </c>
      <c r="B419" s="112">
        <v>1.8939999999999999</v>
      </c>
      <c r="C419" s="108">
        <f t="shared" si="114"/>
        <v>1.0000000000000009E-2</v>
      </c>
      <c r="D419" s="109" t="str">
        <f t="shared" si="115"/>
        <v>/</v>
      </c>
      <c r="E419" s="109">
        <f ca="1">IF(表2_36716262930345[[#This Row],[累计净值]]/MAX(INDIRECT("B21:B" &amp; ROW()))-1&lt;E418,表2_36716262930345[[#This Row],[累计净值]]/MAX(INDIRECT("B21:B" &amp; ROW()))-1,E418)</f>
        <v>-0.10977948226270373</v>
      </c>
      <c r="F419" s="110">
        <f>表2_36716262930345[[#This Row],[累计净值]]</f>
        <v>1.8939999999999999</v>
      </c>
      <c r="G419" s="20">
        <f>表2_36716262930345[[#This Row],[累计净值]]/$B$22-1</f>
        <v>0.60508474576271176</v>
      </c>
    </row>
    <row r="420" spans="1:7" x14ac:dyDescent="0.2">
      <c r="A420" s="15">
        <v>44301</v>
      </c>
      <c r="B420" s="112">
        <v>1.8839999999999999</v>
      </c>
      <c r="C420" s="108">
        <f t="shared" si="114"/>
        <v>-1.0000000000000009E-2</v>
      </c>
      <c r="D420" s="109">
        <f t="shared" si="115"/>
        <v>-1.0000000000000009E-2</v>
      </c>
      <c r="E420" s="109">
        <f ca="1">IF(表2_36716262930345[[#This Row],[累计净值]]/MAX(INDIRECT("B21:B" &amp; ROW()))-1&lt;E419,表2_36716262930345[[#This Row],[累计净值]]/MAX(INDIRECT("B21:B" &amp; ROW()))-1,E419)</f>
        <v>-0.10977948226270373</v>
      </c>
      <c r="F420" s="110">
        <f>表2_36716262930345[[#This Row],[累计净值]]</f>
        <v>1.8839999999999999</v>
      </c>
      <c r="G420" s="20">
        <f>表2_36716262930345[[#This Row],[累计净值]]/$B$22-1</f>
        <v>0.59661016949152534</v>
      </c>
    </row>
    <row r="421" spans="1:7" x14ac:dyDescent="0.2">
      <c r="A421" s="15">
        <v>44302</v>
      </c>
      <c r="B421" s="112">
        <v>1.885</v>
      </c>
      <c r="C421" s="108">
        <f t="shared" ref="C421:C426" si="116">IFERROR(B421-B420,0)</f>
        <v>1.0000000000001119E-3</v>
      </c>
      <c r="D421" s="109" t="str">
        <f t="shared" ref="D421:D426" si="117">IF(C421&lt;0,C421,"/")</f>
        <v>/</v>
      </c>
      <c r="E421" s="109">
        <f ca="1">IF(表2_36716262930345[[#This Row],[累计净值]]/MAX(INDIRECT("B21:B" &amp; ROW()))-1&lt;E420,表2_36716262930345[[#This Row],[累计净值]]/MAX(INDIRECT("B21:B" &amp; ROW()))-1,E420)</f>
        <v>-0.10977948226270373</v>
      </c>
      <c r="F421" s="110">
        <f>表2_36716262930345[[#This Row],[累计净值]]</f>
        <v>1.885</v>
      </c>
      <c r="G421" s="20">
        <f>表2_36716262930345[[#This Row],[累计净值]]/$B$22-1</f>
        <v>0.59745762711864425</v>
      </c>
    </row>
    <row r="422" spans="1:7" x14ac:dyDescent="0.2">
      <c r="A422" s="15">
        <v>44305</v>
      </c>
      <c r="B422" s="112">
        <v>1.8979999999999999</v>
      </c>
      <c r="C422" s="108">
        <f t="shared" si="116"/>
        <v>1.2999999999999901E-2</v>
      </c>
      <c r="D422" s="109" t="str">
        <f t="shared" si="117"/>
        <v>/</v>
      </c>
      <c r="E422" s="109">
        <f ca="1">IF(表2_36716262930345[[#This Row],[累计净值]]/MAX(INDIRECT("B21:B" &amp; ROW()))-1&lt;E421,表2_36716262930345[[#This Row],[累计净值]]/MAX(INDIRECT("B21:B" &amp; ROW()))-1,E421)</f>
        <v>-0.10977948226270373</v>
      </c>
      <c r="F422" s="110">
        <f>表2_36716262930345[[#This Row],[累计净值]]</f>
        <v>1.8979999999999999</v>
      </c>
      <c r="G422" s="20">
        <f>表2_36716262930345[[#This Row],[累计净值]]/$B$22-1</f>
        <v>0.60847457627118651</v>
      </c>
    </row>
    <row r="423" spans="1:7" x14ac:dyDescent="0.2">
      <c r="A423" s="15">
        <v>44306</v>
      </c>
      <c r="B423" s="112">
        <v>1.897</v>
      </c>
      <c r="C423" s="108">
        <f t="shared" si="116"/>
        <v>-9.9999999999988987E-4</v>
      </c>
      <c r="D423" s="109">
        <f t="shared" si="117"/>
        <v>-9.9999999999988987E-4</v>
      </c>
      <c r="E423" s="109">
        <f ca="1">IF(表2_36716262930345[[#This Row],[累计净值]]/MAX(INDIRECT("B21:B" &amp; ROW()))-1&lt;E422,表2_36716262930345[[#This Row],[累计净值]]/MAX(INDIRECT("B21:B" &amp; ROW()))-1,E422)</f>
        <v>-0.10977948226270373</v>
      </c>
      <c r="F423" s="110">
        <f>表2_36716262930345[[#This Row],[累计净值]]</f>
        <v>1.897</v>
      </c>
      <c r="G423" s="20">
        <f>表2_36716262930345[[#This Row],[累计净值]]/$B$22-1</f>
        <v>0.60762711864406782</v>
      </c>
    </row>
    <row r="424" spans="1:7" x14ac:dyDescent="0.2">
      <c r="A424" s="15">
        <v>44307</v>
      </c>
      <c r="B424" s="112">
        <v>1.9019999999999999</v>
      </c>
      <c r="C424" s="108">
        <f t="shared" si="116"/>
        <v>4.9999999999998934E-3</v>
      </c>
      <c r="D424" s="109" t="str">
        <f t="shared" si="117"/>
        <v>/</v>
      </c>
      <c r="E424" s="109">
        <f ca="1">IF(表2_36716262930345[[#This Row],[累计净值]]/MAX(INDIRECT("B21:B" &amp; ROW()))-1&lt;E423,表2_36716262930345[[#This Row],[累计净值]]/MAX(INDIRECT("B21:B" &amp; ROW()))-1,E423)</f>
        <v>-0.10977948226270373</v>
      </c>
      <c r="F424" s="110">
        <f>表2_36716262930345[[#This Row],[累计净值]]</f>
        <v>1.9019999999999999</v>
      </c>
      <c r="G424" s="20">
        <f>表2_36716262930345[[#This Row],[累计净值]]/$B$22-1</f>
        <v>0.61186440677966103</v>
      </c>
    </row>
    <row r="425" spans="1:7" x14ac:dyDescent="0.2">
      <c r="A425" s="15">
        <v>44308</v>
      </c>
      <c r="B425" s="112">
        <v>1.9079999999999999</v>
      </c>
      <c r="C425" s="108">
        <f t="shared" si="116"/>
        <v>6.0000000000000053E-3</v>
      </c>
      <c r="D425" s="109" t="str">
        <f t="shared" si="117"/>
        <v>/</v>
      </c>
      <c r="E425" s="109">
        <f ca="1">IF(表2_36716262930345[[#This Row],[累计净值]]/MAX(INDIRECT("B21:B" &amp; ROW()))-1&lt;E424,表2_36716262930345[[#This Row],[累计净值]]/MAX(INDIRECT("B21:B" &amp; ROW()))-1,E424)</f>
        <v>-0.10977948226270373</v>
      </c>
      <c r="F425" s="110">
        <f>表2_36716262930345[[#This Row],[累计净值]]</f>
        <v>1.9079999999999999</v>
      </c>
      <c r="G425" s="20">
        <f>表2_36716262930345[[#This Row],[累计净值]]/$B$22-1</f>
        <v>0.61694915254237293</v>
      </c>
    </row>
    <row r="426" spans="1:7" x14ac:dyDescent="0.2">
      <c r="A426" s="15">
        <v>44309</v>
      </c>
      <c r="B426" s="112">
        <v>1.9079999999999999</v>
      </c>
      <c r="C426" s="108">
        <f t="shared" si="116"/>
        <v>0</v>
      </c>
      <c r="D426" s="109" t="str">
        <f t="shared" si="117"/>
        <v>/</v>
      </c>
      <c r="E426" s="109">
        <f ca="1">IF(表2_36716262930345[[#This Row],[累计净值]]/MAX(INDIRECT("B21:B" &amp; ROW()))-1&lt;E425,表2_36716262930345[[#This Row],[累计净值]]/MAX(INDIRECT("B21:B" &amp; ROW()))-1,E425)</f>
        <v>-0.10977948226270373</v>
      </c>
      <c r="F426" s="110">
        <f>表2_36716262930345[[#This Row],[累计净值]]</f>
        <v>1.9079999999999999</v>
      </c>
      <c r="G426" s="20">
        <f>表2_36716262930345[[#This Row],[累计净值]]/$B$22-1</f>
        <v>0.61694915254237293</v>
      </c>
    </row>
    <row r="427" spans="1:7" x14ac:dyDescent="0.2">
      <c r="A427" s="15">
        <v>44312</v>
      </c>
      <c r="B427" s="112">
        <v>1.889</v>
      </c>
      <c r="C427" s="108">
        <f>IFERROR(B427-B426,0)</f>
        <v>-1.8999999999999906E-2</v>
      </c>
      <c r="D427" s="109">
        <f>IF(C427&lt;0,C427,"/")</f>
        <v>-1.8999999999999906E-2</v>
      </c>
      <c r="E427" s="109">
        <f ca="1">IF(表2_36716262930345[[#This Row],[累计净值]]/MAX(INDIRECT("B21:B" &amp; ROW()))-1&lt;E426,表2_36716262930345[[#This Row],[累计净值]]/MAX(INDIRECT("B21:B" &amp; ROW()))-1,E426)</f>
        <v>-0.10977948226270373</v>
      </c>
      <c r="F427" s="110">
        <f>表2_36716262930345[[#This Row],[累计净值]]</f>
        <v>1.889</v>
      </c>
      <c r="G427" s="20">
        <f>表2_36716262930345[[#This Row],[累计净值]]/$B$22-1</f>
        <v>0.60084745762711878</v>
      </c>
    </row>
    <row r="428" spans="1:7" x14ac:dyDescent="0.2">
      <c r="A428" s="15">
        <v>44313</v>
      </c>
      <c r="B428" s="112">
        <v>1.871</v>
      </c>
      <c r="C428" s="108">
        <f>IFERROR(B428-B427,0)</f>
        <v>-1.8000000000000016E-2</v>
      </c>
      <c r="D428" s="109">
        <f>IF(C428&lt;0,C428,"/")</f>
        <v>-1.8000000000000016E-2</v>
      </c>
      <c r="E428" s="109">
        <f ca="1">IF(表2_36716262930345[[#This Row],[累计净值]]/MAX(INDIRECT("B21:B" &amp; ROW()))-1&lt;E427,表2_36716262930345[[#This Row],[累计净值]]/MAX(INDIRECT("B21:B" &amp; ROW()))-1,E427)</f>
        <v>-0.10977948226270373</v>
      </c>
      <c r="F428" s="110">
        <f>表2_36716262930345[[#This Row],[累计净值]]</f>
        <v>1.871</v>
      </c>
      <c r="G428" s="20">
        <f>表2_36716262930345[[#This Row],[累计净值]]/$B$22-1</f>
        <v>0.58559322033898309</v>
      </c>
    </row>
    <row r="429" spans="1:7" x14ac:dyDescent="0.2">
      <c r="A429" s="15">
        <v>44314</v>
      </c>
      <c r="B429" s="112">
        <v>1.88</v>
      </c>
      <c r="C429" s="108">
        <f>IFERROR(B429-B428,0)</f>
        <v>8.999999999999897E-3</v>
      </c>
      <c r="D429" s="109" t="str">
        <f>IF(C429&lt;0,C429,"/")</f>
        <v>/</v>
      </c>
      <c r="E429" s="109">
        <f ca="1">IF(表2_36716262930345[[#This Row],[累计净值]]/MAX(INDIRECT("B21:B" &amp; ROW()))-1&lt;E428,表2_36716262930345[[#This Row],[累计净值]]/MAX(INDIRECT("B21:B" &amp; ROW()))-1,E428)</f>
        <v>-0.10977948226270373</v>
      </c>
      <c r="F429" s="110">
        <f>表2_36716262930345[[#This Row],[累计净值]]</f>
        <v>1.88</v>
      </c>
      <c r="G429" s="20">
        <f>表2_36716262930345[[#This Row],[累计净值]]/$B$22-1</f>
        <v>0.59322033898305082</v>
      </c>
    </row>
    <row r="430" spans="1:7" x14ac:dyDescent="0.2">
      <c r="A430" s="15">
        <v>44315</v>
      </c>
      <c r="B430" s="112">
        <v>1.8939999999999999</v>
      </c>
      <c r="C430" s="108">
        <f t="shared" ref="C430:C431" si="118">IFERROR(B430-B429,0)</f>
        <v>1.4000000000000012E-2</v>
      </c>
      <c r="D430" s="109" t="str">
        <f t="shared" ref="D430:D431" si="119">IF(C430&lt;0,C430,"/")</f>
        <v>/</v>
      </c>
      <c r="E430" s="109">
        <f ca="1">IF(表2_36716262930345[[#This Row],[累计净值]]/MAX(INDIRECT("B21:B" &amp; ROW()))-1&lt;E429,表2_36716262930345[[#This Row],[累计净值]]/MAX(INDIRECT("B21:B" &amp; ROW()))-1,E429)</f>
        <v>-0.10977948226270373</v>
      </c>
      <c r="F430" s="110">
        <f>表2_36716262930345[[#This Row],[累计净值]]</f>
        <v>1.8939999999999999</v>
      </c>
      <c r="G430" s="20">
        <f>表2_36716262930345[[#This Row],[累计净值]]/$B$22-1</f>
        <v>0.60508474576271176</v>
      </c>
    </row>
    <row r="431" spans="1:7" x14ac:dyDescent="0.2">
      <c r="A431" s="15">
        <v>44316</v>
      </c>
      <c r="B431" s="112">
        <v>1.893</v>
      </c>
      <c r="C431" s="108">
        <f t="shared" si="118"/>
        <v>-9.9999999999988987E-4</v>
      </c>
      <c r="D431" s="109">
        <f t="shared" si="119"/>
        <v>-9.9999999999988987E-4</v>
      </c>
      <c r="E431" s="109">
        <f ca="1">IF(表2_36716262930345[[#This Row],[累计净值]]/MAX(INDIRECT("B21:B" &amp; ROW()))-1&lt;E430,表2_36716262930345[[#This Row],[累计净值]]/MAX(INDIRECT("B21:B" &amp; ROW()))-1,E430)</f>
        <v>-0.10977948226270373</v>
      </c>
      <c r="F431" s="110">
        <f>表2_36716262930345[[#This Row],[累计净值]]</f>
        <v>1.893</v>
      </c>
      <c r="G431" s="20">
        <f>表2_36716262930345[[#This Row],[累计净值]]/$B$22-1</f>
        <v>0.6042372881355933</v>
      </c>
    </row>
    <row r="432" spans="1:7" x14ac:dyDescent="0.2">
      <c r="A432" s="15">
        <v>44322</v>
      </c>
      <c r="B432" s="112">
        <v>1.9179999999999999</v>
      </c>
      <c r="C432" s="108">
        <f t="shared" ref="C432:C438" si="120">IFERROR(B432-B431,0)</f>
        <v>2.4999999999999911E-2</v>
      </c>
      <c r="D432" s="109" t="str">
        <f t="shared" ref="D432:D438" si="121">IF(C432&lt;0,C432,"/")</f>
        <v>/</v>
      </c>
      <c r="E432" s="109">
        <f ca="1">IF(表2_36716262930345[[#This Row],[累计净值]]/MAX(INDIRECT("B21:B" &amp; ROW()))-1&lt;E431,表2_36716262930345[[#This Row],[累计净值]]/MAX(INDIRECT("B21:B" &amp; ROW()))-1,E431)</f>
        <v>-0.10977948226270373</v>
      </c>
      <c r="F432" s="110">
        <f>表2_36716262930345[[#This Row],[累计净值]]</f>
        <v>1.9179999999999999</v>
      </c>
      <c r="G432" s="20">
        <f>表2_36716262930345[[#This Row],[累计净值]]/$B$22-1</f>
        <v>0.62542372881355934</v>
      </c>
    </row>
    <row r="433" spans="1:7" x14ac:dyDescent="0.2">
      <c r="A433" s="15">
        <v>44323</v>
      </c>
      <c r="B433" s="112">
        <v>1.9319999999999999</v>
      </c>
      <c r="C433" s="108">
        <f t="shared" si="120"/>
        <v>1.4000000000000012E-2</v>
      </c>
      <c r="D433" s="109" t="str">
        <f t="shared" si="121"/>
        <v>/</v>
      </c>
      <c r="E433" s="109">
        <f ca="1">IF(表2_36716262930345[[#This Row],[累计净值]]/MAX(INDIRECT("B21:B" &amp; ROW()))-1&lt;E432,表2_36716262930345[[#This Row],[累计净值]]/MAX(INDIRECT("B21:B" &amp; ROW()))-1,E432)</f>
        <v>-0.10977948226270373</v>
      </c>
      <c r="F433" s="110">
        <f>表2_36716262930345[[#This Row],[累计净值]]</f>
        <v>1.9319999999999999</v>
      </c>
      <c r="G433" s="20">
        <f>表2_36716262930345[[#This Row],[累计净值]]/$B$22-1</f>
        <v>0.63728813559322028</v>
      </c>
    </row>
    <row r="434" spans="1:7" x14ac:dyDescent="0.2">
      <c r="A434" s="15">
        <v>44326</v>
      </c>
      <c r="B434" s="112">
        <v>1.9370000000000001</v>
      </c>
      <c r="C434" s="108">
        <f t="shared" si="120"/>
        <v>5.0000000000001155E-3</v>
      </c>
      <c r="D434" s="109" t="str">
        <f t="shared" si="121"/>
        <v>/</v>
      </c>
      <c r="E434" s="109">
        <f ca="1">IF(表2_36716262930345[[#This Row],[累计净值]]/MAX(INDIRECT("B21:B" &amp; ROW()))-1&lt;E433,表2_36716262930345[[#This Row],[累计净值]]/MAX(INDIRECT("B21:B" &amp; ROW()))-1,E433)</f>
        <v>-0.10977948226270373</v>
      </c>
      <c r="F434" s="110">
        <f>表2_36716262930345[[#This Row],[累计净值]]</f>
        <v>1.9370000000000001</v>
      </c>
      <c r="G434" s="20">
        <f>表2_36716262930345[[#This Row],[累计净值]]/$B$22-1</f>
        <v>0.64152542372881372</v>
      </c>
    </row>
    <row r="435" spans="1:7" x14ac:dyDescent="0.2">
      <c r="A435" s="15">
        <v>44327</v>
      </c>
      <c r="B435" s="112">
        <v>1.9419999999999999</v>
      </c>
      <c r="C435" s="108">
        <f t="shared" si="120"/>
        <v>4.9999999999998934E-3</v>
      </c>
      <c r="D435" s="109" t="str">
        <f t="shared" si="121"/>
        <v>/</v>
      </c>
      <c r="E435" s="109">
        <f ca="1">IF(表2_36716262930345[[#This Row],[累计净值]]/MAX(INDIRECT("B21:B" &amp; ROW()))-1&lt;E434,表2_36716262930345[[#This Row],[累计净值]]/MAX(INDIRECT("B21:B" &amp; ROW()))-1,E434)</f>
        <v>-0.10977948226270373</v>
      </c>
      <c r="F435" s="110">
        <f>表2_36716262930345[[#This Row],[累计净值]]</f>
        <v>1.9419999999999999</v>
      </c>
      <c r="G435" s="20">
        <f>表2_36716262930345[[#This Row],[累计净值]]/$B$22-1</f>
        <v>0.64576271186440692</v>
      </c>
    </row>
    <row r="436" spans="1:7" x14ac:dyDescent="0.2">
      <c r="A436" s="15">
        <v>44328</v>
      </c>
      <c r="B436" s="112">
        <v>1.956</v>
      </c>
      <c r="C436" s="108">
        <f t="shared" si="120"/>
        <v>1.4000000000000012E-2</v>
      </c>
      <c r="D436" s="109" t="str">
        <f t="shared" si="121"/>
        <v>/</v>
      </c>
      <c r="E436" s="109">
        <f ca="1">IF(表2_36716262930345[[#This Row],[累计净值]]/MAX(INDIRECT("B21:B" &amp; ROW()))-1&lt;E435,表2_36716262930345[[#This Row],[累计净值]]/MAX(INDIRECT("B21:B" &amp; ROW()))-1,E435)</f>
        <v>-0.10977948226270373</v>
      </c>
      <c r="F436" s="110">
        <f>表2_36716262930345[[#This Row],[累计净值]]</f>
        <v>1.956</v>
      </c>
      <c r="G436" s="20">
        <f>表2_36716262930345[[#This Row],[累计净值]]/$B$22-1</f>
        <v>0.65762711864406787</v>
      </c>
    </row>
    <row r="437" spans="1:7" x14ac:dyDescent="0.2">
      <c r="A437" s="15">
        <v>44329</v>
      </c>
      <c r="B437" s="112">
        <v>1.9650000000000001</v>
      </c>
      <c r="C437" s="108">
        <f t="shared" si="120"/>
        <v>9.000000000000119E-3</v>
      </c>
      <c r="D437" s="109" t="str">
        <f t="shared" si="121"/>
        <v>/</v>
      </c>
      <c r="E437" s="109">
        <f ca="1">IF(表2_36716262930345[[#This Row],[累计净值]]/MAX(INDIRECT("B21:B" &amp; ROW()))-1&lt;E436,表2_36716262930345[[#This Row],[累计净值]]/MAX(INDIRECT("B21:B" &amp; ROW()))-1,E436)</f>
        <v>-0.10977948226270373</v>
      </c>
      <c r="F437" s="110">
        <f>表2_36716262930345[[#This Row],[累计净值]]</f>
        <v>1.9650000000000001</v>
      </c>
      <c r="G437" s="20">
        <f>表2_36716262930345[[#This Row],[累计净值]]/$B$22-1</f>
        <v>0.66525423728813582</v>
      </c>
    </row>
    <row r="438" spans="1:7" x14ac:dyDescent="0.2">
      <c r="A438" s="15">
        <v>44330</v>
      </c>
      <c r="B438" s="112">
        <v>1.9610000000000001</v>
      </c>
      <c r="C438" s="108">
        <f t="shared" si="120"/>
        <v>-4.0000000000000036E-3</v>
      </c>
      <c r="D438" s="109">
        <f t="shared" si="121"/>
        <v>-4.0000000000000036E-3</v>
      </c>
      <c r="E438" s="109">
        <f ca="1">IF(表2_36716262930345[[#This Row],[累计净值]]/MAX(INDIRECT("B21:B" &amp; ROW()))-1&lt;E437,表2_36716262930345[[#This Row],[累计净值]]/MAX(INDIRECT("B21:B" &amp; ROW()))-1,E437)</f>
        <v>-0.10977948226270373</v>
      </c>
      <c r="F438" s="110">
        <f>表2_36716262930345[[#This Row],[累计净值]]</f>
        <v>1.9610000000000001</v>
      </c>
      <c r="G438" s="20">
        <f>表2_36716262930345[[#This Row],[累计净值]]/$B$22-1</f>
        <v>0.66186440677966107</v>
      </c>
    </row>
  </sheetData>
  <mergeCells count="1">
    <mergeCell ref="G2:G3"/>
  </mergeCells>
  <phoneticPr fontId="24" type="noConversion"/>
  <pageMargins left="0.7" right="0.7" top="0.75" bottom="0.75" header="0.3" footer="0.3"/>
  <pageSetup paperSize="9" orientation="portrait" horizontalDpi="200" verticalDpi="200" r:id="rId1"/>
  <drawing r:id="rId2"/>
  <tableParts count="1">
    <tablePart r:id="rId3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1"/>
  </sheetPr>
  <dimension ref="A1:I325"/>
  <sheetViews>
    <sheetView workbookViewId="0">
      <pane xSplit="1" ySplit="20" topLeftCell="B311" activePane="bottomRight" state="frozen"/>
      <selection pane="topRight" activeCell="B1" sqref="B1"/>
      <selection pane="bottomLeft" activeCell="A21" sqref="A21"/>
      <selection pane="bottomRight" activeCell="I323" sqref="I323"/>
    </sheetView>
  </sheetViews>
  <sheetFormatPr defaultColWidth="9" defaultRowHeight="14.25" x14ac:dyDescent="0.2"/>
  <cols>
    <col min="1" max="1" width="11.625" style="1" bestFit="1" customWidth="1"/>
    <col min="2" max="2" width="13" style="1" customWidth="1"/>
    <col min="3" max="4" width="13.5" style="1" bestFit="1" customWidth="1"/>
    <col min="5" max="5" width="10.75" style="1" customWidth="1"/>
    <col min="6" max="6" width="11.125" style="1" customWidth="1"/>
    <col min="7" max="7" width="18.875" style="2" customWidth="1"/>
    <col min="8" max="8" width="9" style="1"/>
    <col min="9" max="9" width="14.25" style="1" customWidth="1"/>
    <col min="10" max="10" width="12" style="1" bestFit="1" customWidth="1"/>
    <col min="11" max="16384" width="9" style="1"/>
  </cols>
  <sheetData>
    <row r="1" spans="1:7" ht="15" thickBot="1" x14ac:dyDescent="0.25"/>
    <row r="2" spans="1:7" ht="15" thickBot="1" x14ac:dyDescent="0.25">
      <c r="A2" s="23" t="s">
        <v>0</v>
      </c>
      <c r="B2" s="24">
        <f>COUNT(表2_367162629303891213[每日盈亏])</f>
        <v>305</v>
      </c>
      <c r="C2" s="27"/>
      <c r="D2" s="3" t="s">
        <v>1</v>
      </c>
      <c r="E2" s="28"/>
      <c r="F2" s="1" t="s">
        <v>2</v>
      </c>
      <c r="G2" s="394" t="s">
        <v>3</v>
      </c>
    </row>
    <row r="3" spans="1:7" x14ac:dyDescent="0.2">
      <c r="A3" s="25" t="s">
        <v>4</v>
      </c>
      <c r="B3" s="26">
        <f>COUNTIF(表2_367162629303891213[每日盈亏],"&gt;0")</f>
        <v>169</v>
      </c>
      <c r="C3" s="29"/>
      <c r="D3" s="30" t="s">
        <v>5</v>
      </c>
      <c r="E3" s="31">
        <f>245^0.5*(B10-0.025/365)/E10</f>
        <v>0.59408206921489093</v>
      </c>
      <c r="G3" s="394"/>
    </row>
    <row r="4" spans="1:7" x14ac:dyDescent="0.2">
      <c r="A4" s="25" t="s">
        <v>6</v>
      </c>
      <c r="B4" s="26">
        <f>COUNTIF(表2_367162629303891213[每日盈亏],"&lt;0")</f>
        <v>118</v>
      </c>
      <c r="C4" s="29"/>
      <c r="D4" s="32" t="s">
        <v>7</v>
      </c>
      <c r="E4" s="31">
        <f ca="1">-B9/E8</f>
        <v>0.66756861195391548</v>
      </c>
      <c r="G4" s="2">
        <f>LOOKUP(999^10,表2_367162629303891213[累计净值])</f>
        <v>1.0610999999999999</v>
      </c>
    </row>
    <row r="5" spans="1:7" x14ac:dyDescent="0.2">
      <c r="A5" s="25" t="s">
        <v>8</v>
      </c>
      <c r="B5" s="26">
        <f>B2-B3-B4</f>
        <v>18</v>
      </c>
      <c r="C5" s="29"/>
      <c r="D5" s="33" t="s">
        <v>9</v>
      </c>
      <c r="E5" s="4">
        <f>245^0.5*(B10-0.025/365)/E9</f>
        <v>0.85028747488518086</v>
      </c>
    </row>
    <row r="6" spans="1:7" ht="15" thickBot="1" x14ac:dyDescent="0.25">
      <c r="A6" s="34"/>
      <c r="B6" s="35"/>
      <c r="C6" s="35"/>
      <c r="D6" s="35"/>
      <c r="E6" s="36"/>
    </row>
    <row r="7" spans="1:7" ht="15" thickBot="1" x14ac:dyDescent="0.25">
      <c r="A7" s="5" t="s">
        <v>10</v>
      </c>
      <c r="B7" s="35"/>
      <c r="C7" s="35"/>
      <c r="D7" s="3" t="s">
        <v>11</v>
      </c>
      <c r="E7" s="37"/>
    </row>
    <row r="8" spans="1:7" x14ac:dyDescent="0.2">
      <c r="A8" s="38" t="s">
        <v>12</v>
      </c>
      <c r="B8" s="39">
        <f>LOOKUP(999^10,表2_367162629303891213[累计净值])/$B$21-1</f>
        <v>6.0887822435512939E-2</v>
      </c>
      <c r="C8" s="40"/>
      <c r="D8" s="30" t="s">
        <v>13</v>
      </c>
      <c r="E8" s="41">
        <f ca="1">MIN(表2_367162629303891213[最大回撤])</f>
        <v>-7.3265712733200483E-2</v>
      </c>
    </row>
    <row r="9" spans="1:7" x14ac:dyDescent="0.2">
      <c r="A9" s="25" t="s">
        <v>14</v>
      </c>
      <c r="B9" s="32">
        <f>B8*245/B2</f>
        <v>4.8909890153116954E-2</v>
      </c>
      <c r="C9" s="40"/>
      <c r="D9" s="33" t="s">
        <v>15</v>
      </c>
      <c r="E9" s="6">
        <f>STDEV(表2_367162629303891213[下跌幅度])</f>
        <v>2.4148019150956488E-3</v>
      </c>
    </row>
    <row r="10" spans="1:7" x14ac:dyDescent="0.2">
      <c r="A10" s="42" t="s">
        <v>16</v>
      </c>
      <c r="B10" s="43">
        <f>AVERAGE(表2_367162629303891213[每日盈亏])</f>
        <v>1.9967213114754082E-4</v>
      </c>
      <c r="C10" s="44"/>
      <c r="D10" s="33" t="s">
        <v>17</v>
      </c>
      <c r="E10" s="6">
        <f>STDEV(表2_367162629303891213[每日盈亏])</f>
        <v>3.4562157808399846E-3</v>
      </c>
    </row>
    <row r="11" spans="1:7" x14ac:dyDescent="0.2">
      <c r="A11" s="7" t="s">
        <v>18</v>
      </c>
      <c r="B11" s="32">
        <f>B3/B2</f>
        <v>0.5540983606557377</v>
      </c>
      <c r="C11" s="40"/>
      <c r="D11" s="32" t="s">
        <v>19</v>
      </c>
      <c r="E11" s="41">
        <f>245^0.5*E10</f>
        <v>5.4098334016060047E-2</v>
      </c>
    </row>
    <row r="12" spans="1:7" ht="15" thickBot="1" x14ac:dyDescent="0.25">
      <c r="A12" s="45" t="s">
        <v>20</v>
      </c>
      <c r="B12" s="46">
        <f>-(SUMIF(表2_367162629303891213[每日盈亏],"&gt;=0")/B3)/(SUMIF(表2_367162629303891213[每日盈亏],"&lt;0")/B4)</f>
        <v>0.82519377858974041</v>
      </c>
      <c r="C12" s="47"/>
      <c r="D12" s="48"/>
      <c r="E12" s="49"/>
    </row>
    <row r="14" spans="1:7" ht="28.5" x14ac:dyDescent="0.2">
      <c r="A14" s="50" t="s">
        <v>21</v>
      </c>
      <c r="B14" s="50" t="s">
        <v>14</v>
      </c>
      <c r="C14" s="51" t="s">
        <v>19</v>
      </c>
      <c r="D14" s="51" t="s">
        <v>13</v>
      </c>
      <c r="E14" s="51" t="s">
        <v>5</v>
      </c>
      <c r="F14" s="51" t="s">
        <v>7</v>
      </c>
    </row>
    <row r="15" spans="1:7" x14ac:dyDescent="0.2">
      <c r="A15" s="78">
        <f>B2</f>
        <v>305</v>
      </c>
      <c r="B15" s="53">
        <f>B9</f>
        <v>4.8909890153116954E-2</v>
      </c>
      <c r="C15" s="53">
        <f>E11</f>
        <v>5.4098334016060047E-2</v>
      </c>
      <c r="D15" s="53">
        <f ca="1">E8</f>
        <v>-7.3265712733200483E-2</v>
      </c>
      <c r="E15" s="54">
        <f>E3</f>
        <v>0.59408206921489093</v>
      </c>
      <c r="F15" s="54">
        <f ca="1">E4</f>
        <v>0.66756861195391548</v>
      </c>
    </row>
    <row r="19" spans="1:7" x14ac:dyDescent="0.2">
      <c r="A19" s="8"/>
      <c r="B19" s="1" t="s">
        <v>22</v>
      </c>
    </row>
    <row r="20" spans="1:7" ht="15.75" x14ac:dyDescent="0.2">
      <c r="A20" s="22" t="s">
        <v>23</v>
      </c>
      <c r="B20" s="22" t="s">
        <v>24</v>
      </c>
      <c r="C20" s="22" t="s">
        <v>25</v>
      </c>
      <c r="D20" s="22" t="s">
        <v>26</v>
      </c>
      <c r="E20" s="22" t="s">
        <v>27</v>
      </c>
      <c r="F20" s="22" t="s">
        <v>28</v>
      </c>
      <c r="G20" s="22" t="s">
        <v>29</v>
      </c>
    </row>
    <row r="21" spans="1:7" x14ac:dyDescent="0.2">
      <c r="A21" s="15">
        <v>43822</v>
      </c>
      <c r="B21" s="16">
        <v>1.0002</v>
      </c>
      <c r="C21" s="11">
        <f>IFERROR(B21-B20,0)</f>
        <v>0</v>
      </c>
      <c r="D21" s="12" t="str">
        <f>IF(C21&lt;0,C21,"/")</f>
        <v>/</v>
      </c>
      <c r="E21" s="12">
        <f ca="1">IF(表2_367162629303891213[[#This Row],[累计净值]]/MAX(INDIRECT("B21:B" &amp; ROW()))-1&lt;E20,表2_367162629303891213[[#This Row],[累计净值]]/MAX(INDIRECT("B21:B" &amp; ROW()))-1,E20)</f>
        <v>0</v>
      </c>
      <c r="F21" s="13">
        <f>表2_367162629303891213[[#This Row],[累计净值]]</f>
        <v>1.0002</v>
      </c>
      <c r="G21" s="14" t="s">
        <v>30</v>
      </c>
    </row>
    <row r="22" spans="1:7" x14ac:dyDescent="0.2">
      <c r="A22" s="15">
        <v>43823</v>
      </c>
      <c r="B22" s="16">
        <v>1.0002</v>
      </c>
      <c r="C22" s="17">
        <f>IFERROR(B22-B21,0)</f>
        <v>0</v>
      </c>
      <c r="D22" s="18" t="str">
        <f>IF(C22&lt;0,C22,"/")</f>
        <v>/</v>
      </c>
      <c r="E22" s="18">
        <f ca="1">IF(表2_367162629303891213[[#This Row],[累计净值]]/MAX(INDIRECT("B21:B" &amp; ROW()))-1&lt;E21,表2_367162629303891213[[#This Row],[累计净值]]/MAX(INDIRECT("B21:B" &amp; ROW()))-1,E21)</f>
        <v>0</v>
      </c>
      <c r="F22" s="19">
        <f>表2_367162629303891213[[#This Row],[累计净值]]</f>
        <v>1.0002</v>
      </c>
      <c r="G22" s="20">
        <f>表2_367162629303891213[[#This Row],[累计净值]]/$B$21-1</f>
        <v>0</v>
      </c>
    </row>
    <row r="23" spans="1:7" x14ac:dyDescent="0.2">
      <c r="A23" s="15">
        <v>43824</v>
      </c>
      <c r="B23" s="16">
        <v>1.0002</v>
      </c>
      <c r="C23" s="73">
        <f>IFERROR(B23-B22,0)</f>
        <v>0</v>
      </c>
      <c r="D23" s="18" t="str">
        <f>IF(C23&lt;0,C23,"/")</f>
        <v>/</v>
      </c>
      <c r="E23" s="18">
        <f ca="1">IF(表2_367162629303891213[[#This Row],[累计净值]]/MAX(INDIRECT("B21:B" &amp; ROW()))-1&lt;E22,表2_367162629303891213[[#This Row],[累计净值]]/MAX(INDIRECT("B21:B" &amp; ROW()))-1,E22)</f>
        <v>0</v>
      </c>
      <c r="F23" s="62">
        <f>表2_367162629303891213[[#This Row],[累计净值]]</f>
        <v>1.0002</v>
      </c>
      <c r="G23" s="20">
        <f>表2_367162629303891213[[#This Row],[累计净值]]/$B$21-1</f>
        <v>0</v>
      </c>
    </row>
    <row r="24" spans="1:7" x14ac:dyDescent="0.2">
      <c r="A24" s="15">
        <v>43825</v>
      </c>
      <c r="B24" s="16">
        <v>1.0003</v>
      </c>
      <c r="C24" s="73">
        <f>IFERROR(B24-B23,0)</f>
        <v>9.9999999999988987E-5</v>
      </c>
      <c r="D24" s="18" t="str">
        <f>IF(C24&lt;0,C24,"/")</f>
        <v>/</v>
      </c>
      <c r="E24" s="18">
        <f ca="1">IF(表2_367162629303891213[[#This Row],[累计净值]]/MAX(INDIRECT("B21:B" &amp; ROW()))-1&lt;E23,表2_367162629303891213[[#This Row],[累计净值]]/MAX(INDIRECT("B21:B" &amp; ROW()))-1,E23)</f>
        <v>0</v>
      </c>
      <c r="F24" s="62">
        <f>表2_367162629303891213[[#This Row],[累计净值]]</f>
        <v>1.0003</v>
      </c>
      <c r="G24" s="20">
        <f>表2_367162629303891213[[#This Row],[累计净值]]/$B$21-1</f>
        <v>9.9980003999133871E-5</v>
      </c>
    </row>
    <row r="25" spans="1:7" x14ac:dyDescent="0.2">
      <c r="A25" s="15">
        <v>43826</v>
      </c>
      <c r="B25" s="16">
        <v>1.0003</v>
      </c>
      <c r="C25" s="73">
        <f>IFERROR(B25-B24,0)</f>
        <v>0</v>
      </c>
      <c r="D25" s="18" t="str">
        <f>IF(C25&lt;0,C25,"/")</f>
        <v>/</v>
      </c>
      <c r="E25" s="18">
        <f ca="1">IF(表2_367162629303891213[[#This Row],[累计净值]]/MAX(INDIRECT("B21:B" &amp; ROW()))-1&lt;E24,表2_367162629303891213[[#This Row],[累计净值]]/MAX(INDIRECT("B21:B" &amp; ROW()))-1,E24)</f>
        <v>0</v>
      </c>
      <c r="F25" s="62">
        <f>表2_367162629303891213[[#This Row],[累计净值]]</f>
        <v>1.0003</v>
      </c>
      <c r="G25" s="20">
        <f>表2_367162629303891213[[#This Row],[累计净值]]/$B$21-1</f>
        <v>9.9980003999133871E-5</v>
      </c>
    </row>
    <row r="26" spans="1:7" x14ac:dyDescent="0.2">
      <c r="A26" s="15">
        <v>43829</v>
      </c>
      <c r="B26" s="16">
        <v>1.0003</v>
      </c>
      <c r="C26" s="73">
        <f t="shared" ref="C26:C31" si="0">IFERROR(B26-B25,0)</f>
        <v>0</v>
      </c>
      <c r="D26" s="18" t="str">
        <f t="shared" ref="D26:D31" si="1">IF(C26&lt;0,C26,"/")</f>
        <v>/</v>
      </c>
      <c r="E26" s="18">
        <f ca="1">IF(表2_367162629303891213[[#This Row],[累计净值]]/MAX(INDIRECT("B21:B" &amp; ROW()))-1&lt;E25,表2_367162629303891213[[#This Row],[累计净值]]/MAX(INDIRECT("B21:B" &amp; ROW()))-1,E25)</f>
        <v>0</v>
      </c>
      <c r="F26" s="62">
        <f>表2_367162629303891213[[#This Row],[累计净值]]</f>
        <v>1.0003</v>
      </c>
      <c r="G26" s="20">
        <f>表2_367162629303891213[[#This Row],[累计净值]]/$B$21-1</f>
        <v>9.9980003999133871E-5</v>
      </c>
    </row>
    <row r="27" spans="1:7" x14ac:dyDescent="0.2">
      <c r="A27" s="15">
        <v>43830</v>
      </c>
      <c r="B27" s="16">
        <v>1.0003</v>
      </c>
      <c r="C27" s="73">
        <f t="shared" si="0"/>
        <v>0</v>
      </c>
      <c r="D27" s="18" t="str">
        <f t="shared" si="1"/>
        <v>/</v>
      </c>
      <c r="E27" s="18">
        <f ca="1">IF(表2_367162629303891213[[#This Row],[累计净值]]/MAX(INDIRECT("B21:B" &amp; ROW()))-1&lt;E26,表2_367162629303891213[[#This Row],[累计净值]]/MAX(INDIRECT("B21:B" &amp; ROW()))-1,E26)</f>
        <v>0</v>
      </c>
      <c r="F27" s="62">
        <f>表2_367162629303891213[[#This Row],[累计净值]]</f>
        <v>1.0003</v>
      </c>
      <c r="G27" s="20">
        <f>表2_367162629303891213[[#This Row],[累计净值]]/$B$21-1</f>
        <v>9.9980003999133871E-5</v>
      </c>
    </row>
    <row r="28" spans="1:7" x14ac:dyDescent="0.2">
      <c r="A28" s="15">
        <v>43832</v>
      </c>
      <c r="B28" s="16">
        <v>0.99919999999999998</v>
      </c>
      <c r="C28" s="73">
        <f t="shared" si="0"/>
        <v>-1.0999999999999899E-3</v>
      </c>
      <c r="D28" s="18">
        <f t="shared" si="1"/>
        <v>-1.0999999999999899E-3</v>
      </c>
      <c r="E28" s="18">
        <f ca="1">IF(表2_367162629303891213[[#This Row],[累计净值]]/MAX(INDIRECT("B21:B" &amp; ROW()))-1&lt;E27,表2_367162629303891213[[#This Row],[累计净值]]/MAX(INDIRECT("B21:B" &amp; ROW()))-1,E27)</f>
        <v>-1.0996700989702735E-3</v>
      </c>
      <c r="F28" s="62">
        <f>表2_367162629303891213[[#This Row],[累计净值]]</f>
        <v>0.99919999999999998</v>
      </c>
      <c r="G28" s="20">
        <f>表2_367162629303891213[[#This Row],[累计净值]]/$B$21-1</f>
        <v>-9.9980003999200484E-4</v>
      </c>
    </row>
    <row r="29" spans="1:7" x14ac:dyDescent="0.2">
      <c r="A29" s="15">
        <v>43833</v>
      </c>
      <c r="B29" s="16">
        <v>1.0017</v>
      </c>
      <c r="C29" s="73">
        <f t="shared" si="0"/>
        <v>2.5000000000000577E-3</v>
      </c>
      <c r="D29" s="18" t="str">
        <f t="shared" si="1"/>
        <v>/</v>
      </c>
      <c r="E29" s="18">
        <f ca="1">IF(表2_367162629303891213[[#This Row],[累计净值]]/MAX(INDIRECT("B21:B" &amp; ROW()))-1&lt;E28,表2_367162629303891213[[#This Row],[累计净值]]/MAX(INDIRECT("B21:B" &amp; ROW()))-1,E28)</f>
        <v>-1.0996700989702735E-3</v>
      </c>
      <c r="F29" s="62">
        <f>表2_367162629303891213[[#This Row],[累计净值]]</f>
        <v>1.0017</v>
      </c>
      <c r="G29" s="20">
        <f>表2_367162629303891213[[#This Row],[累计净值]]/$B$21-1</f>
        <v>1.4997000599881183E-3</v>
      </c>
    </row>
    <row r="30" spans="1:7" x14ac:dyDescent="0.2">
      <c r="A30" s="15">
        <v>43836</v>
      </c>
      <c r="B30" s="16">
        <v>1.0026999999999999</v>
      </c>
      <c r="C30" s="73">
        <f t="shared" si="0"/>
        <v>9.9999999999988987E-4</v>
      </c>
      <c r="D30" s="18" t="str">
        <f t="shared" si="1"/>
        <v>/</v>
      </c>
      <c r="E30" s="18">
        <f ca="1">IF(表2_367162629303891213[[#This Row],[累计净值]]/MAX(INDIRECT("B21:B" &amp; ROW()))-1&lt;E29,表2_367162629303891213[[#This Row],[累计净值]]/MAX(INDIRECT("B21:B" &amp; ROW()))-1,E29)</f>
        <v>-1.0996700989702735E-3</v>
      </c>
      <c r="F30" s="62">
        <f>表2_367162629303891213[[#This Row],[累计净值]]</f>
        <v>1.0026999999999999</v>
      </c>
      <c r="G30" s="20">
        <f>表2_367162629303891213[[#This Row],[累计净值]]/$B$21-1</f>
        <v>2.4995000999799011E-3</v>
      </c>
    </row>
    <row r="31" spans="1:7" x14ac:dyDescent="0.2">
      <c r="A31" s="15">
        <v>43837</v>
      </c>
      <c r="B31" s="16">
        <v>0.99909999999999999</v>
      </c>
      <c r="C31" s="73">
        <f t="shared" si="0"/>
        <v>-3.5999999999999366E-3</v>
      </c>
      <c r="D31" s="18">
        <f t="shared" si="1"/>
        <v>-3.5999999999999366E-3</v>
      </c>
      <c r="E31" s="18">
        <f ca="1">IF(表2_367162629303891213[[#This Row],[累计净值]]/MAX(INDIRECT("B21:B" &amp; ROW()))-1&lt;E30,表2_367162629303891213[[#This Row],[累计净值]]/MAX(INDIRECT("B21:B" &amp; ROW()))-1,E30)</f>
        <v>-3.5903061733318919E-3</v>
      </c>
      <c r="F31" s="62">
        <f>表2_367162629303891213[[#This Row],[累计净值]]</f>
        <v>0.99909999999999999</v>
      </c>
      <c r="G31" s="20">
        <f>表2_367162629303891213[[#This Row],[累计净值]]/$B$21-1</f>
        <v>-1.0997800439911387E-3</v>
      </c>
    </row>
    <row r="32" spans="1:7" x14ac:dyDescent="0.2">
      <c r="A32" s="15">
        <v>43838</v>
      </c>
      <c r="B32" s="16">
        <v>0.99970000000000003</v>
      </c>
      <c r="C32" s="73">
        <f t="shared" ref="C32:C37" si="2">IFERROR(B32-B31,0)</f>
        <v>6.0000000000004494E-4</v>
      </c>
      <c r="D32" s="18" t="str">
        <f t="shared" ref="D32:D37" si="3">IF(C32&lt;0,C32,"/")</f>
        <v>/</v>
      </c>
      <c r="E32" s="18">
        <f ca="1">IF(表2_367162629303891213[[#This Row],[累计净值]]/MAX(INDIRECT("B21:B" &amp; ROW()))-1&lt;E31,表2_367162629303891213[[#This Row],[累计净值]]/MAX(INDIRECT("B21:B" &amp; ROW()))-1,E31)</f>
        <v>-3.5903061733318919E-3</v>
      </c>
      <c r="F32" s="62">
        <f>表2_367162629303891213[[#This Row],[累计净值]]</f>
        <v>0.99970000000000003</v>
      </c>
      <c r="G32" s="20">
        <f>表2_367162629303891213[[#This Row],[累计净值]]/$B$21-1</f>
        <v>-4.999000199958914E-4</v>
      </c>
    </row>
    <row r="33" spans="1:7" x14ac:dyDescent="0.2">
      <c r="A33" s="15">
        <v>43839</v>
      </c>
      <c r="B33" s="16">
        <v>1.0059</v>
      </c>
      <c r="C33" s="73">
        <f t="shared" si="2"/>
        <v>6.1999999999999833E-3</v>
      </c>
      <c r="D33" s="18" t="str">
        <f t="shared" si="3"/>
        <v>/</v>
      </c>
      <c r="E33" s="18">
        <f ca="1">IF(表2_367162629303891213[[#This Row],[累计净值]]/MAX(INDIRECT("B21:B" &amp; ROW()))-1&lt;E32,表2_367162629303891213[[#This Row],[累计净值]]/MAX(INDIRECT("B21:B" &amp; ROW()))-1,E32)</f>
        <v>-3.5903061733318919E-3</v>
      </c>
      <c r="F33" s="62">
        <f>表2_367162629303891213[[#This Row],[累计净值]]</f>
        <v>1.0059</v>
      </c>
      <c r="G33" s="20">
        <f>表2_367162629303891213[[#This Row],[累计净值]]/$B$21-1</f>
        <v>5.6988602279544054E-3</v>
      </c>
    </row>
    <row r="34" spans="1:7" x14ac:dyDescent="0.2">
      <c r="A34" s="15">
        <v>43840</v>
      </c>
      <c r="B34" s="16">
        <v>1.0085</v>
      </c>
      <c r="C34" s="73">
        <f t="shared" si="2"/>
        <v>2.5999999999999357E-3</v>
      </c>
      <c r="D34" s="18" t="str">
        <f t="shared" si="3"/>
        <v>/</v>
      </c>
      <c r="E34" s="18">
        <f ca="1">IF(表2_367162629303891213[[#This Row],[累计净值]]/MAX(INDIRECT("B21:B" &amp; ROW()))-1&lt;E33,表2_367162629303891213[[#This Row],[累计净值]]/MAX(INDIRECT("B21:B" &amp; ROW()))-1,E33)</f>
        <v>-3.5903061733318919E-3</v>
      </c>
      <c r="F34" s="62">
        <f>表2_367162629303891213[[#This Row],[累计净值]]</f>
        <v>1.0085</v>
      </c>
      <c r="G34" s="20">
        <f>表2_367162629303891213[[#This Row],[累计净值]]/$B$21-1</f>
        <v>8.2983403319336624E-3</v>
      </c>
    </row>
    <row r="35" spans="1:7" x14ac:dyDescent="0.2">
      <c r="A35" s="15">
        <v>43843</v>
      </c>
      <c r="B35" s="16">
        <v>1.0109999999999999</v>
      </c>
      <c r="C35" s="73">
        <f t="shared" si="2"/>
        <v>2.4999999999999467E-3</v>
      </c>
      <c r="D35" s="18" t="str">
        <f t="shared" si="3"/>
        <v>/</v>
      </c>
      <c r="E35" s="18">
        <f ca="1">IF(表2_367162629303891213[[#This Row],[累计净值]]/MAX(INDIRECT("B21:B" &amp; ROW()))-1&lt;E34,表2_367162629303891213[[#This Row],[累计净值]]/MAX(INDIRECT("B21:B" &amp; ROW()))-1,E34)</f>
        <v>-3.5903061733318919E-3</v>
      </c>
      <c r="F35" s="62">
        <f>表2_367162629303891213[[#This Row],[累计净值]]</f>
        <v>1.0109999999999999</v>
      </c>
      <c r="G35" s="20">
        <f>表2_367162629303891213[[#This Row],[累计净值]]/$B$21-1</f>
        <v>1.0797840431913563E-2</v>
      </c>
    </row>
    <row r="36" spans="1:7" x14ac:dyDescent="0.2">
      <c r="A36" s="15">
        <v>43844</v>
      </c>
      <c r="B36" s="16">
        <v>1.0077</v>
      </c>
      <c r="C36" s="73">
        <f t="shared" si="2"/>
        <v>-3.2999999999998586E-3</v>
      </c>
      <c r="D36" s="18">
        <f t="shared" si="3"/>
        <v>-3.2999999999998586E-3</v>
      </c>
      <c r="E36" s="18">
        <f ca="1">IF(表2_367162629303891213[[#This Row],[累计净值]]/MAX(INDIRECT("B21:B" &amp; ROW()))-1&lt;E35,表2_367162629303891213[[#This Row],[累计净值]]/MAX(INDIRECT("B21:B" &amp; ROW()))-1,E35)</f>
        <v>-3.5903061733318919E-3</v>
      </c>
      <c r="F36" s="62">
        <f>表2_367162629303891213[[#This Row],[累计净值]]</f>
        <v>1.0077</v>
      </c>
      <c r="G36" s="20">
        <f>表2_367162629303891213[[#This Row],[累计净值]]/$B$21-1</f>
        <v>7.4985002999401473E-3</v>
      </c>
    </row>
    <row r="37" spans="1:7" x14ac:dyDescent="0.2">
      <c r="A37" s="15">
        <v>43845</v>
      </c>
      <c r="B37" s="16">
        <v>1.0097</v>
      </c>
      <c r="C37" s="73">
        <f t="shared" si="2"/>
        <v>2.0000000000000018E-3</v>
      </c>
      <c r="D37" s="18" t="str">
        <f t="shared" si="3"/>
        <v>/</v>
      </c>
      <c r="E37" s="18">
        <f ca="1">IF(表2_367162629303891213[[#This Row],[累计净值]]/MAX(INDIRECT("B21:B" &amp; ROW()))-1&lt;E36,表2_367162629303891213[[#This Row],[累计净值]]/MAX(INDIRECT("B21:B" &amp; ROW()))-1,E36)</f>
        <v>-3.5903061733318919E-3</v>
      </c>
      <c r="F37" s="62">
        <f>表2_367162629303891213[[#This Row],[累计净值]]</f>
        <v>1.0097</v>
      </c>
      <c r="G37" s="20">
        <f>表2_367162629303891213[[#This Row],[累计净值]]/$B$21-1</f>
        <v>9.498100379924157E-3</v>
      </c>
    </row>
    <row r="38" spans="1:7" x14ac:dyDescent="0.2">
      <c r="A38" s="15">
        <v>43846</v>
      </c>
      <c r="B38" s="16">
        <v>1.0061</v>
      </c>
      <c r="C38" s="73">
        <f t="shared" ref="C38:C46" si="4">IFERROR(B38-B37,0)</f>
        <v>-3.6000000000000476E-3</v>
      </c>
      <c r="D38" s="18">
        <f t="shared" ref="D38:D46" si="5">IF(C38&lt;0,C38,"/")</f>
        <v>-3.6000000000000476E-3</v>
      </c>
      <c r="E38" s="18">
        <f ca="1">IF(表2_367162629303891213[[#This Row],[累计净值]]/MAX(INDIRECT("B21:B" &amp; ROW()))-1&lt;E37,表2_367162629303891213[[#This Row],[累计净值]]/MAX(INDIRECT("B21:B" &amp; ROW()))-1,E37)</f>
        <v>-4.8466864490602779E-3</v>
      </c>
      <c r="F38" s="62">
        <f>表2_367162629303891213[[#This Row],[累计净值]]</f>
        <v>1.0061</v>
      </c>
      <c r="G38" s="20">
        <f>表2_367162629303891213[[#This Row],[累计净值]]/$B$21-1</f>
        <v>5.8988202359528952E-3</v>
      </c>
    </row>
    <row r="39" spans="1:7" x14ac:dyDescent="0.2">
      <c r="A39" s="15">
        <v>43847</v>
      </c>
      <c r="B39" s="16">
        <v>1.0071000000000001</v>
      </c>
      <c r="C39" s="73">
        <f t="shared" si="4"/>
        <v>1.0000000000001119E-3</v>
      </c>
      <c r="D39" s="18" t="str">
        <f t="shared" si="5"/>
        <v>/</v>
      </c>
      <c r="E39" s="18">
        <f ca="1">IF(表2_367162629303891213[[#This Row],[累计净值]]/MAX(INDIRECT("B21:B" &amp; ROW()))-1&lt;E38,表2_367162629303891213[[#This Row],[累计净值]]/MAX(INDIRECT("B21:B" &amp; ROW()))-1,E38)</f>
        <v>-4.8466864490602779E-3</v>
      </c>
      <c r="F39" s="62">
        <f>表2_367162629303891213[[#This Row],[累计净值]]</f>
        <v>1.0071000000000001</v>
      </c>
      <c r="G39" s="20">
        <f>表2_367162629303891213[[#This Row],[累计净值]]/$B$21-1</f>
        <v>6.8986202759449E-3</v>
      </c>
    </row>
    <row r="40" spans="1:7" x14ac:dyDescent="0.2">
      <c r="A40" s="15">
        <v>43850</v>
      </c>
      <c r="B40" s="16">
        <v>1.0091000000000001</v>
      </c>
      <c r="C40" s="73">
        <f t="shared" si="4"/>
        <v>2.0000000000000018E-3</v>
      </c>
      <c r="D40" s="18" t="str">
        <f t="shared" si="5"/>
        <v>/</v>
      </c>
      <c r="E40" s="18">
        <f ca="1">IF(表2_367162629303891213[[#This Row],[累计净值]]/MAX(INDIRECT("B21:B" &amp; ROW()))-1&lt;E39,表2_367162629303891213[[#This Row],[累计净值]]/MAX(INDIRECT("B21:B" &amp; ROW()))-1,E39)</f>
        <v>-4.8466864490602779E-3</v>
      </c>
      <c r="F40" s="62">
        <f>表2_367162629303891213[[#This Row],[累计净值]]</f>
        <v>1.0091000000000001</v>
      </c>
      <c r="G40" s="20">
        <f>表2_367162629303891213[[#This Row],[累计净值]]/$B$21-1</f>
        <v>8.8982203559289097E-3</v>
      </c>
    </row>
    <row r="41" spans="1:7" x14ac:dyDescent="0.2">
      <c r="A41" s="15">
        <v>43851</v>
      </c>
      <c r="B41" s="16">
        <v>1.0091000000000001</v>
      </c>
      <c r="C41" s="73">
        <f t="shared" si="4"/>
        <v>0</v>
      </c>
      <c r="D41" s="18" t="str">
        <f t="shared" si="5"/>
        <v>/</v>
      </c>
      <c r="E41" s="18">
        <f ca="1">IF(表2_367162629303891213[[#This Row],[累计净值]]/MAX(INDIRECT("B21:B" &amp; ROW()))-1&lt;E40,表2_367162629303891213[[#This Row],[累计净值]]/MAX(INDIRECT("B21:B" &amp; ROW()))-1,E40)</f>
        <v>-4.8466864490602779E-3</v>
      </c>
      <c r="F41" s="62">
        <f>表2_367162629303891213[[#This Row],[累计净值]]</f>
        <v>1.0091000000000001</v>
      </c>
      <c r="G41" s="20">
        <f>表2_367162629303891213[[#This Row],[累计净值]]/$B$21-1</f>
        <v>8.8982203559289097E-3</v>
      </c>
    </row>
    <row r="42" spans="1:7" x14ac:dyDescent="0.2">
      <c r="A42" s="15">
        <v>43852</v>
      </c>
      <c r="B42" s="16">
        <v>1.004</v>
      </c>
      <c r="C42" s="73">
        <f t="shared" si="4"/>
        <v>-5.1000000000001044E-3</v>
      </c>
      <c r="D42" s="18">
        <f t="shared" si="5"/>
        <v>-5.1000000000001044E-3</v>
      </c>
      <c r="E42" s="18">
        <f ca="1">IF(表2_367162629303891213[[#This Row],[累计净值]]/MAX(INDIRECT("B21:B" &amp; ROW()))-1&lt;E41,表2_367162629303891213[[#This Row],[累计净值]]/MAX(INDIRECT("B21:B" &amp; ROW()))-1,E41)</f>
        <v>-6.923837784371778E-3</v>
      </c>
      <c r="F42" s="62">
        <f>表2_367162629303891213[[#This Row],[累计净值]]</f>
        <v>1.004</v>
      </c>
      <c r="G42" s="20">
        <f>表2_367162629303891213[[#This Row],[累计净值]]/$B$21-1</f>
        <v>3.7992401519695296E-3</v>
      </c>
    </row>
    <row r="43" spans="1:7" x14ac:dyDescent="0.2">
      <c r="A43" s="15">
        <v>43853</v>
      </c>
      <c r="B43" s="16">
        <v>1.0053000000000001</v>
      </c>
      <c r="C43" s="73">
        <f t="shared" si="4"/>
        <v>1.3000000000000789E-3</v>
      </c>
      <c r="D43" s="18" t="str">
        <f t="shared" si="5"/>
        <v>/</v>
      </c>
      <c r="E43" s="18">
        <f ca="1">IF(表2_367162629303891213[[#This Row],[累计净值]]/MAX(INDIRECT("B21:B" &amp; ROW()))-1&lt;E42,表2_367162629303891213[[#This Row],[累计净值]]/MAX(INDIRECT("B21:B" &amp; ROW()))-1,E42)</f>
        <v>-6.923837784371778E-3</v>
      </c>
      <c r="F43" s="62">
        <f>表2_367162629303891213[[#This Row],[累计净值]]</f>
        <v>1.0053000000000001</v>
      </c>
      <c r="G43" s="20">
        <f>表2_367162629303891213[[#This Row],[累计净值]]/$B$21-1</f>
        <v>5.0989802039593801E-3</v>
      </c>
    </row>
    <row r="44" spans="1:7" x14ac:dyDescent="0.2">
      <c r="A44" s="15">
        <v>43864</v>
      </c>
      <c r="B44" s="16">
        <v>1.0079</v>
      </c>
      <c r="C44" s="73">
        <f t="shared" si="4"/>
        <v>2.5999999999999357E-3</v>
      </c>
      <c r="D44" s="18" t="str">
        <f t="shared" si="5"/>
        <v>/</v>
      </c>
      <c r="E44" s="18">
        <f ca="1">IF(表2_367162629303891213[[#This Row],[累计净值]]/MAX(INDIRECT("B21:B" &amp; ROW()))-1&lt;E43,表2_367162629303891213[[#This Row],[累计净值]]/MAX(INDIRECT("B21:B" &amp; ROW()))-1,E43)</f>
        <v>-6.923837784371778E-3</v>
      </c>
      <c r="F44" s="62">
        <f>表2_367162629303891213[[#This Row],[累计净值]]</f>
        <v>1.0079</v>
      </c>
      <c r="G44" s="20">
        <f>表2_367162629303891213[[#This Row],[累计净值]]/$B$21-1</f>
        <v>7.6984603079384151E-3</v>
      </c>
    </row>
    <row r="45" spans="1:7" x14ac:dyDescent="0.2">
      <c r="A45" s="15">
        <v>43865</v>
      </c>
      <c r="B45" s="16">
        <v>0.99880000000000002</v>
      </c>
      <c r="C45" s="73">
        <f t="shared" si="4"/>
        <v>-9.099999999999997E-3</v>
      </c>
      <c r="D45" s="18">
        <f t="shared" si="5"/>
        <v>-9.099999999999997E-3</v>
      </c>
      <c r="E45" s="18">
        <f ca="1">IF(表2_367162629303891213[[#This Row],[累计净值]]/MAX(INDIRECT("B21:B" &amp; ROW()))-1&lt;E44,表2_367162629303891213[[#This Row],[累计净值]]/MAX(INDIRECT("B21:B" &amp; ROW()))-1,E44)</f>
        <v>-1.2067260138476588E-2</v>
      </c>
      <c r="F45" s="62">
        <f>表2_367162629303891213[[#This Row],[累计净值]]</f>
        <v>0.99880000000000002</v>
      </c>
      <c r="G45" s="20">
        <f>表2_367162629303891213[[#This Row],[累计净值]]/$B$21-1</f>
        <v>-1.3997200559887624E-3</v>
      </c>
    </row>
    <row r="46" spans="1:7" x14ac:dyDescent="0.2">
      <c r="A46" s="15">
        <v>43866</v>
      </c>
      <c r="B46" s="16">
        <v>0.99939999999999996</v>
      </c>
      <c r="C46" s="73">
        <f t="shared" si="4"/>
        <v>5.9999999999993392E-4</v>
      </c>
      <c r="D46" s="18" t="str">
        <f t="shared" si="5"/>
        <v>/</v>
      </c>
      <c r="E46" s="18">
        <f ca="1">IF(表2_367162629303891213[[#This Row],[累计净值]]/MAX(INDIRECT("B21:B" &amp; ROW()))-1&lt;E45,表2_367162629303891213[[#This Row],[累计净值]]/MAX(INDIRECT("B21:B" &amp; ROW()))-1,E45)</f>
        <v>-1.2067260138476588E-2</v>
      </c>
      <c r="F46" s="62">
        <f>表2_367162629303891213[[#This Row],[累计净值]]</f>
        <v>0.99939999999999996</v>
      </c>
      <c r="G46" s="20">
        <f>表2_367162629303891213[[#This Row],[累计净值]]/$B$21-1</f>
        <v>-7.9984003199362608E-4</v>
      </c>
    </row>
    <row r="47" spans="1:7" x14ac:dyDescent="0.2">
      <c r="A47" s="15">
        <v>43867</v>
      </c>
      <c r="B47" s="16">
        <v>0.996</v>
      </c>
      <c r="C47" s="73">
        <f t="shared" ref="C47:C52" si="6">IFERROR(B47-B46,0)</f>
        <v>-3.3999999999999586E-3</v>
      </c>
      <c r="D47" s="18">
        <f t="shared" ref="D47:D52" si="7">IF(C47&lt;0,C47,"/")</f>
        <v>-3.3999999999999586E-3</v>
      </c>
      <c r="E47" s="18">
        <f ca="1">IF(表2_367162629303891213[[#This Row],[累计净值]]/MAX(INDIRECT("B21:B" &amp; ROW()))-1&lt;E46,表2_367162629303891213[[#This Row],[累计净值]]/MAX(INDIRECT("B21:B" &amp; ROW()))-1,E46)</f>
        <v>-1.4836795252225476E-2</v>
      </c>
      <c r="F47" s="62">
        <f>表2_367162629303891213[[#This Row],[累计净值]]</f>
        <v>0.996</v>
      </c>
      <c r="G47" s="20">
        <f>表2_367162629303891213[[#This Row],[累计净值]]/$B$21-1</f>
        <v>-4.1991601679663981E-3</v>
      </c>
    </row>
    <row r="48" spans="1:7" x14ac:dyDescent="0.2">
      <c r="A48" s="15">
        <v>43868</v>
      </c>
      <c r="B48" s="16">
        <v>0.99219999999999997</v>
      </c>
      <c r="C48" s="73">
        <f t="shared" si="6"/>
        <v>-3.8000000000000256E-3</v>
      </c>
      <c r="D48" s="18">
        <f t="shared" si="7"/>
        <v>-3.8000000000000256E-3</v>
      </c>
      <c r="E48" s="18">
        <f ca="1">IF(表2_367162629303891213[[#This Row],[累计净值]]/MAX(INDIRECT("B21:B" &amp; ROW()))-1&lt;E47,表2_367162629303891213[[#This Row],[累计净值]]/MAX(INDIRECT("B21:B" &amp; ROW()))-1,E47)</f>
        <v>-1.8595450049455953E-2</v>
      </c>
      <c r="F48" s="62">
        <f>表2_367162629303891213[[#This Row],[累计净值]]</f>
        <v>0.99219999999999997</v>
      </c>
      <c r="G48" s="20">
        <f>表2_367162629303891213[[#This Row],[累计净值]]/$B$21-1</f>
        <v>-7.9984003199360387E-3</v>
      </c>
    </row>
    <row r="49" spans="1:7" x14ac:dyDescent="0.2">
      <c r="A49" s="15">
        <v>43871</v>
      </c>
      <c r="B49" s="16">
        <v>0.99660000000000004</v>
      </c>
      <c r="C49" s="73">
        <f t="shared" si="6"/>
        <v>4.4000000000000705E-3</v>
      </c>
      <c r="D49" s="18" t="str">
        <f t="shared" si="7"/>
        <v>/</v>
      </c>
      <c r="E49" s="18">
        <f ca="1">IF(表2_367162629303891213[[#This Row],[累计净值]]/MAX(INDIRECT("B21:B" &amp; ROW()))-1&lt;E48,表2_367162629303891213[[#This Row],[累计净值]]/MAX(INDIRECT("B21:B" &amp; ROW()))-1,E48)</f>
        <v>-1.8595450049455953E-2</v>
      </c>
      <c r="F49" s="62">
        <f>表2_367162629303891213[[#This Row],[累计净值]]</f>
        <v>0.99660000000000004</v>
      </c>
      <c r="G49" s="20">
        <f>表2_367162629303891213[[#This Row],[累计净值]]/$B$21-1</f>
        <v>-3.5992801439711508E-3</v>
      </c>
    </row>
    <row r="50" spans="1:7" x14ac:dyDescent="0.2">
      <c r="A50" s="15">
        <v>43872</v>
      </c>
      <c r="B50" s="16">
        <v>0.99680000000000002</v>
      </c>
      <c r="C50" s="73">
        <f t="shared" si="6"/>
        <v>1.9999999999997797E-4</v>
      </c>
      <c r="D50" s="18" t="str">
        <f t="shared" si="7"/>
        <v>/</v>
      </c>
      <c r="E50" s="18">
        <f ca="1">IF(表2_367162629303891213[[#This Row],[累计净值]]/MAX(INDIRECT("B21:B" &amp; ROW()))-1&lt;E49,表2_367162629303891213[[#This Row],[累计净值]]/MAX(INDIRECT("B21:B" &amp; ROW()))-1,E49)</f>
        <v>-1.8595450049455953E-2</v>
      </c>
      <c r="F50" s="62">
        <f>表2_367162629303891213[[#This Row],[累计净值]]</f>
        <v>0.99680000000000002</v>
      </c>
      <c r="G50" s="20">
        <f>表2_367162629303891213[[#This Row],[累计净值]]/$B$21-1</f>
        <v>-3.3993201359727721E-3</v>
      </c>
    </row>
    <row r="51" spans="1:7" x14ac:dyDescent="0.2">
      <c r="A51" s="15">
        <v>43873</v>
      </c>
      <c r="B51" s="16">
        <v>0.99690000000000001</v>
      </c>
      <c r="C51" s="73">
        <f t="shared" si="6"/>
        <v>9.9999999999988987E-5</v>
      </c>
      <c r="D51" s="18" t="str">
        <f t="shared" si="7"/>
        <v>/</v>
      </c>
      <c r="E51" s="18">
        <f ca="1">IF(表2_367162629303891213[[#This Row],[累计净值]]/MAX(INDIRECT("B21:B" &amp; ROW()))-1&lt;E50,表2_367162629303891213[[#This Row],[累计净值]]/MAX(INDIRECT("B21:B" &amp; ROW()))-1,E50)</f>
        <v>-1.8595450049455953E-2</v>
      </c>
      <c r="F51" s="62">
        <f>表2_367162629303891213[[#This Row],[累计净值]]</f>
        <v>0.99690000000000001</v>
      </c>
      <c r="G51" s="20">
        <f>表2_367162629303891213[[#This Row],[累计净值]]/$B$21-1</f>
        <v>-3.2993401319735272E-3</v>
      </c>
    </row>
    <row r="52" spans="1:7" x14ac:dyDescent="0.2">
      <c r="A52" s="15">
        <v>43874</v>
      </c>
      <c r="B52" s="16">
        <v>0.998</v>
      </c>
      <c r="C52" s="73">
        <f t="shared" si="6"/>
        <v>1.0999999999999899E-3</v>
      </c>
      <c r="D52" s="18" t="str">
        <f t="shared" si="7"/>
        <v>/</v>
      </c>
      <c r="E52" s="18">
        <f ca="1">IF(表2_367162629303891213[[#This Row],[累计净值]]/MAX(INDIRECT("B21:B" &amp; ROW()))-1&lt;E51,表2_367162629303891213[[#This Row],[累计净值]]/MAX(INDIRECT("B21:B" &amp; ROW()))-1,E51)</f>
        <v>-1.8595450049455953E-2</v>
      </c>
      <c r="F52" s="62">
        <f>表2_367162629303891213[[#This Row],[累计净值]]</f>
        <v>0.998</v>
      </c>
      <c r="G52" s="20">
        <f>表2_367162629303891213[[#This Row],[累计净值]]/$B$21-1</f>
        <v>-2.1995600879823884E-3</v>
      </c>
    </row>
    <row r="53" spans="1:7" x14ac:dyDescent="0.2">
      <c r="A53" s="15">
        <v>43875</v>
      </c>
      <c r="B53" s="16">
        <v>1.0005999999999999</v>
      </c>
      <c r="C53" s="73">
        <f t="shared" ref="C53:C58" si="8">IFERROR(B53-B52,0)</f>
        <v>2.5999999999999357E-3</v>
      </c>
      <c r="D53" s="18" t="str">
        <f t="shared" ref="D53:D58" si="9">IF(C53&lt;0,C53,"/")</f>
        <v>/</v>
      </c>
      <c r="E53" s="18">
        <f ca="1">IF(表2_367162629303891213[[#This Row],[累计净值]]/MAX(INDIRECT("B21:B" &amp; ROW()))-1&lt;E52,表2_367162629303891213[[#This Row],[累计净值]]/MAX(INDIRECT("B21:B" &amp; ROW()))-1,E52)</f>
        <v>-1.8595450049455953E-2</v>
      </c>
      <c r="F53" s="62">
        <f>表2_367162629303891213[[#This Row],[累计净值]]</f>
        <v>1.0005999999999999</v>
      </c>
      <c r="G53" s="20">
        <f>表2_367162629303891213[[#This Row],[累计净值]]/$B$21-1</f>
        <v>3.9992001599675753E-4</v>
      </c>
    </row>
    <row r="54" spans="1:7" x14ac:dyDescent="0.2">
      <c r="A54" s="15">
        <v>43878</v>
      </c>
      <c r="B54" s="16">
        <v>1.0001</v>
      </c>
      <c r="C54" s="73">
        <f t="shared" si="8"/>
        <v>-4.9999999999994493E-4</v>
      </c>
      <c r="D54" s="18">
        <f t="shared" si="9"/>
        <v>-4.9999999999994493E-4</v>
      </c>
      <c r="E54" s="18">
        <f ca="1">IF(表2_367162629303891213[[#This Row],[累计净值]]/MAX(INDIRECT("B21:B" &amp; ROW()))-1&lt;E53,表2_367162629303891213[[#This Row],[累计净值]]/MAX(INDIRECT("B21:B" &amp; ROW()))-1,E53)</f>
        <v>-1.8595450049455953E-2</v>
      </c>
      <c r="F54" s="62">
        <f>表2_367162629303891213[[#This Row],[累计净值]]</f>
        <v>1.0001</v>
      </c>
      <c r="G54" s="20">
        <f>表2_367162629303891213[[#This Row],[累计净值]]/$B$21-1</f>
        <v>-9.9980003999133871E-5</v>
      </c>
    </row>
    <row r="55" spans="1:7" x14ac:dyDescent="0.2">
      <c r="A55" s="15">
        <v>43879</v>
      </c>
      <c r="B55" s="16">
        <v>1.0012000000000001</v>
      </c>
      <c r="C55" s="73">
        <f t="shared" si="8"/>
        <v>1.1000000000001009E-3</v>
      </c>
      <c r="D55" s="18" t="str">
        <f t="shared" si="9"/>
        <v>/</v>
      </c>
      <c r="E55" s="18">
        <f ca="1">IF(表2_367162629303891213[[#This Row],[累计净值]]/MAX(INDIRECT("B21:B" &amp; ROW()))-1&lt;E54,表2_367162629303891213[[#This Row],[累计净值]]/MAX(INDIRECT("B21:B" &amp; ROW()))-1,E54)</f>
        <v>-1.8595450049455953E-2</v>
      </c>
      <c r="F55" s="62">
        <f>表2_367162629303891213[[#This Row],[累计净值]]</f>
        <v>1.0012000000000001</v>
      </c>
      <c r="G55" s="20">
        <f>表2_367162629303891213[[#This Row],[累计净值]]/$B$21-1</f>
        <v>9.9980003999200484E-4</v>
      </c>
    </row>
    <row r="56" spans="1:7" x14ac:dyDescent="0.2">
      <c r="A56" s="15">
        <v>43880</v>
      </c>
      <c r="B56" s="16">
        <v>0.99950000000000006</v>
      </c>
      <c r="C56" s="73">
        <f t="shared" si="8"/>
        <v>-1.7000000000000348E-3</v>
      </c>
      <c r="D56" s="18">
        <f t="shared" si="9"/>
        <v>-1.7000000000000348E-3</v>
      </c>
      <c r="E56" s="18">
        <f ca="1">IF(表2_367162629303891213[[#This Row],[累计净值]]/MAX(INDIRECT("B21:B" &amp; ROW()))-1&lt;E55,表2_367162629303891213[[#This Row],[累计净值]]/MAX(INDIRECT("B21:B" &amp; ROW()))-1,E55)</f>
        <v>-1.8595450049455953E-2</v>
      </c>
      <c r="F56" s="62">
        <f>表2_367162629303891213[[#This Row],[累计净值]]</f>
        <v>0.99950000000000006</v>
      </c>
      <c r="G56" s="20">
        <f>表2_367162629303891213[[#This Row],[累计净值]]/$B$21-1</f>
        <v>-6.9986002799427016E-4</v>
      </c>
    </row>
    <row r="57" spans="1:7" x14ac:dyDescent="0.2">
      <c r="A57" s="15">
        <v>43881</v>
      </c>
      <c r="B57" s="16">
        <v>1.0002</v>
      </c>
      <c r="C57" s="73">
        <f t="shared" si="8"/>
        <v>6.9999999999992291E-4</v>
      </c>
      <c r="D57" s="18" t="str">
        <f t="shared" si="9"/>
        <v>/</v>
      </c>
      <c r="E57" s="18">
        <f ca="1">IF(表2_367162629303891213[[#This Row],[累计净值]]/MAX(INDIRECT("B21:B" &amp; ROW()))-1&lt;E56,表2_367162629303891213[[#This Row],[累计净值]]/MAX(INDIRECT("B21:B" &amp; ROW()))-1,E56)</f>
        <v>-1.8595450049455953E-2</v>
      </c>
      <c r="F57" s="62">
        <f>表2_367162629303891213[[#This Row],[累计净值]]</f>
        <v>1.0002</v>
      </c>
      <c r="G57" s="20">
        <f>表2_367162629303891213[[#This Row],[累计净值]]/$B$21-1</f>
        <v>0</v>
      </c>
    </row>
    <row r="58" spans="1:7" x14ac:dyDescent="0.2">
      <c r="A58" s="15">
        <v>43882</v>
      </c>
      <c r="B58" s="16">
        <v>0.99680000000000002</v>
      </c>
      <c r="C58" s="73">
        <f t="shared" si="8"/>
        <v>-3.3999999999999586E-3</v>
      </c>
      <c r="D58" s="18">
        <f t="shared" si="9"/>
        <v>-3.3999999999999586E-3</v>
      </c>
      <c r="E58" s="18">
        <f ca="1">IF(表2_367162629303891213[[#This Row],[累计净值]]/MAX(INDIRECT("B21:B" &amp; ROW()))-1&lt;E57,表2_367162629303891213[[#This Row],[累计净值]]/MAX(INDIRECT("B21:B" &amp; ROW()))-1,E57)</f>
        <v>-1.8595450049455953E-2</v>
      </c>
      <c r="F58" s="62">
        <f>表2_367162629303891213[[#This Row],[累计净值]]</f>
        <v>0.99680000000000002</v>
      </c>
      <c r="G58" s="20">
        <f>表2_367162629303891213[[#This Row],[累计净值]]/$B$21-1</f>
        <v>-3.3993201359727721E-3</v>
      </c>
    </row>
    <row r="59" spans="1:7" x14ac:dyDescent="0.2">
      <c r="A59" s="15">
        <v>43885</v>
      </c>
      <c r="B59" s="16">
        <v>1</v>
      </c>
      <c r="C59" s="73">
        <f t="shared" ref="C59:C64" si="10">IFERROR(B59-B58,0)</f>
        <v>3.1999999999999806E-3</v>
      </c>
      <c r="D59" s="18" t="str">
        <f t="shared" ref="D59:D64" si="11">IF(C59&lt;0,C59,"/")</f>
        <v>/</v>
      </c>
      <c r="E59" s="18">
        <f ca="1">IF(表2_367162629303891213[[#This Row],[累计净值]]/MAX(INDIRECT("B21:B" &amp; ROW()))-1&lt;E58,表2_367162629303891213[[#This Row],[累计净值]]/MAX(INDIRECT("B21:B" &amp; ROW()))-1,E58)</f>
        <v>-1.8595450049455953E-2</v>
      </c>
      <c r="F59" s="62">
        <f>表2_367162629303891213[[#This Row],[累计净值]]</f>
        <v>1</v>
      </c>
      <c r="G59" s="20">
        <f>表2_367162629303891213[[#This Row],[累计净值]]/$B$21-1</f>
        <v>-1.9996000799837876E-4</v>
      </c>
    </row>
    <row r="60" spans="1:7" x14ac:dyDescent="0.2">
      <c r="A60" s="15">
        <v>43886</v>
      </c>
      <c r="B60" s="16">
        <v>0.99519999999999997</v>
      </c>
      <c r="C60" s="73">
        <f t="shared" si="10"/>
        <v>-4.8000000000000265E-3</v>
      </c>
      <c r="D60" s="18">
        <f t="shared" si="11"/>
        <v>-4.8000000000000265E-3</v>
      </c>
      <c r="E60" s="18">
        <f ca="1">IF(表2_367162629303891213[[#This Row],[累计净值]]/MAX(INDIRECT("B21:B" &amp; ROW()))-1&lt;E59,表2_367162629303891213[[#This Row],[累计净值]]/MAX(INDIRECT("B21:B" &amp; ROW()))-1,E59)</f>
        <v>-1.8595450049455953E-2</v>
      </c>
      <c r="F60" s="62">
        <f>表2_367162629303891213[[#This Row],[累计净值]]</f>
        <v>0.99519999999999997</v>
      </c>
      <c r="G60" s="20">
        <f>表2_367162629303891213[[#This Row],[累计净值]]/$B$21-1</f>
        <v>-4.9990001999600242E-3</v>
      </c>
    </row>
    <row r="61" spans="1:7" x14ac:dyDescent="0.2">
      <c r="A61" s="15">
        <v>43887</v>
      </c>
      <c r="B61" s="16">
        <v>0.99480000000000002</v>
      </c>
      <c r="C61" s="73">
        <f t="shared" si="10"/>
        <v>-3.9999999999995595E-4</v>
      </c>
      <c r="D61" s="18">
        <f t="shared" si="11"/>
        <v>-3.9999999999995595E-4</v>
      </c>
      <c r="E61" s="18">
        <f ca="1">IF(表2_367162629303891213[[#This Row],[累计净值]]/MAX(INDIRECT("B21:B" &amp; ROW()))-1&lt;E60,表2_367162629303891213[[#This Row],[累计净值]]/MAX(INDIRECT("B21:B" &amp; ROW()))-1,E60)</f>
        <v>-1.8595450049455953E-2</v>
      </c>
      <c r="F61" s="62">
        <f>表2_367162629303891213[[#This Row],[累计净值]]</f>
        <v>0.99480000000000002</v>
      </c>
      <c r="G61" s="20">
        <f>表2_367162629303891213[[#This Row],[累计净值]]/$B$21-1</f>
        <v>-5.3989202159567817E-3</v>
      </c>
    </row>
    <row r="62" spans="1:7" x14ac:dyDescent="0.2">
      <c r="A62" s="15">
        <v>43888</v>
      </c>
      <c r="B62" s="16">
        <v>1.0027999999999999</v>
      </c>
      <c r="C62" s="73">
        <f t="shared" si="10"/>
        <v>7.9999999999998961E-3</v>
      </c>
      <c r="D62" s="18" t="str">
        <f t="shared" si="11"/>
        <v>/</v>
      </c>
      <c r="E62" s="18">
        <f ca="1">IF(表2_367162629303891213[[#This Row],[累计净值]]/MAX(INDIRECT("B21:B" &amp; ROW()))-1&lt;E61,表2_367162629303891213[[#This Row],[累计净值]]/MAX(INDIRECT("B21:B" &amp; ROW()))-1,E61)</f>
        <v>-1.8595450049455953E-2</v>
      </c>
      <c r="F62" s="62">
        <f>表2_367162629303891213[[#This Row],[累计净值]]</f>
        <v>1.0027999999999999</v>
      </c>
      <c r="G62" s="20">
        <f>表2_367162629303891213[[#This Row],[累计净值]]/$B$21-1</f>
        <v>2.599480103979035E-3</v>
      </c>
    </row>
    <row r="63" spans="1:7" x14ac:dyDescent="0.2">
      <c r="A63" s="15">
        <v>43889</v>
      </c>
      <c r="B63" s="16">
        <v>0.99690000000000001</v>
      </c>
      <c r="C63" s="73">
        <f t="shared" si="10"/>
        <v>-5.8999999999999053E-3</v>
      </c>
      <c r="D63" s="18">
        <f t="shared" si="11"/>
        <v>-5.8999999999999053E-3</v>
      </c>
      <c r="E63" s="18">
        <f ca="1">IF(表2_367162629303891213[[#This Row],[累计净值]]/MAX(INDIRECT("B21:B" &amp; ROW()))-1&lt;E62,表2_367162629303891213[[#This Row],[累计净值]]/MAX(INDIRECT("B21:B" &amp; ROW()))-1,E62)</f>
        <v>-1.8595450049455953E-2</v>
      </c>
      <c r="F63" s="62">
        <f>表2_367162629303891213[[#This Row],[累计净值]]</f>
        <v>0.99690000000000001</v>
      </c>
      <c r="G63" s="20">
        <f>表2_367162629303891213[[#This Row],[累计净值]]/$B$21-1</f>
        <v>-3.2993401319735272E-3</v>
      </c>
    </row>
    <row r="64" spans="1:7" x14ac:dyDescent="0.2">
      <c r="A64" s="15">
        <v>43892</v>
      </c>
      <c r="B64" s="16">
        <v>1.0009999999999999</v>
      </c>
      <c r="C64" s="73">
        <f t="shared" si="10"/>
        <v>4.0999999999998815E-3</v>
      </c>
      <c r="D64" s="18" t="str">
        <f t="shared" si="11"/>
        <v>/</v>
      </c>
      <c r="E64" s="18">
        <f ca="1">IF(表2_367162629303891213[[#This Row],[累计净值]]/MAX(INDIRECT("B21:B" &amp; ROW()))-1&lt;E63,表2_367162629303891213[[#This Row],[累计净值]]/MAX(INDIRECT("B21:B" &amp; ROW()))-1,E63)</f>
        <v>-1.8595450049455953E-2</v>
      </c>
      <c r="F64" s="62">
        <f>表2_367162629303891213[[#This Row],[累计净值]]</f>
        <v>1.0009999999999999</v>
      </c>
      <c r="G64" s="20">
        <f>表2_367162629303891213[[#This Row],[累计净值]]/$B$21-1</f>
        <v>7.9984003199351505E-4</v>
      </c>
    </row>
    <row r="65" spans="1:7" x14ac:dyDescent="0.2">
      <c r="A65" s="15">
        <v>43893</v>
      </c>
      <c r="B65" s="16">
        <v>1.0092000000000001</v>
      </c>
      <c r="C65" s="73">
        <f>IFERROR(B65-B64,0)</f>
        <v>8.2000000000002071E-3</v>
      </c>
      <c r="D65" s="18" t="str">
        <f>IF(C65&lt;0,C65,"/")</f>
        <v>/</v>
      </c>
      <c r="E65" s="18">
        <f ca="1">IF(表2_367162629303891213[[#This Row],[累计净值]]/MAX(INDIRECT("B21:B" &amp; ROW()))-1&lt;E64,表2_367162629303891213[[#This Row],[累计净值]]/MAX(INDIRECT("B21:B" &amp; ROW()))-1,E64)</f>
        <v>-1.8595450049455953E-2</v>
      </c>
      <c r="F65" s="62">
        <f>表2_367162629303891213[[#This Row],[累计净值]]</f>
        <v>1.0092000000000001</v>
      </c>
      <c r="G65" s="20">
        <f>表2_367162629303891213[[#This Row],[累计净值]]/$B$21-1</f>
        <v>8.9982003599280436E-3</v>
      </c>
    </row>
    <row r="66" spans="1:7" x14ac:dyDescent="0.2">
      <c r="A66" s="15">
        <v>43894</v>
      </c>
      <c r="B66" s="16">
        <v>1.0179</v>
      </c>
      <c r="C66" s="73">
        <f>IFERROR(B66-B65,0)</f>
        <v>8.69999999999993E-3</v>
      </c>
      <c r="D66" s="18" t="str">
        <f>IF(C66&lt;0,C66,"/")</f>
        <v>/</v>
      </c>
      <c r="E66" s="18">
        <f ca="1">IF(表2_367162629303891213[[#This Row],[累计净值]]/MAX(INDIRECT("B21:B" &amp; ROW()))-1&lt;E65,表2_367162629303891213[[#This Row],[累计净值]]/MAX(INDIRECT("B21:B" &amp; ROW()))-1,E65)</f>
        <v>-1.8595450049455953E-2</v>
      </c>
      <c r="F66" s="62">
        <f>表2_367162629303891213[[#This Row],[累计净值]]</f>
        <v>1.0179</v>
      </c>
      <c r="G66" s="20">
        <f>表2_367162629303891213[[#This Row],[累计净值]]/$B$21-1</f>
        <v>1.7696460707858463E-2</v>
      </c>
    </row>
    <row r="67" spans="1:7" x14ac:dyDescent="0.2">
      <c r="A67" s="15">
        <v>43895</v>
      </c>
      <c r="B67" s="16">
        <v>1.0165999999999999</v>
      </c>
      <c r="C67" s="73">
        <f>IFERROR(B67-B66,0)</f>
        <v>-1.3000000000000789E-3</v>
      </c>
      <c r="D67" s="18">
        <f>IF(C67&lt;0,C67,"/")</f>
        <v>-1.3000000000000789E-3</v>
      </c>
      <c r="E67" s="18">
        <f ca="1">IF(表2_367162629303891213[[#This Row],[累计净值]]/MAX(INDIRECT("B21:B" &amp; ROW()))-1&lt;E66,表2_367162629303891213[[#This Row],[累计净值]]/MAX(INDIRECT("B21:B" &amp; ROW()))-1,E66)</f>
        <v>-1.8595450049455953E-2</v>
      </c>
      <c r="F67" s="62">
        <f>表2_367162629303891213[[#This Row],[累计净值]]</f>
        <v>1.0165999999999999</v>
      </c>
      <c r="G67" s="20">
        <f>表2_367162629303891213[[#This Row],[累计净值]]/$B$21-1</f>
        <v>1.6396720655868835E-2</v>
      </c>
    </row>
    <row r="68" spans="1:7" x14ac:dyDescent="0.2">
      <c r="A68" s="15">
        <v>43896</v>
      </c>
      <c r="B68" s="16">
        <v>1.0166999999999999</v>
      </c>
      <c r="C68" s="73">
        <f>IFERROR(B68-B67,0)</f>
        <v>9.9999999999988987E-5</v>
      </c>
      <c r="D68" s="18" t="str">
        <f>IF(C68&lt;0,C68,"/")</f>
        <v>/</v>
      </c>
      <c r="E68" s="18">
        <f ca="1">IF(表2_367162629303891213[[#This Row],[累计净值]]/MAX(INDIRECT("B21:B" &amp; ROW()))-1&lt;E67,表2_367162629303891213[[#This Row],[累计净值]]/MAX(INDIRECT("B21:B" &amp; ROW()))-1,E67)</f>
        <v>-1.8595450049455953E-2</v>
      </c>
      <c r="F68" s="62">
        <f>表2_367162629303891213[[#This Row],[累计净值]]</f>
        <v>1.0166999999999999</v>
      </c>
      <c r="G68" s="20">
        <f>表2_367162629303891213[[#This Row],[累计净值]]/$B$21-1</f>
        <v>1.6496700659867969E-2</v>
      </c>
    </row>
    <row r="69" spans="1:7" x14ac:dyDescent="0.2">
      <c r="A69" s="15">
        <v>43899</v>
      </c>
      <c r="B69" s="16">
        <v>1.0193000000000001</v>
      </c>
      <c r="C69" s="73">
        <f t="shared" ref="C69:C74" si="12">IFERROR(B69-B68,0)</f>
        <v>2.6000000000001577E-3</v>
      </c>
      <c r="D69" s="18" t="str">
        <f t="shared" ref="D69:D74" si="13">IF(C69&lt;0,C69,"/")</f>
        <v>/</v>
      </c>
      <c r="E69" s="18">
        <f ca="1">IF(表2_367162629303891213[[#This Row],[累计净值]]/MAX(INDIRECT("B21:B" &amp; ROW()))-1&lt;E68,表2_367162629303891213[[#This Row],[累计净值]]/MAX(INDIRECT("B21:B" &amp; ROW()))-1,E68)</f>
        <v>-1.8595450049455953E-2</v>
      </c>
      <c r="F69" s="62">
        <f>表2_367162629303891213[[#This Row],[累计净值]]</f>
        <v>1.0193000000000001</v>
      </c>
      <c r="G69" s="20">
        <f>表2_367162629303891213[[#This Row],[累计净值]]/$B$21-1</f>
        <v>1.9096180763847448E-2</v>
      </c>
    </row>
    <row r="70" spans="1:7" x14ac:dyDescent="0.2">
      <c r="A70" s="15">
        <v>43900</v>
      </c>
      <c r="B70" s="16">
        <v>1.0169999999999999</v>
      </c>
      <c r="C70" s="73">
        <f t="shared" si="12"/>
        <v>-2.3000000000001908E-3</v>
      </c>
      <c r="D70" s="18">
        <f t="shared" si="13"/>
        <v>-2.3000000000001908E-3</v>
      </c>
      <c r="E70" s="18">
        <f ca="1">IF(表2_367162629303891213[[#This Row],[累计净值]]/MAX(INDIRECT("B21:B" &amp; ROW()))-1&lt;E69,表2_367162629303891213[[#This Row],[累计净值]]/MAX(INDIRECT("B21:B" &amp; ROW()))-1,E69)</f>
        <v>-1.8595450049455953E-2</v>
      </c>
      <c r="F70" s="62">
        <f>表2_367162629303891213[[#This Row],[累计净值]]</f>
        <v>1.0169999999999999</v>
      </c>
      <c r="G70" s="20">
        <f>表2_367162629303891213[[#This Row],[累计净值]]/$B$21-1</f>
        <v>1.6796640671865593E-2</v>
      </c>
    </row>
    <row r="71" spans="1:7" x14ac:dyDescent="0.2">
      <c r="A71" s="15">
        <v>43901</v>
      </c>
      <c r="B71" s="16">
        <v>1.0210999999999999</v>
      </c>
      <c r="C71" s="73">
        <f t="shared" si="12"/>
        <v>4.0999999999999925E-3</v>
      </c>
      <c r="D71" s="18" t="str">
        <f t="shared" si="13"/>
        <v>/</v>
      </c>
      <c r="E71" s="18">
        <f ca="1">IF(表2_367162629303891213[[#This Row],[累计净值]]/MAX(INDIRECT("B21:B" &amp; ROW()))-1&lt;E70,表2_367162629303891213[[#This Row],[累计净值]]/MAX(INDIRECT("B21:B" &amp; ROW()))-1,E70)</f>
        <v>-1.8595450049455953E-2</v>
      </c>
      <c r="F71" s="62">
        <f>表2_367162629303891213[[#This Row],[累计净值]]</f>
        <v>1.0210999999999999</v>
      </c>
      <c r="G71" s="20">
        <f>表2_367162629303891213[[#This Row],[累计净值]]/$B$21-1</f>
        <v>2.0895820835832746E-2</v>
      </c>
    </row>
    <row r="72" spans="1:7" x14ac:dyDescent="0.2">
      <c r="A72" s="15">
        <v>43902</v>
      </c>
      <c r="B72" s="16">
        <v>1.0210999999999999</v>
      </c>
      <c r="C72" s="73">
        <f t="shared" si="12"/>
        <v>0</v>
      </c>
      <c r="D72" s="18" t="str">
        <f t="shared" si="13"/>
        <v>/</v>
      </c>
      <c r="E72" s="18">
        <f ca="1">IF(表2_367162629303891213[[#This Row],[累计净值]]/MAX(INDIRECT("B21:B" &amp; ROW()))-1&lt;E71,表2_367162629303891213[[#This Row],[累计净值]]/MAX(INDIRECT("B21:B" &amp; ROW()))-1,E71)</f>
        <v>-1.8595450049455953E-2</v>
      </c>
      <c r="F72" s="62">
        <f>表2_367162629303891213[[#This Row],[累计净值]]</f>
        <v>1.0210999999999999</v>
      </c>
      <c r="G72" s="20">
        <f>表2_367162629303891213[[#This Row],[累计净值]]/$B$21-1</f>
        <v>2.0895820835832746E-2</v>
      </c>
    </row>
    <row r="73" spans="1:7" x14ac:dyDescent="0.2">
      <c r="A73" s="15">
        <v>43903</v>
      </c>
      <c r="B73" s="16">
        <v>1.0209999999999999</v>
      </c>
      <c r="C73" s="73">
        <f t="shared" si="12"/>
        <v>-9.9999999999988987E-5</v>
      </c>
      <c r="D73" s="18">
        <f t="shared" si="13"/>
        <v>-9.9999999999988987E-5</v>
      </c>
      <c r="E73" s="18">
        <f ca="1">IF(表2_367162629303891213[[#This Row],[累计净值]]/MAX(INDIRECT("B21:B" &amp; ROW()))-1&lt;E72,表2_367162629303891213[[#This Row],[累计净值]]/MAX(INDIRECT("B21:B" &amp; ROW()))-1,E72)</f>
        <v>-1.8595450049455953E-2</v>
      </c>
      <c r="F73" s="62">
        <f>表2_367162629303891213[[#This Row],[累计净值]]</f>
        <v>1.0209999999999999</v>
      </c>
      <c r="G73" s="20">
        <f>表2_367162629303891213[[#This Row],[累计净值]]/$B$21-1</f>
        <v>2.0795840831833612E-2</v>
      </c>
    </row>
    <row r="74" spans="1:7" x14ac:dyDescent="0.2">
      <c r="A74" s="15">
        <v>43906</v>
      </c>
      <c r="B74" s="16">
        <v>1.0210999999999999</v>
      </c>
      <c r="C74" s="73">
        <f t="shared" si="12"/>
        <v>9.9999999999988987E-5</v>
      </c>
      <c r="D74" s="18" t="str">
        <f t="shared" si="13"/>
        <v>/</v>
      </c>
      <c r="E74" s="18">
        <f ca="1">IF(表2_367162629303891213[[#This Row],[累计净值]]/MAX(INDIRECT("B21:B" &amp; ROW()))-1&lt;E73,表2_367162629303891213[[#This Row],[累计净值]]/MAX(INDIRECT("B21:B" &amp; ROW()))-1,E73)</f>
        <v>-1.8595450049455953E-2</v>
      </c>
      <c r="F74" s="62">
        <f>表2_367162629303891213[[#This Row],[累计净值]]</f>
        <v>1.0210999999999999</v>
      </c>
      <c r="G74" s="20">
        <f>表2_367162629303891213[[#This Row],[累计净值]]/$B$21-1</f>
        <v>2.0895820835832746E-2</v>
      </c>
    </row>
    <row r="75" spans="1:7" x14ac:dyDescent="0.2">
      <c r="A75" s="15">
        <v>43907</v>
      </c>
      <c r="B75" s="16">
        <v>1.0244</v>
      </c>
      <c r="C75" s="73">
        <f t="shared" ref="C75:C80" si="14">IFERROR(B75-B74,0)</f>
        <v>3.3000000000000806E-3</v>
      </c>
      <c r="D75" s="18" t="str">
        <f t="shared" ref="D75:D80" si="15">IF(C75&lt;0,C75,"/")</f>
        <v>/</v>
      </c>
      <c r="E75" s="18">
        <f ca="1">IF(表2_367162629303891213[[#This Row],[累计净值]]/MAX(INDIRECT("B21:B" &amp; ROW()))-1&lt;E74,表2_367162629303891213[[#This Row],[累计净值]]/MAX(INDIRECT("B21:B" &amp; ROW()))-1,E74)</f>
        <v>-1.8595450049455953E-2</v>
      </c>
      <c r="F75" s="62">
        <f>表2_367162629303891213[[#This Row],[累计净值]]</f>
        <v>1.0244</v>
      </c>
      <c r="G75" s="20">
        <f>表2_367162629303891213[[#This Row],[累计净值]]/$B$21-1</f>
        <v>2.4195160967806384E-2</v>
      </c>
    </row>
    <row r="76" spans="1:7" x14ac:dyDescent="0.2">
      <c r="A76" s="15">
        <v>43908</v>
      </c>
      <c r="B76" s="16">
        <v>1.0234000000000001</v>
      </c>
      <c r="C76" s="73">
        <f t="shared" si="14"/>
        <v>-9.9999999999988987E-4</v>
      </c>
      <c r="D76" s="18">
        <f t="shared" si="15"/>
        <v>-9.9999999999988987E-4</v>
      </c>
      <c r="E76" s="18">
        <f ca="1">IF(表2_367162629303891213[[#This Row],[累计净值]]/MAX(INDIRECT("B21:B" &amp; ROW()))-1&lt;E75,表2_367162629303891213[[#This Row],[累计净值]]/MAX(INDIRECT("B21:B" &amp; ROW()))-1,E75)</f>
        <v>-1.8595450049455953E-2</v>
      </c>
      <c r="F76" s="62">
        <f>表2_367162629303891213[[#This Row],[累计净值]]</f>
        <v>1.0234000000000001</v>
      </c>
      <c r="G76" s="20">
        <f>表2_367162629303891213[[#This Row],[累计净值]]/$B$21-1</f>
        <v>2.3195360927814601E-2</v>
      </c>
    </row>
    <row r="77" spans="1:7" x14ac:dyDescent="0.2">
      <c r="A77" s="15">
        <v>43909</v>
      </c>
      <c r="B77" s="16">
        <v>1.0243</v>
      </c>
      <c r="C77" s="73">
        <f t="shared" si="14"/>
        <v>8.9999999999990088E-4</v>
      </c>
      <c r="D77" s="18" t="str">
        <f t="shared" si="15"/>
        <v>/</v>
      </c>
      <c r="E77" s="18">
        <f ca="1">IF(表2_367162629303891213[[#This Row],[累计净值]]/MAX(INDIRECT("B21:B" &amp; ROW()))-1&lt;E76,表2_367162629303891213[[#This Row],[累计净值]]/MAX(INDIRECT("B21:B" &amp; ROW()))-1,E76)</f>
        <v>-1.8595450049455953E-2</v>
      </c>
      <c r="F77" s="62">
        <f>表2_367162629303891213[[#This Row],[累计净值]]</f>
        <v>1.0243</v>
      </c>
      <c r="G77" s="20">
        <f>表2_367162629303891213[[#This Row],[累计净值]]/$B$21-1</f>
        <v>2.409518096380725E-2</v>
      </c>
    </row>
    <row r="78" spans="1:7" x14ac:dyDescent="0.2">
      <c r="A78" s="15">
        <v>43910</v>
      </c>
      <c r="B78" s="16">
        <v>1.0255000000000001</v>
      </c>
      <c r="C78" s="73">
        <f t="shared" si="14"/>
        <v>1.2000000000000899E-3</v>
      </c>
      <c r="D78" s="18" t="str">
        <f t="shared" si="15"/>
        <v>/</v>
      </c>
      <c r="E78" s="18">
        <f ca="1">IF(表2_367162629303891213[[#This Row],[累计净值]]/MAX(INDIRECT("B21:B" &amp; ROW()))-1&lt;E77,表2_367162629303891213[[#This Row],[累计净值]]/MAX(INDIRECT("B21:B" &amp; ROW()))-1,E77)</f>
        <v>-1.8595450049455953E-2</v>
      </c>
      <c r="F78" s="62">
        <f>表2_367162629303891213[[#This Row],[累计净值]]</f>
        <v>1.0255000000000001</v>
      </c>
      <c r="G78" s="20">
        <f>表2_367162629303891213[[#This Row],[累计净值]]/$B$21-1</f>
        <v>2.5294941011797745E-2</v>
      </c>
    </row>
    <row r="79" spans="1:7" x14ac:dyDescent="0.2">
      <c r="A79" s="15">
        <v>43913</v>
      </c>
      <c r="B79" s="16">
        <v>1.0202</v>
      </c>
      <c r="C79" s="73">
        <f t="shared" si="14"/>
        <v>-5.3000000000000824E-3</v>
      </c>
      <c r="D79" s="18">
        <f t="shared" si="15"/>
        <v>-5.3000000000000824E-3</v>
      </c>
      <c r="E79" s="18">
        <f ca="1">IF(表2_367162629303891213[[#This Row],[累计净值]]/MAX(INDIRECT("B21:B" &amp; ROW()))-1&lt;E78,表2_367162629303891213[[#This Row],[累计净值]]/MAX(INDIRECT("B21:B" &amp; ROW()))-1,E78)</f>
        <v>-1.8595450049455953E-2</v>
      </c>
      <c r="F79" s="62">
        <f>表2_367162629303891213[[#This Row],[累计净值]]</f>
        <v>1.0202</v>
      </c>
      <c r="G79" s="20">
        <f>表2_367162629303891213[[#This Row],[累计净值]]/$B$21-1</f>
        <v>1.9996000799840097E-2</v>
      </c>
    </row>
    <row r="80" spans="1:7" x14ac:dyDescent="0.2">
      <c r="A80" s="15">
        <v>43914</v>
      </c>
      <c r="B80" s="16">
        <v>1.0250999999999999</v>
      </c>
      <c r="C80" s="73">
        <f t="shared" si="14"/>
        <v>4.8999999999999044E-3</v>
      </c>
      <c r="D80" s="18" t="str">
        <f t="shared" si="15"/>
        <v>/</v>
      </c>
      <c r="E80" s="18">
        <f ca="1">IF(表2_367162629303891213[[#This Row],[累计净值]]/MAX(INDIRECT("B21:B" &amp; ROW()))-1&lt;E79,表2_367162629303891213[[#This Row],[累计净值]]/MAX(INDIRECT("B21:B" &amp; ROW()))-1,E79)</f>
        <v>-1.8595450049455953E-2</v>
      </c>
      <c r="F80" s="62">
        <f>表2_367162629303891213[[#This Row],[累计净值]]</f>
        <v>1.0250999999999999</v>
      </c>
      <c r="G80" s="20">
        <f>表2_367162629303891213[[#This Row],[累计净值]]/$B$21-1</f>
        <v>2.4895020995800765E-2</v>
      </c>
    </row>
    <row r="81" spans="1:7" x14ac:dyDescent="0.2">
      <c r="A81" s="15">
        <v>43915</v>
      </c>
      <c r="B81" s="16">
        <v>1.0316000000000001</v>
      </c>
      <c r="C81" s="73">
        <f t="shared" ref="C81:C86" si="16">IFERROR(B81-B80,0)</f>
        <v>6.5000000000001723E-3</v>
      </c>
      <c r="D81" s="18" t="str">
        <f t="shared" ref="D81:D86" si="17">IF(C81&lt;0,C81,"/")</f>
        <v>/</v>
      </c>
      <c r="E81" s="18">
        <f ca="1">IF(表2_367162629303891213[[#This Row],[累计净值]]/MAX(INDIRECT("B21:B" &amp; ROW()))-1&lt;E80,表2_367162629303891213[[#This Row],[累计净值]]/MAX(INDIRECT("B21:B" &amp; ROW()))-1,E80)</f>
        <v>-1.8595450049455953E-2</v>
      </c>
      <c r="F81" s="62">
        <f>表2_367162629303891213[[#This Row],[累计净值]]</f>
        <v>1.0316000000000001</v>
      </c>
      <c r="G81" s="20">
        <f>表2_367162629303891213[[#This Row],[累计净值]]/$B$21-1</f>
        <v>3.1393721255748908E-2</v>
      </c>
    </row>
    <row r="82" spans="1:7" x14ac:dyDescent="0.2">
      <c r="A82" s="15">
        <v>43916</v>
      </c>
      <c r="B82" s="16">
        <v>1.0321</v>
      </c>
      <c r="C82" s="73">
        <f t="shared" si="16"/>
        <v>4.9999999999994493E-4</v>
      </c>
      <c r="D82" s="18" t="str">
        <f t="shared" si="17"/>
        <v>/</v>
      </c>
      <c r="E82" s="18">
        <f ca="1">IF(表2_367162629303891213[[#This Row],[累计净值]]/MAX(INDIRECT("B21:B" &amp; ROW()))-1&lt;E81,表2_367162629303891213[[#This Row],[累计净值]]/MAX(INDIRECT("B21:B" &amp; ROW()))-1,E81)</f>
        <v>-1.8595450049455953E-2</v>
      </c>
      <c r="F82" s="62">
        <f>表2_367162629303891213[[#This Row],[累计净值]]</f>
        <v>1.0321</v>
      </c>
      <c r="G82" s="20">
        <f>表2_367162629303891213[[#This Row],[累计净值]]/$B$21-1</f>
        <v>3.1893621275744799E-2</v>
      </c>
    </row>
    <row r="83" spans="1:7" x14ac:dyDescent="0.2">
      <c r="A83" s="15">
        <v>43917</v>
      </c>
      <c r="B83" s="16">
        <v>1.0315000000000001</v>
      </c>
      <c r="C83" s="73">
        <f t="shared" si="16"/>
        <v>-5.9999999999993392E-4</v>
      </c>
      <c r="D83" s="18">
        <f t="shared" si="17"/>
        <v>-5.9999999999993392E-4</v>
      </c>
      <c r="E83" s="18">
        <f ca="1">IF(表2_367162629303891213[[#This Row],[累计净值]]/MAX(INDIRECT("B21:B" &amp; ROW()))-1&lt;E82,表2_367162629303891213[[#This Row],[累计净值]]/MAX(INDIRECT("B21:B" &amp; ROW()))-1,E82)</f>
        <v>-1.8595450049455953E-2</v>
      </c>
      <c r="F83" s="62">
        <f>表2_367162629303891213[[#This Row],[累计净值]]</f>
        <v>1.0315000000000001</v>
      </c>
      <c r="G83" s="20">
        <f>表2_367162629303891213[[#This Row],[累计净值]]/$B$21-1</f>
        <v>3.1293741251749774E-2</v>
      </c>
    </row>
    <row r="84" spans="1:7" x14ac:dyDescent="0.2">
      <c r="A84" s="15">
        <v>43920</v>
      </c>
      <c r="B84" s="16">
        <v>1.0356000000000001</v>
      </c>
      <c r="C84" s="73">
        <f t="shared" si="16"/>
        <v>4.0999999999999925E-3</v>
      </c>
      <c r="D84" s="18" t="str">
        <f t="shared" si="17"/>
        <v>/</v>
      </c>
      <c r="E84" s="18">
        <f ca="1">IF(表2_367162629303891213[[#This Row],[累计净值]]/MAX(INDIRECT("B21:B" &amp; ROW()))-1&lt;E83,表2_367162629303891213[[#This Row],[累计净值]]/MAX(INDIRECT("B21:B" &amp; ROW()))-1,E83)</f>
        <v>-1.8595450049455953E-2</v>
      </c>
      <c r="F84" s="62">
        <f>表2_367162629303891213[[#This Row],[累计净值]]</f>
        <v>1.0356000000000001</v>
      </c>
      <c r="G84" s="20">
        <f>表2_367162629303891213[[#This Row],[累计净值]]/$B$21-1</f>
        <v>3.5392921415716927E-2</v>
      </c>
    </row>
    <row r="85" spans="1:7" x14ac:dyDescent="0.2">
      <c r="A85" s="15">
        <v>43921</v>
      </c>
      <c r="B85" s="16">
        <v>1.0395000000000001</v>
      </c>
      <c r="C85" s="73">
        <f t="shared" si="16"/>
        <v>3.9000000000000146E-3</v>
      </c>
      <c r="D85" s="18" t="str">
        <f t="shared" si="17"/>
        <v>/</v>
      </c>
      <c r="E85" s="18">
        <f ca="1">IF(表2_367162629303891213[[#This Row],[累计净值]]/MAX(INDIRECT("B21:B" &amp; ROW()))-1&lt;E84,表2_367162629303891213[[#This Row],[累计净值]]/MAX(INDIRECT("B21:B" &amp; ROW()))-1,E84)</f>
        <v>-1.8595450049455953E-2</v>
      </c>
      <c r="F85" s="62">
        <f>表2_367162629303891213[[#This Row],[累计净值]]</f>
        <v>1.0395000000000001</v>
      </c>
      <c r="G85" s="20">
        <f>表2_367162629303891213[[#This Row],[累计净值]]/$B$21-1</f>
        <v>3.9292141571685812E-2</v>
      </c>
    </row>
    <row r="86" spans="1:7" x14ac:dyDescent="0.2">
      <c r="A86" s="15">
        <v>43922</v>
      </c>
      <c r="B86" s="16">
        <v>1.0405</v>
      </c>
      <c r="C86" s="73">
        <f t="shared" si="16"/>
        <v>9.9999999999988987E-4</v>
      </c>
      <c r="D86" s="18" t="str">
        <f t="shared" si="17"/>
        <v>/</v>
      </c>
      <c r="E86" s="18">
        <f ca="1">IF(表2_367162629303891213[[#This Row],[累计净值]]/MAX(INDIRECT("B21:B" &amp; ROW()))-1&lt;E85,表2_367162629303891213[[#This Row],[累计净值]]/MAX(INDIRECT("B21:B" &amp; ROW()))-1,E85)</f>
        <v>-1.8595450049455953E-2</v>
      </c>
      <c r="F86" s="62">
        <f>表2_367162629303891213[[#This Row],[累计净值]]</f>
        <v>1.0405</v>
      </c>
      <c r="G86" s="20">
        <f>表2_367162629303891213[[#This Row],[累计净值]]/$B$21-1</f>
        <v>4.0291941611677595E-2</v>
      </c>
    </row>
    <row r="87" spans="1:7" x14ac:dyDescent="0.2">
      <c r="A87" s="15">
        <v>43923</v>
      </c>
      <c r="B87" s="16">
        <v>1.0389999999999999</v>
      </c>
      <c r="C87" s="73">
        <f t="shared" ref="C87:C92" si="18">IFERROR(B87-B86,0)</f>
        <v>-1.5000000000000568E-3</v>
      </c>
      <c r="D87" s="18">
        <f t="shared" ref="D87:D92" si="19">IF(C87&lt;0,C87,"/")</f>
        <v>-1.5000000000000568E-3</v>
      </c>
      <c r="E87" s="18">
        <f ca="1">IF(表2_367162629303891213[[#This Row],[累计净值]]/MAX(INDIRECT("B21:B" &amp; ROW()))-1&lt;E86,表2_367162629303891213[[#This Row],[累计净值]]/MAX(INDIRECT("B21:B" &amp; ROW()))-1,E86)</f>
        <v>-1.8595450049455953E-2</v>
      </c>
      <c r="F87" s="62">
        <f>表2_367162629303891213[[#This Row],[累计净值]]</f>
        <v>1.0389999999999999</v>
      </c>
      <c r="G87" s="20">
        <f>表2_367162629303891213[[#This Row],[累计净值]]/$B$21-1</f>
        <v>3.8792241551689699E-2</v>
      </c>
    </row>
    <row r="88" spans="1:7" x14ac:dyDescent="0.2">
      <c r="A88" s="15">
        <v>43924</v>
      </c>
      <c r="B88" s="16">
        <v>1.0407999999999999</v>
      </c>
      <c r="C88" s="73">
        <f t="shared" si="18"/>
        <v>1.8000000000000238E-3</v>
      </c>
      <c r="D88" s="18" t="str">
        <f t="shared" si="19"/>
        <v>/</v>
      </c>
      <c r="E88" s="18">
        <f ca="1">IF(表2_367162629303891213[[#This Row],[累计净值]]/MAX(INDIRECT("B21:B" &amp; ROW()))-1&lt;E87,表2_367162629303891213[[#This Row],[累计净值]]/MAX(INDIRECT("B21:B" &amp; ROW()))-1,E87)</f>
        <v>-1.8595450049455953E-2</v>
      </c>
      <c r="F88" s="62">
        <f>表2_367162629303891213[[#This Row],[累计净值]]</f>
        <v>1.0407999999999999</v>
      </c>
      <c r="G88" s="20">
        <f>表2_367162629303891213[[#This Row],[累计净值]]/$B$21-1</f>
        <v>4.0591881623675219E-2</v>
      </c>
    </row>
    <row r="89" spans="1:7" x14ac:dyDescent="0.2">
      <c r="A89" s="15">
        <v>43928</v>
      </c>
      <c r="B89" s="16">
        <v>1.042</v>
      </c>
      <c r="C89" s="73">
        <f t="shared" si="18"/>
        <v>1.2000000000000899E-3</v>
      </c>
      <c r="D89" s="18" t="str">
        <f t="shared" si="19"/>
        <v>/</v>
      </c>
      <c r="E89" s="18">
        <f ca="1">IF(表2_367162629303891213[[#This Row],[累计净值]]/MAX(INDIRECT("B21:B" &amp; ROW()))-1&lt;E88,表2_367162629303891213[[#This Row],[累计净值]]/MAX(INDIRECT("B21:B" &amp; ROW()))-1,E88)</f>
        <v>-1.8595450049455953E-2</v>
      </c>
      <c r="F89" s="62">
        <f>表2_367162629303891213[[#This Row],[累计净值]]</f>
        <v>1.042</v>
      </c>
      <c r="G89" s="20">
        <f>表2_367162629303891213[[#This Row],[累计净值]]/$B$21-1</f>
        <v>4.1791641671665714E-2</v>
      </c>
    </row>
    <row r="90" spans="1:7" x14ac:dyDescent="0.2">
      <c r="A90" s="15">
        <v>43929</v>
      </c>
      <c r="B90" s="16">
        <v>1.042</v>
      </c>
      <c r="C90" s="73">
        <f t="shared" si="18"/>
        <v>0</v>
      </c>
      <c r="D90" s="18" t="str">
        <f t="shared" si="19"/>
        <v>/</v>
      </c>
      <c r="E90" s="18">
        <f ca="1">IF(表2_367162629303891213[[#This Row],[累计净值]]/MAX(INDIRECT("B21:B" &amp; ROW()))-1&lt;E89,表2_367162629303891213[[#This Row],[累计净值]]/MAX(INDIRECT("B21:B" &amp; ROW()))-1,E89)</f>
        <v>-1.8595450049455953E-2</v>
      </c>
      <c r="F90" s="62">
        <f>表2_367162629303891213[[#This Row],[累计净值]]</f>
        <v>1.042</v>
      </c>
      <c r="G90" s="20">
        <f>表2_367162629303891213[[#This Row],[累计净值]]/$B$21-1</f>
        <v>4.1791641671665714E-2</v>
      </c>
    </row>
    <row r="91" spans="1:7" x14ac:dyDescent="0.2">
      <c r="A91" s="15">
        <v>43930</v>
      </c>
      <c r="B91" s="16">
        <v>1.0415000000000001</v>
      </c>
      <c r="C91" s="73">
        <f t="shared" si="18"/>
        <v>-4.9999999999994493E-4</v>
      </c>
      <c r="D91" s="18">
        <f t="shared" si="19"/>
        <v>-4.9999999999994493E-4</v>
      </c>
      <c r="E91" s="18">
        <f ca="1">IF(表2_367162629303891213[[#This Row],[累计净值]]/MAX(INDIRECT("B21:B" &amp; ROW()))-1&lt;E90,表2_367162629303891213[[#This Row],[累计净值]]/MAX(INDIRECT("B21:B" &amp; ROW()))-1,E90)</f>
        <v>-1.8595450049455953E-2</v>
      </c>
      <c r="F91" s="62">
        <f>表2_367162629303891213[[#This Row],[累计净值]]</f>
        <v>1.0415000000000001</v>
      </c>
      <c r="G91" s="20">
        <f>表2_367162629303891213[[#This Row],[累计净值]]/$B$21-1</f>
        <v>4.1291741651669822E-2</v>
      </c>
    </row>
    <row r="92" spans="1:7" x14ac:dyDescent="0.2">
      <c r="A92" s="15">
        <v>43931</v>
      </c>
      <c r="B92" s="16">
        <v>1.0418000000000001</v>
      </c>
      <c r="C92" s="73">
        <f t="shared" si="18"/>
        <v>2.9999999999996696E-4</v>
      </c>
      <c r="D92" s="18" t="str">
        <f t="shared" si="19"/>
        <v>/</v>
      </c>
      <c r="E92" s="18">
        <f ca="1">IF(表2_367162629303891213[[#This Row],[累计净值]]/MAX(INDIRECT("B21:B" &amp; ROW()))-1&lt;E91,表2_367162629303891213[[#This Row],[累计净值]]/MAX(INDIRECT("B21:B" &amp; ROW()))-1,E91)</f>
        <v>-1.8595450049455953E-2</v>
      </c>
      <c r="F92" s="62">
        <f>表2_367162629303891213[[#This Row],[累计净值]]</f>
        <v>1.0418000000000001</v>
      </c>
      <c r="G92" s="20">
        <f>表2_367162629303891213[[#This Row],[累计净值]]/$B$21-1</f>
        <v>4.1591681663667446E-2</v>
      </c>
    </row>
    <row r="93" spans="1:7" x14ac:dyDescent="0.2">
      <c r="A93" s="15">
        <v>43934</v>
      </c>
      <c r="B93" s="16">
        <v>1.0418000000000001</v>
      </c>
      <c r="C93" s="73">
        <f t="shared" ref="C93:C98" si="20">IFERROR(B93-B92,0)</f>
        <v>0</v>
      </c>
      <c r="D93" s="18" t="str">
        <f t="shared" ref="D93:D98" si="21">IF(C93&lt;0,C93,"/")</f>
        <v>/</v>
      </c>
      <c r="E93" s="18">
        <f ca="1">IF(表2_367162629303891213[[#This Row],[累计净值]]/MAX(INDIRECT("B21:B" &amp; ROW()))-1&lt;E92,表2_367162629303891213[[#This Row],[累计净值]]/MAX(INDIRECT("B21:B" &amp; ROW()))-1,E92)</f>
        <v>-1.8595450049455953E-2</v>
      </c>
      <c r="F93" s="62">
        <f>表2_367162629303891213[[#This Row],[累计净值]]</f>
        <v>1.0418000000000001</v>
      </c>
      <c r="G93" s="20">
        <f>表2_367162629303891213[[#This Row],[累计净值]]/$B$21-1</f>
        <v>4.1591681663667446E-2</v>
      </c>
    </row>
    <row r="94" spans="1:7" x14ac:dyDescent="0.2">
      <c r="A94" s="15">
        <v>43935</v>
      </c>
      <c r="B94" s="16">
        <v>1.0407</v>
      </c>
      <c r="C94" s="73">
        <f t="shared" si="20"/>
        <v>-1.1000000000001009E-3</v>
      </c>
      <c r="D94" s="18">
        <f t="shared" si="21"/>
        <v>-1.1000000000001009E-3</v>
      </c>
      <c r="E94" s="18">
        <f ca="1">IF(表2_367162629303891213[[#This Row],[累计净值]]/MAX(INDIRECT("B21:B" &amp; ROW()))-1&lt;E93,表2_367162629303891213[[#This Row],[累计净值]]/MAX(INDIRECT("B21:B" &amp; ROW()))-1,E93)</f>
        <v>-1.8595450049455953E-2</v>
      </c>
      <c r="F94" s="62">
        <f>表2_367162629303891213[[#This Row],[累计净值]]</f>
        <v>1.0407</v>
      </c>
      <c r="G94" s="20">
        <f>表2_367162629303891213[[#This Row],[累计净值]]/$B$21-1</f>
        <v>4.0491901619676085E-2</v>
      </c>
    </row>
    <row r="95" spans="1:7" x14ac:dyDescent="0.2">
      <c r="A95" s="15">
        <v>43936</v>
      </c>
      <c r="B95" s="96">
        <v>1.0392999999999999</v>
      </c>
      <c r="C95" s="94">
        <f t="shared" si="20"/>
        <v>-1.4000000000000679E-3</v>
      </c>
      <c r="D95" s="95">
        <f t="shared" si="21"/>
        <v>-1.4000000000000679E-3</v>
      </c>
      <c r="E95" s="95">
        <f ca="1">IF(表2_367162629303891213[[#This Row],[累计净值]]/MAX(INDIRECT("B21:B" &amp; ROW()))-1&lt;E94,表2_367162629303891213[[#This Row],[累计净值]]/MAX(INDIRECT("B21:B" &amp; ROW()))-1,E94)</f>
        <v>-1.8595450049455953E-2</v>
      </c>
      <c r="F95" s="97">
        <f>表2_367162629303891213[[#This Row],[累计净值]]</f>
        <v>1.0392999999999999</v>
      </c>
      <c r="G95" s="20">
        <f>表2_367162629303891213[[#This Row],[累计净值]]/$B$21-1</f>
        <v>3.9092181563687101E-2</v>
      </c>
    </row>
    <row r="96" spans="1:7" x14ac:dyDescent="0.2">
      <c r="A96" s="15">
        <v>43937</v>
      </c>
      <c r="B96" s="96">
        <v>1.0364</v>
      </c>
      <c r="C96" s="94">
        <f t="shared" si="20"/>
        <v>-2.8999999999999027E-3</v>
      </c>
      <c r="D96" s="95">
        <f t="shared" si="21"/>
        <v>-2.8999999999999027E-3</v>
      </c>
      <c r="E96" s="95">
        <f ca="1">IF(表2_367162629303891213[[#This Row],[累计净值]]/MAX(INDIRECT("B21:B" &amp; ROW()))-1&lt;E95,表2_367162629303891213[[#This Row],[累计净值]]/MAX(INDIRECT("B21:B" &amp; ROW()))-1,E95)</f>
        <v>-1.8595450049455953E-2</v>
      </c>
      <c r="F96" s="97">
        <f>表2_367162629303891213[[#This Row],[累计净值]]</f>
        <v>1.0364</v>
      </c>
      <c r="G96" s="20">
        <f>表2_367162629303891213[[#This Row],[累计净值]]/$B$21-1</f>
        <v>3.6192761447710442E-2</v>
      </c>
    </row>
    <row r="97" spans="1:7" x14ac:dyDescent="0.2">
      <c r="A97" s="15">
        <v>43938</v>
      </c>
      <c r="B97" s="96">
        <v>1.0386</v>
      </c>
      <c r="C97" s="94">
        <f t="shared" si="20"/>
        <v>2.1999999999999797E-3</v>
      </c>
      <c r="D97" s="95" t="str">
        <f t="shared" si="21"/>
        <v>/</v>
      </c>
      <c r="E97" s="95">
        <f ca="1">IF(表2_367162629303891213[[#This Row],[累计净值]]/MAX(INDIRECT("B21:B" &amp; ROW()))-1&lt;E96,表2_367162629303891213[[#This Row],[累计净值]]/MAX(INDIRECT("B21:B" &amp; ROW()))-1,E96)</f>
        <v>-1.8595450049455953E-2</v>
      </c>
      <c r="F97" s="97">
        <f>表2_367162629303891213[[#This Row],[累计净值]]</f>
        <v>1.0386</v>
      </c>
      <c r="G97" s="20">
        <f>表2_367162629303891213[[#This Row],[累计净值]]/$B$21-1</f>
        <v>3.8392321535692941E-2</v>
      </c>
    </row>
    <row r="98" spans="1:7" x14ac:dyDescent="0.2">
      <c r="A98" s="15">
        <v>43941</v>
      </c>
      <c r="B98" s="96">
        <v>1.0419</v>
      </c>
      <c r="C98" s="94">
        <f t="shared" si="20"/>
        <v>3.3000000000000806E-3</v>
      </c>
      <c r="D98" s="95" t="str">
        <f t="shared" si="21"/>
        <v>/</v>
      </c>
      <c r="E98" s="95">
        <f ca="1">IF(表2_367162629303891213[[#This Row],[累计净值]]/MAX(INDIRECT("B21:B" &amp; ROW()))-1&lt;E97,表2_367162629303891213[[#This Row],[累计净值]]/MAX(INDIRECT("B21:B" &amp; ROW()))-1,E97)</f>
        <v>-1.8595450049455953E-2</v>
      </c>
      <c r="F98" s="97">
        <f>表2_367162629303891213[[#This Row],[累计净值]]</f>
        <v>1.0419</v>
      </c>
      <c r="G98" s="20">
        <f>表2_367162629303891213[[#This Row],[累计净值]]/$B$21-1</f>
        <v>4.169166166766658E-2</v>
      </c>
    </row>
    <row r="99" spans="1:7" x14ac:dyDescent="0.2">
      <c r="A99" s="15">
        <v>43942</v>
      </c>
      <c r="B99" s="96">
        <v>1.0429999999999999</v>
      </c>
      <c r="C99" s="94">
        <f t="shared" ref="C99:C104" si="22">IFERROR(B99-B98,0)</f>
        <v>1.0999999999998789E-3</v>
      </c>
      <c r="D99" s="95" t="str">
        <f t="shared" ref="D99:D104" si="23">IF(C99&lt;0,C99,"/")</f>
        <v>/</v>
      </c>
      <c r="E99" s="95">
        <f ca="1">IF(表2_367162629303891213[[#This Row],[累计净值]]/MAX(INDIRECT("B21:B" &amp; ROW()))-1&lt;E98,表2_367162629303891213[[#This Row],[累计净值]]/MAX(INDIRECT("B21:B" &amp; ROW()))-1,E98)</f>
        <v>-1.8595450049455953E-2</v>
      </c>
      <c r="F99" s="97">
        <f>表2_367162629303891213[[#This Row],[累计净值]]</f>
        <v>1.0429999999999999</v>
      </c>
      <c r="G99" s="20">
        <f>表2_367162629303891213[[#This Row],[累计净值]]/$B$21-1</f>
        <v>4.2791441711657718E-2</v>
      </c>
    </row>
    <row r="100" spans="1:7" x14ac:dyDescent="0.2">
      <c r="A100" s="15">
        <v>43943</v>
      </c>
      <c r="B100" s="96">
        <v>1.0436000000000001</v>
      </c>
      <c r="C100" s="94">
        <f t="shared" si="22"/>
        <v>6.0000000000015596E-4</v>
      </c>
      <c r="D100" s="95" t="str">
        <f t="shared" si="23"/>
        <v>/</v>
      </c>
      <c r="E100" s="95">
        <f ca="1">IF(表2_367162629303891213[[#This Row],[累计净值]]/MAX(INDIRECT("B21:B" &amp; ROW()))-1&lt;E99,表2_367162629303891213[[#This Row],[累计净值]]/MAX(INDIRECT("B21:B" &amp; ROW()))-1,E99)</f>
        <v>-1.8595450049455953E-2</v>
      </c>
      <c r="F100" s="97">
        <f>表2_367162629303891213[[#This Row],[累计净值]]</f>
        <v>1.0436000000000001</v>
      </c>
      <c r="G100" s="20">
        <f>表2_367162629303891213[[#This Row],[累计净值]]/$B$21-1</f>
        <v>4.3391321735652966E-2</v>
      </c>
    </row>
    <row r="101" spans="1:7" x14ac:dyDescent="0.2">
      <c r="A101" s="15">
        <v>43944</v>
      </c>
      <c r="B101" s="96">
        <v>1.0439000000000001</v>
      </c>
      <c r="C101" s="94">
        <f t="shared" si="22"/>
        <v>2.9999999999996696E-4</v>
      </c>
      <c r="D101" s="95" t="str">
        <f t="shared" si="23"/>
        <v>/</v>
      </c>
      <c r="E101" s="95">
        <f ca="1">IF(表2_367162629303891213[[#This Row],[累计净值]]/MAX(INDIRECT("B21:B" &amp; ROW()))-1&lt;E100,表2_367162629303891213[[#This Row],[累计净值]]/MAX(INDIRECT("B21:B" &amp; ROW()))-1,E100)</f>
        <v>-1.8595450049455953E-2</v>
      </c>
      <c r="F101" s="97">
        <f>表2_367162629303891213[[#This Row],[累计净值]]</f>
        <v>1.0439000000000001</v>
      </c>
      <c r="G101" s="20">
        <f>表2_367162629303891213[[#This Row],[累计净值]]/$B$21-1</f>
        <v>4.3691261747650589E-2</v>
      </c>
    </row>
    <row r="102" spans="1:7" x14ac:dyDescent="0.2">
      <c r="A102" s="15">
        <v>43945</v>
      </c>
      <c r="B102" s="96">
        <v>1.044</v>
      </c>
      <c r="C102" s="94">
        <f t="shared" si="22"/>
        <v>9.9999999999988987E-5</v>
      </c>
      <c r="D102" s="95" t="str">
        <f t="shared" si="23"/>
        <v>/</v>
      </c>
      <c r="E102" s="95">
        <f ca="1">IF(表2_367162629303891213[[#This Row],[累计净值]]/MAX(INDIRECT("B21:B" &amp; ROW()))-1&lt;E101,表2_367162629303891213[[#This Row],[累计净值]]/MAX(INDIRECT("B21:B" &amp; ROW()))-1,E101)</f>
        <v>-1.8595450049455953E-2</v>
      </c>
      <c r="F102" s="97">
        <f>表2_367162629303891213[[#This Row],[累计净值]]</f>
        <v>1.044</v>
      </c>
      <c r="G102" s="20">
        <f>表2_367162629303891213[[#This Row],[累计净值]]/$B$21-1</f>
        <v>4.3791241751649723E-2</v>
      </c>
    </row>
    <row r="103" spans="1:7" x14ac:dyDescent="0.2">
      <c r="A103" s="15">
        <v>43948</v>
      </c>
      <c r="B103" s="96">
        <v>1.0432999999999999</v>
      </c>
      <c r="C103" s="94">
        <f t="shared" si="22"/>
        <v>-7.0000000000014495E-4</v>
      </c>
      <c r="D103" s="95">
        <f t="shared" si="23"/>
        <v>-7.0000000000014495E-4</v>
      </c>
      <c r="E103" s="95">
        <f ca="1">IF(表2_367162629303891213[[#This Row],[累计净值]]/MAX(INDIRECT("B21:B" &amp; ROW()))-1&lt;E102,表2_367162629303891213[[#This Row],[累计净值]]/MAX(INDIRECT("B21:B" &amp; ROW()))-1,E102)</f>
        <v>-1.8595450049455953E-2</v>
      </c>
      <c r="F103" s="97">
        <f>表2_367162629303891213[[#This Row],[累计净值]]</f>
        <v>1.0432999999999999</v>
      </c>
      <c r="G103" s="20">
        <f>表2_367162629303891213[[#This Row],[累计净值]]/$B$21-1</f>
        <v>4.309138172365512E-2</v>
      </c>
    </row>
    <row r="104" spans="1:7" x14ac:dyDescent="0.2">
      <c r="A104" s="15">
        <v>43949</v>
      </c>
      <c r="B104" s="96">
        <v>1.0447</v>
      </c>
      <c r="C104" s="94">
        <f t="shared" si="22"/>
        <v>1.4000000000000679E-3</v>
      </c>
      <c r="D104" s="95" t="str">
        <f t="shared" si="23"/>
        <v>/</v>
      </c>
      <c r="E104" s="95">
        <f ca="1">IF(表2_367162629303891213[[#This Row],[累计净值]]/MAX(INDIRECT("B21:B" &amp; ROW()))-1&lt;E103,表2_367162629303891213[[#This Row],[累计净值]]/MAX(INDIRECT("B21:B" &amp; ROW()))-1,E103)</f>
        <v>-1.8595450049455953E-2</v>
      </c>
      <c r="F104" s="97">
        <f>表2_367162629303891213[[#This Row],[累计净值]]</f>
        <v>1.0447</v>
      </c>
      <c r="G104" s="20">
        <f>表2_367162629303891213[[#This Row],[累计净值]]/$B$21-1</f>
        <v>4.4491101779644104E-2</v>
      </c>
    </row>
    <row r="105" spans="1:7" x14ac:dyDescent="0.2">
      <c r="A105" s="15">
        <v>43950</v>
      </c>
      <c r="B105" s="96">
        <v>1.0429999999999999</v>
      </c>
      <c r="C105" s="94">
        <f t="shared" ref="C105:C110" si="24">IFERROR(B105-B104,0)</f>
        <v>-1.7000000000000348E-3</v>
      </c>
      <c r="D105" s="95">
        <f t="shared" ref="D105:D110" si="25">IF(C105&lt;0,C105,"/")</f>
        <v>-1.7000000000000348E-3</v>
      </c>
      <c r="E105" s="95">
        <f ca="1">IF(表2_367162629303891213[[#This Row],[累计净值]]/MAX(INDIRECT("B21:B" &amp; ROW()))-1&lt;E104,表2_367162629303891213[[#This Row],[累计净值]]/MAX(INDIRECT("B21:B" &amp; ROW()))-1,E104)</f>
        <v>-1.8595450049455953E-2</v>
      </c>
      <c r="F105" s="97">
        <f>表2_367162629303891213[[#This Row],[累计净值]]</f>
        <v>1.0429999999999999</v>
      </c>
      <c r="G105" s="20">
        <f>表2_367162629303891213[[#This Row],[累计净值]]/$B$21-1</f>
        <v>4.2791441711657718E-2</v>
      </c>
    </row>
    <row r="106" spans="1:7" x14ac:dyDescent="0.2">
      <c r="A106" s="15">
        <v>43951</v>
      </c>
      <c r="B106" s="96">
        <v>1.0305</v>
      </c>
      <c r="C106" s="94">
        <f t="shared" si="24"/>
        <v>-1.2499999999999956E-2</v>
      </c>
      <c r="D106" s="95">
        <f t="shared" si="25"/>
        <v>-1.2499999999999956E-2</v>
      </c>
      <c r="E106" s="95">
        <f ca="1">IF(表2_367162629303891213[[#This Row],[累计净值]]/MAX(INDIRECT("B21:B" &amp; ROW()))-1&lt;E105,表2_367162629303891213[[#This Row],[累计净值]]/MAX(INDIRECT("B21:B" &amp; ROW()))-1,E105)</f>
        <v>-1.8595450049455953E-2</v>
      </c>
      <c r="F106" s="97">
        <f>表2_367162629303891213[[#This Row],[累计净值]]</f>
        <v>1.0305</v>
      </c>
      <c r="G106" s="20">
        <f>表2_367162629303891213[[#This Row],[累计净值]]/$B$21-1</f>
        <v>3.0293941211757547E-2</v>
      </c>
    </row>
    <row r="107" spans="1:7" x14ac:dyDescent="0.2">
      <c r="A107" s="15">
        <v>43957</v>
      </c>
      <c r="B107" s="104">
        <v>1.0345</v>
      </c>
      <c r="C107" s="101">
        <f t="shared" si="24"/>
        <v>4.0000000000000036E-3</v>
      </c>
      <c r="D107" s="102" t="str">
        <f t="shared" si="25"/>
        <v>/</v>
      </c>
      <c r="E107" s="102">
        <f ca="1">IF(表2_367162629303891213[[#This Row],[累计净值]]/MAX(INDIRECT("B21:B" &amp; ROW()))-1&lt;E106,表2_367162629303891213[[#This Row],[累计净值]]/MAX(INDIRECT("B21:B" &amp; ROW()))-1,E106)</f>
        <v>-1.8595450049455953E-2</v>
      </c>
      <c r="F107" s="103">
        <f>表2_367162629303891213[[#This Row],[累计净值]]</f>
        <v>1.0345</v>
      </c>
      <c r="G107" s="20">
        <f>表2_367162629303891213[[#This Row],[累计净值]]/$B$21-1</f>
        <v>3.4293141371725566E-2</v>
      </c>
    </row>
    <row r="108" spans="1:7" x14ac:dyDescent="0.2">
      <c r="A108" s="15">
        <v>43958</v>
      </c>
      <c r="B108" s="104">
        <v>1.0348999999999999</v>
      </c>
      <c r="C108" s="101">
        <f t="shared" si="24"/>
        <v>3.9999999999995595E-4</v>
      </c>
      <c r="D108" s="102" t="str">
        <f t="shared" si="25"/>
        <v>/</v>
      </c>
      <c r="E108" s="102">
        <f ca="1">IF(表2_367162629303891213[[#This Row],[累计净值]]/MAX(INDIRECT("B21:B" &amp; ROW()))-1&lt;E107,表2_367162629303891213[[#This Row],[累计净值]]/MAX(INDIRECT("B21:B" &amp; ROW()))-1,E107)</f>
        <v>-1.8595450049455953E-2</v>
      </c>
      <c r="F108" s="103">
        <f>表2_367162629303891213[[#This Row],[累计净值]]</f>
        <v>1.0348999999999999</v>
      </c>
      <c r="G108" s="20">
        <f>表2_367162629303891213[[#This Row],[累计净值]]/$B$21-1</f>
        <v>3.4693061387722324E-2</v>
      </c>
    </row>
    <row r="109" spans="1:7" x14ac:dyDescent="0.2">
      <c r="A109" s="15">
        <v>43959</v>
      </c>
      <c r="B109" s="104">
        <v>1.0316000000000001</v>
      </c>
      <c r="C109" s="101">
        <f t="shared" si="24"/>
        <v>-3.2999999999998586E-3</v>
      </c>
      <c r="D109" s="102">
        <f t="shared" si="25"/>
        <v>-3.2999999999998586E-3</v>
      </c>
      <c r="E109" s="102">
        <f ca="1">IF(表2_367162629303891213[[#This Row],[累计净值]]/MAX(INDIRECT("B21:B" &amp; ROW()))-1&lt;E108,表2_367162629303891213[[#This Row],[累计净值]]/MAX(INDIRECT("B21:B" &amp; ROW()))-1,E108)</f>
        <v>-1.8595450049455953E-2</v>
      </c>
      <c r="F109" s="103">
        <f>表2_367162629303891213[[#This Row],[累计净值]]</f>
        <v>1.0316000000000001</v>
      </c>
      <c r="G109" s="20">
        <f>表2_367162629303891213[[#This Row],[累计净值]]/$B$21-1</f>
        <v>3.1393721255748908E-2</v>
      </c>
    </row>
    <row r="110" spans="1:7" x14ac:dyDescent="0.2">
      <c r="A110" s="15">
        <v>43962</v>
      </c>
      <c r="B110" s="104">
        <v>1.0319</v>
      </c>
      <c r="C110" s="101">
        <f t="shared" si="24"/>
        <v>2.9999999999996696E-4</v>
      </c>
      <c r="D110" s="102" t="str">
        <f t="shared" si="25"/>
        <v>/</v>
      </c>
      <c r="E110" s="102">
        <f ca="1">IF(表2_367162629303891213[[#This Row],[累计净值]]/MAX(INDIRECT("B21:B" &amp; ROW()))-1&lt;E109,表2_367162629303891213[[#This Row],[累计净值]]/MAX(INDIRECT("B21:B" &amp; ROW()))-1,E109)</f>
        <v>-1.8595450049455953E-2</v>
      </c>
      <c r="F110" s="103">
        <f>表2_367162629303891213[[#This Row],[累计净值]]</f>
        <v>1.0319</v>
      </c>
      <c r="G110" s="20">
        <f>表2_367162629303891213[[#This Row],[累计净值]]/$B$21-1</f>
        <v>3.1693661267746531E-2</v>
      </c>
    </row>
    <row r="111" spans="1:7" x14ac:dyDescent="0.2">
      <c r="A111" s="15">
        <v>43963</v>
      </c>
      <c r="B111" s="104">
        <v>1.0319</v>
      </c>
      <c r="C111" s="101">
        <f t="shared" ref="C111:C116" si="26">IFERROR(B111-B110,0)</f>
        <v>0</v>
      </c>
      <c r="D111" s="102" t="str">
        <f t="shared" ref="D111:D116" si="27">IF(C111&lt;0,C111,"/")</f>
        <v>/</v>
      </c>
      <c r="E111" s="102">
        <f ca="1">IF(表2_367162629303891213[[#This Row],[累计净值]]/MAX(INDIRECT("B21:B" &amp; ROW()))-1&lt;E110,表2_367162629303891213[[#This Row],[累计净值]]/MAX(INDIRECT("B21:B" &amp; ROW()))-1,E110)</f>
        <v>-1.8595450049455953E-2</v>
      </c>
      <c r="F111" s="103">
        <f>表2_367162629303891213[[#This Row],[累计净值]]</f>
        <v>1.0319</v>
      </c>
      <c r="G111" s="20">
        <f>表2_367162629303891213[[#This Row],[累计净值]]/$B$21-1</f>
        <v>3.1693661267746531E-2</v>
      </c>
    </row>
    <row r="112" spans="1:7" x14ac:dyDescent="0.2">
      <c r="A112" s="15">
        <v>43964</v>
      </c>
      <c r="B112" s="104">
        <v>1.0342</v>
      </c>
      <c r="C112" s="101">
        <f t="shared" si="26"/>
        <v>2.2999999999999687E-3</v>
      </c>
      <c r="D112" s="102" t="str">
        <f t="shared" si="27"/>
        <v>/</v>
      </c>
      <c r="E112" s="102">
        <f ca="1">IF(表2_367162629303891213[[#This Row],[累计净值]]/MAX(INDIRECT("B21:B" &amp; ROW()))-1&lt;E111,表2_367162629303891213[[#This Row],[累计净值]]/MAX(INDIRECT("B21:B" &amp; ROW()))-1,E111)</f>
        <v>-1.8595450049455953E-2</v>
      </c>
      <c r="F112" s="103">
        <f>表2_367162629303891213[[#This Row],[累计净值]]</f>
        <v>1.0342</v>
      </c>
      <c r="G112" s="20">
        <f>表2_367162629303891213[[#This Row],[累计净值]]/$B$21-1</f>
        <v>3.3993201359728165E-2</v>
      </c>
    </row>
    <row r="113" spans="1:7" x14ac:dyDescent="0.2">
      <c r="A113" s="15">
        <v>43965</v>
      </c>
      <c r="B113" s="104">
        <v>1.0323</v>
      </c>
      <c r="C113" s="101">
        <f t="shared" si="26"/>
        <v>-1.9000000000000128E-3</v>
      </c>
      <c r="D113" s="102">
        <f t="shared" si="27"/>
        <v>-1.9000000000000128E-3</v>
      </c>
      <c r="E113" s="102">
        <f ca="1">IF(表2_367162629303891213[[#This Row],[累计净值]]/MAX(INDIRECT("B21:B" &amp; ROW()))-1&lt;E112,表2_367162629303891213[[#This Row],[累计净值]]/MAX(INDIRECT("B21:B" &amp; ROW()))-1,E112)</f>
        <v>-1.8595450049455953E-2</v>
      </c>
      <c r="F113" s="103">
        <f>表2_367162629303891213[[#This Row],[累计净值]]</f>
        <v>1.0323</v>
      </c>
      <c r="G113" s="20">
        <f>表2_367162629303891213[[#This Row],[累计净值]]/$B$21-1</f>
        <v>3.2093581283743289E-2</v>
      </c>
    </row>
    <row r="114" spans="1:7" x14ac:dyDescent="0.2">
      <c r="A114" s="15">
        <v>43966</v>
      </c>
      <c r="B114" s="104">
        <v>1.0325</v>
      </c>
      <c r="C114" s="101">
        <f t="shared" si="26"/>
        <v>1.9999999999997797E-4</v>
      </c>
      <c r="D114" s="102" t="str">
        <f t="shared" si="27"/>
        <v>/</v>
      </c>
      <c r="E114" s="102">
        <f ca="1">IF(表2_367162629303891213[[#This Row],[累计净值]]/MAX(INDIRECT("B21:B" &amp; ROW()))-1&lt;E113,表2_367162629303891213[[#This Row],[累计净值]]/MAX(INDIRECT("B21:B" &amp; ROW()))-1,E113)</f>
        <v>-1.8595450049455953E-2</v>
      </c>
      <c r="F114" s="103">
        <f>表2_367162629303891213[[#This Row],[累计净值]]</f>
        <v>1.0325</v>
      </c>
      <c r="G114" s="20">
        <f>表2_367162629303891213[[#This Row],[累计净值]]/$B$21-1</f>
        <v>3.2293541291741557E-2</v>
      </c>
    </row>
    <row r="115" spans="1:7" x14ac:dyDescent="0.2">
      <c r="A115" s="15">
        <v>43969</v>
      </c>
      <c r="B115" s="104">
        <v>1.0330999999999999</v>
      </c>
      <c r="C115" s="101">
        <f t="shared" si="26"/>
        <v>5.9999999999993392E-4</v>
      </c>
      <c r="D115" s="102" t="str">
        <f t="shared" si="27"/>
        <v>/</v>
      </c>
      <c r="E115" s="102">
        <f ca="1">IF(表2_367162629303891213[[#This Row],[累计净值]]/MAX(INDIRECT("B21:B" &amp; ROW()))-1&lt;E114,表2_367162629303891213[[#This Row],[累计净值]]/MAX(INDIRECT("B21:B" &amp; ROW()))-1,E114)</f>
        <v>-1.8595450049455953E-2</v>
      </c>
      <c r="F115" s="103">
        <f>表2_367162629303891213[[#This Row],[累计净值]]</f>
        <v>1.0330999999999999</v>
      </c>
      <c r="G115" s="20">
        <f>表2_367162629303891213[[#This Row],[累计净值]]/$B$21-1</f>
        <v>3.2893421315736804E-2</v>
      </c>
    </row>
    <row r="116" spans="1:7" x14ac:dyDescent="0.2">
      <c r="A116" s="15">
        <v>43970</v>
      </c>
      <c r="B116" s="104">
        <v>1.0343</v>
      </c>
      <c r="C116" s="101">
        <f t="shared" si="26"/>
        <v>1.2000000000000899E-3</v>
      </c>
      <c r="D116" s="102" t="str">
        <f t="shared" si="27"/>
        <v>/</v>
      </c>
      <c r="E116" s="102">
        <f ca="1">IF(表2_367162629303891213[[#This Row],[累计净值]]/MAX(INDIRECT("B21:B" &amp; ROW()))-1&lt;E115,表2_367162629303891213[[#This Row],[累计净值]]/MAX(INDIRECT("B21:B" &amp; ROW()))-1,E115)</f>
        <v>-1.8595450049455953E-2</v>
      </c>
      <c r="F116" s="103">
        <f>表2_367162629303891213[[#This Row],[累计净值]]</f>
        <v>1.0343</v>
      </c>
      <c r="G116" s="20">
        <f>表2_367162629303891213[[#This Row],[累计净值]]/$B$21-1</f>
        <v>3.4093181363727298E-2</v>
      </c>
    </row>
    <row r="117" spans="1:7" x14ac:dyDescent="0.2">
      <c r="A117" s="15">
        <v>43971</v>
      </c>
      <c r="B117" s="104">
        <v>1.0303</v>
      </c>
      <c r="C117" s="101">
        <f t="shared" ref="C117:C122" si="28">IFERROR(B117-B116,0)</f>
        <v>-4.0000000000000036E-3</v>
      </c>
      <c r="D117" s="102">
        <f t="shared" ref="D117:D122" si="29">IF(C117&lt;0,C117,"/")</f>
        <v>-4.0000000000000036E-3</v>
      </c>
      <c r="E117" s="102">
        <f ca="1">IF(表2_367162629303891213[[#This Row],[累计净值]]/MAX(INDIRECT("B21:B" &amp; ROW()))-1&lt;E116,表2_367162629303891213[[#This Row],[累计净值]]/MAX(INDIRECT("B21:B" &amp; ROW()))-1,E116)</f>
        <v>-1.8595450049455953E-2</v>
      </c>
      <c r="F117" s="103">
        <f>表2_367162629303891213[[#This Row],[累计净值]]</f>
        <v>1.0303</v>
      </c>
      <c r="G117" s="20">
        <f>表2_367162629303891213[[#This Row],[累计净值]]/$B$21-1</f>
        <v>3.0093981203759279E-2</v>
      </c>
    </row>
    <row r="118" spans="1:7" x14ac:dyDescent="0.2">
      <c r="A118" s="15">
        <v>43972</v>
      </c>
      <c r="B118" s="104">
        <v>1.0297000000000001</v>
      </c>
      <c r="C118" s="101">
        <f t="shared" si="28"/>
        <v>-5.9999999999993392E-4</v>
      </c>
      <c r="D118" s="102">
        <f t="shared" si="29"/>
        <v>-5.9999999999993392E-4</v>
      </c>
      <c r="E118" s="102">
        <f ca="1">IF(表2_367162629303891213[[#This Row],[累计净值]]/MAX(INDIRECT("B21:B" &amp; ROW()))-1&lt;E117,表2_367162629303891213[[#This Row],[累计净值]]/MAX(INDIRECT("B21:B" &amp; ROW()))-1,E117)</f>
        <v>-1.8595450049455953E-2</v>
      </c>
      <c r="F118" s="103">
        <f>表2_367162629303891213[[#This Row],[累计净值]]</f>
        <v>1.0297000000000001</v>
      </c>
      <c r="G118" s="20">
        <f>表2_367162629303891213[[#This Row],[累计净值]]/$B$21-1</f>
        <v>2.9494101179764032E-2</v>
      </c>
    </row>
    <row r="119" spans="1:7" x14ac:dyDescent="0.2">
      <c r="A119" s="15">
        <v>43973</v>
      </c>
      <c r="B119" s="112">
        <v>1.0259</v>
      </c>
      <c r="C119" s="108">
        <f t="shared" si="28"/>
        <v>-3.8000000000000256E-3</v>
      </c>
      <c r="D119" s="109">
        <f t="shared" si="29"/>
        <v>-3.8000000000000256E-3</v>
      </c>
      <c r="E119" s="109">
        <f ca="1">IF(表2_367162629303891213[[#This Row],[累计净值]]/MAX(INDIRECT("B21:B" &amp; ROW()))-1&lt;E118,表2_367162629303891213[[#This Row],[累计净值]]/MAX(INDIRECT("B21:B" &amp; ROW()))-1,E118)</f>
        <v>-1.8595450049455953E-2</v>
      </c>
      <c r="F119" s="110">
        <f>表2_367162629303891213[[#This Row],[累计净值]]</f>
        <v>1.0259</v>
      </c>
      <c r="G119" s="20">
        <f>表2_367162629303891213[[#This Row],[累计净值]]/$B$21-1</f>
        <v>2.5694861027794502E-2</v>
      </c>
    </row>
    <row r="120" spans="1:7" x14ac:dyDescent="0.2">
      <c r="A120" s="15">
        <v>43976</v>
      </c>
      <c r="B120" s="112">
        <v>1.0347999999999999</v>
      </c>
      <c r="C120" s="108">
        <f t="shared" si="28"/>
        <v>8.899999999999908E-3</v>
      </c>
      <c r="D120" s="109" t="str">
        <f t="shared" si="29"/>
        <v>/</v>
      </c>
      <c r="E120" s="109">
        <f ca="1">IF(表2_367162629303891213[[#This Row],[累计净值]]/MAX(INDIRECT("B21:B" &amp; ROW()))-1&lt;E119,表2_367162629303891213[[#This Row],[累计净值]]/MAX(INDIRECT("B21:B" &amp; ROW()))-1,E119)</f>
        <v>-1.8595450049455953E-2</v>
      </c>
      <c r="F120" s="110">
        <f>表2_367162629303891213[[#This Row],[累计净值]]</f>
        <v>1.0347999999999999</v>
      </c>
      <c r="G120" s="20">
        <f>表2_367162629303891213[[#This Row],[累计净值]]/$B$21-1</f>
        <v>3.459308138372319E-2</v>
      </c>
    </row>
    <row r="121" spans="1:7" x14ac:dyDescent="0.2">
      <c r="A121" s="15">
        <v>43977</v>
      </c>
      <c r="B121" s="112">
        <v>1.0361</v>
      </c>
      <c r="C121" s="108">
        <f t="shared" si="28"/>
        <v>1.3000000000000789E-3</v>
      </c>
      <c r="D121" s="109" t="str">
        <f t="shared" si="29"/>
        <v>/</v>
      </c>
      <c r="E121" s="109">
        <f ca="1">IF(表2_367162629303891213[[#This Row],[累计净值]]/MAX(INDIRECT("B21:B" &amp; ROW()))-1&lt;E120,表2_367162629303891213[[#This Row],[累计净值]]/MAX(INDIRECT("B21:B" &amp; ROW()))-1,E120)</f>
        <v>-1.8595450049455953E-2</v>
      </c>
      <c r="F121" s="110">
        <f>表2_367162629303891213[[#This Row],[累计净值]]</f>
        <v>1.0361</v>
      </c>
      <c r="G121" s="20">
        <f>表2_367162629303891213[[#This Row],[累计净值]]/$B$21-1</f>
        <v>3.5892821435712818E-2</v>
      </c>
    </row>
    <row r="122" spans="1:7" x14ac:dyDescent="0.2">
      <c r="A122" s="15">
        <v>43978</v>
      </c>
      <c r="B122" s="112">
        <v>1.0359</v>
      </c>
      <c r="C122" s="108">
        <f t="shared" si="28"/>
        <v>-1.9999999999997797E-4</v>
      </c>
      <c r="D122" s="109">
        <f t="shared" si="29"/>
        <v>-1.9999999999997797E-4</v>
      </c>
      <c r="E122" s="109">
        <f ca="1">IF(表2_367162629303891213[[#This Row],[累计净值]]/MAX(INDIRECT("B21:B" &amp; ROW()))-1&lt;E121,表2_367162629303891213[[#This Row],[累计净值]]/MAX(INDIRECT("B21:B" &amp; ROW()))-1,E121)</f>
        <v>-1.8595450049455953E-2</v>
      </c>
      <c r="F122" s="110">
        <f>表2_367162629303891213[[#This Row],[累计净值]]</f>
        <v>1.0359</v>
      </c>
      <c r="G122" s="20">
        <f>表2_367162629303891213[[#This Row],[累计净值]]/$B$21-1</f>
        <v>3.5692861427714551E-2</v>
      </c>
    </row>
    <row r="123" spans="1:7" x14ac:dyDescent="0.2">
      <c r="A123" s="15">
        <v>43979</v>
      </c>
      <c r="B123" s="112">
        <v>1.0384</v>
      </c>
      <c r="C123" s="108">
        <f t="shared" ref="C123:C128" si="30">IFERROR(B123-B122,0)</f>
        <v>2.4999999999999467E-3</v>
      </c>
      <c r="D123" s="109" t="str">
        <f t="shared" ref="D123:D128" si="31">IF(C123&lt;0,C123,"/")</f>
        <v>/</v>
      </c>
      <c r="E123" s="109">
        <f ca="1">IF(表2_367162629303891213[[#This Row],[累计净值]]/MAX(INDIRECT("B21:B" &amp; ROW()))-1&lt;E122,表2_367162629303891213[[#This Row],[累计净值]]/MAX(INDIRECT("B21:B" &amp; ROW()))-1,E122)</f>
        <v>-1.8595450049455953E-2</v>
      </c>
      <c r="F123" s="110">
        <f>表2_367162629303891213[[#This Row],[累计净值]]</f>
        <v>1.0384</v>
      </c>
      <c r="G123" s="20">
        <f>表2_367162629303891213[[#This Row],[累计净值]]/$B$21-1</f>
        <v>3.8192361527694452E-2</v>
      </c>
    </row>
    <row r="124" spans="1:7" x14ac:dyDescent="0.2">
      <c r="A124" s="15">
        <v>43980</v>
      </c>
      <c r="B124" s="112">
        <v>1.0396000000000001</v>
      </c>
      <c r="C124" s="108">
        <f t="shared" si="30"/>
        <v>1.2000000000000899E-3</v>
      </c>
      <c r="D124" s="109" t="str">
        <f t="shared" si="31"/>
        <v>/</v>
      </c>
      <c r="E124" s="109">
        <f ca="1">IF(表2_367162629303891213[[#This Row],[累计净值]]/MAX(INDIRECT("B21:B" &amp; ROW()))-1&lt;E123,表2_367162629303891213[[#This Row],[累计净值]]/MAX(INDIRECT("B21:B" &amp; ROW()))-1,E123)</f>
        <v>-1.8595450049455953E-2</v>
      </c>
      <c r="F124" s="110">
        <f>表2_367162629303891213[[#This Row],[累计净值]]</f>
        <v>1.0396000000000001</v>
      </c>
      <c r="G124" s="20">
        <f>表2_367162629303891213[[#This Row],[累计净值]]/$B$21-1</f>
        <v>3.9392121575684946E-2</v>
      </c>
    </row>
    <row r="125" spans="1:7" x14ac:dyDescent="0.2">
      <c r="A125" s="15">
        <v>43983</v>
      </c>
      <c r="B125" s="112">
        <v>1.0351999999999999</v>
      </c>
      <c r="C125" s="108">
        <f t="shared" si="30"/>
        <v>-4.4000000000001815E-3</v>
      </c>
      <c r="D125" s="109">
        <f t="shared" si="31"/>
        <v>-4.4000000000001815E-3</v>
      </c>
      <c r="E125" s="109">
        <f ca="1">IF(表2_367162629303891213[[#This Row],[累计净值]]/MAX(INDIRECT("B21:B" &amp; ROW()))-1&lt;E124,表2_367162629303891213[[#This Row],[累计净值]]/MAX(INDIRECT("B21:B" &amp; ROW()))-1,E124)</f>
        <v>-1.8595450049455953E-2</v>
      </c>
      <c r="F125" s="110">
        <f>表2_367162629303891213[[#This Row],[累计净值]]</f>
        <v>1.0351999999999999</v>
      </c>
      <c r="G125" s="20">
        <f>表2_367162629303891213[[#This Row],[累计净值]]/$B$21-1</f>
        <v>3.4993001399719947E-2</v>
      </c>
    </row>
    <row r="126" spans="1:7" x14ac:dyDescent="0.2">
      <c r="A126" s="15">
        <v>43984</v>
      </c>
      <c r="B126" s="112">
        <v>1.0349999999999999</v>
      </c>
      <c r="C126" s="108">
        <f t="shared" si="30"/>
        <v>-1.9999999999997797E-4</v>
      </c>
      <c r="D126" s="109">
        <f t="shared" si="31"/>
        <v>-1.9999999999997797E-4</v>
      </c>
      <c r="E126" s="109">
        <f ca="1">IF(表2_367162629303891213[[#This Row],[累计净值]]/MAX(INDIRECT("B21:B" &amp; ROW()))-1&lt;E125,表2_367162629303891213[[#This Row],[累计净值]]/MAX(INDIRECT("B21:B" &amp; ROW()))-1,E125)</f>
        <v>-1.8595450049455953E-2</v>
      </c>
      <c r="F126" s="110">
        <f>表2_367162629303891213[[#This Row],[累计净值]]</f>
        <v>1.0349999999999999</v>
      </c>
      <c r="G126" s="20">
        <f>表2_367162629303891213[[#This Row],[累计净值]]/$B$21-1</f>
        <v>3.479304139172168E-2</v>
      </c>
    </row>
    <row r="127" spans="1:7" x14ac:dyDescent="0.2">
      <c r="A127" s="15">
        <v>43985</v>
      </c>
      <c r="B127" s="112">
        <v>1.0341</v>
      </c>
      <c r="C127" s="108">
        <f t="shared" si="30"/>
        <v>-8.9999999999990088E-4</v>
      </c>
      <c r="D127" s="109">
        <f t="shared" si="31"/>
        <v>-8.9999999999990088E-4</v>
      </c>
      <c r="E127" s="109">
        <f ca="1">IF(表2_367162629303891213[[#This Row],[累计净值]]/MAX(INDIRECT("B21:B" &amp; ROW()))-1&lt;E126,表2_367162629303891213[[#This Row],[累计净值]]/MAX(INDIRECT("B21:B" &amp; ROW()))-1,E126)</f>
        <v>-1.8595450049455953E-2</v>
      </c>
      <c r="F127" s="110">
        <f>表2_367162629303891213[[#This Row],[累计净值]]</f>
        <v>1.0341</v>
      </c>
      <c r="G127" s="20">
        <f>表2_367162629303891213[[#This Row],[累计净值]]/$B$21-1</f>
        <v>3.3893221355728809E-2</v>
      </c>
    </row>
    <row r="128" spans="1:7" x14ac:dyDescent="0.2">
      <c r="A128" s="15">
        <v>43986</v>
      </c>
      <c r="B128" s="112">
        <v>1.0378000000000001</v>
      </c>
      <c r="C128" s="108">
        <f t="shared" si="30"/>
        <v>3.7000000000000366E-3</v>
      </c>
      <c r="D128" s="109" t="str">
        <f t="shared" si="31"/>
        <v>/</v>
      </c>
      <c r="E128" s="109">
        <f ca="1">IF(表2_367162629303891213[[#This Row],[累计净值]]/MAX(INDIRECT("B21:B" &amp; ROW()))-1&lt;E127,表2_367162629303891213[[#This Row],[累计净值]]/MAX(INDIRECT("B21:B" &amp; ROW()))-1,E127)</f>
        <v>-1.8595450049455953E-2</v>
      </c>
      <c r="F128" s="110">
        <f>表2_367162629303891213[[#This Row],[累计净值]]</f>
        <v>1.0378000000000001</v>
      </c>
      <c r="G128" s="20">
        <f>表2_367162629303891213[[#This Row],[累计净值]]/$B$21-1</f>
        <v>3.7592481503699426E-2</v>
      </c>
    </row>
    <row r="129" spans="1:7" x14ac:dyDescent="0.2">
      <c r="A129" s="15">
        <v>43987</v>
      </c>
      <c r="B129" s="112">
        <v>1.0392999999999999</v>
      </c>
      <c r="C129" s="108">
        <f t="shared" ref="C129:C134" si="32">IFERROR(B129-B128,0)</f>
        <v>1.4999999999998348E-3</v>
      </c>
      <c r="D129" s="109" t="str">
        <f t="shared" ref="D129:D134" si="33">IF(C129&lt;0,C129,"/")</f>
        <v>/</v>
      </c>
      <c r="E129" s="109">
        <f ca="1">IF(表2_367162629303891213[[#This Row],[累计净值]]/MAX(INDIRECT("B21:B" &amp; ROW()))-1&lt;E128,表2_367162629303891213[[#This Row],[累计净值]]/MAX(INDIRECT("B21:B" &amp; ROW()))-1,E128)</f>
        <v>-1.8595450049455953E-2</v>
      </c>
      <c r="F129" s="110">
        <f>表2_367162629303891213[[#This Row],[累计净值]]</f>
        <v>1.0392999999999999</v>
      </c>
      <c r="G129" s="20">
        <f>表2_367162629303891213[[#This Row],[累计净值]]/$B$21-1</f>
        <v>3.9092181563687101E-2</v>
      </c>
    </row>
    <row r="130" spans="1:7" x14ac:dyDescent="0.2">
      <c r="A130" s="15">
        <v>43990</v>
      </c>
      <c r="B130" s="112">
        <v>1.0396000000000001</v>
      </c>
      <c r="C130" s="108">
        <f t="shared" si="32"/>
        <v>3.00000000000189E-4</v>
      </c>
      <c r="D130" s="109" t="str">
        <f t="shared" si="33"/>
        <v>/</v>
      </c>
      <c r="E130" s="109">
        <f ca="1">IF(表2_367162629303891213[[#This Row],[累计净值]]/MAX(INDIRECT("B21:B" &amp; ROW()))-1&lt;E129,表2_367162629303891213[[#This Row],[累计净值]]/MAX(INDIRECT("B21:B" &amp; ROW()))-1,E129)</f>
        <v>-1.8595450049455953E-2</v>
      </c>
      <c r="F130" s="110">
        <f>表2_367162629303891213[[#This Row],[累计净值]]</f>
        <v>1.0396000000000001</v>
      </c>
      <c r="G130" s="20">
        <f>表2_367162629303891213[[#This Row],[累计净值]]/$B$21-1</f>
        <v>3.9392121575684946E-2</v>
      </c>
    </row>
    <row r="131" spans="1:7" x14ac:dyDescent="0.2">
      <c r="A131" s="15">
        <v>43991</v>
      </c>
      <c r="B131" s="112">
        <v>1.0407999999999999</v>
      </c>
      <c r="C131" s="108">
        <f t="shared" si="32"/>
        <v>1.1999999999998678E-3</v>
      </c>
      <c r="D131" s="109" t="str">
        <f t="shared" si="33"/>
        <v>/</v>
      </c>
      <c r="E131" s="109">
        <f ca="1">IF(表2_367162629303891213[[#This Row],[累计净值]]/MAX(INDIRECT("B21:B" &amp; ROW()))-1&lt;E130,表2_367162629303891213[[#This Row],[累计净值]]/MAX(INDIRECT("B21:B" &amp; ROW()))-1,E130)</f>
        <v>-1.8595450049455953E-2</v>
      </c>
      <c r="F131" s="110">
        <f>表2_367162629303891213[[#This Row],[累计净值]]</f>
        <v>1.0407999999999999</v>
      </c>
      <c r="G131" s="20">
        <f>表2_367162629303891213[[#This Row],[累计净值]]/$B$21-1</f>
        <v>4.0591881623675219E-2</v>
      </c>
    </row>
    <row r="132" spans="1:7" x14ac:dyDescent="0.2">
      <c r="A132" s="15">
        <v>43992</v>
      </c>
      <c r="B132" s="112">
        <v>1.044</v>
      </c>
      <c r="C132" s="108">
        <f t="shared" si="32"/>
        <v>3.2000000000000917E-3</v>
      </c>
      <c r="D132" s="109" t="str">
        <f t="shared" si="33"/>
        <v>/</v>
      </c>
      <c r="E132" s="109">
        <f ca="1">IF(表2_367162629303891213[[#This Row],[累计净值]]/MAX(INDIRECT("B21:B" &amp; ROW()))-1&lt;E131,表2_367162629303891213[[#This Row],[累计净值]]/MAX(INDIRECT("B21:B" &amp; ROW()))-1,E131)</f>
        <v>-1.8595450049455953E-2</v>
      </c>
      <c r="F132" s="110">
        <f>表2_367162629303891213[[#This Row],[累计净值]]</f>
        <v>1.044</v>
      </c>
      <c r="G132" s="20">
        <f>表2_367162629303891213[[#This Row],[累计净值]]/$B$21-1</f>
        <v>4.3791241751649723E-2</v>
      </c>
    </row>
    <row r="133" spans="1:7" x14ac:dyDescent="0.2">
      <c r="A133" s="15">
        <v>43993</v>
      </c>
      <c r="B133" s="112">
        <v>1.0441</v>
      </c>
      <c r="C133" s="108">
        <f t="shared" si="32"/>
        <v>9.9999999999988987E-5</v>
      </c>
      <c r="D133" s="109" t="str">
        <f t="shared" si="33"/>
        <v>/</v>
      </c>
      <c r="E133" s="109">
        <f ca="1">IF(表2_367162629303891213[[#This Row],[累计净值]]/MAX(INDIRECT("B21:B" &amp; ROW()))-1&lt;E132,表2_367162629303891213[[#This Row],[累计净值]]/MAX(INDIRECT("B21:B" &amp; ROW()))-1,E132)</f>
        <v>-1.8595450049455953E-2</v>
      </c>
      <c r="F133" s="110">
        <f>表2_367162629303891213[[#This Row],[累计净值]]</f>
        <v>1.0441</v>
      </c>
      <c r="G133" s="20">
        <f>表2_367162629303891213[[#This Row],[累计净值]]/$B$21-1</f>
        <v>4.3891221755648857E-2</v>
      </c>
    </row>
    <row r="134" spans="1:7" x14ac:dyDescent="0.2">
      <c r="A134" s="15">
        <v>43994</v>
      </c>
      <c r="B134" s="112">
        <v>1.0417000000000001</v>
      </c>
      <c r="C134" s="108">
        <f t="shared" si="32"/>
        <v>-2.3999999999999577E-3</v>
      </c>
      <c r="D134" s="109">
        <f t="shared" si="33"/>
        <v>-2.3999999999999577E-3</v>
      </c>
      <c r="E134" s="109">
        <f ca="1">IF(表2_367162629303891213[[#This Row],[累计净值]]/MAX(INDIRECT("B21:B" &amp; ROW()))-1&lt;E133,表2_367162629303891213[[#This Row],[累计净值]]/MAX(INDIRECT("B21:B" &amp; ROW()))-1,E133)</f>
        <v>-1.8595450049455953E-2</v>
      </c>
      <c r="F134" s="110">
        <f>表2_367162629303891213[[#This Row],[累计净值]]</f>
        <v>1.0417000000000001</v>
      </c>
      <c r="G134" s="20">
        <f>表2_367162629303891213[[#This Row],[累计净值]]/$B$21-1</f>
        <v>4.149170165966809E-2</v>
      </c>
    </row>
    <row r="135" spans="1:7" x14ac:dyDescent="0.2">
      <c r="A135" s="15">
        <v>43997</v>
      </c>
      <c r="B135" s="112">
        <v>1.0522</v>
      </c>
      <c r="C135" s="108">
        <f t="shared" ref="C135:C140" si="34">IFERROR(B135-B134,0)</f>
        <v>1.0499999999999954E-2</v>
      </c>
      <c r="D135" s="109" t="str">
        <f t="shared" ref="D135:D140" si="35">IF(C135&lt;0,C135,"/")</f>
        <v>/</v>
      </c>
      <c r="E135" s="109">
        <f ca="1">IF(表2_367162629303891213[[#This Row],[累计净值]]/MAX(INDIRECT("B21:B" &amp; ROW()))-1&lt;E134,表2_367162629303891213[[#This Row],[累计净值]]/MAX(INDIRECT("B21:B" &amp; ROW()))-1,E134)</f>
        <v>-1.8595450049455953E-2</v>
      </c>
      <c r="F135" s="110">
        <f>表2_367162629303891213[[#This Row],[累计净值]]</f>
        <v>1.0522</v>
      </c>
      <c r="G135" s="20">
        <f>表2_367162629303891213[[#This Row],[累计净值]]/$B$21-1</f>
        <v>5.198960207958403E-2</v>
      </c>
    </row>
    <row r="136" spans="1:7" x14ac:dyDescent="0.2">
      <c r="A136" s="15">
        <v>43998</v>
      </c>
      <c r="B136" s="112">
        <v>1.0508999999999999</v>
      </c>
      <c r="C136" s="108">
        <f t="shared" si="34"/>
        <v>-1.3000000000000789E-3</v>
      </c>
      <c r="D136" s="109">
        <f t="shared" si="35"/>
        <v>-1.3000000000000789E-3</v>
      </c>
      <c r="E136" s="109">
        <f ca="1">IF(表2_367162629303891213[[#This Row],[累计净值]]/MAX(INDIRECT("B21:B" &amp; ROW()))-1&lt;E135,表2_367162629303891213[[#This Row],[累计净值]]/MAX(INDIRECT("B21:B" &amp; ROW()))-1,E135)</f>
        <v>-1.8595450049455953E-2</v>
      </c>
      <c r="F136" s="110">
        <f>表2_367162629303891213[[#This Row],[累计净值]]</f>
        <v>1.0508999999999999</v>
      </c>
      <c r="G136" s="20">
        <f>表2_367162629303891213[[#This Row],[累计净值]]/$B$21-1</f>
        <v>5.0689862027594401E-2</v>
      </c>
    </row>
    <row r="137" spans="1:7" x14ac:dyDescent="0.2">
      <c r="A137" s="15">
        <v>43999</v>
      </c>
      <c r="B137" s="112">
        <v>1.0525</v>
      </c>
      <c r="C137" s="108">
        <f t="shared" si="34"/>
        <v>1.6000000000000458E-3</v>
      </c>
      <c r="D137" s="109" t="str">
        <f t="shared" si="35"/>
        <v>/</v>
      </c>
      <c r="E137" s="109">
        <f ca="1">IF(表2_367162629303891213[[#This Row],[累计净值]]/MAX(INDIRECT("B21:B" &amp; ROW()))-1&lt;E136,表2_367162629303891213[[#This Row],[累计净值]]/MAX(INDIRECT("B21:B" &amp; ROW()))-1,E136)</f>
        <v>-1.8595450049455953E-2</v>
      </c>
      <c r="F137" s="110">
        <f>表2_367162629303891213[[#This Row],[累计净值]]</f>
        <v>1.0525</v>
      </c>
      <c r="G137" s="20">
        <f>表2_367162629303891213[[#This Row],[累计净值]]/$B$21-1</f>
        <v>5.2289542091581653E-2</v>
      </c>
    </row>
    <row r="138" spans="1:7" x14ac:dyDescent="0.2">
      <c r="A138" s="15">
        <v>44000</v>
      </c>
      <c r="B138" s="112">
        <v>1.0465</v>
      </c>
      <c r="C138" s="108">
        <f t="shared" si="34"/>
        <v>-6.0000000000000053E-3</v>
      </c>
      <c r="D138" s="109">
        <f t="shared" si="35"/>
        <v>-6.0000000000000053E-3</v>
      </c>
      <c r="E138" s="109">
        <f ca="1">IF(表2_367162629303891213[[#This Row],[累计净值]]/MAX(INDIRECT("B21:B" &amp; ROW()))-1&lt;E137,表2_367162629303891213[[#This Row],[累计净值]]/MAX(INDIRECT("B21:B" &amp; ROW()))-1,E137)</f>
        <v>-1.8595450049455953E-2</v>
      </c>
      <c r="F138" s="110">
        <f>表2_367162629303891213[[#This Row],[累计净值]]</f>
        <v>1.0465</v>
      </c>
      <c r="G138" s="20">
        <f>表2_367162629303891213[[#This Row],[累计净值]]/$B$21-1</f>
        <v>4.6290741851629624E-2</v>
      </c>
    </row>
    <row r="139" spans="1:7" x14ac:dyDescent="0.2">
      <c r="A139" s="15">
        <v>44001</v>
      </c>
      <c r="B139" s="112">
        <v>1.044</v>
      </c>
      <c r="C139" s="108">
        <f t="shared" si="34"/>
        <v>-2.4999999999999467E-3</v>
      </c>
      <c r="D139" s="109">
        <f t="shared" si="35"/>
        <v>-2.4999999999999467E-3</v>
      </c>
      <c r="E139" s="109">
        <f ca="1">IF(表2_367162629303891213[[#This Row],[累计净值]]/MAX(INDIRECT("B21:B" &amp; ROW()))-1&lt;E138,表2_367162629303891213[[#This Row],[累计净值]]/MAX(INDIRECT("B21:B" &amp; ROW()))-1,E138)</f>
        <v>-1.8595450049455953E-2</v>
      </c>
      <c r="F139" s="110">
        <f>表2_367162629303891213[[#This Row],[累计净值]]</f>
        <v>1.044</v>
      </c>
      <c r="G139" s="20">
        <f>表2_367162629303891213[[#This Row],[累计净值]]/$B$21-1</f>
        <v>4.3791241751649723E-2</v>
      </c>
    </row>
    <row r="140" spans="1:7" x14ac:dyDescent="0.2">
      <c r="A140" s="15">
        <v>44004</v>
      </c>
      <c r="B140" s="112">
        <v>1.0475000000000001</v>
      </c>
      <c r="C140" s="108">
        <f t="shared" si="34"/>
        <v>3.5000000000000586E-3</v>
      </c>
      <c r="D140" s="109" t="str">
        <f t="shared" si="35"/>
        <v>/</v>
      </c>
      <c r="E140" s="109">
        <f ca="1">IF(表2_367162629303891213[[#This Row],[累计净值]]/MAX(INDIRECT("B21:B" &amp; ROW()))-1&lt;E139,表2_367162629303891213[[#This Row],[累计净值]]/MAX(INDIRECT("B21:B" &amp; ROW()))-1,E139)</f>
        <v>-1.8595450049455953E-2</v>
      </c>
      <c r="F140" s="110">
        <f>表2_367162629303891213[[#This Row],[累计净值]]</f>
        <v>1.0475000000000001</v>
      </c>
      <c r="G140" s="20">
        <f>表2_367162629303891213[[#This Row],[累计净值]]/$B$21-1</f>
        <v>4.7290541891621851E-2</v>
      </c>
    </row>
    <row r="141" spans="1:7" x14ac:dyDescent="0.2">
      <c r="A141" s="15">
        <v>44005</v>
      </c>
      <c r="B141" s="112">
        <v>1.0481</v>
      </c>
      <c r="C141" s="108">
        <f t="shared" ref="C141:C148" si="36">IFERROR(B141-B140,0)</f>
        <v>5.9999999999993392E-4</v>
      </c>
      <c r="D141" s="109" t="str">
        <f t="shared" ref="D141:D148" si="37">IF(C141&lt;0,C141,"/")</f>
        <v>/</v>
      </c>
      <c r="E141" s="109">
        <f ca="1">IF(表2_367162629303891213[[#This Row],[累计净值]]/MAX(INDIRECT("B21:B" &amp; ROW()))-1&lt;E140,表2_367162629303891213[[#This Row],[累计净值]]/MAX(INDIRECT("B21:B" &amp; ROW()))-1,E140)</f>
        <v>-1.8595450049455953E-2</v>
      </c>
      <c r="F141" s="110">
        <f>表2_367162629303891213[[#This Row],[累计净值]]</f>
        <v>1.0481</v>
      </c>
      <c r="G141" s="20">
        <f>表2_367162629303891213[[#This Row],[累计净值]]/$B$21-1</f>
        <v>4.7890421915616876E-2</v>
      </c>
    </row>
    <row r="142" spans="1:7" x14ac:dyDescent="0.2">
      <c r="A142" s="15">
        <v>44006</v>
      </c>
      <c r="B142" s="112">
        <v>1.0503</v>
      </c>
      <c r="C142" s="108">
        <f t="shared" si="36"/>
        <v>2.1999999999999797E-3</v>
      </c>
      <c r="D142" s="109" t="str">
        <f t="shared" si="37"/>
        <v>/</v>
      </c>
      <c r="E142" s="109">
        <f ca="1">IF(表2_367162629303891213[[#This Row],[累计净值]]/MAX(INDIRECT("B21:B" &amp; ROW()))-1&lt;E141,表2_367162629303891213[[#This Row],[累计净值]]/MAX(INDIRECT("B21:B" &amp; ROW()))-1,E141)</f>
        <v>-1.8595450049455953E-2</v>
      </c>
      <c r="F142" s="110">
        <f>表2_367162629303891213[[#This Row],[累计净值]]</f>
        <v>1.0503</v>
      </c>
      <c r="G142" s="20">
        <f>表2_367162629303891213[[#This Row],[累计净值]]/$B$21-1</f>
        <v>5.0089982003599376E-2</v>
      </c>
    </row>
    <row r="143" spans="1:7" x14ac:dyDescent="0.2">
      <c r="A143" s="15">
        <v>44011</v>
      </c>
      <c r="B143" s="112">
        <v>1.0543</v>
      </c>
      <c r="C143" s="108">
        <f t="shared" si="36"/>
        <v>4.0000000000000036E-3</v>
      </c>
      <c r="D143" s="109" t="str">
        <f t="shared" si="37"/>
        <v>/</v>
      </c>
      <c r="E143" s="109">
        <f ca="1">IF(表2_367162629303891213[[#This Row],[累计净值]]/MAX(INDIRECT("B21:B" &amp; ROW()))-1&lt;E142,表2_367162629303891213[[#This Row],[累计净值]]/MAX(INDIRECT("B21:B" &amp; ROW()))-1,E142)</f>
        <v>-1.8595450049455953E-2</v>
      </c>
      <c r="F143" s="110">
        <f>表2_367162629303891213[[#This Row],[累计净值]]</f>
        <v>1.0543</v>
      </c>
      <c r="G143" s="20">
        <f>表2_367162629303891213[[#This Row],[累计净值]]/$B$21-1</f>
        <v>5.4089182163567395E-2</v>
      </c>
    </row>
    <row r="144" spans="1:7" x14ac:dyDescent="0.2">
      <c r="A144" s="15">
        <v>44012</v>
      </c>
      <c r="B144" s="112">
        <v>1.052</v>
      </c>
      <c r="C144" s="108">
        <f t="shared" si="36"/>
        <v>-2.2999999999999687E-3</v>
      </c>
      <c r="D144" s="109">
        <f t="shared" si="37"/>
        <v>-2.2999999999999687E-3</v>
      </c>
      <c r="E144" s="109">
        <f ca="1">IF(表2_367162629303891213[[#This Row],[累计净值]]/MAX(INDIRECT("B21:B" &amp; ROW()))-1&lt;E143,表2_367162629303891213[[#This Row],[累计净值]]/MAX(INDIRECT("B21:B" &amp; ROW()))-1,E143)</f>
        <v>-1.8595450049455953E-2</v>
      </c>
      <c r="F144" s="110">
        <f>表2_367162629303891213[[#This Row],[累计净值]]</f>
        <v>1.052</v>
      </c>
      <c r="G144" s="20">
        <f>表2_367162629303891213[[#This Row],[累计净值]]/$B$21-1</f>
        <v>5.1789642071585762E-2</v>
      </c>
    </row>
    <row r="145" spans="1:7" x14ac:dyDescent="0.2">
      <c r="A145" s="15">
        <v>44013</v>
      </c>
      <c r="B145" s="112">
        <v>1.0547</v>
      </c>
      <c r="C145" s="108">
        <f t="shared" si="36"/>
        <v>2.6999999999999247E-3</v>
      </c>
      <c r="D145" s="109" t="str">
        <f t="shared" si="37"/>
        <v>/</v>
      </c>
      <c r="E145" s="109">
        <f ca="1">IF(表2_367162629303891213[[#This Row],[累计净值]]/MAX(INDIRECT("B21:B" &amp; ROW()))-1&lt;E144,表2_367162629303891213[[#This Row],[累计净值]]/MAX(INDIRECT("B21:B" &amp; ROW()))-1,E144)</f>
        <v>-1.8595450049455953E-2</v>
      </c>
      <c r="F145" s="110">
        <f>表2_367162629303891213[[#This Row],[累计净值]]</f>
        <v>1.0547</v>
      </c>
      <c r="G145" s="20">
        <f>表2_367162629303891213[[#This Row],[累计净值]]/$B$21-1</f>
        <v>5.4489102179564153E-2</v>
      </c>
    </row>
    <row r="146" spans="1:7" x14ac:dyDescent="0.2">
      <c r="A146" s="15">
        <v>44014</v>
      </c>
      <c r="B146" s="112">
        <v>1.0494000000000001</v>
      </c>
      <c r="C146" s="108">
        <f t="shared" si="36"/>
        <v>-5.2999999999998604E-3</v>
      </c>
      <c r="D146" s="109">
        <f t="shared" si="37"/>
        <v>-5.2999999999998604E-3</v>
      </c>
      <c r="E146" s="109">
        <f ca="1">IF(表2_367162629303891213[[#This Row],[累计净值]]/MAX(INDIRECT("B21:B" &amp; ROW()))-1&lt;E145,表2_367162629303891213[[#This Row],[累计净值]]/MAX(INDIRECT("B21:B" &amp; ROW()))-1,E145)</f>
        <v>-1.8595450049455953E-2</v>
      </c>
      <c r="F146" s="110">
        <f>表2_367162629303891213[[#This Row],[累计净值]]</f>
        <v>1.0494000000000001</v>
      </c>
      <c r="G146" s="20">
        <f>表2_367162629303891213[[#This Row],[累计净值]]/$B$21-1</f>
        <v>4.9190161967606505E-2</v>
      </c>
    </row>
    <row r="147" spans="1:7" x14ac:dyDescent="0.2">
      <c r="A147" s="15">
        <v>44015</v>
      </c>
      <c r="B147" s="112">
        <v>1.0475000000000001</v>
      </c>
      <c r="C147" s="108">
        <f t="shared" si="36"/>
        <v>-1.9000000000000128E-3</v>
      </c>
      <c r="D147" s="109">
        <f t="shared" si="37"/>
        <v>-1.9000000000000128E-3</v>
      </c>
      <c r="E147" s="109">
        <f ca="1">IF(表2_367162629303891213[[#This Row],[累计净值]]/MAX(INDIRECT("B21:B" &amp; ROW()))-1&lt;E146,表2_367162629303891213[[#This Row],[累计净值]]/MAX(INDIRECT("B21:B" &amp; ROW()))-1,E146)</f>
        <v>-1.8595450049455953E-2</v>
      </c>
      <c r="F147" s="110">
        <f>表2_367162629303891213[[#This Row],[累计净值]]</f>
        <v>1.0475000000000001</v>
      </c>
      <c r="G147" s="20">
        <f>表2_367162629303891213[[#This Row],[累计净值]]/$B$21-1</f>
        <v>4.7290541891621851E-2</v>
      </c>
    </row>
    <row r="148" spans="1:7" x14ac:dyDescent="0.2">
      <c r="A148" s="15">
        <v>44018</v>
      </c>
      <c r="B148" s="112">
        <v>1.0410999999999999</v>
      </c>
      <c r="C148" s="108">
        <f t="shared" si="36"/>
        <v>-6.4000000000001833E-3</v>
      </c>
      <c r="D148" s="109">
        <f t="shared" si="37"/>
        <v>-6.4000000000001833E-3</v>
      </c>
      <c r="E148" s="109">
        <f ca="1">IF(表2_367162629303891213[[#This Row],[累计净值]]/MAX(INDIRECT("B21:B" &amp; ROW()))-1&lt;E147,表2_367162629303891213[[#This Row],[累计净值]]/MAX(INDIRECT("B21:B" &amp; ROW()))-1,E147)</f>
        <v>-1.8595450049455953E-2</v>
      </c>
      <c r="F148" s="110">
        <f>表2_367162629303891213[[#This Row],[累计净值]]</f>
        <v>1.0410999999999999</v>
      </c>
      <c r="G148" s="20">
        <f>表2_367162629303891213[[#This Row],[累计净值]]/$B$21-1</f>
        <v>4.0891821635672843E-2</v>
      </c>
    </row>
    <row r="149" spans="1:7" x14ac:dyDescent="0.2">
      <c r="A149" s="15">
        <v>44019</v>
      </c>
      <c r="B149" s="112">
        <v>1.0426</v>
      </c>
      <c r="C149" s="108">
        <f t="shared" ref="C149:C155" si="38">IFERROR(B149-B148,0)</f>
        <v>1.5000000000000568E-3</v>
      </c>
      <c r="D149" s="109" t="str">
        <f t="shared" ref="D149:D155" si="39">IF(C149&lt;0,C149,"/")</f>
        <v>/</v>
      </c>
      <c r="E149" s="109">
        <f ca="1">IF(表2_367162629303891213[[#This Row],[累计净值]]/MAX(INDIRECT("B21:B" &amp; ROW()))-1&lt;E148,表2_367162629303891213[[#This Row],[累计净值]]/MAX(INDIRECT("B21:B" &amp; ROW()))-1,E148)</f>
        <v>-1.8595450049455953E-2</v>
      </c>
      <c r="F149" s="110">
        <f>表2_367162629303891213[[#This Row],[累计净值]]</f>
        <v>1.0426</v>
      </c>
      <c r="G149" s="20">
        <f>表2_367162629303891213[[#This Row],[累计净值]]/$B$21-1</f>
        <v>4.2391521695660961E-2</v>
      </c>
    </row>
    <row r="150" spans="1:7" x14ac:dyDescent="0.2">
      <c r="A150" s="15">
        <v>44020</v>
      </c>
      <c r="B150" s="112">
        <v>1.0530999999999999</v>
      </c>
      <c r="C150" s="108">
        <f t="shared" si="38"/>
        <v>1.0499999999999954E-2</v>
      </c>
      <c r="D150" s="109" t="str">
        <f t="shared" si="39"/>
        <v>/</v>
      </c>
      <c r="E150" s="109">
        <f ca="1">IF(表2_367162629303891213[[#This Row],[累计净值]]/MAX(INDIRECT("B21:B" &amp; ROW()))-1&lt;E149,表2_367162629303891213[[#This Row],[累计净值]]/MAX(INDIRECT("B21:B" &amp; ROW()))-1,E149)</f>
        <v>-1.8595450049455953E-2</v>
      </c>
      <c r="F150" s="110">
        <f>表2_367162629303891213[[#This Row],[累计净值]]</f>
        <v>1.0530999999999999</v>
      </c>
      <c r="G150" s="20">
        <f>表2_367162629303891213[[#This Row],[累计净值]]/$B$21-1</f>
        <v>5.2889422115576901E-2</v>
      </c>
    </row>
    <row r="151" spans="1:7" x14ac:dyDescent="0.2">
      <c r="A151" s="15">
        <v>44021</v>
      </c>
      <c r="B151" s="112">
        <v>1.0609999999999999</v>
      </c>
      <c r="C151" s="108">
        <f t="shared" si="38"/>
        <v>7.9000000000000181E-3</v>
      </c>
      <c r="D151" s="109" t="str">
        <f t="shared" si="39"/>
        <v>/</v>
      </c>
      <c r="E151" s="109">
        <f ca="1">IF(表2_367162629303891213[[#This Row],[累计净值]]/MAX(INDIRECT("B21:B" &amp; ROW()))-1&lt;E150,表2_367162629303891213[[#This Row],[累计净值]]/MAX(INDIRECT("B21:B" &amp; ROW()))-1,E150)</f>
        <v>-1.8595450049455953E-2</v>
      </c>
      <c r="F151" s="110">
        <f>表2_367162629303891213[[#This Row],[累计净值]]</f>
        <v>1.0609999999999999</v>
      </c>
      <c r="G151" s="20">
        <f>表2_367162629303891213[[#This Row],[累计净值]]/$B$21-1</f>
        <v>6.0787842431513583E-2</v>
      </c>
    </row>
    <row r="152" spans="1:7" x14ac:dyDescent="0.2">
      <c r="A152" s="15">
        <v>44022</v>
      </c>
      <c r="B152" s="112">
        <v>1.0570999999999999</v>
      </c>
      <c r="C152" s="108">
        <f t="shared" si="38"/>
        <v>-3.9000000000000146E-3</v>
      </c>
      <c r="D152" s="109">
        <f t="shared" si="39"/>
        <v>-3.9000000000000146E-3</v>
      </c>
      <c r="E152" s="109">
        <f ca="1">IF(表2_367162629303891213[[#This Row],[累计净值]]/MAX(INDIRECT("B21:B" &amp; ROW()))-1&lt;E151,表2_367162629303891213[[#This Row],[累计净值]]/MAX(INDIRECT("B21:B" &amp; ROW()))-1,E151)</f>
        <v>-1.8595450049455953E-2</v>
      </c>
      <c r="F152" s="110">
        <f>表2_367162629303891213[[#This Row],[累计净值]]</f>
        <v>1.0570999999999999</v>
      </c>
      <c r="G152" s="20">
        <f>表2_367162629303891213[[#This Row],[累计净值]]/$B$21-1</f>
        <v>5.688862227554492E-2</v>
      </c>
    </row>
    <row r="153" spans="1:7" x14ac:dyDescent="0.2">
      <c r="A153" s="15">
        <v>44025</v>
      </c>
      <c r="B153" s="112">
        <v>1.0653999999999999</v>
      </c>
      <c r="C153" s="108">
        <f t="shared" si="38"/>
        <v>8.2999999999999741E-3</v>
      </c>
      <c r="D153" s="109" t="str">
        <f t="shared" si="39"/>
        <v>/</v>
      </c>
      <c r="E153" s="109">
        <f ca="1">IF(表2_367162629303891213[[#This Row],[累计净值]]/MAX(INDIRECT("B21:B" &amp; ROW()))-1&lt;E152,表2_367162629303891213[[#This Row],[累计净值]]/MAX(INDIRECT("B21:B" &amp; ROW()))-1,E152)</f>
        <v>-1.8595450049455953E-2</v>
      </c>
      <c r="F153" s="110">
        <f>表2_367162629303891213[[#This Row],[累计净值]]</f>
        <v>1.0653999999999999</v>
      </c>
      <c r="G153" s="20">
        <f>表2_367162629303891213[[#This Row],[累计净值]]/$B$21-1</f>
        <v>6.518696260747836E-2</v>
      </c>
    </row>
    <row r="154" spans="1:7" x14ac:dyDescent="0.2">
      <c r="A154" s="15">
        <v>44026</v>
      </c>
      <c r="B154" s="112">
        <v>1.0748</v>
      </c>
      <c r="C154" s="108">
        <f t="shared" si="38"/>
        <v>9.400000000000075E-3</v>
      </c>
      <c r="D154" s="109" t="str">
        <f t="shared" si="39"/>
        <v>/</v>
      </c>
      <c r="E154" s="109">
        <f ca="1">IF(表2_367162629303891213[[#This Row],[累计净值]]/MAX(INDIRECT("B21:B" &amp; ROW()))-1&lt;E153,表2_367162629303891213[[#This Row],[累计净值]]/MAX(INDIRECT("B21:B" &amp; ROW()))-1,E153)</f>
        <v>-1.8595450049455953E-2</v>
      </c>
      <c r="F154" s="110">
        <f>表2_367162629303891213[[#This Row],[累计净值]]</f>
        <v>1.0748</v>
      </c>
      <c r="G154" s="20">
        <f>表2_367162629303891213[[#This Row],[累计净值]]/$B$21-1</f>
        <v>7.4585082983403383E-2</v>
      </c>
    </row>
    <row r="155" spans="1:7" x14ac:dyDescent="0.2">
      <c r="A155" s="15">
        <v>44027</v>
      </c>
      <c r="B155" s="112">
        <v>1.0666</v>
      </c>
      <c r="C155" s="108">
        <f t="shared" si="38"/>
        <v>-8.1999999999999851E-3</v>
      </c>
      <c r="D155" s="109">
        <f t="shared" si="39"/>
        <v>-8.1999999999999851E-3</v>
      </c>
      <c r="E155" s="109">
        <f ca="1">IF(表2_367162629303891213[[#This Row],[累计净值]]/MAX(INDIRECT("B21:B" &amp; ROW()))-1&lt;E154,表2_367162629303891213[[#This Row],[累计净值]]/MAX(INDIRECT("B21:B" &amp; ROW()))-1,E154)</f>
        <v>-1.8595450049455953E-2</v>
      </c>
      <c r="F155" s="110">
        <f>表2_367162629303891213[[#This Row],[累计净值]]</f>
        <v>1.0666</v>
      </c>
      <c r="G155" s="20">
        <f>表2_367162629303891213[[#This Row],[累计净值]]/$B$21-1</f>
        <v>6.6386722655468855E-2</v>
      </c>
    </row>
    <row r="156" spans="1:7" x14ac:dyDescent="0.2">
      <c r="A156" s="15">
        <v>44028</v>
      </c>
      <c r="B156" s="112">
        <v>1.0558000000000001</v>
      </c>
      <c r="C156" s="108">
        <f t="shared" ref="C156:C162" si="40">IFERROR(B156-B155,0)</f>
        <v>-1.0799999999999921E-2</v>
      </c>
      <c r="D156" s="109">
        <f t="shared" ref="D156:D162" si="41">IF(C156&lt;0,C156,"/")</f>
        <v>-1.0799999999999921E-2</v>
      </c>
      <c r="E156" s="109">
        <f ca="1">IF(表2_367162629303891213[[#This Row],[累计净值]]/MAX(INDIRECT("B21:B" &amp; ROW()))-1&lt;E155,表2_367162629303891213[[#This Row],[累计净值]]/MAX(INDIRECT("B21:B" &amp; ROW()))-1,E155)</f>
        <v>-1.8595450049455953E-2</v>
      </c>
      <c r="F156" s="110">
        <f>表2_367162629303891213[[#This Row],[累计净值]]</f>
        <v>1.0558000000000001</v>
      </c>
      <c r="G156" s="20">
        <f>表2_367162629303891213[[#This Row],[累计净值]]/$B$21-1</f>
        <v>5.5588882223555292E-2</v>
      </c>
    </row>
    <row r="157" spans="1:7" x14ac:dyDescent="0.2">
      <c r="A157" s="15">
        <v>44029</v>
      </c>
      <c r="B157" s="112">
        <v>1.0642</v>
      </c>
      <c r="C157" s="108">
        <f t="shared" si="40"/>
        <v>8.3999999999999631E-3</v>
      </c>
      <c r="D157" s="109" t="str">
        <f t="shared" si="41"/>
        <v>/</v>
      </c>
      <c r="E157" s="109">
        <f ca="1">IF(表2_367162629303891213[[#This Row],[累计净值]]/MAX(INDIRECT("B21:B" &amp; ROW()))-1&lt;E156,表2_367162629303891213[[#This Row],[累计净值]]/MAX(INDIRECT("B21:B" &amp; ROW()))-1,E156)</f>
        <v>-1.8595450049455953E-2</v>
      </c>
      <c r="F157" s="110">
        <f>表2_367162629303891213[[#This Row],[累计净值]]</f>
        <v>1.0642</v>
      </c>
      <c r="G157" s="20">
        <f>表2_367162629303891213[[#This Row],[累计净值]]/$B$21-1</f>
        <v>6.3987202559488088E-2</v>
      </c>
    </row>
    <row r="158" spans="1:7" x14ac:dyDescent="0.2">
      <c r="A158" s="15">
        <v>44032</v>
      </c>
      <c r="B158" s="112">
        <v>1.0770999999999999</v>
      </c>
      <c r="C158" s="108">
        <f t="shared" si="40"/>
        <v>1.2899999999999912E-2</v>
      </c>
      <c r="D158" s="109" t="str">
        <f t="shared" si="41"/>
        <v>/</v>
      </c>
      <c r="E158" s="109">
        <f ca="1">IF(表2_367162629303891213[[#This Row],[累计净值]]/MAX(INDIRECT("B21:B" &amp; ROW()))-1&lt;E157,表2_367162629303891213[[#This Row],[累计净值]]/MAX(INDIRECT("B21:B" &amp; ROW()))-1,E157)</f>
        <v>-1.8595450049455953E-2</v>
      </c>
      <c r="F158" s="110">
        <f>表2_367162629303891213[[#This Row],[累计净值]]</f>
        <v>1.0770999999999999</v>
      </c>
      <c r="G158" s="20">
        <f>表2_367162629303891213[[#This Row],[累计净值]]/$B$21-1</f>
        <v>7.6884623075384795E-2</v>
      </c>
    </row>
    <row r="159" spans="1:7" x14ac:dyDescent="0.2">
      <c r="A159" s="15">
        <v>44033</v>
      </c>
      <c r="B159" s="112">
        <v>1.075</v>
      </c>
      <c r="C159" s="108">
        <f t="shared" si="40"/>
        <v>-2.0999999999999908E-3</v>
      </c>
      <c r="D159" s="109">
        <f t="shared" si="41"/>
        <v>-2.0999999999999908E-3</v>
      </c>
      <c r="E159" s="109">
        <f ca="1">IF(表2_367162629303891213[[#This Row],[累计净值]]/MAX(INDIRECT("B21:B" &amp; ROW()))-1&lt;E158,表2_367162629303891213[[#This Row],[累计净值]]/MAX(INDIRECT("B21:B" &amp; ROW()))-1,E158)</f>
        <v>-1.8595450049455953E-2</v>
      </c>
      <c r="F159" s="110">
        <f>表2_367162629303891213[[#This Row],[累计净值]]</f>
        <v>1.075</v>
      </c>
      <c r="G159" s="20">
        <f>表2_367162629303891213[[#This Row],[累计净值]]/$B$21-1</f>
        <v>7.4785042991401651E-2</v>
      </c>
    </row>
    <row r="160" spans="1:7" x14ac:dyDescent="0.2">
      <c r="A160" s="15">
        <v>44034</v>
      </c>
      <c r="B160" s="112">
        <v>1.0727</v>
      </c>
      <c r="C160" s="108">
        <f t="shared" si="40"/>
        <v>-2.2999999999999687E-3</v>
      </c>
      <c r="D160" s="109">
        <f t="shared" si="41"/>
        <v>-2.2999999999999687E-3</v>
      </c>
      <c r="E160" s="109">
        <f ca="1">IF(表2_367162629303891213[[#This Row],[累计净值]]/MAX(INDIRECT("B21:B" &amp; ROW()))-1&lt;E159,表2_367162629303891213[[#This Row],[累计净值]]/MAX(INDIRECT("B21:B" &amp; ROW()))-1,E159)</f>
        <v>-1.8595450049455953E-2</v>
      </c>
      <c r="F160" s="110">
        <f>表2_367162629303891213[[#This Row],[累计净值]]</f>
        <v>1.0727</v>
      </c>
      <c r="G160" s="20">
        <f>表2_367162629303891213[[#This Row],[累计净值]]/$B$21-1</f>
        <v>7.2485502899420018E-2</v>
      </c>
    </row>
    <row r="161" spans="1:7" x14ac:dyDescent="0.2">
      <c r="A161" s="15">
        <v>44035</v>
      </c>
      <c r="B161" s="112">
        <v>1.0750999999999999</v>
      </c>
      <c r="C161" s="108">
        <f t="shared" si="40"/>
        <v>2.3999999999999577E-3</v>
      </c>
      <c r="D161" s="109" t="str">
        <f t="shared" si="41"/>
        <v>/</v>
      </c>
      <c r="E161" s="109">
        <f ca="1">IF(表2_367162629303891213[[#This Row],[累计净值]]/MAX(INDIRECT("B21:B" &amp; ROW()))-1&lt;E160,表2_367162629303891213[[#This Row],[累计净值]]/MAX(INDIRECT("B21:B" &amp; ROW()))-1,E160)</f>
        <v>-1.8595450049455953E-2</v>
      </c>
      <c r="F161" s="110">
        <f>表2_367162629303891213[[#This Row],[累计净值]]</f>
        <v>1.0750999999999999</v>
      </c>
      <c r="G161" s="20">
        <f>表2_367162629303891213[[#This Row],[累计净值]]/$B$21-1</f>
        <v>7.4885022995400785E-2</v>
      </c>
    </row>
    <row r="162" spans="1:7" x14ac:dyDescent="0.2">
      <c r="A162" s="15">
        <v>44036</v>
      </c>
      <c r="B162" s="112">
        <v>1.0757000000000001</v>
      </c>
      <c r="C162" s="108">
        <f t="shared" si="40"/>
        <v>6.0000000000015596E-4</v>
      </c>
      <c r="D162" s="109" t="str">
        <f t="shared" si="41"/>
        <v>/</v>
      </c>
      <c r="E162" s="109">
        <f ca="1">IF(表2_367162629303891213[[#This Row],[累计净值]]/MAX(INDIRECT("B21:B" &amp; ROW()))-1&lt;E161,表2_367162629303891213[[#This Row],[累计净值]]/MAX(INDIRECT("B21:B" &amp; ROW()))-1,E161)</f>
        <v>-1.8595450049455953E-2</v>
      </c>
      <c r="F162" s="110">
        <f>表2_367162629303891213[[#This Row],[累计净值]]</f>
        <v>1.0757000000000001</v>
      </c>
      <c r="G162" s="20">
        <f>表2_367162629303891213[[#This Row],[累计净值]]/$B$21-1</f>
        <v>7.5484903019396254E-2</v>
      </c>
    </row>
    <row r="163" spans="1:7" x14ac:dyDescent="0.2">
      <c r="A163" s="15">
        <v>44039</v>
      </c>
      <c r="B163" s="112">
        <v>1.0789</v>
      </c>
      <c r="C163" s="108">
        <f t="shared" ref="C163:C168" si="42">IFERROR(B163-B162,0)</f>
        <v>3.1999999999998696E-3</v>
      </c>
      <c r="D163" s="109" t="str">
        <f t="shared" ref="D163:D168" si="43">IF(C163&lt;0,C163,"/")</f>
        <v>/</v>
      </c>
      <c r="E163" s="109">
        <f ca="1">IF(表2_367162629303891213[[#This Row],[累计净值]]/MAX(INDIRECT("B21:B" &amp; ROW()))-1&lt;E162,表2_367162629303891213[[#This Row],[累计净值]]/MAX(INDIRECT("B21:B" &amp; ROW()))-1,E162)</f>
        <v>-1.8595450049455953E-2</v>
      </c>
      <c r="F163" s="110">
        <f>表2_367162629303891213[[#This Row],[累计净值]]</f>
        <v>1.0789</v>
      </c>
      <c r="G163" s="20">
        <f>表2_367162629303891213[[#This Row],[累计净值]]/$B$21-1</f>
        <v>7.8684263147370537E-2</v>
      </c>
    </row>
    <row r="164" spans="1:7" x14ac:dyDescent="0.2">
      <c r="A164" s="15">
        <v>44040</v>
      </c>
      <c r="B164" s="112">
        <v>1.0862000000000001</v>
      </c>
      <c r="C164" s="108">
        <f t="shared" si="42"/>
        <v>7.3000000000000842E-3</v>
      </c>
      <c r="D164" s="109" t="str">
        <f t="shared" si="43"/>
        <v>/</v>
      </c>
      <c r="E164" s="109">
        <f ca="1">IF(表2_367162629303891213[[#This Row],[累计净值]]/MAX(INDIRECT("B21:B" &amp; ROW()))-1&lt;E163,表2_367162629303891213[[#This Row],[累计净值]]/MAX(INDIRECT("B21:B" &amp; ROW()))-1,E163)</f>
        <v>-1.8595450049455953E-2</v>
      </c>
      <c r="F164" s="110">
        <f>表2_367162629303891213[[#This Row],[累计净值]]</f>
        <v>1.0862000000000001</v>
      </c>
      <c r="G164" s="20">
        <f>表2_367162629303891213[[#This Row],[累计净值]]/$B$21-1</f>
        <v>8.5982803439312194E-2</v>
      </c>
    </row>
    <row r="165" spans="1:7" x14ac:dyDescent="0.2">
      <c r="A165" s="15">
        <v>44041</v>
      </c>
      <c r="B165" s="112">
        <v>1.0794999999999999</v>
      </c>
      <c r="C165" s="108">
        <f t="shared" si="42"/>
        <v>-6.7000000000001503E-3</v>
      </c>
      <c r="D165" s="109">
        <f t="shared" si="43"/>
        <v>-6.7000000000001503E-3</v>
      </c>
      <c r="E165" s="109">
        <f ca="1">IF(表2_367162629303891213[[#This Row],[累计净值]]/MAX(INDIRECT("B21:B" &amp; ROW()))-1&lt;E164,表2_367162629303891213[[#This Row],[累计净值]]/MAX(INDIRECT("B21:B" &amp; ROW()))-1,E164)</f>
        <v>-1.8595450049455953E-2</v>
      </c>
      <c r="F165" s="110">
        <f>表2_367162629303891213[[#This Row],[累计净值]]</f>
        <v>1.0794999999999999</v>
      </c>
      <c r="G165" s="20">
        <f>表2_367162629303891213[[#This Row],[累计净值]]/$B$21-1</f>
        <v>7.9284143171365562E-2</v>
      </c>
    </row>
    <row r="166" spans="1:7" x14ac:dyDescent="0.2">
      <c r="A166" s="15">
        <v>44042</v>
      </c>
      <c r="B166" s="112">
        <v>1.0789</v>
      </c>
      <c r="C166" s="108">
        <f t="shared" si="42"/>
        <v>-5.9999999999993392E-4</v>
      </c>
      <c r="D166" s="109">
        <f t="shared" si="43"/>
        <v>-5.9999999999993392E-4</v>
      </c>
      <c r="E166" s="109">
        <f ca="1">IF(表2_367162629303891213[[#This Row],[累计净值]]/MAX(INDIRECT("B21:B" &amp; ROW()))-1&lt;E165,表2_367162629303891213[[#This Row],[累计净值]]/MAX(INDIRECT("B21:B" &amp; ROW()))-1,E165)</f>
        <v>-1.8595450049455953E-2</v>
      </c>
      <c r="F166" s="110">
        <f>表2_367162629303891213[[#This Row],[累计净值]]</f>
        <v>1.0789</v>
      </c>
      <c r="G166" s="20">
        <f>表2_367162629303891213[[#This Row],[累计净值]]/$B$21-1</f>
        <v>7.8684263147370537E-2</v>
      </c>
    </row>
    <row r="167" spans="1:7" x14ac:dyDescent="0.2">
      <c r="A167" s="15">
        <v>44043</v>
      </c>
      <c r="B167" s="112">
        <v>1.0884</v>
      </c>
      <c r="C167" s="108">
        <f t="shared" si="42"/>
        <v>9.5000000000000639E-3</v>
      </c>
      <c r="D167" s="109" t="str">
        <f t="shared" si="43"/>
        <v>/</v>
      </c>
      <c r="E167" s="109">
        <f ca="1">IF(表2_367162629303891213[[#This Row],[累计净值]]/MAX(INDIRECT("B21:B" &amp; ROW()))-1&lt;E166,表2_367162629303891213[[#This Row],[累计净值]]/MAX(INDIRECT("B21:B" &amp; ROW()))-1,E166)</f>
        <v>-1.8595450049455953E-2</v>
      </c>
      <c r="F167" s="110">
        <f>表2_367162629303891213[[#This Row],[累计净值]]</f>
        <v>1.0884</v>
      </c>
      <c r="G167" s="20">
        <f>表2_367162629303891213[[#This Row],[累计净值]]/$B$21-1</f>
        <v>8.8182363527294694E-2</v>
      </c>
    </row>
    <row r="168" spans="1:7" x14ac:dyDescent="0.2">
      <c r="A168" s="15">
        <v>44049</v>
      </c>
      <c r="B168" s="112">
        <v>1.0889</v>
      </c>
      <c r="C168" s="108">
        <f t="shared" si="42"/>
        <v>4.9999999999994493E-4</v>
      </c>
      <c r="D168" s="109" t="str">
        <f t="shared" si="43"/>
        <v>/</v>
      </c>
      <c r="E168" s="109">
        <f ca="1">IF(表2_367162629303891213[[#This Row],[累计净值]]/MAX(INDIRECT("B21:B" &amp; ROW()))-1&lt;E167,表2_367162629303891213[[#This Row],[累计净值]]/MAX(INDIRECT("B21:B" &amp; ROW()))-1,E167)</f>
        <v>-1.8595450049455953E-2</v>
      </c>
      <c r="F168" s="110">
        <f>表2_367162629303891213[[#This Row],[累计净值]]</f>
        <v>1.0889</v>
      </c>
      <c r="G168" s="20">
        <f>表2_367162629303891213[[#This Row],[累计净值]]/$B$21-1</f>
        <v>8.8682263547290585E-2</v>
      </c>
    </row>
    <row r="169" spans="1:7" x14ac:dyDescent="0.2">
      <c r="A169" s="15">
        <v>44050</v>
      </c>
      <c r="B169" s="112">
        <v>1.0902000000000001</v>
      </c>
      <c r="C169" s="108">
        <f t="shared" ref="C169:C175" si="44">IFERROR(B169-B168,0)</f>
        <v>1.3000000000000789E-3</v>
      </c>
      <c r="D169" s="109" t="str">
        <f t="shared" ref="D169:D175" si="45">IF(C169&lt;0,C169,"/")</f>
        <v>/</v>
      </c>
      <c r="E169" s="109">
        <f ca="1">IF(表2_367162629303891213[[#This Row],[累计净值]]/MAX(INDIRECT("B21:B" &amp; ROW()))-1&lt;E168,表2_367162629303891213[[#This Row],[累计净值]]/MAX(INDIRECT("B21:B" &amp; ROW()))-1,E168)</f>
        <v>-1.8595450049455953E-2</v>
      </c>
      <c r="F169" s="110">
        <f>表2_367162629303891213[[#This Row],[累计净值]]</f>
        <v>1.0902000000000001</v>
      </c>
      <c r="G169" s="20">
        <f>表2_367162629303891213[[#This Row],[累计净值]]/$B$21-1</f>
        <v>8.9982003599280214E-2</v>
      </c>
    </row>
    <row r="170" spans="1:7" x14ac:dyDescent="0.2">
      <c r="A170" s="15">
        <v>44053</v>
      </c>
      <c r="B170" s="112">
        <v>1.0884</v>
      </c>
      <c r="C170" s="108">
        <f t="shared" si="44"/>
        <v>-1.8000000000000238E-3</v>
      </c>
      <c r="D170" s="109">
        <f t="shared" si="45"/>
        <v>-1.8000000000000238E-3</v>
      </c>
      <c r="E170" s="109">
        <f ca="1">IF(表2_367162629303891213[[#This Row],[累计净值]]/MAX(INDIRECT("B21:B" &amp; ROW()))-1&lt;E169,表2_367162629303891213[[#This Row],[累计净值]]/MAX(INDIRECT("B21:B" &amp; ROW()))-1,E169)</f>
        <v>-1.8595450049455953E-2</v>
      </c>
      <c r="F170" s="110">
        <f>表2_367162629303891213[[#This Row],[累计净值]]</f>
        <v>1.0884</v>
      </c>
      <c r="G170" s="20">
        <f>表2_367162629303891213[[#This Row],[累计净值]]/$B$21-1</f>
        <v>8.8182363527294694E-2</v>
      </c>
    </row>
    <row r="171" spans="1:7" x14ac:dyDescent="0.2">
      <c r="A171" s="15">
        <v>44054</v>
      </c>
      <c r="B171" s="112">
        <v>1.0875999999999999</v>
      </c>
      <c r="C171" s="108">
        <f t="shared" si="44"/>
        <v>-8.0000000000013394E-4</v>
      </c>
      <c r="D171" s="109">
        <f t="shared" si="45"/>
        <v>-8.0000000000013394E-4</v>
      </c>
      <c r="E171" s="109">
        <f ca="1">IF(表2_367162629303891213[[#This Row],[累计净值]]/MAX(INDIRECT("B21:B" &amp; ROW()))-1&lt;E170,表2_367162629303891213[[#This Row],[累计净值]]/MAX(INDIRECT("B21:B" &amp; ROW()))-1,E170)</f>
        <v>-1.8595450049455953E-2</v>
      </c>
      <c r="F171" s="110">
        <f>表2_367162629303891213[[#This Row],[累计净值]]</f>
        <v>1.0875999999999999</v>
      </c>
      <c r="G171" s="20">
        <f>表2_367162629303891213[[#This Row],[累计净值]]/$B$21-1</f>
        <v>8.7382523495300957E-2</v>
      </c>
    </row>
    <row r="172" spans="1:7" x14ac:dyDescent="0.2">
      <c r="A172" s="15">
        <v>44055</v>
      </c>
      <c r="B172" s="112">
        <v>1.0875999999999999</v>
      </c>
      <c r="C172" s="108">
        <f t="shared" si="44"/>
        <v>0</v>
      </c>
      <c r="D172" s="109" t="str">
        <f t="shared" si="45"/>
        <v>/</v>
      </c>
      <c r="E172" s="109">
        <f ca="1">IF(表2_367162629303891213[[#This Row],[累计净值]]/MAX(INDIRECT("B21:B" &amp; ROW()))-1&lt;E171,表2_367162629303891213[[#This Row],[累计净值]]/MAX(INDIRECT("B21:B" &amp; ROW()))-1,E171)</f>
        <v>-1.8595450049455953E-2</v>
      </c>
      <c r="F172" s="110">
        <f>表2_367162629303891213[[#This Row],[累计净值]]</f>
        <v>1.0875999999999999</v>
      </c>
      <c r="G172" s="20">
        <f>表2_367162629303891213[[#This Row],[累计净值]]/$B$21-1</f>
        <v>8.7382523495300957E-2</v>
      </c>
    </row>
    <row r="173" spans="1:7" x14ac:dyDescent="0.2">
      <c r="A173" s="15">
        <v>44056</v>
      </c>
      <c r="B173" s="112">
        <v>1.0886</v>
      </c>
      <c r="C173" s="108">
        <f t="shared" si="44"/>
        <v>1.0000000000001119E-3</v>
      </c>
      <c r="D173" s="109" t="str">
        <f t="shared" si="45"/>
        <v>/</v>
      </c>
      <c r="E173" s="109">
        <f ca="1">IF(表2_367162629303891213[[#This Row],[累计净值]]/MAX(INDIRECT("B21:B" &amp; ROW()))-1&lt;E172,表2_367162629303891213[[#This Row],[累计净值]]/MAX(INDIRECT("B21:B" &amp; ROW()))-1,E172)</f>
        <v>-1.8595450049455953E-2</v>
      </c>
      <c r="F173" s="110">
        <f>表2_367162629303891213[[#This Row],[累计净值]]</f>
        <v>1.0886</v>
      </c>
      <c r="G173" s="20">
        <f>表2_367162629303891213[[#This Row],[累计净值]]/$B$21-1</f>
        <v>8.8382323535292961E-2</v>
      </c>
    </row>
    <row r="174" spans="1:7" x14ac:dyDescent="0.2">
      <c r="A174" s="15">
        <v>44057</v>
      </c>
      <c r="B174" s="112">
        <v>1.0879000000000001</v>
      </c>
      <c r="C174" s="108">
        <f t="shared" si="44"/>
        <v>-6.9999999999992291E-4</v>
      </c>
      <c r="D174" s="109">
        <f t="shared" si="45"/>
        <v>-6.9999999999992291E-4</v>
      </c>
      <c r="E174" s="109">
        <f ca="1">IF(表2_367162629303891213[[#This Row],[累计净值]]/MAX(INDIRECT("B21:B" &amp; ROW()))-1&lt;E173,表2_367162629303891213[[#This Row],[累计净值]]/MAX(INDIRECT("B21:B" &amp; ROW()))-1,E173)</f>
        <v>-1.8595450049455953E-2</v>
      </c>
      <c r="F174" s="110">
        <f>表2_367162629303891213[[#This Row],[累计净值]]</f>
        <v>1.0879000000000001</v>
      </c>
      <c r="G174" s="20">
        <f>表2_367162629303891213[[#This Row],[累计净值]]/$B$21-1</f>
        <v>8.768246350729858E-2</v>
      </c>
    </row>
    <row r="175" spans="1:7" x14ac:dyDescent="0.2">
      <c r="A175" s="15">
        <v>44060</v>
      </c>
      <c r="B175" s="112">
        <v>1.0892999999999999</v>
      </c>
      <c r="C175" s="108">
        <f t="shared" si="44"/>
        <v>1.3999999999998458E-3</v>
      </c>
      <c r="D175" s="109" t="str">
        <f t="shared" si="45"/>
        <v>/</v>
      </c>
      <c r="E175" s="109">
        <f ca="1">IF(表2_367162629303891213[[#This Row],[累计净值]]/MAX(INDIRECT("B21:B" &amp; ROW()))-1&lt;E174,表2_367162629303891213[[#This Row],[累计净值]]/MAX(INDIRECT("B21:B" &amp; ROW()))-1,E174)</f>
        <v>-1.8595450049455953E-2</v>
      </c>
      <c r="F175" s="110">
        <f>表2_367162629303891213[[#This Row],[累计净值]]</f>
        <v>1.0892999999999999</v>
      </c>
      <c r="G175" s="20">
        <f>表2_367162629303891213[[#This Row],[累计净值]]/$B$21-1</f>
        <v>8.9082183563287343E-2</v>
      </c>
    </row>
    <row r="176" spans="1:7" x14ac:dyDescent="0.2">
      <c r="A176" s="15">
        <v>44061</v>
      </c>
      <c r="B176" s="112">
        <v>1.0904</v>
      </c>
      <c r="C176" s="108">
        <f t="shared" ref="C176:C181" si="46">IFERROR(B176-B175,0)</f>
        <v>1.1000000000001009E-3</v>
      </c>
      <c r="D176" s="109" t="str">
        <f t="shared" ref="D176:D181" si="47">IF(C176&lt;0,C176,"/")</f>
        <v>/</v>
      </c>
      <c r="E176" s="109">
        <f ca="1">IF(表2_367162629303891213[[#This Row],[累计净值]]/MAX(INDIRECT("B21:B" &amp; ROW()))-1&lt;E175,表2_367162629303891213[[#This Row],[累计净值]]/MAX(INDIRECT("B21:B" &amp; ROW()))-1,E175)</f>
        <v>-1.8595450049455953E-2</v>
      </c>
      <c r="F176" s="110">
        <f>表2_367162629303891213[[#This Row],[累计净值]]</f>
        <v>1.0904</v>
      </c>
      <c r="G176" s="20">
        <f>表2_367162629303891213[[#This Row],[累计净值]]/$B$21-1</f>
        <v>9.0181963607278703E-2</v>
      </c>
    </row>
    <row r="177" spans="1:7" x14ac:dyDescent="0.2">
      <c r="A177" s="15">
        <v>44062</v>
      </c>
      <c r="B177" s="112">
        <v>1.0921000000000001</v>
      </c>
      <c r="C177" s="108">
        <f t="shared" si="46"/>
        <v>1.7000000000000348E-3</v>
      </c>
      <c r="D177" s="109" t="str">
        <f t="shared" si="47"/>
        <v>/</v>
      </c>
      <c r="E177" s="109">
        <f ca="1">IF(表2_367162629303891213[[#This Row],[累计净值]]/MAX(INDIRECT("B21:B" &amp; ROW()))-1&lt;E176,表2_367162629303891213[[#This Row],[累计净值]]/MAX(INDIRECT("B21:B" &amp; ROW()))-1,E176)</f>
        <v>-1.8595450049455953E-2</v>
      </c>
      <c r="F177" s="110">
        <f>表2_367162629303891213[[#This Row],[累计净值]]</f>
        <v>1.0921000000000001</v>
      </c>
      <c r="G177" s="20">
        <f>表2_367162629303891213[[#This Row],[累计净值]]/$B$21-1</f>
        <v>9.1881623675265089E-2</v>
      </c>
    </row>
    <row r="178" spans="1:7" x14ac:dyDescent="0.2">
      <c r="A178" s="15">
        <v>44063</v>
      </c>
      <c r="B178" s="112">
        <v>1.0924</v>
      </c>
      <c r="C178" s="108">
        <f t="shared" si="46"/>
        <v>2.9999999999996696E-4</v>
      </c>
      <c r="D178" s="109" t="str">
        <f t="shared" si="47"/>
        <v>/</v>
      </c>
      <c r="E178" s="109">
        <f ca="1">IF(表2_367162629303891213[[#This Row],[累计净值]]/MAX(INDIRECT("B21:B" &amp; ROW()))-1&lt;E177,表2_367162629303891213[[#This Row],[累计净值]]/MAX(INDIRECT("B21:B" &amp; ROW()))-1,E177)</f>
        <v>-1.8595450049455953E-2</v>
      </c>
      <c r="F178" s="110">
        <f>表2_367162629303891213[[#This Row],[累计净值]]</f>
        <v>1.0924</v>
      </c>
      <c r="G178" s="20">
        <f>表2_367162629303891213[[#This Row],[累计净值]]/$B$21-1</f>
        <v>9.2181563687262713E-2</v>
      </c>
    </row>
    <row r="179" spans="1:7" x14ac:dyDescent="0.2">
      <c r="A179" s="15">
        <v>44064</v>
      </c>
      <c r="B179" s="112">
        <v>1.0998000000000001</v>
      </c>
      <c r="C179" s="108">
        <f t="shared" si="46"/>
        <v>7.4000000000000732E-3</v>
      </c>
      <c r="D179" s="109" t="str">
        <f t="shared" si="47"/>
        <v>/</v>
      </c>
      <c r="E179" s="109">
        <f ca="1">IF(表2_367162629303891213[[#This Row],[累计净值]]/MAX(INDIRECT("B21:B" &amp; ROW()))-1&lt;E178,表2_367162629303891213[[#This Row],[累计净值]]/MAX(INDIRECT("B21:B" &amp; ROW()))-1,E178)</f>
        <v>-1.8595450049455953E-2</v>
      </c>
      <c r="F179" s="110">
        <f>表2_367162629303891213[[#This Row],[累计净值]]</f>
        <v>1.0998000000000001</v>
      </c>
      <c r="G179" s="20">
        <f>表2_367162629303891213[[#This Row],[累计净值]]/$B$21-1</f>
        <v>9.9580083983203505E-2</v>
      </c>
    </row>
    <row r="180" spans="1:7" x14ac:dyDescent="0.2">
      <c r="A180" s="15">
        <v>44067</v>
      </c>
      <c r="B180" s="112">
        <v>1.1020000000000001</v>
      </c>
      <c r="C180" s="108">
        <f t="shared" si="46"/>
        <v>2.1999999999999797E-3</v>
      </c>
      <c r="D180" s="109" t="str">
        <f t="shared" si="47"/>
        <v>/</v>
      </c>
      <c r="E180" s="109">
        <f ca="1">IF(表2_367162629303891213[[#This Row],[累计净值]]/MAX(INDIRECT("B21:B" &amp; ROW()))-1&lt;E179,表2_367162629303891213[[#This Row],[累计净值]]/MAX(INDIRECT("B21:B" &amp; ROW()))-1,E179)</f>
        <v>-1.8595450049455953E-2</v>
      </c>
      <c r="F180" s="110">
        <f>表2_367162629303891213[[#This Row],[累计净值]]</f>
        <v>1.1020000000000001</v>
      </c>
      <c r="G180" s="20">
        <f>表2_367162629303891213[[#This Row],[累计净值]]/$B$21-1</f>
        <v>0.10177964407118578</v>
      </c>
    </row>
    <row r="181" spans="1:7" x14ac:dyDescent="0.2">
      <c r="A181" s="15">
        <v>44068</v>
      </c>
      <c r="B181" s="112">
        <v>1.1033999999999999</v>
      </c>
      <c r="C181" s="108">
        <f t="shared" si="46"/>
        <v>1.3999999999998458E-3</v>
      </c>
      <c r="D181" s="109" t="str">
        <f t="shared" si="47"/>
        <v>/</v>
      </c>
      <c r="E181" s="109">
        <f ca="1">IF(表2_367162629303891213[[#This Row],[累计净值]]/MAX(INDIRECT("B21:B" &amp; ROW()))-1&lt;E180,表2_367162629303891213[[#This Row],[累计净值]]/MAX(INDIRECT("B21:B" &amp; ROW()))-1,E180)</f>
        <v>-1.8595450049455953E-2</v>
      </c>
      <c r="F181" s="110">
        <f>表2_367162629303891213[[#This Row],[累计净值]]</f>
        <v>1.1033999999999999</v>
      </c>
      <c r="G181" s="20">
        <f>表2_367162629303891213[[#This Row],[累计净值]]/$B$21-1</f>
        <v>0.10317936412717454</v>
      </c>
    </row>
    <row r="182" spans="1:7" x14ac:dyDescent="0.2">
      <c r="A182" s="15">
        <v>44069</v>
      </c>
      <c r="B182" s="112">
        <v>1.0974999999999999</v>
      </c>
      <c r="C182" s="108">
        <f t="shared" ref="C182:C187" si="48">IFERROR(B182-B181,0)</f>
        <v>-5.9000000000000163E-3</v>
      </c>
      <c r="D182" s="109">
        <f t="shared" ref="D182:D187" si="49">IF(C182&lt;0,C182,"/")</f>
        <v>-5.9000000000000163E-3</v>
      </c>
      <c r="E182" s="109">
        <f ca="1">IF(表2_367162629303891213[[#This Row],[累计净值]]/MAX(INDIRECT("B21:B" &amp; ROW()))-1&lt;E181,表2_367162629303891213[[#This Row],[累计净值]]/MAX(INDIRECT("B21:B" &amp; ROW()))-1,E181)</f>
        <v>-1.8595450049455953E-2</v>
      </c>
      <c r="F182" s="110">
        <f>表2_367162629303891213[[#This Row],[累计净值]]</f>
        <v>1.0974999999999999</v>
      </c>
      <c r="G182" s="20">
        <f>表2_367162629303891213[[#This Row],[累计净值]]/$B$21-1</f>
        <v>9.7280543891221649E-2</v>
      </c>
    </row>
    <row r="183" spans="1:7" x14ac:dyDescent="0.2">
      <c r="A183" s="15">
        <v>44070</v>
      </c>
      <c r="B183" s="112">
        <v>1.0966</v>
      </c>
      <c r="C183" s="108">
        <f t="shared" si="48"/>
        <v>-8.9999999999990088E-4</v>
      </c>
      <c r="D183" s="109">
        <f t="shared" si="49"/>
        <v>-8.9999999999990088E-4</v>
      </c>
      <c r="E183" s="109">
        <f ca="1">IF(表2_367162629303891213[[#This Row],[累计净值]]/MAX(INDIRECT("B21:B" &amp; ROW()))-1&lt;E182,表2_367162629303891213[[#This Row],[累计净值]]/MAX(INDIRECT("B21:B" &amp; ROW()))-1,E182)</f>
        <v>-1.8595450049455953E-2</v>
      </c>
      <c r="F183" s="110">
        <f>表2_367162629303891213[[#This Row],[累计净值]]</f>
        <v>1.0966</v>
      </c>
      <c r="G183" s="20">
        <f>表2_367162629303891213[[#This Row],[累计净值]]/$B$21-1</f>
        <v>9.6380723855229E-2</v>
      </c>
    </row>
    <row r="184" spans="1:7" x14ac:dyDescent="0.2">
      <c r="A184" s="15">
        <v>44071</v>
      </c>
      <c r="B184" s="112">
        <v>1.0926</v>
      </c>
      <c r="C184" s="108">
        <f t="shared" si="48"/>
        <v>-4.0000000000000036E-3</v>
      </c>
      <c r="D184" s="109">
        <f t="shared" si="49"/>
        <v>-4.0000000000000036E-3</v>
      </c>
      <c r="E184" s="109">
        <f ca="1">IF(表2_367162629303891213[[#This Row],[累计净值]]/MAX(INDIRECT("B21:B" &amp; ROW()))-1&lt;E183,表2_367162629303891213[[#This Row],[累计净值]]/MAX(INDIRECT("B21:B" &amp; ROW()))-1,E183)</f>
        <v>-1.8595450049455953E-2</v>
      </c>
      <c r="F184" s="110">
        <f>表2_367162629303891213[[#This Row],[累计净值]]</f>
        <v>1.0926</v>
      </c>
      <c r="G184" s="20">
        <f>表2_367162629303891213[[#This Row],[累计净值]]/$B$21-1</f>
        <v>9.2381523695260981E-2</v>
      </c>
    </row>
    <row r="185" spans="1:7" x14ac:dyDescent="0.2">
      <c r="A185" s="15">
        <v>44074</v>
      </c>
      <c r="B185" s="112">
        <v>1.0951</v>
      </c>
      <c r="C185" s="108">
        <f t="shared" si="48"/>
        <v>2.4999999999999467E-3</v>
      </c>
      <c r="D185" s="109" t="str">
        <f t="shared" si="49"/>
        <v>/</v>
      </c>
      <c r="E185" s="109">
        <f ca="1">IF(表2_367162629303891213[[#This Row],[累计净值]]/MAX(INDIRECT("B21:B" &amp; ROW()))-1&lt;E184,表2_367162629303891213[[#This Row],[累计净值]]/MAX(INDIRECT("B21:B" &amp; ROW()))-1,E184)</f>
        <v>-1.8595450049455953E-2</v>
      </c>
      <c r="F185" s="110">
        <f>表2_367162629303891213[[#This Row],[累计净值]]</f>
        <v>1.0951</v>
      </c>
      <c r="G185" s="20">
        <f>表2_367162629303891213[[#This Row],[累计净值]]/$B$21-1</f>
        <v>9.4881023795240882E-2</v>
      </c>
    </row>
    <row r="186" spans="1:7" x14ac:dyDescent="0.2">
      <c r="A186" s="15">
        <v>44075</v>
      </c>
      <c r="B186" s="112">
        <v>1.1001000000000001</v>
      </c>
      <c r="C186" s="108">
        <f t="shared" si="48"/>
        <v>5.0000000000001155E-3</v>
      </c>
      <c r="D186" s="109" t="str">
        <f t="shared" si="49"/>
        <v>/</v>
      </c>
      <c r="E186" s="109">
        <f ca="1">IF(表2_367162629303891213[[#This Row],[累计净值]]/MAX(INDIRECT("B21:B" &amp; ROW()))-1&lt;E185,表2_367162629303891213[[#This Row],[累计净值]]/MAX(INDIRECT("B21:B" &amp; ROW()))-1,E185)</f>
        <v>-1.8595450049455953E-2</v>
      </c>
      <c r="F186" s="110">
        <f>表2_367162629303891213[[#This Row],[累计净值]]</f>
        <v>1.1001000000000001</v>
      </c>
      <c r="G186" s="20">
        <f>表2_367162629303891213[[#This Row],[累计净值]]/$B$21-1</f>
        <v>9.9880023995201128E-2</v>
      </c>
    </row>
    <row r="187" spans="1:7" x14ac:dyDescent="0.2">
      <c r="A187" s="15">
        <v>44076</v>
      </c>
      <c r="B187" s="112">
        <v>1.1004</v>
      </c>
      <c r="C187" s="108">
        <f t="shared" si="48"/>
        <v>2.9999999999996696E-4</v>
      </c>
      <c r="D187" s="109" t="str">
        <f t="shared" si="49"/>
        <v>/</v>
      </c>
      <c r="E187" s="109">
        <f ca="1">IF(表2_367162629303891213[[#This Row],[累计净值]]/MAX(INDIRECT("B21:B" &amp; ROW()))-1&lt;E186,表2_367162629303891213[[#This Row],[累计净值]]/MAX(INDIRECT("B21:B" &amp; ROW()))-1,E186)</f>
        <v>-1.8595450049455953E-2</v>
      </c>
      <c r="F187" s="110">
        <f>表2_367162629303891213[[#This Row],[累计净值]]</f>
        <v>1.1004</v>
      </c>
      <c r="G187" s="20">
        <f>表2_367162629303891213[[#This Row],[累计净值]]/$B$21-1</f>
        <v>0.10017996400719853</v>
      </c>
    </row>
    <row r="188" spans="1:7" x14ac:dyDescent="0.2">
      <c r="A188" s="15">
        <v>44077</v>
      </c>
      <c r="B188" s="112">
        <v>1.1042000000000001</v>
      </c>
      <c r="C188" s="108">
        <f t="shared" ref="C188:C194" si="50">IFERROR(B188-B187,0)</f>
        <v>3.8000000000000256E-3</v>
      </c>
      <c r="D188" s="109" t="str">
        <f t="shared" ref="D188:D194" si="51">IF(C188&lt;0,C188,"/")</f>
        <v>/</v>
      </c>
      <c r="E188" s="109">
        <f ca="1">IF(表2_367162629303891213[[#This Row],[累计净值]]/MAX(INDIRECT("B21:B" &amp; ROW()))-1&lt;E187,表2_367162629303891213[[#This Row],[累计净值]]/MAX(INDIRECT("B21:B" &amp; ROW()))-1,E187)</f>
        <v>-1.8595450049455953E-2</v>
      </c>
      <c r="F188" s="110">
        <f>表2_367162629303891213[[#This Row],[累计净值]]</f>
        <v>1.1042000000000001</v>
      </c>
      <c r="G188" s="20">
        <f>表2_367162629303891213[[#This Row],[累计净值]]/$B$21-1</f>
        <v>0.10397920415916828</v>
      </c>
    </row>
    <row r="189" spans="1:7" x14ac:dyDescent="0.2">
      <c r="A189" s="15">
        <v>44078</v>
      </c>
      <c r="B189" s="112">
        <v>1.1016999999999999</v>
      </c>
      <c r="C189" s="108">
        <f t="shared" si="50"/>
        <v>-2.5000000000001688E-3</v>
      </c>
      <c r="D189" s="109">
        <f t="shared" si="51"/>
        <v>-2.5000000000001688E-3</v>
      </c>
      <c r="E189" s="109">
        <f ca="1">IF(表2_367162629303891213[[#This Row],[累计净值]]/MAX(INDIRECT("B21:B" &amp; ROW()))-1&lt;E188,表2_367162629303891213[[#This Row],[累计净值]]/MAX(INDIRECT("B21:B" &amp; ROW()))-1,E188)</f>
        <v>-1.8595450049455953E-2</v>
      </c>
      <c r="F189" s="110">
        <f>表2_367162629303891213[[#This Row],[累计净值]]</f>
        <v>1.1016999999999999</v>
      </c>
      <c r="G189" s="20">
        <f>表2_367162629303891213[[#This Row],[累计净值]]/$B$21-1</f>
        <v>0.10147970405918816</v>
      </c>
    </row>
    <row r="190" spans="1:7" x14ac:dyDescent="0.2">
      <c r="A190" s="15">
        <v>44081</v>
      </c>
      <c r="B190" s="112">
        <v>1.0949</v>
      </c>
      <c r="C190" s="108">
        <f t="shared" si="50"/>
        <v>-6.7999999999999172E-3</v>
      </c>
      <c r="D190" s="109">
        <f t="shared" si="51"/>
        <v>-6.7999999999999172E-3</v>
      </c>
      <c r="E190" s="109">
        <f ca="1">IF(表2_367162629303891213[[#This Row],[累计净值]]/MAX(INDIRECT("B21:B" &amp; ROW()))-1&lt;E189,表2_367162629303891213[[#This Row],[累计净值]]/MAX(INDIRECT("B21:B" &amp; ROW()))-1,E189)</f>
        <v>-1.8595450049455953E-2</v>
      </c>
      <c r="F190" s="110">
        <f>表2_367162629303891213[[#This Row],[累计净值]]</f>
        <v>1.0949</v>
      </c>
      <c r="G190" s="20">
        <f>表2_367162629303891213[[#This Row],[累计净值]]/$B$21-1</f>
        <v>9.4681063787242614E-2</v>
      </c>
    </row>
    <row r="191" spans="1:7" x14ac:dyDescent="0.2">
      <c r="A191" s="15">
        <v>44082</v>
      </c>
      <c r="B191" s="112">
        <v>1.0889</v>
      </c>
      <c r="C191" s="108">
        <f t="shared" si="50"/>
        <v>-6.0000000000000053E-3</v>
      </c>
      <c r="D191" s="109">
        <f t="shared" si="51"/>
        <v>-6.0000000000000053E-3</v>
      </c>
      <c r="E191" s="109">
        <f ca="1">IF(表2_367162629303891213[[#This Row],[累计净值]]/MAX(INDIRECT("B21:B" &amp; ROW()))-1&lt;E190,表2_367162629303891213[[#This Row],[累计净值]]/MAX(INDIRECT("B21:B" &amp; ROW()))-1,E190)</f>
        <v>-1.8595450049455953E-2</v>
      </c>
      <c r="F191" s="110">
        <f>表2_367162629303891213[[#This Row],[累计净值]]</f>
        <v>1.0889</v>
      </c>
      <c r="G191" s="20">
        <f>表2_367162629303891213[[#This Row],[累计净值]]/$B$21-1</f>
        <v>8.8682263547290585E-2</v>
      </c>
    </row>
    <row r="192" spans="1:7" x14ac:dyDescent="0.2">
      <c r="A192" s="15">
        <v>44083</v>
      </c>
      <c r="B192" s="112">
        <v>1.0831</v>
      </c>
      <c r="C192" s="108">
        <f t="shared" si="50"/>
        <v>-5.8000000000000274E-3</v>
      </c>
      <c r="D192" s="109">
        <f t="shared" si="51"/>
        <v>-5.8000000000000274E-3</v>
      </c>
      <c r="E192" s="109">
        <f ca="1">IF(表2_367162629303891213[[#This Row],[累计净值]]/MAX(INDIRECT("B21:B" &amp; ROW()))-1&lt;E191,表2_367162629303891213[[#This Row],[累计净值]]/MAX(INDIRECT("B21:B" &amp; ROW()))-1,E191)</f>
        <v>-1.9108857091106768E-2</v>
      </c>
      <c r="F192" s="110">
        <f>表2_367162629303891213[[#This Row],[累计净值]]</f>
        <v>1.0831</v>
      </c>
      <c r="G192" s="20">
        <f>表2_367162629303891213[[#This Row],[累计净值]]/$B$21-1</f>
        <v>8.2883423315336824E-2</v>
      </c>
    </row>
    <row r="193" spans="1:7" x14ac:dyDescent="0.2">
      <c r="A193" s="15">
        <v>44084</v>
      </c>
      <c r="B193" s="112">
        <v>1.0781000000000001</v>
      </c>
      <c r="C193" s="108">
        <f t="shared" si="50"/>
        <v>-4.9999999999998934E-3</v>
      </c>
      <c r="D193" s="109">
        <f t="shared" si="51"/>
        <v>-4.9999999999998934E-3</v>
      </c>
      <c r="E193" s="109">
        <f ca="1">IF(表2_367162629303891213[[#This Row],[累计净值]]/MAX(INDIRECT("B21:B" &amp; ROW()))-1&lt;E192,表2_367162629303891213[[#This Row],[累计净值]]/MAX(INDIRECT("B21:B" &amp; ROW()))-1,E192)</f>
        <v>-2.3637022278572783E-2</v>
      </c>
      <c r="F193" s="110">
        <f>表2_367162629303891213[[#This Row],[累计净值]]</f>
        <v>1.0781000000000001</v>
      </c>
      <c r="G193" s="20">
        <f>表2_367162629303891213[[#This Row],[累计净值]]/$B$21-1</f>
        <v>7.7884423115377022E-2</v>
      </c>
    </row>
    <row r="194" spans="1:7" x14ac:dyDescent="0.2">
      <c r="A194" s="15">
        <v>44085</v>
      </c>
      <c r="B194" s="112">
        <v>1.0831</v>
      </c>
      <c r="C194" s="108">
        <f t="shared" si="50"/>
        <v>4.9999999999998934E-3</v>
      </c>
      <c r="D194" s="109" t="str">
        <f t="shared" si="51"/>
        <v>/</v>
      </c>
      <c r="E194" s="109">
        <f ca="1">IF(表2_367162629303891213[[#This Row],[累计净值]]/MAX(INDIRECT("B21:B" &amp; ROW()))-1&lt;E193,表2_367162629303891213[[#This Row],[累计净值]]/MAX(INDIRECT("B21:B" &amp; ROW()))-1,E193)</f>
        <v>-2.3637022278572783E-2</v>
      </c>
      <c r="F194" s="110">
        <f>表2_367162629303891213[[#This Row],[累计净值]]</f>
        <v>1.0831</v>
      </c>
      <c r="G194" s="20">
        <f>表2_367162629303891213[[#This Row],[累计净值]]/$B$21-1</f>
        <v>8.2883423315336824E-2</v>
      </c>
    </row>
    <row r="195" spans="1:7" x14ac:dyDescent="0.2">
      <c r="A195" s="15">
        <v>44088</v>
      </c>
      <c r="B195" s="112">
        <v>1.0880000000000001</v>
      </c>
      <c r="C195" s="108">
        <f t="shared" ref="C195:C201" si="52">IFERROR(B195-B194,0)</f>
        <v>4.9000000000001265E-3</v>
      </c>
      <c r="D195" s="109" t="str">
        <f t="shared" ref="D195:D201" si="53">IF(C195&lt;0,C195,"/")</f>
        <v>/</v>
      </c>
      <c r="E195" s="109">
        <f ca="1">IF(表2_367162629303891213[[#This Row],[累计净值]]/MAX(INDIRECT("B21:B" &amp; ROW()))-1&lt;E194,表2_367162629303891213[[#This Row],[累计净值]]/MAX(INDIRECT("B21:B" &amp; ROW()))-1,E194)</f>
        <v>-2.3637022278572783E-2</v>
      </c>
      <c r="F195" s="110">
        <f>表2_367162629303891213[[#This Row],[累计净值]]</f>
        <v>1.0880000000000001</v>
      </c>
      <c r="G195" s="20">
        <f>表2_367162629303891213[[#This Row],[累计净值]]/$B$21-1</f>
        <v>8.7782443511297936E-2</v>
      </c>
    </row>
    <row r="196" spans="1:7" x14ac:dyDescent="0.2">
      <c r="A196" s="15">
        <v>44089</v>
      </c>
      <c r="B196" s="112">
        <v>1.087</v>
      </c>
      <c r="C196" s="108">
        <f t="shared" si="52"/>
        <v>-1.0000000000001119E-3</v>
      </c>
      <c r="D196" s="109">
        <f t="shared" si="53"/>
        <v>-1.0000000000001119E-3</v>
      </c>
      <c r="E196" s="109">
        <f ca="1">IF(表2_367162629303891213[[#This Row],[累计净值]]/MAX(INDIRECT("B21:B" &amp; ROW()))-1&lt;E195,表2_367162629303891213[[#This Row],[累计净值]]/MAX(INDIRECT("B21:B" &amp; ROW()))-1,E195)</f>
        <v>-2.3637022278572783E-2</v>
      </c>
      <c r="F196" s="110">
        <f>表2_367162629303891213[[#This Row],[累计净值]]</f>
        <v>1.087</v>
      </c>
      <c r="G196" s="20">
        <f>表2_367162629303891213[[#This Row],[累计净值]]/$B$21-1</f>
        <v>8.6782643471305709E-2</v>
      </c>
    </row>
    <row r="197" spans="1:7" x14ac:dyDescent="0.2">
      <c r="A197" s="15">
        <v>44090</v>
      </c>
      <c r="B197" s="112">
        <v>1.0854999999999999</v>
      </c>
      <c r="C197" s="108">
        <f t="shared" si="52"/>
        <v>-1.5000000000000568E-3</v>
      </c>
      <c r="D197" s="109">
        <f t="shared" si="53"/>
        <v>-1.5000000000000568E-3</v>
      </c>
      <c r="E197" s="109">
        <f ca="1">IF(表2_367162629303891213[[#This Row],[累计净值]]/MAX(INDIRECT("B21:B" &amp; ROW()))-1&lt;E196,表2_367162629303891213[[#This Row],[累计净值]]/MAX(INDIRECT("B21:B" &amp; ROW()))-1,E196)</f>
        <v>-2.3637022278572783E-2</v>
      </c>
      <c r="F197" s="110">
        <f>表2_367162629303891213[[#This Row],[累计净值]]</f>
        <v>1.0854999999999999</v>
      </c>
      <c r="G197" s="20">
        <f>表2_367162629303891213[[#This Row],[累计净值]]/$B$21-1</f>
        <v>8.5282943411317591E-2</v>
      </c>
    </row>
    <row r="198" spans="1:7" x14ac:dyDescent="0.2">
      <c r="A198" s="15">
        <v>44091</v>
      </c>
      <c r="B198" s="112">
        <v>1.0767</v>
      </c>
      <c r="C198" s="108">
        <f t="shared" si="52"/>
        <v>-8.799999999999919E-3</v>
      </c>
      <c r="D198" s="109">
        <f t="shared" si="53"/>
        <v>-8.799999999999919E-3</v>
      </c>
      <c r="E198" s="109">
        <f ca="1">IF(表2_367162629303891213[[#This Row],[累计净值]]/MAX(INDIRECT("B21:B" &amp; ROW()))-1&lt;E197,表2_367162629303891213[[#This Row],[累计净值]]/MAX(INDIRECT("B21:B" &amp; ROW()))-1,E197)</f>
        <v>-2.4904908531063308E-2</v>
      </c>
      <c r="F198" s="110">
        <f>表2_367162629303891213[[#This Row],[累计净值]]</f>
        <v>1.0767</v>
      </c>
      <c r="G198" s="20">
        <f>表2_367162629303891213[[#This Row],[累计净值]]/$B$21-1</f>
        <v>7.6484703059388037E-2</v>
      </c>
    </row>
    <row r="199" spans="1:7" x14ac:dyDescent="0.2">
      <c r="A199" s="15">
        <v>44092</v>
      </c>
      <c r="B199" s="112">
        <v>1.0782</v>
      </c>
      <c r="C199" s="108">
        <f t="shared" si="52"/>
        <v>1.5000000000000568E-3</v>
      </c>
      <c r="D199" s="109" t="str">
        <f t="shared" si="53"/>
        <v>/</v>
      </c>
      <c r="E199" s="109">
        <f ca="1">IF(表2_367162629303891213[[#This Row],[累计净值]]/MAX(INDIRECT("B21:B" &amp; ROW()))-1&lt;E198,表2_367162629303891213[[#This Row],[累计净值]]/MAX(INDIRECT("B21:B" &amp; ROW()))-1,E198)</f>
        <v>-2.4904908531063308E-2</v>
      </c>
      <c r="F199" s="110">
        <f>表2_367162629303891213[[#This Row],[累计净值]]</f>
        <v>1.0782</v>
      </c>
      <c r="G199" s="20">
        <f>表2_367162629303891213[[#This Row],[累计净值]]/$B$21-1</f>
        <v>7.7984403119376156E-2</v>
      </c>
    </row>
    <row r="200" spans="1:7" x14ac:dyDescent="0.2">
      <c r="A200" s="15">
        <v>44095</v>
      </c>
      <c r="B200" s="112">
        <v>1.0815999999999999</v>
      </c>
      <c r="C200" s="108">
        <f t="shared" si="52"/>
        <v>3.3999999999998476E-3</v>
      </c>
      <c r="D200" s="109" t="str">
        <f t="shared" si="53"/>
        <v>/</v>
      </c>
      <c r="E200" s="109">
        <f ca="1">IF(表2_367162629303891213[[#This Row],[累计净值]]/MAX(INDIRECT("B21:B" &amp; ROW()))-1&lt;E199,表2_367162629303891213[[#This Row],[累计净值]]/MAX(INDIRECT("B21:B" &amp; ROW()))-1,E199)</f>
        <v>-2.4904908531063308E-2</v>
      </c>
      <c r="F200" s="110">
        <f>表2_367162629303891213[[#This Row],[累计净值]]</f>
        <v>1.0815999999999999</v>
      </c>
      <c r="G200" s="20">
        <f>表2_367162629303891213[[#This Row],[累计净值]]/$B$21-1</f>
        <v>8.1383723255348928E-2</v>
      </c>
    </row>
    <row r="201" spans="1:7" x14ac:dyDescent="0.2">
      <c r="A201" s="15">
        <v>44096</v>
      </c>
      <c r="B201" s="112">
        <v>1.0786</v>
      </c>
      <c r="C201" s="108">
        <f t="shared" si="52"/>
        <v>-2.9999999999998916E-3</v>
      </c>
      <c r="D201" s="109">
        <f t="shared" si="53"/>
        <v>-2.9999999999998916E-3</v>
      </c>
      <c r="E201" s="109">
        <f ca="1">IF(表2_367162629303891213[[#This Row],[累计净值]]/MAX(INDIRECT("B21:B" &amp; ROW()))-1&lt;E200,表2_367162629303891213[[#This Row],[累计净值]]/MAX(INDIRECT("B21:B" &amp; ROW()))-1,E200)</f>
        <v>-2.4904908531063308E-2</v>
      </c>
      <c r="F201" s="110">
        <f>表2_367162629303891213[[#This Row],[累计净值]]</f>
        <v>1.0786</v>
      </c>
      <c r="G201" s="20">
        <f>表2_367162629303891213[[#This Row],[累计净值]]/$B$21-1</f>
        <v>7.8384323135372913E-2</v>
      </c>
    </row>
    <row r="202" spans="1:7" x14ac:dyDescent="0.2">
      <c r="A202" s="15">
        <v>44097</v>
      </c>
      <c r="B202" s="112">
        <v>1.0763</v>
      </c>
      <c r="C202" s="108">
        <f>IFERROR(B202-B201,0)</f>
        <v>-2.2999999999999687E-3</v>
      </c>
      <c r="D202" s="109">
        <f>IF(C202&lt;0,C202,"/")</f>
        <v>-2.2999999999999687E-3</v>
      </c>
      <c r="E202" s="109">
        <f ca="1">IF(表2_367162629303891213[[#This Row],[累计净值]]/MAX(INDIRECT("B21:B" &amp; ROW()))-1&lt;E201,表2_367162629303891213[[#This Row],[累计净值]]/MAX(INDIRECT("B21:B" &amp; ROW()))-1,E201)</f>
        <v>-2.5267161746060474E-2</v>
      </c>
      <c r="F202" s="110">
        <f>表2_367162629303891213[[#This Row],[累计净值]]</f>
        <v>1.0763</v>
      </c>
      <c r="G202" s="20">
        <f>表2_367162629303891213[[#This Row],[累计净值]]/$B$21-1</f>
        <v>7.608478304339128E-2</v>
      </c>
    </row>
    <row r="203" spans="1:7" x14ac:dyDescent="0.2">
      <c r="A203" s="15">
        <v>44098</v>
      </c>
      <c r="B203" s="112">
        <v>1.073</v>
      </c>
      <c r="C203" s="108">
        <f t="shared" ref="C203:C204" si="54">IFERROR(B203-B202,0)</f>
        <v>-3.3000000000000806E-3</v>
      </c>
      <c r="D203" s="109">
        <f t="shared" ref="D203:D204" si="55">IF(C203&lt;0,C203,"/")</f>
        <v>-3.3000000000000806E-3</v>
      </c>
      <c r="E203" s="109">
        <f ca="1">IF(表2_367162629303891213[[#This Row],[累计净值]]/MAX(INDIRECT("B21:B" &amp; ROW()))-1&lt;E202,表2_367162629303891213[[#This Row],[累计净值]]/MAX(INDIRECT("B21:B" &amp; ROW()))-1,E202)</f>
        <v>-2.8255750769788146E-2</v>
      </c>
      <c r="F203" s="110">
        <f>表2_367162629303891213[[#This Row],[累计净值]]</f>
        <v>1.073</v>
      </c>
      <c r="G203" s="20">
        <f>表2_367162629303891213[[#This Row],[累计净值]]/$B$21-1</f>
        <v>7.2785442911417642E-2</v>
      </c>
    </row>
    <row r="204" spans="1:7" x14ac:dyDescent="0.2">
      <c r="A204" s="15">
        <v>44099</v>
      </c>
      <c r="B204" s="112">
        <v>1.0712999999999999</v>
      </c>
      <c r="C204" s="108">
        <f t="shared" si="54"/>
        <v>-1.7000000000000348E-3</v>
      </c>
      <c r="D204" s="109">
        <f t="shared" si="55"/>
        <v>-1.7000000000000348E-3</v>
      </c>
      <c r="E204" s="109">
        <f ca="1">IF(表2_367162629303891213[[#This Row],[累计净值]]/MAX(INDIRECT("B21:B" &amp; ROW()))-1&lt;E203,表2_367162629303891213[[#This Row],[累计净值]]/MAX(INDIRECT("B21:B" &amp; ROW()))-1,E203)</f>
        <v>-2.9795326933526711E-2</v>
      </c>
      <c r="F204" s="110">
        <f>表2_367162629303891213[[#This Row],[累计净值]]</f>
        <v>1.0712999999999999</v>
      </c>
      <c r="G204" s="20">
        <f>表2_367162629303891213[[#This Row],[累计净值]]/$B$21-1</f>
        <v>7.1085782843431256E-2</v>
      </c>
    </row>
    <row r="205" spans="1:7" x14ac:dyDescent="0.2">
      <c r="A205" s="15">
        <v>44102</v>
      </c>
      <c r="B205" s="112">
        <v>1.0689</v>
      </c>
      <c r="C205" s="108">
        <f t="shared" ref="C205:C210" si="56">IFERROR(B205-B204,0)</f>
        <v>-2.3999999999999577E-3</v>
      </c>
      <c r="D205" s="109">
        <f t="shared" ref="D205:D210" si="57">IF(C205&lt;0,C205,"/")</f>
        <v>-2.3999999999999577E-3</v>
      </c>
      <c r="E205" s="109">
        <f ca="1">IF(表2_367162629303891213[[#This Row],[累计净值]]/MAX(INDIRECT("B21:B" &amp; ROW()))-1&lt;E204,表2_367162629303891213[[#This Row],[累计净值]]/MAX(INDIRECT("B21:B" &amp; ROW()))-1,E204)</f>
        <v>-3.1968846223510372E-2</v>
      </c>
      <c r="F205" s="110">
        <f>表2_367162629303891213[[#This Row],[累计净值]]</f>
        <v>1.0689</v>
      </c>
      <c r="G205" s="20">
        <f>表2_367162629303891213[[#This Row],[累计净值]]/$B$21-1</f>
        <v>6.8686262747450488E-2</v>
      </c>
    </row>
    <row r="206" spans="1:7" x14ac:dyDescent="0.2">
      <c r="A206" s="15">
        <v>44103</v>
      </c>
      <c r="B206" s="112">
        <v>1.0668</v>
      </c>
      <c r="C206" s="108">
        <f t="shared" si="56"/>
        <v>-2.0999999999999908E-3</v>
      </c>
      <c r="D206" s="109">
        <f t="shared" si="57"/>
        <v>-2.0999999999999908E-3</v>
      </c>
      <c r="E206" s="109">
        <f ca="1">IF(表2_367162629303891213[[#This Row],[累计净值]]/MAX(INDIRECT("B21:B" &amp; ROW()))-1&lt;E205,表2_367162629303891213[[#This Row],[累计净值]]/MAX(INDIRECT("B21:B" &amp; ROW()))-1,E205)</f>
        <v>-3.3870675602246103E-2</v>
      </c>
      <c r="F206" s="110">
        <f>表2_367162629303891213[[#This Row],[累计净值]]</f>
        <v>1.0668</v>
      </c>
      <c r="G206" s="20">
        <f>表2_367162629303891213[[#This Row],[累计净值]]/$B$21-1</f>
        <v>6.6586682663467345E-2</v>
      </c>
    </row>
    <row r="207" spans="1:7" x14ac:dyDescent="0.2">
      <c r="A207" s="15">
        <v>44104</v>
      </c>
      <c r="B207" s="112">
        <v>1.0720000000000001</v>
      </c>
      <c r="C207" s="108">
        <f t="shared" si="56"/>
        <v>5.2000000000000934E-3</v>
      </c>
      <c r="D207" s="109" t="str">
        <f t="shared" si="57"/>
        <v>/</v>
      </c>
      <c r="E207" s="109">
        <f ca="1">IF(表2_367162629303891213[[#This Row],[累计净值]]/MAX(INDIRECT("B21:B" &amp; ROW()))-1&lt;E206,表2_367162629303891213[[#This Row],[累计净值]]/MAX(INDIRECT("B21:B" &amp; ROW()))-1,E206)</f>
        <v>-3.3870675602246103E-2</v>
      </c>
      <c r="F207" s="110">
        <f>表2_367162629303891213[[#This Row],[累计净值]]</f>
        <v>1.0720000000000001</v>
      </c>
      <c r="G207" s="20">
        <f>表2_367162629303891213[[#This Row],[累计净值]]/$B$21-1</f>
        <v>7.1785642871425859E-2</v>
      </c>
    </row>
    <row r="208" spans="1:7" x14ac:dyDescent="0.2">
      <c r="A208" s="15">
        <v>44113</v>
      </c>
      <c r="B208" s="112">
        <v>1.0740000000000001</v>
      </c>
      <c r="C208" s="108">
        <f t="shared" si="56"/>
        <v>2.0000000000000018E-3</v>
      </c>
      <c r="D208" s="109" t="str">
        <f t="shared" si="57"/>
        <v>/</v>
      </c>
      <c r="E208" s="109">
        <f ca="1">IF(表2_367162629303891213[[#This Row],[累计净值]]/MAX(INDIRECT("B21:B" &amp; ROW()))-1&lt;E207,表2_367162629303891213[[#This Row],[累计净值]]/MAX(INDIRECT("B21:B" &amp; ROW()))-1,E207)</f>
        <v>-3.3870675602246103E-2</v>
      </c>
      <c r="F208" s="110">
        <f>表2_367162629303891213[[#This Row],[累计净值]]</f>
        <v>1.0740000000000001</v>
      </c>
      <c r="G208" s="20">
        <f>表2_367162629303891213[[#This Row],[累计净值]]/$B$21-1</f>
        <v>7.3785242951409868E-2</v>
      </c>
    </row>
    <row r="209" spans="1:9" x14ac:dyDescent="0.2">
      <c r="A209" s="15">
        <v>44116</v>
      </c>
      <c r="B209" s="112">
        <v>1.075</v>
      </c>
      <c r="C209" s="108">
        <f t="shared" si="56"/>
        <v>9.9999999999988987E-4</v>
      </c>
      <c r="D209" s="109" t="str">
        <f t="shared" si="57"/>
        <v>/</v>
      </c>
      <c r="E209" s="109">
        <f ca="1">IF(表2_367162629303891213[[#This Row],[累计净值]]/MAX(INDIRECT("B21:B" &amp; ROW()))-1&lt;E208,表2_367162629303891213[[#This Row],[累计净值]]/MAX(INDIRECT("B21:B" &amp; ROW()))-1,E208)</f>
        <v>-3.3870675602246103E-2</v>
      </c>
      <c r="F209" s="110">
        <f>表2_367162629303891213[[#This Row],[累计净值]]</f>
        <v>1.075</v>
      </c>
      <c r="G209" s="20">
        <f>表2_367162629303891213[[#This Row],[累计净值]]/$B$21-1</f>
        <v>7.4785042991401651E-2</v>
      </c>
    </row>
    <row r="210" spans="1:9" x14ac:dyDescent="0.2">
      <c r="A210" s="15">
        <v>44117</v>
      </c>
      <c r="B210" s="112">
        <v>1.0759000000000001</v>
      </c>
      <c r="C210" s="108">
        <f t="shared" si="56"/>
        <v>9.0000000000012292E-4</v>
      </c>
      <c r="D210" s="109" t="str">
        <f t="shared" si="57"/>
        <v>/</v>
      </c>
      <c r="E210" s="109">
        <f ca="1">IF(表2_367162629303891213[[#This Row],[累计净值]]/MAX(INDIRECT("B21:B" &amp; ROW()))-1&lt;E209,表2_367162629303891213[[#This Row],[累计净值]]/MAX(INDIRECT("B21:B" &amp; ROW()))-1,E209)</f>
        <v>-3.3870675602246103E-2</v>
      </c>
      <c r="F210" s="110">
        <f>表2_367162629303891213[[#This Row],[累计净值]]</f>
        <v>1.0759000000000001</v>
      </c>
      <c r="G210" s="20">
        <f>表2_367162629303891213[[#This Row],[累计净值]]/$B$21-1</f>
        <v>7.5684863027394522E-2</v>
      </c>
    </row>
    <row r="211" spans="1:9" x14ac:dyDescent="0.2">
      <c r="A211" s="15">
        <v>44118</v>
      </c>
      <c r="B211" s="112">
        <v>1.0743</v>
      </c>
      <c r="C211" s="108">
        <f t="shared" ref="C211:C216" si="58">IFERROR(B211-B210,0)</f>
        <v>-1.6000000000000458E-3</v>
      </c>
      <c r="D211" s="109">
        <f t="shared" ref="D211:D216" si="59">IF(C211&lt;0,C211,"/")</f>
        <v>-1.6000000000000458E-3</v>
      </c>
      <c r="E211" s="109">
        <f ca="1">IF(表2_367162629303891213[[#This Row],[累计净值]]/MAX(INDIRECT("B21:B" &amp; ROW()))-1&lt;E210,表2_367162629303891213[[#This Row],[累计净值]]/MAX(INDIRECT("B21:B" &amp; ROW()))-1,E210)</f>
        <v>-3.3870675602246103E-2</v>
      </c>
      <c r="F211" s="110">
        <f>表2_367162629303891213[[#This Row],[累计净值]]</f>
        <v>1.0743</v>
      </c>
      <c r="G211" s="20">
        <f>表2_367162629303891213[[#This Row],[累计净值]]/$B$21-1</f>
        <v>7.408518296340727E-2</v>
      </c>
    </row>
    <row r="212" spans="1:9" x14ac:dyDescent="0.2">
      <c r="A212" s="15">
        <v>44119</v>
      </c>
      <c r="B212" s="112">
        <v>1.0737000000000001</v>
      </c>
      <c r="C212" s="108">
        <f t="shared" si="58"/>
        <v>-5.9999999999993392E-4</v>
      </c>
      <c r="D212" s="109">
        <f t="shared" si="59"/>
        <v>-5.9999999999993392E-4</v>
      </c>
      <c r="E212" s="109">
        <f ca="1">IF(表2_367162629303891213[[#This Row],[累计净值]]/MAX(INDIRECT("B21:B" &amp; ROW()))-1&lt;E211,表2_367162629303891213[[#This Row],[累计净值]]/MAX(INDIRECT("B21:B" &amp; ROW()))-1,E211)</f>
        <v>-3.3870675602246103E-2</v>
      </c>
      <c r="F212" s="110">
        <f>表2_367162629303891213[[#This Row],[累计净值]]</f>
        <v>1.0737000000000001</v>
      </c>
      <c r="G212" s="20">
        <f>表2_367162629303891213[[#This Row],[累计净值]]/$B$21-1</f>
        <v>7.3485302939412245E-2</v>
      </c>
    </row>
    <row r="213" spans="1:9" x14ac:dyDescent="0.2">
      <c r="A213" s="15">
        <v>44120</v>
      </c>
      <c r="B213" s="112">
        <v>1.0773999999999999</v>
      </c>
      <c r="C213" s="108">
        <f t="shared" si="58"/>
        <v>3.6999999999998145E-3</v>
      </c>
      <c r="D213" s="109" t="str">
        <f t="shared" si="59"/>
        <v>/</v>
      </c>
      <c r="E213" s="109">
        <f ca="1">IF(表2_367162629303891213[[#This Row],[累计净值]]/MAX(INDIRECT("B21:B" &amp; ROW()))-1&lt;E212,表2_367162629303891213[[#This Row],[累计净值]]/MAX(INDIRECT("B21:B" &amp; ROW()))-1,E212)</f>
        <v>-3.3870675602246103E-2</v>
      </c>
      <c r="F213" s="110">
        <f>表2_367162629303891213[[#This Row],[累计净值]]</f>
        <v>1.0773999999999999</v>
      </c>
      <c r="G213" s="20">
        <f>表2_367162629303891213[[#This Row],[累计净值]]/$B$21-1</f>
        <v>7.7184563087382418E-2</v>
      </c>
    </row>
    <row r="214" spans="1:9" x14ac:dyDescent="0.2">
      <c r="A214" s="15">
        <v>44123</v>
      </c>
      <c r="B214" s="112">
        <v>1.0820000000000001</v>
      </c>
      <c r="C214" s="108">
        <f t="shared" si="58"/>
        <v>4.6000000000001595E-3</v>
      </c>
      <c r="D214" s="109" t="str">
        <f t="shared" si="59"/>
        <v>/</v>
      </c>
      <c r="E214" s="109">
        <f ca="1">IF(表2_367162629303891213[[#This Row],[累计净值]]/MAX(INDIRECT("B21:B" &amp; ROW()))-1&lt;E213,表2_367162629303891213[[#This Row],[累计净值]]/MAX(INDIRECT("B21:B" &amp; ROW()))-1,E213)</f>
        <v>-3.3870675602246103E-2</v>
      </c>
      <c r="F214" s="110">
        <f>表2_367162629303891213[[#This Row],[累计净值]]</f>
        <v>1.0820000000000001</v>
      </c>
      <c r="G214" s="20">
        <f>表2_367162629303891213[[#This Row],[累计净值]]/$B$21-1</f>
        <v>8.1783643271345907E-2</v>
      </c>
    </row>
    <row r="215" spans="1:9" x14ac:dyDescent="0.2">
      <c r="A215" s="15">
        <v>44124</v>
      </c>
      <c r="B215" s="112">
        <v>1.0792999999999999</v>
      </c>
      <c r="C215" s="108">
        <f t="shared" si="58"/>
        <v>-2.7000000000001467E-3</v>
      </c>
      <c r="D215" s="109">
        <f t="shared" si="59"/>
        <v>-2.7000000000001467E-3</v>
      </c>
      <c r="E215" s="109">
        <f ca="1">IF(表2_367162629303891213[[#This Row],[累计净值]]/MAX(INDIRECT("B21:B" &amp; ROW()))-1&lt;E214,表2_367162629303891213[[#This Row],[累计净值]]/MAX(INDIRECT("B21:B" &amp; ROW()))-1,E214)</f>
        <v>-3.3870675602246103E-2</v>
      </c>
      <c r="F215" s="110">
        <f>表2_367162629303891213[[#This Row],[累计净值]]</f>
        <v>1.0792999999999999</v>
      </c>
      <c r="G215" s="20">
        <f>表2_367162629303891213[[#This Row],[累计净值]]/$B$21-1</f>
        <v>7.9084183163367294E-2</v>
      </c>
    </row>
    <row r="216" spans="1:9" x14ac:dyDescent="0.2">
      <c r="A216" s="15">
        <v>44125</v>
      </c>
      <c r="B216" s="112">
        <v>1.0769</v>
      </c>
      <c r="C216" s="108">
        <f t="shared" si="58"/>
        <v>-2.3999999999999577E-3</v>
      </c>
      <c r="D216" s="109">
        <f t="shared" si="59"/>
        <v>-2.3999999999999577E-3</v>
      </c>
      <c r="E216" s="109">
        <f ca="1">IF(表2_367162629303891213[[#This Row],[累计净值]]/MAX(INDIRECT("B21:B" &amp; ROW()))-1&lt;E215,表2_367162629303891213[[#This Row],[累计净值]]/MAX(INDIRECT("B21:B" &amp; ROW()))-1,E215)</f>
        <v>-3.3870675602246103E-2</v>
      </c>
      <c r="F216" s="110">
        <f>表2_367162629303891213[[#This Row],[累计净值]]</f>
        <v>1.0769</v>
      </c>
      <c r="G216" s="20">
        <f>表2_367162629303891213[[#This Row],[累计净值]]/$B$21-1</f>
        <v>7.6684663067386527E-2</v>
      </c>
    </row>
    <row r="217" spans="1:9" x14ac:dyDescent="0.2">
      <c r="A217" s="15">
        <v>44126</v>
      </c>
      <c r="B217" s="112">
        <v>1.0759000000000001</v>
      </c>
      <c r="C217" s="108">
        <f t="shared" ref="C217:C222" si="60">IFERROR(B217-B216,0)</f>
        <v>-9.9999999999988987E-4</v>
      </c>
      <c r="D217" s="109">
        <f t="shared" ref="D217:D222" si="61">IF(C217&lt;0,C217,"/")</f>
        <v>-9.9999999999988987E-4</v>
      </c>
      <c r="E217" s="109">
        <f ca="1">IF(表2_367162629303891213[[#This Row],[累计净值]]/MAX(INDIRECT("B21:B" &amp; ROW()))-1&lt;E216,表2_367162629303891213[[#This Row],[累计净值]]/MAX(INDIRECT("B21:B" &amp; ROW()))-1,E216)</f>
        <v>-3.3870675602246103E-2</v>
      </c>
      <c r="F217" s="110">
        <f>表2_367162629303891213[[#This Row],[累计净值]]</f>
        <v>1.0759000000000001</v>
      </c>
      <c r="G217" s="20">
        <f>表2_367162629303891213[[#This Row],[累计净值]]/$B$21-1</f>
        <v>7.5684863027394522E-2</v>
      </c>
    </row>
    <row r="218" spans="1:9" x14ac:dyDescent="0.2">
      <c r="A218" s="15">
        <v>44127</v>
      </c>
      <c r="B218" s="112">
        <v>1.0759000000000001</v>
      </c>
      <c r="C218" s="108">
        <f t="shared" si="60"/>
        <v>0</v>
      </c>
      <c r="D218" s="109" t="str">
        <f t="shared" si="61"/>
        <v>/</v>
      </c>
      <c r="E218" s="109">
        <f ca="1">IF(表2_367162629303891213[[#This Row],[累计净值]]/MAX(INDIRECT("B21:B" &amp; ROW()))-1&lt;E217,表2_367162629303891213[[#This Row],[累计净值]]/MAX(INDIRECT("B21:B" &amp; ROW()))-1,E217)</f>
        <v>-3.3870675602246103E-2</v>
      </c>
      <c r="F218" s="110">
        <f>表2_367162629303891213[[#This Row],[累计净值]]</f>
        <v>1.0759000000000001</v>
      </c>
      <c r="G218" s="20">
        <f>表2_367162629303891213[[#This Row],[累计净值]]/$B$21-1</f>
        <v>7.5684863027394522E-2</v>
      </c>
    </row>
    <row r="219" spans="1:9" x14ac:dyDescent="0.2">
      <c r="A219" s="15">
        <v>44130</v>
      </c>
      <c r="B219" s="112">
        <v>1.0780000000000001</v>
      </c>
      <c r="C219" s="108">
        <f t="shared" si="60"/>
        <v>2.0999999999999908E-3</v>
      </c>
      <c r="D219" s="109" t="str">
        <f t="shared" si="61"/>
        <v>/</v>
      </c>
      <c r="E219" s="109">
        <f ca="1">IF(表2_367162629303891213[[#This Row],[累计净值]]/MAX(INDIRECT("B21:B" &amp; ROW()))-1&lt;E218,表2_367162629303891213[[#This Row],[累计净值]]/MAX(INDIRECT("B21:B" &amp; ROW()))-1,E218)</f>
        <v>-3.3870675602246103E-2</v>
      </c>
      <c r="F219" s="110">
        <f>表2_367162629303891213[[#This Row],[累计净值]]</f>
        <v>1.0780000000000001</v>
      </c>
      <c r="G219" s="20">
        <f>表2_367162629303891213[[#This Row],[累计净值]]/$B$21-1</f>
        <v>7.7784443111377888E-2</v>
      </c>
      <c r="I219" s="60">
        <f>B218-B213</f>
        <v>-1.4999999999998348E-3</v>
      </c>
    </row>
    <row r="220" spans="1:9" x14ac:dyDescent="0.2">
      <c r="A220" s="15">
        <v>44131</v>
      </c>
      <c r="B220" s="112">
        <v>1.0804</v>
      </c>
      <c r="C220" s="108">
        <f t="shared" si="60"/>
        <v>2.3999999999999577E-3</v>
      </c>
      <c r="D220" s="109" t="str">
        <f t="shared" si="61"/>
        <v>/</v>
      </c>
      <c r="E220" s="109">
        <f ca="1">IF(表2_367162629303891213[[#This Row],[累计净值]]/MAX(INDIRECT("B21:B" &amp; ROW()))-1&lt;E219,表2_367162629303891213[[#This Row],[累计净值]]/MAX(INDIRECT("B21:B" &amp; ROW()))-1,E219)</f>
        <v>-3.3870675602246103E-2</v>
      </c>
      <c r="F220" s="110">
        <f>表2_367162629303891213[[#This Row],[累计净值]]</f>
        <v>1.0804</v>
      </c>
      <c r="G220" s="20">
        <f>表2_367162629303891213[[#This Row],[累计净值]]/$B$21-1</f>
        <v>8.0183963207358655E-2</v>
      </c>
    </row>
    <row r="221" spans="1:9" x14ac:dyDescent="0.2">
      <c r="A221" s="15">
        <v>44132</v>
      </c>
      <c r="B221" s="112">
        <v>1.0821000000000001</v>
      </c>
      <c r="C221" s="108">
        <f t="shared" si="60"/>
        <v>1.7000000000000348E-3</v>
      </c>
      <c r="D221" s="109" t="str">
        <f t="shared" si="61"/>
        <v>/</v>
      </c>
      <c r="E221" s="109">
        <f ca="1">IF(表2_367162629303891213[[#This Row],[累计净值]]/MAX(INDIRECT("B21:B" &amp; ROW()))-1&lt;E220,表2_367162629303891213[[#This Row],[累计净值]]/MAX(INDIRECT("B21:B" &amp; ROW()))-1,E220)</f>
        <v>-3.3870675602246103E-2</v>
      </c>
      <c r="F221" s="110">
        <f>表2_367162629303891213[[#This Row],[累计净值]]</f>
        <v>1.0821000000000001</v>
      </c>
      <c r="G221" s="20">
        <f>表2_367162629303891213[[#This Row],[累计净值]]/$B$21-1</f>
        <v>8.1883623275345041E-2</v>
      </c>
    </row>
    <row r="222" spans="1:9" x14ac:dyDescent="0.2">
      <c r="A222" s="15">
        <v>44133</v>
      </c>
      <c r="B222" s="112">
        <v>1.0788</v>
      </c>
      <c r="C222" s="108">
        <f t="shared" si="60"/>
        <v>-3.3000000000000806E-3</v>
      </c>
      <c r="D222" s="109">
        <f t="shared" si="61"/>
        <v>-3.3000000000000806E-3</v>
      </c>
      <c r="E222" s="109">
        <f ca="1">IF(表2_367162629303891213[[#This Row],[累计净值]]/MAX(INDIRECT("B21:B" &amp; ROW()))-1&lt;E221,表2_367162629303891213[[#This Row],[累计净值]]/MAX(INDIRECT("B21:B" &amp; ROW()))-1,E221)</f>
        <v>-3.3870675602246103E-2</v>
      </c>
      <c r="F222" s="110">
        <f>表2_367162629303891213[[#This Row],[累计净值]]</f>
        <v>1.0788</v>
      </c>
      <c r="G222" s="20">
        <f>表2_367162629303891213[[#This Row],[累计净值]]/$B$21-1</f>
        <v>7.8584283143371403E-2</v>
      </c>
    </row>
    <row r="223" spans="1:9" x14ac:dyDescent="0.2">
      <c r="A223" s="15">
        <v>44134</v>
      </c>
      <c r="B223" s="112">
        <v>1.0781000000000001</v>
      </c>
      <c r="C223" s="108">
        <f t="shared" ref="C223:C229" si="62">IFERROR(B223-B222,0)</f>
        <v>-6.9999999999992291E-4</v>
      </c>
      <c r="D223" s="109">
        <f t="shared" ref="D223:D229" si="63">IF(C223&lt;0,C223,"/")</f>
        <v>-6.9999999999992291E-4</v>
      </c>
      <c r="E223" s="109">
        <f ca="1">IF(表2_367162629303891213[[#This Row],[累计净值]]/MAX(INDIRECT("B21:B" &amp; ROW()))-1&lt;E222,表2_367162629303891213[[#This Row],[累计净值]]/MAX(INDIRECT("B21:B" &amp; ROW()))-1,E222)</f>
        <v>-3.3870675602246103E-2</v>
      </c>
      <c r="F223" s="110">
        <f>表2_367162629303891213[[#This Row],[累计净值]]</f>
        <v>1.0781000000000001</v>
      </c>
      <c r="G223" s="20">
        <f>表2_367162629303891213[[#This Row],[累计净值]]/$B$21-1</f>
        <v>7.7884423115377022E-2</v>
      </c>
    </row>
    <row r="224" spans="1:9" x14ac:dyDescent="0.2">
      <c r="A224" s="15">
        <v>44137</v>
      </c>
      <c r="B224" s="112">
        <v>1.0782</v>
      </c>
      <c r="C224" s="108">
        <f t="shared" si="62"/>
        <v>9.9999999999988987E-5</v>
      </c>
      <c r="D224" s="109" t="str">
        <f t="shared" si="63"/>
        <v>/</v>
      </c>
      <c r="E224" s="109">
        <f ca="1">IF(表2_367162629303891213[[#This Row],[累计净值]]/MAX(INDIRECT("B21:B" &amp; ROW()))-1&lt;E223,表2_367162629303891213[[#This Row],[累计净值]]/MAX(INDIRECT("B21:B" &amp; ROW()))-1,E223)</f>
        <v>-3.3870675602246103E-2</v>
      </c>
      <c r="F224" s="110">
        <f>表2_367162629303891213[[#This Row],[累计净值]]</f>
        <v>1.0782</v>
      </c>
      <c r="G224" s="20">
        <f>表2_367162629303891213[[#This Row],[累计净值]]/$B$21-1</f>
        <v>7.7984403119376156E-2</v>
      </c>
    </row>
    <row r="225" spans="1:7" x14ac:dyDescent="0.2">
      <c r="A225" s="15">
        <v>44138</v>
      </c>
      <c r="B225" s="112">
        <v>1.0792999999999999</v>
      </c>
      <c r="C225" s="108">
        <f t="shared" si="62"/>
        <v>1.0999999999998789E-3</v>
      </c>
      <c r="D225" s="109" t="str">
        <f t="shared" si="63"/>
        <v>/</v>
      </c>
      <c r="E225" s="109">
        <f ca="1">IF(表2_367162629303891213[[#This Row],[累计净值]]/MAX(INDIRECT("B21:B" &amp; ROW()))-1&lt;E224,表2_367162629303891213[[#This Row],[累计净值]]/MAX(INDIRECT("B21:B" &amp; ROW()))-1,E224)</f>
        <v>-3.3870675602246103E-2</v>
      </c>
      <c r="F225" s="110">
        <f>表2_367162629303891213[[#This Row],[累计净值]]</f>
        <v>1.0792999999999999</v>
      </c>
      <c r="G225" s="20">
        <f>表2_367162629303891213[[#This Row],[累计净值]]/$B$21-1</f>
        <v>7.9084183163367294E-2</v>
      </c>
    </row>
    <row r="226" spans="1:7" x14ac:dyDescent="0.2">
      <c r="A226" s="15">
        <v>44139</v>
      </c>
      <c r="B226" s="112">
        <v>1.0806</v>
      </c>
      <c r="C226" s="108">
        <f t="shared" si="62"/>
        <v>1.3000000000000789E-3</v>
      </c>
      <c r="D226" s="109" t="str">
        <f t="shared" si="63"/>
        <v>/</v>
      </c>
      <c r="E226" s="109">
        <f ca="1">IF(表2_367162629303891213[[#This Row],[累计净值]]/MAX(INDIRECT("B21:B" &amp; ROW()))-1&lt;E225,表2_367162629303891213[[#This Row],[累计净值]]/MAX(INDIRECT("B21:B" &amp; ROW()))-1,E225)</f>
        <v>-3.3870675602246103E-2</v>
      </c>
      <c r="F226" s="110">
        <f>表2_367162629303891213[[#This Row],[累计净值]]</f>
        <v>1.0806</v>
      </c>
      <c r="G226" s="20">
        <f>表2_367162629303891213[[#This Row],[累计净值]]/$B$21-1</f>
        <v>8.0383923215356923E-2</v>
      </c>
    </row>
    <row r="227" spans="1:7" x14ac:dyDescent="0.2">
      <c r="A227" s="15">
        <v>44140</v>
      </c>
      <c r="B227" s="112">
        <v>1.0855999999999999</v>
      </c>
      <c r="C227" s="108">
        <f t="shared" si="62"/>
        <v>4.9999999999998934E-3</v>
      </c>
      <c r="D227" s="109" t="str">
        <f t="shared" si="63"/>
        <v>/</v>
      </c>
      <c r="E227" s="109">
        <f ca="1">IF(表2_367162629303891213[[#This Row],[累计净值]]/MAX(INDIRECT("B21:B" &amp; ROW()))-1&lt;E226,表2_367162629303891213[[#This Row],[累计净值]]/MAX(INDIRECT("B21:B" &amp; ROW()))-1,E226)</f>
        <v>-3.3870675602246103E-2</v>
      </c>
      <c r="F227" s="110">
        <f>表2_367162629303891213[[#This Row],[累计净值]]</f>
        <v>1.0855999999999999</v>
      </c>
      <c r="G227" s="20">
        <f>表2_367162629303891213[[#This Row],[累计净值]]/$B$21-1</f>
        <v>8.5382923415316947E-2</v>
      </c>
    </row>
    <row r="228" spans="1:7" x14ac:dyDescent="0.2">
      <c r="A228" s="15">
        <v>44141</v>
      </c>
      <c r="B228" s="112">
        <v>1.0854999999999999</v>
      </c>
      <c r="C228" s="108">
        <f t="shared" si="62"/>
        <v>-9.9999999999988987E-5</v>
      </c>
      <c r="D228" s="109">
        <f t="shared" si="63"/>
        <v>-9.9999999999988987E-5</v>
      </c>
      <c r="E228" s="109">
        <f ca="1">IF(表2_367162629303891213[[#This Row],[累计净值]]/MAX(INDIRECT("B21:B" &amp; ROW()))-1&lt;E227,表2_367162629303891213[[#This Row],[累计净值]]/MAX(INDIRECT("B21:B" &amp; ROW()))-1,E227)</f>
        <v>-3.3870675602246103E-2</v>
      </c>
      <c r="F228" s="110">
        <f>表2_367162629303891213[[#This Row],[累计净值]]</f>
        <v>1.0854999999999999</v>
      </c>
      <c r="G228" s="20">
        <f>表2_367162629303891213[[#This Row],[累计净值]]/$B$21-1</f>
        <v>8.5282943411317591E-2</v>
      </c>
    </row>
    <row r="229" spans="1:7" x14ac:dyDescent="0.2">
      <c r="A229" s="15">
        <v>44144</v>
      </c>
      <c r="B229" s="112">
        <v>1.0865</v>
      </c>
      <c r="C229" s="108">
        <f t="shared" si="62"/>
        <v>1.0000000000001119E-3</v>
      </c>
      <c r="D229" s="109" t="str">
        <f t="shared" si="63"/>
        <v>/</v>
      </c>
      <c r="E229" s="109">
        <f ca="1">IF(表2_367162629303891213[[#This Row],[累计净值]]/MAX(INDIRECT("B21:B" &amp; ROW()))-1&lt;E228,表2_367162629303891213[[#This Row],[累计净值]]/MAX(INDIRECT("B21:B" &amp; ROW()))-1,E228)</f>
        <v>-3.3870675602246103E-2</v>
      </c>
      <c r="F229" s="110">
        <f>表2_367162629303891213[[#This Row],[累计净值]]</f>
        <v>1.0865</v>
      </c>
      <c r="G229" s="20">
        <f>表2_367162629303891213[[#This Row],[累计净值]]/$B$21-1</f>
        <v>8.6282743451309818E-2</v>
      </c>
    </row>
    <row r="230" spans="1:7" x14ac:dyDescent="0.2">
      <c r="A230" s="15">
        <v>44145</v>
      </c>
      <c r="B230" s="112">
        <v>1.0844</v>
      </c>
      <c r="C230" s="108">
        <f t="shared" ref="C230:C235" si="64">IFERROR(B230-B229,0)</f>
        <v>-2.0999999999999908E-3</v>
      </c>
      <c r="D230" s="109">
        <f t="shared" ref="D230:D235" si="65">IF(C230&lt;0,C230,"/")</f>
        <v>-2.0999999999999908E-3</v>
      </c>
      <c r="E230" s="109">
        <f ca="1">IF(表2_367162629303891213[[#This Row],[累计净值]]/MAX(INDIRECT("B21:B" &amp; ROW()))-1&lt;E229,表2_367162629303891213[[#This Row],[累计净值]]/MAX(INDIRECT("B21:B" &amp; ROW()))-1,E229)</f>
        <v>-3.3870675602246103E-2</v>
      </c>
      <c r="F230" s="110">
        <f>表2_367162629303891213[[#This Row],[累计净值]]</f>
        <v>1.0844</v>
      </c>
      <c r="G230" s="20">
        <f>表2_367162629303891213[[#This Row],[累计净值]]/$B$21-1</f>
        <v>8.4183163367326674E-2</v>
      </c>
    </row>
    <row r="231" spans="1:7" x14ac:dyDescent="0.2">
      <c r="A231" s="15">
        <v>44146</v>
      </c>
      <c r="B231" s="112">
        <v>1.08</v>
      </c>
      <c r="C231" s="108">
        <f t="shared" si="64"/>
        <v>-4.3999999999999595E-3</v>
      </c>
      <c r="D231" s="109">
        <f t="shared" si="65"/>
        <v>-4.3999999999999595E-3</v>
      </c>
      <c r="E231" s="109">
        <f ca="1">IF(表2_367162629303891213[[#This Row],[累计净值]]/MAX(INDIRECT("B21:B" &amp; ROW()))-1&lt;E230,表2_367162629303891213[[#This Row],[累计净值]]/MAX(INDIRECT("B21:B" &amp; ROW()))-1,E230)</f>
        <v>-3.3870675602246103E-2</v>
      </c>
      <c r="F231" s="110">
        <f>表2_367162629303891213[[#This Row],[累计净值]]</f>
        <v>1.08</v>
      </c>
      <c r="G231" s="20">
        <f>表2_367162629303891213[[#This Row],[累计净值]]/$B$21-1</f>
        <v>7.9784043191361897E-2</v>
      </c>
    </row>
    <row r="232" spans="1:7" x14ac:dyDescent="0.2">
      <c r="A232" s="15">
        <v>44147</v>
      </c>
      <c r="B232" s="112">
        <v>1.0808</v>
      </c>
      <c r="C232" s="108">
        <f t="shared" si="64"/>
        <v>7.9999999999991189E-4</v>
      </c>
      <c r="D232" s="109" t="str">
        <f t="shared" si="65"/>
        <v>/</v>
      </c>
      <c r="E232" s="109">
        <f ca="1">IF(表2_367162629303891213[[#This Row],[累计净值]]/MAX(INDIRECT("B21:B" &amp; ROW()))-1&lt;E231,表2_367162629303891213[[#This Row],[累计净值]]/MAX(INDIRECT("B21:B" &amp; ROW()))-1,E231)</f>
        <v>-3.3870675602246103E-2</v>
      </c>
      <c r="F232" s="110">
        <f>表2_367162629303891213[[#This Row],[累计净值]]</f>
        <v>1.0808</v>
      </c>
      <c r="G232" s="20">
        <f>表2_367162629303891213[[#This Row],[累计净值]]/$B$21-1</f>
        <v>8.0583883223355413E-2</v>
      </c>
    </row>
    <row r="233" spans="1:7" x14ac:dyDescent="0.2">
      <c r="A233" s="15">
        <v>44148</v>
      </c>
      <c r="B233" s="112">
        <v>1.083</v>
      </c>
      <c r="C233" s="108">
        <f t="shared" si="64"/>
        <v>2.1999999999999797E-3</v>
      </c>
      <c r="D233" s="109" t="str">
        <f t="shared" si="65"/>
        <v>/</v>
      </c>
      <c r="E233" s="109">
        <f ca="1">IF(表2_367162629303891213[[#This Row],[累计净值]]/MAX(INDIRECT("B21:B" &amp; ROW()))-1&lt;E232,表2_367162629303891213[[#This Row],[累计净值]]/MAX(INDIRECT("B21:B" &amp; ROW()))-1,E232)</f>
        <v>-3.3870675602246103E-2</v>
      </c>
      <c r="F233" s="110">
        <f>表2_367162629303891213[[#This Row],[累计净值]]</f>
        <v>1.083</v>
      </c>
      <c r="G233" s="20">
        <f>表2_367162629303891213[[#This Row],[累计净值]]/$B$21-1</f>
        <v>8.278344331133769E-2</v>
      </c>
    </row>
    <row r="234" spans="1:7" x14ac:dyDescent="0.2">
      <c r="A234" s="15">
        <v>44151</v>
      </c>
      <c r="B234" s="112">
        <v>1.0831</v>
      </c>
      <c r="C234" s="108">
        <f t="shared" si="64"/>
        <v>9.9999999999988987E-5</v>
      </c>
      <c r="D234" s="109" t="str">
        <f t="shared" si="65"/>
        <v>/</v>
      </c>
      <c r="E234" s="109">
        <f ca="1">IF(表2_367162629303891213[[#This Row],[累计净值]]/MAX(INDIRECT("B21:B" &amp; ROW()))-1&lt;E233,表2_367162629303891213[[#This Row],[累计净值]]/MAX(INDIRECT("B21:B" &amp; ROW()))-1,E233)</f>
        <v>-3.3870675602246103E-2</v>
      </c>
      <c r="F234" s="110">
        <f>表2_367162629303891213[[#This Row],[累计净值]]</f>
        <v>1.0831</v>
      </c>
      <c r="G234" s="20">
        <f>表2_367162629303891213[[#This Row],[累计净值]]/$B$21-1</f>
        <v>8.2883423315336824E-2</v>
      </c>
    </row>
    <row r="235" spans="1:7" x14ac:dyDescent="0.2">
      <c r="A235" s="15">
        <v>44152</v>
      </c>
      <c r="B235" s="112">
        <v>1.0827</v>
      </c>
      <c r="C235" s="108">
        <f t="shared" si="64"/>
        <v>-3.9999999999995595E-4</v>
      </c>
      <c r="D235" s="109">
        <f t="shared" si="65"/>
        <v>-3.9999999999995595E-4</v>
      </c>
      <c r="E235" s="109">
        <f ca="1">IF(表2_367162629303891213[[#This Row],[累计净值]]/MAX(INDIRECT("B21:B" &amp; ROW()))-1&lt;E234,表2_367162629303891213[[#This Row],[累计净值]]/MAX(INDIRECT("B21:B" &amp; ROW()))-1,E234)</f>
        <v>-3.3870675602246103E-2</v>
      </c>
      <c r="F235" s="110">
        <f>表2_367162629303891213[[#This Row],[累计净值]]</f>
        <v>1.0827</v>
      </c>
      <c r="G235" s="20">
        <f>表2_367162629303891213[[#This Row],[累计净值]]/$B$21-1</f>
        <v>8.2483503299340066E-2</v>
      </c>
    </row>
    <row r="236" spans="1:7" x14ac:dyDescent="0.2">
      <c r="A236" s="15">
        <v>44153</v>
      </c>
      <c r="B236" s="112">
        <v>1.0819000000000001</v>
      </c>
      <c r="C236" s="108">
        <f t="shared" ref="C236:C241" si="66">IFERROR(B236-B235,0)</f>
        <v>-7.9999999999991189E-4</v>
      </c>
      <c r="D236" s="109">
        <f t="shared" ref="D236:D241" si="67">IF(C236&lt;0,C236,"/")</f>
        <v>-7.9999999999991189E-4</v>
      </c>
      <c r="E236" s="109">
        <f ca="1">IF(表2_367162629303891213[[#This Row],[累计净值]]/MAX(INDIRECT("B21:B" &amp; ROW()))-1&lt;E235,表2_367162629303891213[[#This Row],[累计净值]]/MAX(INDIRECT("B21:B" &amp; ROW()))-1,E235)</f>
        <v>-3.3870675602246103E-2</v>
      </c>
      <c r="F236" s="110">
        <f>表2_367162629303891213[[#This Row],[累计净值]]</f>
        <v>1.0819000000000001</v>
      </c>
      <c r="G236" s="20">
        <f>表2_367162629303891213[[#This Row],[累计净值]]/$B$21-1</f>
        <v>8.1683663267346551E-2</v>
      </c>
    </row>
    <row r="237" spans="1:7" x14ac:dyDescent="0.2">
      <c r="A237" s="15">
        <v>44154</v>
      </c>
      <c r="B237" s="112">
        <v>1.0781000000000001</v>
      </c>
      <c r="C237" s="108">
        <f t="shared" si="66"/>
        <v>-3.8000000000000256E-3</v>
      </c>
      <c r="D237" s="109">
        <f t="shared" si="67"/>
        <v>-3.8000000000000256E-3</v>
      </c>
      <c r="E237" s="109">
        <f ca="1">IF(表2_367162629303891213[[#This Row],[累计净值]]/MAX(INDIRECT("B21:B" &amp; ROW()))-1&lt;E236,表2_367162629303891213[[#This Row],[累计净值]]/MAX(INDIRECT("B21:B" &amp; ROW()))-1,E236)</f>
        <v>-3.3870675602246103E-2</v>
      </c>
      <c r="F237" s="110">
        <f>表2_367162629303891213[[#This Row],[累计净值]]</f>
        <v>1.0781000000000001</v>
      </c>
      <c r="G237" s="20">
        <f>表2_367162629303891213[[#This Row],[累计净值]]/$B$21-1</f>
        <v>7.7884423115377022E-2</v>
      </c>
    </row>
    <row r="238" spans="1:7" x14ac:dyDescent="0.2">
      <c r="A238" s="15">
        <v>44155</v>
      </c>
      <c r="B238" s="112">
        <v>1.0772999999999999</v>
      </c>
      <c r="C238" s="108">
        <f t="shared" si="66"/>
        <v>-8.0000000000013394E-4</v>
      </c>
      <c r="D238" s="109">
        <f t="shared" si="67"/>
        <v>-8.0000000000013394E-4</v>
      </c>
      <c r="E238" s="109">
        <f ca="1">IF(表2_367162629303891213[[#This Row],[累计净值]]/MAX(INDIRECT("B21:B" &amp; ROW()))-1&lt;E237,表2_367162629303891213[[#This Row],[累计净值]]/MAX(INDIRECT("B21:B" &amp; ROW()))-1,E237)</f>
        <v>-3.3870675602246103E-2</v>
      </c>
      <c r="F238" s="110">
        <f>表2_367162629303891213[[#This Row],[累计净值]]</f>
        <v>1.0772999999999999</v>
      </c>
      <c r="G238" s="20">
        <f>表2_367162629303891213[[#This Row],[累计净值]]/$B$21-1</f>
        <v>7.7084583083383285E-2</v>
      </c>
    </row>
    <row r="239" spans="1:7" x14ac:dyDescent="0.2">
      <c r="A239" s="15">
        <v>44158</v>
      </c>
      <c r="B239" s="112">
        <v>1.071</v>
      </c>
      <c r="C239" s="108">
        <f t="shared" si="66"/>
        <v>-6.2999999999999723E-3</v>
      </c>
      <c r="D239" s="109">
        <f t="shared" si="67"/>
        <v>-6.2999999999999723E-3</v>
      </c>
      <c r="E239" s="109">
        <f ca="1">IF(表2_367162629303891213[[#This Row],[累计净值]]/MAX(INDIRECT("B21:B" &amp; ROW()))-1&lt;E238,表2_367162629303891213[[#This Row],[累计净值]]/MAX(INDIRECT("B21:B" &amp; ROW()))-1,E238)</f>
        <v>-3.3870675602246103E-2</v>
      </c>
      <c r="F239" s="110">
        <f>表2_367162629303891213[[#This Row],[累计净值]]</f>
        <v>1.071</v>
      </c>
      <c r="G239" s="20">
        <f>表2_367162629303891213[[#This Row],[累计净值]]/$B$21-1</f>
        <v>7.0785842831433632E-2</v>
      </c>
    </row>
    <row r="240" spans="1:7" x14ac:dyDescent="0.2">
      <c r="A240" s="15">
        <v>44159</v>
      </c>
      <c r="B240" s="112">
        <v>1.0718000000000001</v>
      </c>
      <c r="C240" s="108">
        <f t="shared" si="66"/>
        <v>8.0000000000013394E-4</v>
      </c>
      <c r="D240" s="109" t="str">
        <f t="shared" si="67"/>
        <v>/</v>
      </c>
      <c r="E240" s="109">
        <f ca="1">IF(表2_367162629303891213[[#This Row],[累计净值]]/MAX(INDIRECT("B21:B" &amp; ROW()))-1&lt;E239,表2_367162629303891213[[#This Row],[累计净值]]/MAX(INDIRECT("B21:B" &amp; ROW()))-1,E239)</f>
        <v>-3.3870675602246103E-2</v>
      </c>
      <c r="F240" s="110">
        <f>表2_367162629303891213[[#This Row],[累计净值]]</f>
        <v>1.0718000000000001</v>
      </c>
      <c r="G240" s="20">
        <f>表2_367162629303891213[[#This Row],[累计净值]]/$B$21-1</f>
        <v>7.1585682863427369E-2</v>
      </c>
    </row>
    <row r="241" spans="1:7" x14ac:dyDescent="0.2">
      <c r="A241" s="15">
        <v>44160</v>
      </c>
      <c r="B241" s="112">
        <v>1.0732999999999999</v>
      </c>
      <c r="C241" s="108">
        <f t="shared" si="66"/>
        <v>1.4999999999998348E-3</v>
      </c>
      <c r="D241" s="109" t="str">
        <f t="shared" si="67"/>
        <v>/</v>
      </c>
      <c r="E241" s="109">
        <f ca="1">IF(表2_367162629303891213[[#This Row],[累计净值]]/MAX(INDIRECT("B21:B" &amp; ROW()))-1&lt;E240,表2_367162629303891213[[#This Row],[累计净值]]/MAX(INDIRECT("B21:B" &amp; ROW()))-1,E240)</f>
        <v>-3.3870675602246103E-2</v>
      </c>
      <c r="F241" s="110">
        <f>表2_367162629303891213[[#This Row],[累计净值]]</f>
        <v>1.0732999999999999</v>
      </c>
      <c r="G241" s="20">
        <f>表2_367162629303891213[[#This Row],[累计净值]]/$B$21-1</f>
        <v>7.3085382923415265E-2</v>
      </c>
    </row>
    <row r="242" spans="1:7" x14ac:dyDescent="0.2">
      <c r="A242" s="15">
        <v>44161</v>
      </c>
      <c r="B242" s="112">
        <v>1.069</v>
      </c>
      <c r="C242" s="108">
        <f t="shared" ref="C242:C247" si="68">IFERROR(B242-B241,0)</f>
        <v>-4.2999999999999705E-3</v>
      </c>
      <c r="D242" s="109">
        <f t="shared" ref="D242:D247" si="69">IF(C242&lt;0,C242,"/")</f>
        <v>-4.2999999999999705E-3</v>
      </c>
      <c r="E242" s="109">
        <f ca="1">IF(表2_367162629303891213[[#This Row],[累计净值]]/MAX(INDIRECT("B21:B" &amp; ROW()))-1&lt;E241,表2_367162629303891213[[#This Row],[累计净值]]/MAX(INDIRECT("B21:B" &amp; ROW()))-1,E241)</f>
        <v>-3.3870675602246103E-2</v>
      </c>
      <c r="F242" s="110">
        <f>表2_367162629303891213[[#This Row],[累计净值]]</f>
        <v>1.069</v>
      </c>
      <c r="G242" s="20">
        <f>表2_367162629303891213[[#This Row],[累计净值]]/$B$21-1</f>
        <v>6.8786242751449622E-2</v>
      </c>
    </row>
    <row r="243" spans="1:7" x14ac:dyDescent="0.2">
      <c r="A243" s="15">
        <v>44162</v>
      </c>
      <c r="B243" s="112">
        <v>1.0670999999999999</v>
      </c>
      <c r="C243" s="108">
        <f t="shared" si="68"/>
        <v>-1.9000000000000128E-3</v>
      </c>
      <c r="D243" s="109">
        <f t="shared" si="69"/>
        <v>-1.9000000000000128E-3</v>
      </c>
      <c r="E243" s="109">
        <f ca="1">IF(表2_367162629303891213[[#This Row],[累计净值]]/MAX(INDIRECT("B21:B" &amp; ROW()))-1&lt;E242,表2_367162629303891213[[#This Row],[累计净值]]/MAX(INDIRECT("B21:B" &amp; ROW()))-1,E242)</f>
        <v>-3.3870675602246103E-2</v>
      </c>
      <c r="F243" s="110">
        <f>表2_367162629303891213[[#This Row],[累计净值]]</f>
        <v>1.0670999999999999</v>
      </c>
      <c r="G243" s="20">
        <f>表2_367162629303891213[[#This Row],[累计净值]]/$B$21-1</f>
        <v>6.6886622675464968E-2</v>
      </c>
    </row>
    <row r="244" spans="1:7" x14ac:dyDescent="0.2">
      <c r="A244" s="15">
        <v>44165</v>
      </c>
      <c r="B244" s="112">
        <v>1.0670999999999999</v>
      </c>
      <c r="C244" s="108">
        <f t="shared" si="68"/>
        <v>0</v>
      </c>
      <c r="D244" s="109" t="str">
        <f t="shared" si="69"/>
        <v>/</v>
      </c>
      <c r="E244" s="109">
        <f ca="1">IF(表2_367162629303891213[[#This Row],[累计净值]]/MAX(INDIRECT("B21:B" &amp; ROW()))-1&lt;E243,表2_367162629303891213[[#This Row],[累计净值]]/MAX(INDIRECT("B21:B" &amp; ROW()))-1,E243)</f>
        <v>-3.3870675602246103E-2</v>
      </c>
      <c r="F244" s="110">
        <f>表2_367162629303891213[[#This Row],[累计净值]]</f>
        <v>1.0670999999999999</v>
      </c>
      <c r="G244" s="20">
        <f>表2_367162629303891213[[#This Row],[累计净值]]/$B$21-1</f>
        <v>6.6886622675464968E-2</v>
      </c>
    </row>
    <row r="245" spans="1:7" x14ac:dyDescent="0.2">
      <c r="A245" s="15">
        <v>44166</v>
      </c>
      <c r="B245" s="112">
        <v>1.0633999999999999</v>
      </c>
      <c r="C245" s="108">
        <f t="shared" si="68"/>
        <v>-3.7000000000000366E-3</v>
      </c>
      <c r="D245" s="109">
        <f t="shared" si="69"/>
        <v>-3.7000000000000366E-3</v>
      </c>
      <c r="E245" s="109">
        <f ca="1">IF(表2_367162629303891213[[#This Row],[累计净值]]/MAX(INDIRECT("B21:B" &amp; ROW()))-1&lt;E244,表2_367162629303891213[[#This Row],[累计净值]]/MAX(INDIRECT("B21:B" &amp; ROW()))-1,E244)</f>
        <v>-3.6949827929723011E-2</v>
      </c>
      <c r="F245" s="110">
        <f>表2_367162629303891213[[#This Row],[累计净值]]</f>
        <v>1.0633999999999999</v>
      </c>
      <c r="G245" s="20">
        <f>表2_367162629303891213[[#This Row],[累计净值]]/$B$21-1</f>
        <v>6.3187362527494351E-2</v>
      </c>
    </row>
    <row r="246" spans="1:7" x14ac:dyDescent="0.2">
      <c r="A246" s="15">
        <v>44167</v>
      </c>
      <c r="B246" s="112">
        <v>1.0673999999999999</v>
      </c>
      <c r="C246" s="108">
        <f t="shared" si="68"/>
        <v>4.0000000000000036E-3</v>
      </c>
      <c r="D246" s="109" t="str">
        <f t="shared" si="69"/>
        <v>/</v>
      </c>
      <c r="E246" s="109">
        <f ca="1">IF(表2_367162629303891213[[#This Row],[累计净值]]/MAX(INDIRECT("B21:B" &amp; ROW()))-1&lt;E245,表2_367162629303891213[[#This Row],[累计净值]]/MAX(INDIRECT("B21:B" &amp; ROW()))-1,E245)</f>
        <v>-3.6949827929723011E-2</v>
      </c>
      <c r="F246" s="110">
        <f>表2_367162629303891213[[#This Row],[累计净值]]</f>
        <v>1.0673999999999999</v>
      </c>
      <c r="G246" s="20">
        <f>表2_367162629303891213[[#This Row],[累计净值]]/$B$21-1</f>
        <v>6.718656268746237E-2</v>
      </c>
    </row>
    <row r="247" spans="1:7" x14ac:dyDescent="0.2">
      <c r="A247" s="15">
        <v>44168</v>
      </c>
      <c r="B247" s="112">
        <v>1.0663</v>
      </c>
      <c r="C247" s="108">
        <f t="shared" si="68"/>
        <v>-1.0999999999998789E-3</v>
      </c>
      <c r="D247" s="109">
        <f t="shared" si="69"/>
        <v>-1.0999999999998789E-3</v>
      </c>
      <c r="E247" s="109">
        <f ca="1">IF(表2_367162629303891213[[#This Row],[累计净值]]/MAX(INDIRECT("B21:B" &amp; ROW()))-1&lt;E246,表2_367162629303891213[[#This Row],[累计净值]]/MAX(INDIRECT("B21:B" &amp; ROW()))-1,E246)</f>
        <v>-3.6949827929723011E-2</v>
      </c>
      <c r="F247" s="110">
        <f>表2_367162629303891213[[#This Row],[累计净值]]</f>
        <v>1.0663</v>
      </c>
      <c r="G247" s="20">
        <f>表2_367162629303891213[[#This Row],[累计净值]]/$B$21-1</f>
        <v>6.6086782643471453E-2</v>
      </c>
    </row>
    <row r="248" spans="1:7" x14ac:dyDescent="0.2">
      <c r="A248" s="15">
        <v>44169</v>
      </c>
      <c r="B248" s="112">
        <v>1.0668</v>
      </c>
      <c r="C248" s="108">
        <f>IFERROR(B248-B247,0)</f>
        <v>4.9999999999994493E-4</v>
      </c>
      <c r="D248" s="109" t="str">
        <f>IF(C248&lt;0,C248,"/")</f>
        <v>/</v>
      </c>
      <c r="E248" s="109">
        <f ca="1">IF(表2_367162629303891213[[#This Row],[累计净值]]/MAX(INDIRECT("B21:B" &amp; ROW()))-1&lt;E247,表2_367162629303891213[[#This Row],[累计净值]]/MAX(INDIRECT("B21:B" &amp; ROW()))-1,E247)</f>
        <v>-3.6949827929723011E-2</v>
      </c>
      <c r="F248" s="110">
        <f>表2_367162629303891213[[#This Row],[累计净值]]</f>
        <v>1.0668</v>
      </c>
      <c r="G248" s="20">
        <f>表2_367162629303891213[[#This Row],[累计净值]]/$B$21-1</f>
        <v>6.6586682663467345E-2</v>
      </c>
    </row>
    <row r="249" spans="1:7" x14ac:dyDescent="0.2">
      <c r="A249" s="15">
        <v>44172</v>
      </c>
      <c r="B249" s="112">
        <v>1.0685</v>
      </c>
      <c r="C249" s="108">
        <f>IFERROR(B249-B248,0)</f>
        <v>1.7000000000000348E-3</v>
      </c>
      <c r="D249" s="109" t="str">
        <f>IF(C249&lt;0,C249,"/")</f>
        <v>/</v>
      </c>
      <c r="E249" s="109">
        <f ca="1">IF(表2_367162629303891213[[#This Row],[累计净值]]/MAX(INDIRECT("B21:B" &amp; ROW()))-1&lt;E248,表2_367162629303891213[[#This Row],[累计净值]]/MAX(INDIRECT("B21:B" &amp; ROW()))-1,E248)</f>
        <v>-3.6949827929723011E-2</v>
      </c>
      <c r="F249" s="110">
        <f>表2_367162629303891213[[#This Row],[累计净值]]</f>
        <v>1.0685</v>
      </c>
      <c r="G249" s="20">
        <f>表2_367162629303891213[[#This Row],[累计净值]]/$B$21-1</f>
        <v>6.8286342731453731E-2</v>
      </c>
    </row>
    <row r="250" spans="1:7" x14ac:dyDescent="0.2">
      <c r="A250" s="15">
        <v>44173</v>
      </c>
      <c r="B250" s="112">
        <v>1.0663</v>
      </c>
      <c r="C250" s="108">
        <f>IFERROR(B250-B249,0)</f>
        <v>-2.1999999999999797E-3</v>
      </c>
      <c r="D250" s="109">
        <f>IF(C250&lt;0,C250,"/")</f>
        <v>-2.1999999999999797E-3</v>
      </c>
      <c r="E250" s="109">
        <f ca="1">IF(表2_367162629303891213[[#This Row],[累计净值]]/MAX(INDIRECT("B21:B" &amp; ROW()))-1&lt;E249,表2_367162629303891213[[#This Row],[累计净值]]/MAX(INDIRECT("B21:B" &amp; ROW()))-1,E249)</f>
        <v>-3.6949827929723011E-2</v>
      </c>
      <c r="F250" s="110">
        <f>表2_367162629303891213[[#This Row],[累计净值]]</f>
        <v>1.0663</v>
      </c>
      <c r="G250" s="20">
        <f>表2_367162629303891213[[#This Row],[累计净值]]/$B$21-1</f>
        <v>6.6086782643471453E-2</v>
      </c>
    </row>
    <row r="251" spans="1:7" x14ac:dyDescent="0.2">
      <c r="A251" s="15">
        <v>44174</v>
      </c>
      <c r="B251" s="112">
        <v>1.0617000000000001</v>
      </c>
      <c r="C251" s="108">
        <f t="shared" ref="C251:C252" si="70">IFERROR(B251-B250,0)</f>
        <v>-4.5999999999999375E-3</v>
      </c>
      <c r="D251" s="109">
        <f t="shared" ref="D251:D252" si="71">IF(C251&lt;0,C251,"/")</f>
        <v>-4.5999999999999375E-3</v>
      </c>
      <c r="E251" s="109">
        <f ca="1">IF(表2_367162629303891213[[#This Row],[累计净值]]/MAX(INDIRECT("B21:B" &amp; ROW()))-1&lt;E250,表2_367162629303891213[[#This Row],[累计净值]]/MAX(INDIRECT("B21:B" &amp; ROW()))-1,E250)</f>
        <v>-3.8489404093461355E-2</v>
      </c>
      <c r="F251" s="110">
        <f>表2_367162629303891213[[#This Row],[累计净值]]</f>
        <v>1.0617000000000001</v>
      </c>
      <c r="G251" s="20">
        <f>表2_367162629303891213[[#This Row],[累计净值]]/$B$21-1</f>
        <v>6.1487702459508187E-2</v>
      </c>
    </row>
    <row r="252" spans="1:7" x14ac:dyDescent="0.2">
      <c r="A252" s="15">
        <v>44175</v>
      </c>
      <c r="B252" s="112">
        <v>1.0609999999999999</v>
      </c>
      <c r="C252" s="108">
        <f t="shared" si="70"/>
        <v>-7.0000000000014495E-4</v>
      </c>
      <c r="D252" s="109">
        <f t="shared" si="71"/>
        <v>-7.0000000000014495E-4</v>
      </c>
      <c r="E252" s="109">
        <f ca="1">IF(表2_367162629303891213[[#This Row],[累计净值]]/MAX(INDIRECT("B21:B" &amp; ROW()))-1&lt;E251,表2_367162629303891213[[#This Row],[累计净值]]/MAX(INDIRECT("B21:B" &amp; ROW()))-1,E251)</f>
        <v>-3.9123347219706672E-2</v>
      </c>
      <c r="F252" s="110">
        <f>表2_367162629303891213[[#This Row],[累计净值]]</f>
        <v>1.0609999999999999</v>
      </c>
      <c r="G252" s="20">
        <f>表2_367162629303891213[[#This Row],[累计净值]]/$B$21-1</f>
        <v>6.0787842431513583E-2</v>
      </c>
    </row>
    <row r="253" spans="1:7" x14ac:dyDescent="0.2">
      <c r="A253" s="15">
        <v>44176</v>
      </c>
      <c r="B253" s="112">
        <v>1.0617000000000001</v>
      </c>
      <c r="C253" s="108">
        <f t="shared" ref="C253:C258" si="72">IFERROR(B253-B252,0)</f>
        <v>7.0000000000014495E-4</v>
      </c>
      <c r="D253" s="109" t="str">
        <f t="shared" ref="D253:D258" si="73">IF(C253&lt;0,C253,"/")</f>
        <v>/</v>
      </c>
      <c r="E253" s="109">
        <f ca="1">IF(表2_367162629303891213[[#This Row],[累计净值]]/MAX(INDIRECT("B21:B" &amp; ROW()))-1&lt;E252,表2_367162629303891213[[#This Row],[累计净值]]/MAX(INDIRECT("B21:B" &amp; ROW()))-1,E252)</f>
        <v>-3.9123347219706672E-2</v>
      </c>
      <c r="F253" s="110">
        <f>表2_367162629303891213[[#This Row],[累计净值]]</f>
        <v>1.0617000000000001</v>
      </c>
      <c r="G253" s="20">
        <f>表2_367162629303891213[[#This Row],[累计净值]]/$B$21-1</f>
        <v>6.1487702459508187E-2</v>
      </c>
    </row>
    <row r="254" spans="1:7" x14ac:dyDescent="0.2">
      <c r="A254" s="15">
        <v>44179</v>
      </c>
      <c r="B254" s="112">
        <v>1.0584</v>
      </c>
      <c r="C254" s="108">
        <f t="shared" si="72"/>
        <v>-3.3000000000000806E-3</v>
      </c>
      <c r="D254" s="109">
        <f t="shared" si="73"/>
        <v>-3.3000000000000806E-3</v>
      </c>
      <c r="E254" s="109">
        <f ca="1">IF(表2_367162629303891213[[#This Row],[累计净值]]/MAX(INDIRECT("B21:B" &amp; ROW()))-1&lt;E253,表2_367162629303891213[[#This Row],[累计净值]]/MAX(INDIRECT("B21:B" &amp; ROW()))-1,E253)</f>
        <v>-4.1477993117188916E-2</v>
      </c>
      <c r="F254" s="110">
        <f>表2_367162629303891213[[#This Row],[累计净值]]</f>
        <v>1.0584</v>
      </c>
      <c r="G254" s="20">
        <f>表2_367162629303891213[[#This Row],[累计净值]]/$B$21-1</f>
        <v>5.8188362327534549E-2</v>
      </c>
    </row>
    <row r="255" spans="1:7" x14ac:dyDescent="0.2">
      <c r="A255" s="15">
        <v>44180</v>
      </c>
      <c r="B255" s="112">
        <v>1.0563</v>
      </c>
      <c r="C255" s="108">
        <f t="shared" si="72"/>
        <v>-2.0999999999999908E-3</v>
      </c>
      <c r="D255" s="109">
        <f t="shared" si="73"/>
        <v>-2.0999999999999908E-3</v>
      </c>
      <c r="E255" s="109">
        <f ca="1">IF(表2_367162629303891213[[#This Row],[累计净值]]/MAX(INDIRECT("B21:B" &amp; ROW()))-1&lt;E254,表2_367162629303891213[[#This Row],[累计净值]]/MAX(INDIRECT("B21:B" &amp; ROW()))-1,E254)</f>
        <v>-4.3379822495924647E-2</v>
      </c>
      <c r="F255" s="110">
        <f>表2_367162629303891213[[#This Row],[累计净值]]</f>
        <v>1.0563</v>
      </c>
      <c r="G255" s="20">
        <f>表2_367162629303891213[[#This Row],[累计净值]]/$B$21-1</f>
        <v>5.6088782243551405E-2</v>
      </c>
    </row>
    <row r="256" spans="1:7" x14ac:dyDescent="0.2">
      <c r="A256" s="15">
        <v>44181</v>
      </c>
      <c r="B256" s="112">
        <v>1.0529999999999999</v>
      </c>
      <c r="C256" s="108">
        <f t="shared" si="72"/>
        <v>-3.3000000000000806E-3</v>
      </c>
      <c r="D256" s="109">
        <f t="shared" si="73"/>
        <v>-3.3000000000000806E-3</v>
      </c>
      <c r="E256" s="109">
        <f ca="1">IF(表2_367162629303891213[[#This Row],[累计净值]]/MAX(INDIRECT("B21:B" &amp; ROW()))-1&lt;E255,表2_367162629303891213[[#This Row],[累计净值]]/MAX(INDIRECT("B21:B" &amp; ROW()))-1,E255)</f>
        <v>-4.6368411519652319E-2</v>
      </c>
      <c r="F256" s="110">
        <f>表2_367162629303891213[[#This Row],[累计净值]]</f>
        <v>1.0529999999999999</v>
      </c>
      <c r="G256" s="20">
        <f>表2_367162629303891213[[#This Row],[累计净值]]/$B$21-1</f>
        <v>5.2789442111577545E-2</v>
      </c>
    </row>
    <row r="257" spans="1:7" x14ac:dyDescent="0.2">
      <c r="A257" s="15">
        <v>44182</v>
      </c>
      <c r="B257" s="112">
        <v>1.0467</v>
      </c>
      <c r="C257" s="108">
        <f t="shared" si="72"/>
        <v>-6.2999999999999723E-3</v>
      </c>
      <c r="D257" s="109">
        <f t="shared" si="73"/>
        <v>-6.2999999999999723E-3</v>
      </c>
      <c r="E257" s="109">
        <f ca="1">IF(表2_367162629303891213[[#This Row],[累计净值]]/MAX(INDIRECT("B21:B" &amp; ROW()))-1&lt;E256,表2_367162629303891213[[#This Row],[累计净值]]/MAX(INDIRECT("B21:B" &amp; ROW()))-1,E256)</f>
        <v>-5.2073899655859512E-2</v>
      </c>
      <c r="F257" s="110">
        <f>表2_367162629303891213[[#This Row],[累计净值]]</f>
        <v>1.0467</v>
      </c>
      <c r="G257" s="20">
        <f>表2_367162629303891213[[#This Row],[累计净值]]/$B$21-1</f>
        <v>4.6490701859628114E-2</v>
      </c>
    </row>
    <row r="258" spans="1:7" x14ac:dyDescent="0.2">
      <c r="A258" s="15">
        <v>44183</v>
      </c>
      <c r="B258" s="112">
        <v>1.0444</v>
      </c>
      <c r="C258" s="108">
        <f t="shared" si="72"/>
        <v>-2.2999999999999687E-3</v>
      </c>
      <c r="D258" s="109">
        <f t="shared" si="73"/>
        <v>-2.2999999999999687E-3</v>
      </c>
      <c r="E258" s="109">
        <f ca="1">IF(表2_367162629303891213[[#This Row],[累计净值]]/MAX(INDIRECT("B21:B" &amp; ROW()))-1&lt;E257,表2_367162629303891213[[#This Row],[累计净值]]/MAX(INDIRECT("B21:B" &amp; ROW()))-1,E257)</f>
        <v>-5.4156855642093937E-2</v>
      </c>
      <c r="F258" s="110">
        <f>表2_367162629303891213[[#This Row],[累计净值]]</f>
        <v>1.0444</v>
      </c>
      <c r="G258" s="20">
        <f>表2_367162629303891213[[#This Row],[累计净值]]/$B$21-1</f>
        <v>4.4191161767646481E-2</v>
      </c>
    </row>
    <row r="259" spans="1:7" x14ac:dyDescent="0.2">
      <c r="A259" s="15">
        <v>44186</v>
      </c>
      <c r="B259" s="112">
        <v>1.0364</v>
      </c>
      <c r="C259" s="108">
        <f t="shared" ref="C259:C264" si="74">IFERROR(B259-B258,0)</f>
        <v>-8.0000000000000071E-3</v>
      </c>
      <c r="D259" s="109">
        <f t="shared" ref="D259:D264" si="75">IF(C259&lt;0,C259,"/")</f>
        <v>-8.0000000000000071E-3</v>
      </c>
      <c r="E259" s="109">
        <f ca="1">IF(表2_367162629303891213[[#This Row],[累计净值]]/MAX(INDIRECT("B21:B" &amp; ROW()))-1&lt;E258,表2_367162629303891213[[#This Row],[累计净值]]/MAX(INDIRECT("B21:B" &amp; ROW()))-1,E258)</f>
        <v>-6.1401919942039584E-2</v>
      </c>
      <c r="F259" s="110">
        <f>表2_367162629303891213[[#This Row],[累计净值]]</f>
        <v>1.0364</v>
      </c>
      <c r="G259" s="20">
        <f>表2_367162629303891213[[#This Row],[累计净值]]/$B$21-1</f>
        <v>3.6192761447710442E-2</v>
      </c>
    </row>
    <row r="260" spans="1:7" x14ac:dyDescent="0.2">
      <c r="A260" s="15">
        <v>44187</v>
      </c>
      <c r="B260" s="112">
        <v>1.0310999999999999</v>
      </c>
      <c r="C260" s="108">
        <f t="shared" si="74"/>
        <v>-5.3000000000000824E-3</v>
      </c>
      <c r="D260" s="109">
        <f t="shared" si="75"/>
        <v>-5.3000000000000824E-3</v>
      </c>
      <c r="E260" s="109">
        <f ca="1">IF(表2_367162629303891213[[#This Row],[累计净值]]/MAX(INDIRECT("B21:B" &amp; ROW()))-1&lt;E259,表2_367162629303891213[[#This Row],[累计净值]]/MAX(INDIRECT("B21:B" &amp; ROW()))-1,E259)</f>
        <v>-6.6201775040753641E-2</v>
      </c>
      <c r="F260" s="110">
        <f>表2_367162629303891213[[#This Row],[累计净值]]</f>
        <v>1.0310999999999999</v>
      </c>
      <c r="G260" s="20">
        <f>表2_367162629303891213[[#This Row],[累计净值]]/$B$21-1</f>
        <v>3.0893821235752794E-2</v>
      </c>
    </row>
    <row r="261" spans="1:7" x14ac:dyDescent="0.2">
      <c r="A261" s="15">
        <v>44188</v>
      </c>
      <c r="B261" s="112">
        <v>1.0289999999999999</v>
      </c>
      <c r="C261" s="108">
        <f t="shared" si="74"/>
        <v>-2.0999999999999908E-3</v>
      </c>
      <c r="D261" s="109">
        <f t="shared" si="75"/>
        <v>-2.0999999999999908E-3</v>
      </c>
      <c r="E261" s="109">
        <f ca="1">IF(表2_367162629303891213[[#This Row],[累计净值]]/MAX(INDIRECT("B21:B" &amp; ROW()))-1&lt;E260,表2_367162629303891213[[#This Row],[累计净值]]/MAX(INDIRECT("B21:B" &amp; ROW()))-1,E260)</f>
        <v>-6.8103604419489372E-2</v>
      </c>
      <c r="F261" s="110">
        <f>表2_367162629303891213[[#This Row],[累计净值]]</f>
        <v>1.0289999999999999</v>
      </c>
      <c r="G261" s="20">
        <f>表2_367162629303891213[[#This Row],[累计净值]]/$B$21-1</f>
        <v>2.8794241151769651E-2</v>
      </c>
    </row>
    <row r="262" spans="1:7" x14ac:dyDescent="0.2">
      <c r="A262" s="15">
        <v>44189</v>
      </c>
      <c r="B262" s="112">
        <v>1.026</v>
      </c>
      <c r="C262" s="108">
        <f t="shared" si="74"/>
        <v>-2.9999999999998916E-3</v>
      </c>
      <c r="D262" s="109">
        <f t="shared" si="75"/>
        <v>-2.9999999999998916E-3</v>
      </c>
      <c r="E262" s="109">
        <f ca="1">IF(表2_367162629303891213[[#This Row],[累计净值]]/MAX(INDIRECT("B21:B" &amp; ROW()))-1&lt;E261,表2_367162629303891213[[#This Row],[累计净值]]/MAX(INDIRECT("B21:B" &amp; ROW()))-1,E261)</f>
        <v>-7.0820503531968892E-2</v>
      </c>
      <c r="F262" s="110">
        <f>表2_367162629303891213[[#This Row],[累计净值]]</f>
        <v>1.026</v>
      </c>
      <c r="G262" s="20">
        <f>表2_367162629303891213[[#This Row],[累计净值]]/$B$21-1</f>
        <v>2.5794841031793636E-2</v>
      </c>
    </row>
    <row r="263" spans="1:7" x14ac:dyDescent="0.2">
      <c r="A263" s="15">
        <v>44190</v>
      </c>
      <c r="B263" s="112">
        <v>1.0259</v>
      </c>
      <c r="C263" s="108">
        <f t="shared" si="74"/>
        <v>-9.9999999999988987E-5</v>
      </c>
      <c r="D263" s="109">
        <f t="shared" si="75"/>
        <v>-9.9999999999988987E-5</v>
      </c>
      <c r="E263" s="109">
        <f ca="1">IF(表2_367162629303891213[[#This Row],[累计净值]]/MAX(INDIRECT("B21:B" &amp; ROW()))-1&lt;E262,表2_367162629303891213[[#This Row],[累计净值]]/MAX(INDIRECT("B21:B" &amp; ROW()))-1,E262)</f>
        <v>-7.0911066835718239E-2</v>
      </c>
      <c r="F263" s="110">
        <f>表2_367162629303891213[[#This Row],[累计净值]]</f>
        <v>1.0259</v>
      </c>
      <c r="G263" s="20">
        <f>表2_367162629303891213[[#This Row],[累计净值]]/$B$21-1</f>
        <v>2.5694861027794502E-2</v>
      </c>
    </row>
    <row r="264" spans="1:7" x14ac:dyDescent="0.2">
      <c r="A264" s="15">
        <v>44193</v>
      </c>
      <c r="B264" s="112">
        <v>1.0266999999999999</v>
      </c>
      <c r="C264" s="108">
        <f t="shared" si="74"/>
        <v>7.9999999999991189E-4</v>
      </c>
      <c r="D264" s="109" t="str">
        <f t="shared" si="75"/>
        <v>/</v>
      </c>
      <c r="E264" s="109">
        <f ca="1">IF(表2_367162629303891213[[#This Row],[累计净值]]/MAX(INDIRECT("B21:B" &amp; ROW()))-1&lt;E263,表2_367162629303891213[[#This Row],[累计净值]]/MAX(INDIRECT("B21:B" &amp; ROW()))-1,E263)</f>
        <v>-7.0911066835718239E-2</v>
      </c>
      <c r="F264" s="110">
        <f>表2_367162629303891213[[#This Row],[累计净值]]</f>
        <v>1.0266999999999999</v>
      </c>
      <c r="G264" s="20">
        <f>表2_367162629303891213[[#This Row],[累计净值]]/$B$21-1</f>
        <v>2.6494701059788017E-2</v>
      </c>
    </row>
    <row r="265" spans="1:7" x14ac:dyDescent="0.2">
      <c r="A265" s="15">
        <v>44194</v>
      </c>
      <c r="B265" s="112">
        <v>1.0233000000000001</v>
      </c>
      <c r="C265" s="108">
        <f t="shared" ref="C265:C270" si="76">IFERROR(B265-B264,0)</f>
        <v>-3.3999999999998476E-3</v>
      </c>
      <c r="D265" s="109">
        <f t="shared" ref="D265:D270" si="77">IF(C265&lt;0,C265,"/")</f>
        <v>-3.3999999999998476E-3</v>
      </c>
      <c r="E265" s="109">
        <f ca="1">IF(表2_367162629303891213[[#This Row],[累计净值]]/MAX(INDIRECT("B21:B" &amp; ROW()))-1&lt;E264,表2_367162629303891213[[#This Row],[累计净值]]/MAX(INDIRECT("B21:B" &amp; ROW()))-1,E264)</f>
        <v>-7.3265712733200483E-2</v>
      </c>
      <c r="F265" s="110">
        <f>表2_367162629303891213[[#This Row],[累计净值]]</f>
        <v>1.0233000000000001</v>
      </c>
      <c r="G265" s="20">
        <f>表2_367162629303891213[[#This Row],[累计净值]]/$B$21-1</f>
        <v>2.3095380923815467E-2</v>
      </c>
    </row>
    <row r="266" spans="1:7" x14ac:dyDescent="0.2">
      <c r="A266" s="15">
        <v>44195</v>
      </c>
      <c r="B266" s="112">
        <v>1.0276000000000001</v>
      </c>
      <c r="C266" s="108">
        <f t="shared" si="76"/>
        <v>4.2999999999999705E-3</v>
      </c>
      <c r="D266" s="109" t="str">
        <f t="shared" si="77"/>
        <v>/</v>
      </c>
      <c r="E266" s="109">
        <f ca="1">IF(表2_367162629303891213[[#This Row],[累计净值]]/MAX(INDIRECT("B21:B" &amp; ROW()))-1&lt;E265,表2_367162629303891213[[#This Row],[累计净值]]/MAX(INDIRECT("B21:B" &amp; ROW()))-1,E265)</f>
        <v>-7.3265712733200483E-2</v>
      </c>
      <c r="F266" s="110">
        <f>表2_367162629303891213[[#This Row],[累计净值]]</f>
        <v>1.0276000000000001</v>
      </c>
      <c r="G266" s="20">
        <f>表2_367162629303891213[[#This Row],[累计净值]]/$B$21-1</f>
        <v>2.7394521095780888E-2</v>
      </c>
    </row>
    <row r="267" spans="1:7" x14ac:dyDescent="0.2">
      <c r="A267" s="15">
        <v>44196</v>
      </c>
      <c r="B267" s="112">
        <v>1.0287999999999999</v>
      </c>
      <c r="C267" s="108">
        <f t="shared" si="76"/>
        <v>1.1999999999998678E-3</v>
      </c>
      <c r="D267" s="109" t="str">
        <f t="shared" si="77"/>
        <v>/</v>
      </c>
      <c r="E267" s="109">
        <f ca="1">IF(表2_367162629303891213[[#This Row],[累计净值]]/MAX(INDIRECT("B21:B" &amp; ROW()))-1&lt;E266,表2_367162629303891213[[#This Row],[累计净值]]/MAX(INDIRECT("B21:B" &amp; ROW()))-1,E266)</f>
        <v>-7.3265712733200483E-2</v>
      </c>
      <c r="F267" s="110">
        <f>表2_367162629303891213[[#This Row],[累计净值]]</f>
        <v>1.0287999999999999</v>
      </c>
      <c r="G267" s="20">
        <f>表2_367162629303891213[[#This Row],[累计净值]]/$B$21-1</f>
        <v>2.8594281143771161E-2</v>
      </c>
    </row>
    <row r="268" spans="1:7" x14ac:dyDescent="0.2">
      <c r="A268" s="15">
        <v>44200</v>
      </c>
      <c r="B268" s="112">
        <v>1.0313000000000001</v>
      </c>
      <c r="C268" s="108">
        <f t="shared" si="76"/>
        <v>2.5000000000001688E-3</v>
      </c>
      <c r="D268" s="109" t="str">
        <f t="shared" si="77"/>
        <v>/</v>
      </c>
      <c r="E268" s="109">
        <f ca="1">IF(表2_367162629303891213[[#This Row],[累计净值]]/MAX(INDIRECT("B21:B" &amp; ROW()))-1&lt;E267,表2_367162629303891213[[#This Row],[累计净值]]/MAX(INDIRECT("B21:B" &amp; ROW()))-1,E267)</f>
        <v>-7.3265712733200483E-2</v>
      </c>
      <c r="F268" s="110">
        <f>表2_367162629303891213[[#This Row],[累计净值]]</f>
        <v>1.0313000000000001</v>
      </c>
      <c r="G268" s="20">
        <f>表2_367162629303891213[[#This Row],[累计净值]]/$B$21-1</f>
        <v>3.1093781243751284E-2</v>
      </c>
    </row>
    <row r="269" spans="1:7" x14ac:dyDescent="0.2">
      <c r="A269" s="15">
        <v>44201</v>
      </c>
      <c r="B269" s="112">
        <v>1.0328999999999999</v>
      </c>
      <c r="C269" s="108">
        <f t="shared" si="76"/>
        <v>1.5999999999998238E-3</v>
      </c>
      <c r="D269" s="109" t="str">
        <f t="shared" si="77"/>
        <v>/</v>
      </c>
      <c r="E269" s="109">
        <f ca="1">IF(表2_367162629303891213[[#This Row],[累计净值]]/MAX(INDIRECT("B21:B" &amp; ROW()))-1&lt;E268,表2_367162629303891213[[#This Row],[累计净值]]/MAX(INDIRECT("B21:B" &amp; ROW()))-1,E268)</f>
        <v>-7.3265712733200483E-2</v>
      </c>
      <c r="F269" s="110">
        <f>表2_367162629303891213[[#This Row],[累计净值]]</f>
        <v>1.0328999999999999</v>
      </c>
      <c r="G269" s="20">
        <f>表2_367162629303891213[[#This Row],[累计净值]]/$B$21-1</f>
        <v>3.2693461307738314E-2</v>
      </c>
    </row>
    <row r="270" spans="1:7" x14ac:dyDescent="0.2">
      <c r="A270" s="15">
        <v>44202</v>
      </c>
      <c r="B270" s="112">
        <v>1.0328999999999999</v>
      </c>
      <c r="C270" s="108">
        <f t="shared" si="76"/>
        <v>0</v>
      </c>
      <c r="D270" s="109" t="str">
        <f t="shared" si="77"/>
        <v>/</v>
      </c>
      <c r="E270" s="109">
        <f ca="1">IF(表2_367162629303891213[[#This Row],[累计净值]]/MAX(INDIRECT("B21:B" &amp; ROW()))-1&lt;E269,表2_367162629303891213[[#This Row],[累计净值]]/MAX(INDIRECT("B21:B" &amp; ROW()))-1,E269)</f>
        <v>-7.3265712733200483E-2</v>
      </c>
      <c r="F270" s="110">
        <f>表2_367162629303891213[[#This Row],[累计净值]]</f>
        <v>1.0328999999999999</v>
      </c>
      <c r="G270" s="20">
        <f>表2_367162629303891213[[#This Row],[累计净值]]/$B$21-1</f>
        <v>3.2693461307738314E-2</v>
      </c>
    </row>
    <row r="271" spans="1:7" x14ac:dyDescent="0.2">
      <c r="A271" s="15">
        <v>44203</v>
      </c>
      <c r="B271" s="112">
        <v>1.0367</v>
      </c>
      <c r="C271" s="108">
        <f t="shared" ref="C271:C276" si="78">IFERROR(B271-B270,0)</f>
        <v>3.8000000000000256E-3</v>
      </c>
      <c r="D271" s="109" t="str">
        <f t="shared" ref="D271:D276" si="79">IF(C271&lt;0,C271,"/")</f>
        <v>/</v>
      </c>
      <c r="E271" s="109">
        <f ca="1">IF(表2_367162629303891213[[#This Row],[累计净值]]/MAX(INDIRECT("B21:B" &amp; ROW()))-1&lt;E270,表2_367162629303891213[[#This Row],[累计净值]]/MAX(INDIRECT("B21:B" &amp; ROW()))-1,E270)</f>
        <v>-7.3265712733200483E-2</v>
      </c>
      <c r="F271" s="110">
        <f>表2_367162629303891213[[#This Row],[累计净值]]</f>
        <v>1.0367</v>
      </c>
      <c r="G271" s="20">
        <f>表2_367162629303891213[[#This Row],[累计净值]]/$B$21-1</f>
        <v>3.6492701459708066E-2</v>
      </c>
    </row>
    <row r="272" spans="1:7" x14ac:dyDescent="0.2">
      <c r="A272" s="15">
        <v>44204</v>
      </c>
      <c r="B272" s="112">
        <v>1.0310999999999999</v>
      </c>
      <c r="C272" s="108">
        <f t="shared" si="78"/>
        <v>-5.6000000000000494E-3</v>
      </c>
      <c r="D272" s="109">
        <f t="shared" si="79"/>
        <v>-5.6000000000000494E-3</v>
      </c>
      <c r="E272" s="109">
        <f ca="1">IF(表2_367162629303891213[[#This Row],[累计净值]]/MAX(INDIRECT("B21:B" &amp; ROW()))-1&lt;E271,表2_367162629303891213[[#This Row],[累计净值]]/MAX(INDIRECT("B21:B" &amp; ROW()))-1,E271)</f>
        <v>-7.3265712733200483E-2</v>
      </c>
      <c r="F272" s="110">
        <f>表2_367162629303891213[[#This Row],[累计净值]]</f>
        <v>1.0310999999999999</v>
      </c>
      <c r="G272" s="20">
        <f>表2_367162629303891213[[#This Row],[累计净值]]/$B$21-1</f>
        <v>3.0893821235752794E-2</v>
      </c>
    </row>
    <row r="273" spans="1:7" x14ac:dyDescent="0.2">
      <c r="A273" s="15">
        <v>44207</v>
      </c>
      <c r="B273" s="112">
        <v>1.0374000000000001</v>
      </c>
      <c r="C273" s="108">
        <f t="shared" si="78"/>
        <v>6.3000000000001943E-3</v>
      </c>
      <c r="D273" s="109" t="str">
        <f t="shared" si="79"/>
        <v>/</v>
      </c>
      <c r="E273" s="109">
        <f ca="1">IF(表2_367162629303891213[[#This Row],[累计净值]]/MAX(INDIRECT("B21:B" &amp; ROW()))-1&lt;E272,表2_367162629303891213[[#This Row],[累计净值]]/MAX(INDIRECT("B21:B" &amp; ROW()))-1,E272)</f>
        <v>-7.3265712733200483E-2</v>
      </c>
      <c r="F273" s="110">
        <f>表2_367162629303891213[[#This Row],[累计净值]]</f>
        <v>1.0374000000000001</v>
      </c>
      <c r="G273" s="20">
        <f>表2_367162629303891213[[#This Row],[累计净值]]/$B$21-1</f>
        <v>3.7192561487702669E-2</v>
      </c>
    </row>
    <row r="274" spans="1:7" x14ac:dyDescent="0.2">
      <c r="A274" s="15">
        <v>44208</v>
      </c>
      <c r="B274" s="112">
        <v>1.0398000000000001</v>
      </c>
      <c r="C274" s="108">
        <f t="shared" si="78"/>
        <v>2.3999999999999577E-3</v>
      </c>
      <c r="D274" s="109" t="str">
        <f t="shared" si="79"/>
        <v>/</v>
      </c>
      <c r="E274" s="109">
        <f ca="1">IF(表2_367162629303891213[[#This Row],[累计净值]]/MAX(INDIRECT("B21:B" &amp; ROW()))-1&lt;E273,表2_367162629303891213[[#This Row],[累计净值]]/MAX(INDIRECT("B21:B" &amp; ROW()))-1,E273)</f>
        <v>-7.3265712733200483E-2</v>
      </c>
      <c r="F274" s="110">
        <f>表2_367162629303891213[[#This Row],[累计净值]]</f>
        <v>1.0398000000000001</v>
      </c>
      <c r="G274" s="20">
        <f>表2_367162629303891213[[#This Row],[累计净值]]/$B$21-1</f>
        <v>3.9592081583683436E-2</v>
      </c>
    </row>
    <row r="275" spans="1:7" x14ac:dyDescent="0.2">
      <c r="A275" s="15">
        <v>44209</v>
      </c>
      <c r="B275" s="112">
        <v>1.0461</v>
      </c>
      <c r="C275" s="108">
        <f t="shared" si="78"/>
        <v>6.2999999999999723E-3</v>
      </c>
      <c r="D275" s="109" t="str">
        <f t="shared" si="79"/>
        <v>/</v>
      </c>
      <c r="E275" s="109">
        <f ca="1">IF(表2_367162629303891213[[#This Row],[累计净值]]/MAX(INDIRECT("B21:B" &amp; ROW()))-1&lt;E274,表2_367162629303891213[[#This Row],[累计净值]]/MAX(INDIRECT("B21:B" &amp; ROW()))-1,E274)</f>
        <v>-7.3265712733200483E-2</v>
      </c>
      <c r="F275" s="110">
        <f>表2_367162629303891213[[#This Row],[累计净值]]</f>
        <v>1.0461</v>
      </c>
      <c r="G275" s="20">
        <f>表2_367162629303891213[[#This Row],[累计净值]]/$B$21-1</f>
        <v>4.5890821835632867E-2</v>
      </c>
    </row>
    <row r="276" spans="1:7" x14ac:dyDescent="0.2">
      <c r="A276" s="15">
        <v>44210</v>
      </c>
      <c r="B276" s="112">
        <v>1.0426</v>
      </c>
      <c r="C276" s="108">
        <f t="shared" si="78"/>
        <v>-3.5000000000000586E-3</v>
      </c>
      <c r="D276" s="109">
        <f t="shared" si="79"/>
        <v>-3.5000000000000586E-3</v>
      </c>
      <c r="E276" s="109">
        <f ca="1">IF(表2_367162629303891213[[#This Row],[累计净值]]/MAX(INDIRECT("B21:B" &amp; ROW()))-1&lt;E275,表2_367162629303891213[[#This Row],[累计净值]]/MAX(INDIRECT("B21:B" &amp; ROW()))-1,E275)</f>
        <v>-7.3265712733200483E-2</v>
      </c>
      <c r="F276" s="110">
        <f>表2_367162629303891213[[#This Row],[累计净值]]</f>
        <v>1.0426</v>
      </c>
      <c r="G276" s="20">
        <f>表2_367162629303891213[[#This Row],[累计净值]]/$B$21-1</f>
        <v>4.2391521695660961E-2</v>
      </c>
    </row>
    <row r="277" spans="1:7" x14ac:dyDescent="0.2">
      <c r="A277" s="15">
        <v>44211</v>
      </c>
      <c r="B277" s="112">
        <v>1.0478000000000001</v>
      </c>
      <c r="C277" s="108">
        <f t="shared" ref="C277:C283" si="80">IFERROR(B277-B276,0)</f>
        <v>5.2000000000000934E-3</v>
      </c>
      <c r="D277" s="109" t="str">
        <f t="shared" ref="D277:D283" si="81">IF(C277&lt;0,C277,"/")</f>
        <v>/</v>
      </c>
      <c r="E277" s="109">
        <f ca="1">IF(表2_367162629303891213[[#This Row],[累计净值]]/MAX(INDIRECT("B21:B" &amp; ROW()))-1&lt;E276,表2_367162629303891213[[#This Row],[累计净值]]/MAX(INDIRECT("B21:B" &amp; ROW()))-1,E276)</f>
        <v>-7.3265712733200483E-2</v>
      </c>
      <c r="F277" s="110">
        <f>表2_367162629303891213[[#This Row],[累计净值]]</f>
        <v>1.0478000000000001</v>
      </c>
      <c r="G277" s="20">
        <f>表2_367162629303891213[[#This Row],[累计净值]]/$B$21-1</f>
        <v>4.7590481903619253E-2</v>
      </c>
    </row>
    <row r="278" spans="1:7" x14ac:dyDescent="0.2">
      <c r="A278" s="15">
        <v>44214</v>
      </c>
      <c r="B278" s="112">
        <v>1.0478000000000001</v>
      </c>
      <c r="C278" s="108">
        <f t="shared" si="80"/>
        <v>0</v>
      </c>
      <c r="D278" s="109" t="str">
        <f t="shared" si="81"/>
        <v>/</v>
      </c>
      <c r="E278" s="109">
        <f ca="1">IF(表2_367162629303891213[[#This Row],[累计净值]]/MAX(INDIRECT("B21:B" &amp; ROW()))-1&lt;E277,表2_367162629303891213[[#This Row],[累计净值]]/MAX(INDIRECT("B21:B" &amp; ROW()))-1,E277)</f>
        <v>-7.3265712733200483E-2</v>
      </c>
      <c r="F278" s="110">
        <f>表2_367162629303891213[[#This Row],[累计净值]]</f>
        <v>1.0478000000000001</v>
      </c>
      <c r="G278" s="20">
        <f>表2_367162629303891213[[#This Row],[累计净值]]/$B$21-1</f>
        <v>4.7590481903619253E-2</v>
      </c>
    </row>
    <row r="279" spans="1:7" x14ac:dyDescent="0.2">
      <c r="A279" s="15">
        <v>44215</v>
      </c>
      <c r="B279" s="112">
        <v>1.0479000000000001</v>
      </c>
      <c r="C279" s="108">
        <f t="shared" si="80"/>
        <v>9.9999999999988987E-5</v>
      </c>
      <c r="D279" s="109" t="str">
        <f t="shared" si="81"/>
        <v>/</v>
      </c>
      <c r="E279" s="109">
        <f ca="1">IF(表2_367162629303891213[[#This Row],[累计净值]]/MAX(INDIRECT("B21:B" &amp; ROW()))-1&lt;E278,表2_367162629303891213[[#This Row],[累计净值]]/MAX(INDIRECT("B21:B" &amp; ROW()))-1,E278)</f>
        <v>-7.3265712733200483E-2</v>
      </c>
      <c r="F279" s="110">
        <f>表2_367162629303891213[[#This Row],[累计净值]]</f>
        <v>1.0479000000000001</v>
      </c>
      <c r="G279" s="20">
        <f>表2_367162629303891213[[#This Row],[累计净值]]/$B$21-1</f>
        <v>4.7690461907618609E-2</v>
      </c>
    </row>
    <row r="280" spans="1:7" x14ac:dyDescent="0.2">
      <c r="A280" s="15">
        <v>44216</v>
      </c>
      <c r="B280" s="112">
        <v>1.0479000000000001</v>
      </c>
      <c r="C280" s="108">
        <f t="shared" si="80"/>
        <v>0</v>
      </c>
      <c r="D280" s="109" t="str">
        <f t="shared" si="81"/>
        <v>/</v>
      </c>
      <c r="E280" s="109">
        <f ca="1">IF(表2_367162629303891213[[#This Row],[累计净值]]/MAX(INDIRECT("B21:B" &amp; ROW()))-1&lt;E279,表2_367162629303891213[[#This Row],[累计净值]]/MAX(INDIRECT("B21:B" &amp; ROW()))-1,E279)</f>
        <v>-7.3265712733200483E-2</v>
      </c>
      <c r="F280" s="110">
        <f>表2_367162629303891213[[#This Row],[累计净值]]</f>
        <v>1.0479000000000001</v>
      </c>
      <c r="G280" s="20">
        <f>表2_367162629303891213[[#This Row],[累计净值]]/$B$21-1</f>
        <v>4.7690461907618609E-2</v>
      </c>
    </row>
    <row r="281" spans="1:7" x14ac:dyDescent="0.2">
      <c r="A281" s="15">
        <v>44217</v>
      </c>
      <c r="B281" s="112">
        <v>1.0482</v>
      </c>
      <c r="C281" s="108">
        <f t="shared" si="80"/>
        <v>2.9999999999996696E-4</v>
      </c>
      <c r="D281" s="109" t="str">
        <f t="shared" si="81"/>
        <v>/</v>
      </c>
      <c r="E281" s="109">
        <f ca="1">IF(表2_367162629303891213[[#This Row],[累计净值]]/MAX(INDIRECT("B21:B" &amp; ROW()))-1&lt;E280,表2_367162629303891213[[#This Row],[累计净值]]/MAX(INDIRECT("B21:B" &amp; ROW()))-1,E280)</f>
        <v>-7.3265712733200483E-2</v>
      </c>
      <c r="F281" s="110">
        <f>表2_367162629303891213[[#This Row],[累计净值]]</f>
        <v>1.0482</v>
      </c>
      <c r="G281" s="20">
        <f>表2_367162629303891213[[#This Row],[累计净值]]/$B$21-1</f>
        <v>4.799040191961601E-2</v>
      </c>
    </row>
    <row r="282" spans="1:7" x14ac:dyDescent="0.2">
      <c r="A282" s="15">
        <v>44218</v>
      </c>
      <c r="B282" s="112">
        <v>1.0485</v>
      </c>
      <c r="C282" s="108">
        <f t="shared" si="80"/>
        <v>2.9999999999996696E-4</v>
      </c>
      <c r="D282" s="109" t="str">
        <f t="shared" si="81"/>
        <v>/</v>
      </c>
      <c r="E282" s="109">
        <f ca="1">IF(表2_367162629303891213[[#This Row],[累计净值]]/MAX(INDIRECT("B21:B" &amp; ROW()))-1&lt;E281,表2_367162629303891213[[#This Row],[累计净值]]/MAX(INDIRECT("B21:B" &amp; ROW()))-1,E281)</f>
        <v>-7.3265712733200483E-2</v>
      </c>
      <c r="F282" s="110">
        <f>表2_367162629303891213[[#This Row],[累计净值]]</f>
        <v>1.0485</v>
      </c>
      <c r="G282" s="20">
        <f>表2_367162629303891213[[#This Row],[累计净值]]/$B$21-1</f>
        <v>4.8290341931613634E-2</v>
      </c>
    </row>
    <row r="283" spans="1:7" x14ac:dyDescent="0.2">
      <c r="A283" s="15">
        <v>44221</v>
      </c>
      <c r="B283" s="112">
        <v>1.0488</v>
      </c>
      <c r="C283" s="108">
        <f t="shared" si="80"/>
        <v>2.9999999999996696E-4</v>
      </c>
      <c r="D283" s="109" t="str">
        <f t="shared" si="81"/>
        <v>/</v>
      </c>
      <c r="E283" s="109">
        <f ca="1">IF(表2_367162629303891213[[#This Row],[累计净值]]/MAX(INDIRECT("B21:B" &amp; ROW()))-1&lt;E282,表2_367162629303891213[[#This Row],[累计净值]]/MAX(INDIRECT("B21:B" &amp; ROW()))-1,E282)</f>
        <v>-7.3265712733200483E-2</v>
      </c>
      <c r="F283" s="110">
        <f>表2_367162629303891213[[#This Row],[累计净值]]</f>
        <v>1.0488</v>
      </c>
      <c r="G283" s="20">
        <f>表2_367162629303891213[[#This Row],[累计净值]]/$B$21-1</f>
        <v>4.8590281943611258E-2</v>
      </c>
    </row>
    <row r="284" spans="1:7" x14ac:dyDescent="0.2">
      <c r="A284" s="15">
        <v>44222</v>
      </c>
      <c r="B284" s="112">
        <v>1.0491999999999999</v>
      </c>
      <c r="C284" s="108">
        <f>IFERROR(B284-B283,0)</f>
        <v>3.9999999999995595E-4</v>
      </c>
      <c r="D284" s="109" t="str">
        <f>IF(C284&lt;0,C284,"/")</f>
        <v>/</v>
      </c>
      <c r="E284" s="109">
        <f ca="1">IF(表2_367162629303891213[[#This Row],[累计净值]]/MAX(INDIRECT("B21:B" &amp; ROW()))-1&lt;E283,表2_367162629303891213[[#This Row],[累计净值]]/MAX(INDIRECT("B21:B" &amp; ROW()))-1,E283)</f>
        <v>-7.3265712733200483E-2</v>
      </c>
      <c r="F284" s="110">
        <f>表2_367162629303891213[[#This Row],[累计净值]]</f>
        <v>1.0491999999999999</v>
      </c>
      <c r="G284" s="20">
        <f>表2_367162629303891213[[#This Row],[累计净值]]/$B$21-1</f>
        <v>4.8990201959608015E-2</v>
      </c>
    </row>
    <row r="285" spans="1:7" x14ac:dyDescent="0.2">
      <c r="A285" s="15">
        <v>44223</v>
      </c>
      <c r="B285" s="112">
        <v>1.0495000000000001</v>
      </c>
      <c r="C285" s="108">
        <f>IFERROR(B285-B284,0)</f>
        <v>3.00000000000189E-4</v>
      </c>
      <c r="D285" s="109" t="str">
        <f>IF(C285&lt;0,C285,"/")</f>
        <v>/</v>
      </c>
      <c r="E285" s="109">
        <f ca="1">IF(表2_367162629303891213[[#This Row],[累计净值]]/MAX(INDIRECT("B21:B" &amp; ROW()))-1&lt;E284,表2_367162629303891213[[#This Row],[累计净值]]/MAX(INDIRECT("B21:B" &amp; ROW()))-1,E284)</f>
        <v>-7.3265712733200483E-2</v>
      </c>
      <c r="F285" s="110">
        <f>表2_367162629303891213[[#This Row],[累计净值]]</f>
        <v>1.0495000000000001</v>
      </c>
      <c r="G285" s="20">
        <f>表2_367162629303891213[[#This Row],[累计净值]]/$B$21-1</f>
        <v>4.9290141971605861E-2</v>
      </c>
    </row>
    <row r="286" spans="1:7" x14ac:dyDescent="0.2">
      <c r="A286" s="15">
        <v>44224</v>
      </c>
      <c r="B286" s="112">
        <v>1.0498000000000001</v>
      </c>
      <c r="C286" s="108">
        <f t="shared" ref="C286:C287" si="82">IFERROR(B286-B285,0)</f>
        <v>2.9999999999996696E-4</v>
      </c>
      <c r="D286" s="109" t="str">
        <f t="shared" ref="D286:D287" si="83">IF(C286&lt;0,C286,"/")</f>
        <v>/</v>
      </c>
      <c r="E286" s="109">
        <f ca="1">IF(表2_367162629303891213[[#This Row],[累计净值]]/MAX(INDIRECT("B21:B" &amp; ROW()))-1&lt;E285,表2_367162629303891213[[#This Row],[累计净值]]/MAX(INDIRECT("B21:B" &amp; ROW()))-1,E285)</f>
        <v>-7.3265712733200483E-2</v>
      </c>
      <c r="F286" s="110">
        <f>表2_367162629303891213[[#This Row],[累计净值]]</f>
        <v>1.0498000000000001</v>
      </c>
      <c r="G286" s="20">
        <f>表2_367162629303891213[[#This Row],[累计净值]]/$B$21-1</f>
        <v>4.9590081983603262E-2</v>
      </c>
    </row>
    <row r="287" spans="1:7" x14ac:dyDescent="0.2">
      <c r="A287" s="15">
        <v>44225</v>
      </c>
      <c r="B287" s="112">
        <v>1.0504</v>
      </c>
      <c r="C287" s="108">
        <f t="shared" si="82"/>
        <v>5.9999999999993392E-4</v>
      </c>
      <c r="D287" s="109" t="str">
        <f t="shared" si="83"/>
        <v>/</v>
      </c>
      <c r="E287" s="109">
        <f ca="1">IF(表2_367162629303891213[[#This Row],[累计净值]]/MAX(INDIRECT("B21:B" &amp; ROW()))-1&lt;E286,表2_367162629303891213[[#This Row],[累计净值]]/MAX(INDIRECT("B21:B" &amp; ROW()))-1,E286)</f>
        <v>-7.3265712733200483E-2</v>
      </c>
      <c r="F287" s="110">
        <f>表2_367162629303891213[[#This Row],[累计净值]]</f>
        <v>1.0504</v>
      </c>
      <c r="G287" s="20">
        <f>表2_367162629303891213[[#This Row],[累计净值]]/$B$21-1</f>
        <v>5.018996200759851E-2</v>
      </c>
    </row>
    <row r="288" spans="1:7" x14ac:dyDescent="0.2">
      <c r="A288" s="15">
        <v>44228</v>
      </c>
      <c r="B288" s="112">
        <v>1.0508999999999999</v>
      </c>
      <c r="C288" s="108">
        <f t="shared" ref="C288:C293" si="84">IFERROR(B288-B287,0)</f>
        <v>4.9999999999994493E-4</v>
      </c>
      <c r="D288" s="109" t="str">
        <f t="shared" ref="D288:D293" si="85">IF(C288&lt;0,C288,"/")</f>
        <v>/</v>
      </c>
      <c r="E288" s="109">
        <f ca="1">IF(表2_367162629303891213[[#This Row],[累计净值]]/MAX(INDIRECT("B21:B" &amp; ROW()))-1&lt;E287,表2_367162629303891213[[#This Row],[累计净值]]/MAX(INDIRECT("B21:B" &amp; ROW()))-1,E287)</f>
        <v>-7.3265712733200483E-2</v>
      </c>
      <c r="F288" s="110">
        <f>表2_367162629303891213[[#This Row],[累计净值]]</f>
        <v>1.0508999999999999</v>
      </c>
      <c r="G288" s="20">
        <f>表2_367162629303891213[[#This Row],[累计净值]]/$B$21-1</f>
        <v>5.0689862027594401E-2</v>
      </c>
    </row>
    <row r="289" spans="1:7" x14ac:dyDescent="0.2">
      <c r="A289" s="15">
        <v>44229</v>
      </c>
      <c r="B289" s="112">
        <v>1.0513999999999999</v>
      </c>
      <c r="C289" s="108">
        <f t="shared" si="84"/>
        <v>4.9999999999994493E-4</v>
      </c>
      <c r="D289" s="109" t="str">
        <f t="shared" si="85"/>
        <v>/</v>
      </c>
      <c r="E289" s="109">
        <f ca="1">IF(表2_367162629303891213[[#This Row],[累计净值]]/MAX(INDIRECT("B21:B" &amp; ROW()))-1&lt;E288,表2_367162629303891213[[#This Row],[累计净值]]/MAX(INDIRECT("B21:B" &amp; ROW()))-1,E288)</f>
        <v>-7.3265712733200483E-2</v>
      </c>
      <c r="F289" s="110">
        <f>表2_367162629303891213[[#This Row],[累计净值]]</f>
        <v>1.0513999999999999</v>
      </c>
      <c r="G289" s="20">
        <f>表2_367162629303891213[[#This Row],[累计净值]]/$B$21-1</f>
        <v>5.1189762047590293E-2</v>
      </c>
    </row>
    <row r="290" spans="1:7" x14ac:dyDescent="0.2">
      <c r="A290" s="15">
        <v>44230</v>
      </c>
      <c r="B290" s="112">
        <v>1.0519000000000001</v>
      </c>
      <c r="C290" s="108">
        <f t="shared" si="84"/>
        <v>5.0000000000016698E-4</v>
      </c>
      <c r="D290" s="109" t="str">
        <f t="shared" si="85"/>
        <v>/</v>
      </c>
      <c r="E290" s="109">
        <f ca="1">IF(表2_367162629303891213[[#This Row],[累计净值]]/MAX(INDIRECT("B21:B" &amp; ROW()))-1&lt;E289,表2_367162629303891213[[#This Row],[累计净值]]/MAX(INDIRECT("B21:B" &amp; ROW()))-1,E289)</f>
        <v>-7.3265712733200483E-2</v>
      </c>
      <c r="F290" s="110">
        <f>表2_367162629303891213[[#This Row],[累计净值]]</f>
        <v>1.0519000000000001</v>
      </c>
      <c r="G290" s="20">
        <f>表2_367162629303891213[[#This Row],[累计净值]]/$B$21-1</f>
        <v>5.1689662067586628E-2</v>
      </c>
    </row>
    <row r="291" spans="1:7" x14ac:dyDescent="0.2">
      <c r="A291" s="15">
        <v>44231</v>
      </c>
      <c r="B291" s="112">
        <v>1.0526</v>
      </c>
      <c r="C291" s="108">
        <f t="shared" si="84"/>
        <v>6.9999999999992291E-4</v>
      </c>
      <c r="D291" s="109" t="str">
        <f t="shared" si="85"/>
        <v>/</v>
      </c>
      <c r="E291" s="109">
        <f ca="1">IF(表2_367162629303891213[[#This Row],[累计净值]]/MAX(INDIRECT("B21:B" &amp; ROW()))-1&lt;E290,表2_367162629303891213[[#This Row],[累计净值]]/MAX(INDIRECT("B21:B" &amp; ROW()))-1,E290)</f>
        <v>-7.3265712733200483E-2</v>
      </c>
      <c r="F291" s="110">
        <f>表2_367162629303891213[[#This Row],[累计净值]]</f>
        <v>1.0526</v>
      </c>
      <c r="G291" s="20">
        <f>表2_367162629303891213[[#This Row],[累计净值]]/$B$21-1</f>
        <v>5.2389522095580787E-2</v>
      </c>
    </row>
    <row r="292" spans="1:7" x14ac:dyDescent="0.2">
      <c r="A292" s="15">
        <v>44232</v>
      </c>
      <c r="B292" s="112">
        <v>1.0531999999999999</v>
      </c>
      <c r="C292" s="108">
        <f t="shared" si="84"/>
        <v>5.9999999999993392E-4</v>
      </c>
      <c r="D292" s="109" t="str">
        <f t="shared" si="85"/>
        <v>/</v>
      </c>
      <c r="E292" s="109">
        <f ca="1">IF(表2_367162629303891213[[#This Row],[累计净值]]/MAX(INDIRECT("B21:B" &amp; ROW()))-1&lt;E291,表2_367162629303891213[[#This Row],[累计净值]]/MAX(INDIRECT("B21:B" &amp; ROW()))-1,E291)</f>
        <v>-7.3265712733200483E-2</v>
      </c>
      <c r="F292" s="110">
        <f>表2_367162629303891213[[#This Row],[累计净值]]</f>
        <v>1.0531999999999999</v>
      </c>
      <c r="G292" s="20">
        <f>表2_367162629303891213[[#This Row],[累计净值]]/$B$21-1</f>
        <v>5.2989402119576035E-2</v>
      </c>
    </row>
    <row r="293" spans="1:7" x14ac:dyDescent="0.2">
      <c r="A293" s="15">
        <v>44235</v>
      </c>
      <c r="B293" s="112">
        <v>1.0537000000000001</v>
      </c>
      <c r="C293" s="108">
        <f t="shared" si="84"/>
        <v>5.0000000000016698E-4</v>
      </c>
      <c r="D293" s="109" t="str">
        <f t="shared" si="85"/>
        <v>/</v>
      </c>
      <c r="E293" s="109">
        <f ca="1">IF(表2_367162629303891213[[#This Row],[累计净值]]/MAX(INDIRECT("B21:B" &amp; ROW()))-1&lt;E292,表2_367162629303891213[[#This Row],[累计净值]]/MAX(INDIRECT("B21:B" &amp; ROW()))-1,E292)</f>
        <v>-7.3265712733200483E-2</v>
      </c>
      <c r="F293" s="110">
        <f>表2_367162629303891213[[#This Row],[累计净值]]</f>
        <v>1.0537000000000001</v>
      </c>
      <c r="G293" s="20">
        <f>表2_367162629303891213[[#This Row],[累计净值]]/$B$21-1</f>
        <v>5.3489302139572148E-2</v>
      </c>
    </row>
    <row r="294" spans="1:7" x14ac:dyDescent="0.2">
      <c r="A294" s="15">
        <v>44236</v>
      </c>
      <c r="B294" s="112">
        <v>1.0545</v>
      </c>
      <c r="C294" s="108">
        <f>IFERROR(B294-B293,0)</f>
        <v>7.9999999999991189E-4</v>
      </c>
      <c r="D294" s="109" t="str">
        <f>IF(C294&lt;0,C294,"/")</f>
        <v>/</v>
      </c>
      <c r="E294" s="109">
        <f ca="1">IF(表2_367162629303891213[[#This Row],[累计净值]]/MAX(INDIRECT("B21:B" &amp; ROW()))-1&lt;E293,表2_367162629303891213[[#This Row],[累计净值]]/MAX(INDIRECT("B21:B" &amp; ROW()))-1,E293)</f>
        <v>-7.3265712733200483E-2</v>
      </c>
      <c r="F294" s="110">
        <f>表2_367162629303891213[[#This Row],[累计净值]]</f>
        <v>1.0545</v>
      </c>
      <c r="G294" s="20">
        <f>表2_367162629303891213[[#This Row],[累计净值]]/$B$21-1</f>
        <v>5.4289142171565663E-2</v>
      </c>
    </row>
    <row r="295" spans="1:7" x14ac:dyDescent="0.2">
      <c r="A295" s="15">
        <v>44237</v>
      </c>
      <c r="B295" s="112">
        <v>1.0537000000000001</v>
      </c>
      <c r="C295" s="108">
        <f t="shared" ref="C295:C296" si="86">IFERROR(B295-B294,0)</f>
        <v>-7.9999999999991189E-4</v>
      </c>
      <c r="D295" s="109">
        <f t="shared" ref="D295:D296" si="87">IF(C295&lt;0,C295,"/")</f>
        <v>-7.9999999999991189E-4</v>
      </c>
      <c r="E295" s="109">
        <f ca="1">IF(表2_367162629303891213[[#This Row],[累计净值]]/MAX(INDIRECT("B21:B" &amp; ROW()))-1&lt;E294,表2_367162629303891213[[#This Row],[累计净值]]/MAX(INDIRECT("B21:B" &amp; ROW()))-1,E294)</f>
        <v>-7.3265712733200483E-2</v>
      </c>
      <c r="F295" s="110">
        <f>表2_367162629303891213[[#This Row],[累计净值]]</f>
        <v>1.0537000000000001</v>
      </c>
      <c r="G295" s="20">
        <f>表2_367162629303891213[[#This Row],[累计净值]]/$B$21-1</f>
        <v>5.3489302139572148E-2</v>
      </c>
    </row>
    <row r="296" spans="1:7" x14ac:dyDescent="0.2">
      <c r="A296" s="15">
        <v>44245</v>
      </c>
      <c r="B296" s="112">
        <v>1.0537000000000001</v>
      </c>
      <c r="C296" s="108">
        <f t="shared" si="86"/>
        <v>0</v>
      </c>
      <c r="D296" s="109" t="str">
        <f t="shared" si="87"/>
        <v>/</v>
      </c>
      <c r="E296" s="109">
        <f ca="1">IF(表2_367162629303891213[[#This Row],[累计净值]]/MAX(INDIRECT("B21:B" &amp; ROW()))-1&lt;E295,表2_367162629303891213[[#This Row],[累计净值]]/MAX(INDIRECT("B21:B" &amp; ROW()))-1,E295)</f>
        <v>-7.3265712733200483E-2</v>
      </c>
      <c r="F296" s="110">
        <f>表2_367162629303891213[[#This Row],[累计净值]]</f>
        <v>1.0537000000000001</v>
      </c>
      <c r="G296" s="20">
        <f>表2_367162629303891213[[#This Row],[累计净值]]/$B$21-1</f>
        <v>5.3489302139572148E-2</v>
      </c>
    </row>
    <row r="297" spans="1:7" x14ac:dyDescent="0.2">
      <c r="A297" s="15">
        <v>44246</v>
      </c>
      <c r="B297" s="112">
        <v>1.0532999999999999</v>
      </c>
      <c r="C297" s="108">
        <f>IFERROR(B297-B296,0)</f>
        <v>-4.0000000000017799E-4</v>
      </c>
      <c r="D297" s="109">
        <f>IF(C297&lt;0,C297,"/")</f>
        <v>-4.0000000000017799E-4</v>
      </c>
      <c r="E297" s="109">
        <f ca="1">IF(表2_367162629303891213[[#This Row],[累计净值]]/MAX(INDIRECT("B21:B" &amp; ROW()))-1&lt;E296,表2_367162629303891213[[#This Row],[累计净值]]/MAX(INDIRECT("B21:B" &amp; ROW()))-1,E296)</f>
        <v>-7.3265712733200483E-2</v>
      </c>
      <c r="F297" s="110">
        <f>表2_367162629303891213[[#This Row],[累计净值]]</f>
        <v>1.0532999999999999</v>
      </c>
      <c r="G297" s="20">
        <f>表2_367162629303891213[[#This Row],[累计净值]]/$B$21-1</f>
        <v>5.3089382123575168E-2</v>
      </c>
    </row>
    <row r="298" spans="1:7" x14ac:dyDescent="0.2">
      <c r="A298" s="15">
        <v>44249</v>
      </c>
      <c r="B298" s="112">
        <v>1.0533999999999999</v>
      </c>
      <c r="C298" s="108">
        <f>IFERROR(B298-B297,0)</f>
        <v>9.9999999999988987E-5</v>
      </c>
      <c r="D298" s="109" t="str">
        <f>IF(C298&lt;0,C298,"/")</f>
        <v>/</v>
      </c>
      <c r="E298" s="109">
        <f ca="1">IF(表2_367162629303891213[[#This Row],[累计净值]]/MAX(INDIRECT("B21:B" &amp; ROW()))-1&lt;E297,表2_367162629303891213[[#This Row],[累计净值]]/MAX(INDIRECT("B21:B" &amp; ROW()))-1,E297)</f>
        <v>-7.3265712733200483E-2</v>
      </c>
      <c r="F298" s="110">
        <f>表2_367162629303891213[[#This Row],[累计净值]]</f>
        <v>1.0533999999999999</v>
      </c>
      <c r="G298" s="20">
        <f>表2_367162629303891213[[#This Row],[累计净值]]/$B$21-1</f>
        <v>5.3189362127574302E-2</v>
      </c>
    </row>
    <row r="299" spans="1:7" x14ac:dyDescent="0.2">
      <c r="A299" s="15">
        <v>44250</v>
      </c>
      <c r="B299" s="112">
        <v>1.0528</v>
      </c>
      <c r="C299" s="108">
        <f>IFERROR(B299-B298,0)</f>
        <v>-5.9999999999993392E-4</v>
      </c>
      <c r="D299" s="109">
        <f>IF(C299&lt;0,C299,"/")</f>
        <v>-5.9999999999993392E-4</v>
      </c>
      <c r="E299" s="109">
        <f ca="1">IF(表2_367162629303891213[[#This Row],[累计净值]]/MAX(INDIRECT("B21:B" &amp; ROW()))-1&lt;E298,表2_367162629303891213[[#This Row],[累计净值]]/MAX(INDIRECT("B21:B" &amp; ROW()))-1,E298)</f>
        <v>-7.3265712733200483E-2</v>
      </c>
      <c r="F299" s="110">
        <f>表2_367162629303891213[[#This Row],[累计净值]]</f>
        <v>1.0528</v>
      </c>
      <c r="G299" s="20">
        <f>表2_367162629303891213[[#This Row],[累计净值]]/$B$21-1</f>
        <v>5.2589482103579277E-2</v>
      </c>
    </row>
    <row r="300" spans="1:7" x14ac:dyDescent="0.2">
      <c r="A300" s="15">
        <v>44251</v>
      </c>
      <c r="B300" s="112">
        <v>1.0525</v>
      </c>
      <c r="C300" s="108">
        <f>IFERROR(B300-B299,0)</f>
        <v>-2.9999999999996696E-4</v>
      </c>
      <c r="D300" s="109">
        <f>IF(C300&lt;0,C300,"/")</f>
        <v>-2.9999999999996696E-4</v>
      </c>
      <c r="E300" s="109">
        <f ca="1">IF(表2_367162629303891213[[#This Row],[累计净值]]/MAX(INDIRECT("B21:B" &amp; ROW()))-1&lt;E299,表2_367162629303891213[[#This Row],[累计净值]]/MAX(INDIRECT("B21:B" &amp; ROW()))-1,E299)</f>
        <v>-7.3265712733200483E-2</v>
      </c>
      <c r="F300" s="110">
        <f>表2_367162629303891213[[#This Row],[累计净值]]</f>
        <v>1.0525</v>
      </c>
      <c r="G300" s="20">
        <f>表2_367162629303891213[[#This Row],[累计净值]]/$B$21-1</f>
        <v>5.2289542091581653E-2</v>
      </c>
    </row>
    <row r="301" spans="1:7" x14ac:dyDescent="0.2">
      <c r="A301" s="15">
        <v>44252</v>
      </c>
      <c r="B301" s="112">
        <v>1.0528</v>
      </c>
      <c r="C301" s="108">
        <f t="shared" ref="C301:C302" si="88">IFERROR(B301-B300,0)</f>
        <v>2.9999999999996696E-4</v>
      </c>
      <c r="D301" s="109" t="str">
        <f t="shared" ref="D301:D302" si="89">IF(C301&lt;0,C301,"/")</f>
        <v>/</v>
      </c>
      <c r="E301" s="109">
        <f ca="1">IF(表2_367162629303891213[[#This Row],[累计净值]]/MAX(INDIRECT("B21:B" &amp; ROW()))-1&lt;E300,表2_367162629303891213[[#This Row],[累计净值]]/MAX(INDIRECT("B21:B" &amp; ROW()))-1,E300)</f>
        <v>-7.3265712733200483E-2</v>
      </c>
      <c r="F301" s="110">
        <f>表2_367162629303891213[[#This Row],[累计净值]]</f>
        <v>1.0528</v>
      </c>
      <c r="G301" s="20">
        <f>表2_367162629303891213[[#This Row],[累计净值]]/$B$21-1</f>
        <v>5.2589482103579277E-2</v>
      </c>
    </row>
    <row r="302" spans="1:7" x14ac:dyDescent="0.2">
      <c r="A302" s="15">
        <v>44253</v>
      </c>
      <c r="B302" s="112">
        <v>1.0531999999999999</v>
      </c>
      <c r="C302" s="108">
        <f t="shared" si="88"/>
        <v>3.9999999999995595E-4</v>
      </c>
      <c r="D302" s="109" t="str">
        <f t="shared" si="89"/>
        <v>/</v>
      </c>
      <c r="E302" s="109">
        <f ca="1">IF(表2_367162629303891213[[#This Row],[累计净值]]/MAX(INDIRECT("B21:B" &amp; ROW()))-1&lt;E301,表2_367162629303891213[[#This Row],[累计净值]]/MAX(INDIRECT("B21:B" &amp; ROW()))-1,E301)</f>
        <v>-7.3265712733200483E-2</v>
      </c>
      <c r="F302" s="110">
        <f>表2_367162629303891213[[#This Row],[累计净值]]</f>
        <v>1.0531999999999999</v>
      </c>
      <c r="G302" s="20">
        <f>表2_367162629303891213[[#This Row],[累计净值]]/$B$21-1</f>
        <v>5.2989402119576035E-2</v>
      </c>
    </row>
    <row r="303" spans="1:7" x14ac:dyDescent="0.2">
      <c r="A303" s="15">
        <v>44256</v>
      </c>
      <c r="B303" s="112">
        <v>1.0537000000000001</v>
      </c>
      <c r="C303" s="108">
        <f>IFERROR(B303-B302,0)</f>
        <v>5.0000000000016698E-4</v>
      </c>
      <c r="D303" s="109" t="str">
        <f>IF(C303&lt;0,C303,"/")</f>
        <v>/</v>
      </c>
      <c r="E303" s="109">
        <f ca="1">IF(表2_367162629303891213[[#This Row],[累计净值]]/MAX(INDIRECT("B21:B" &amp; ROW()))-1&lt;E302,表2_367162629303891213[[#This Row],[累计净值]]/MAX(INDIRECT("B21:B" &amp; ROW()))-1,E302)</f>
        <v>-7.3265712733200483E-2</v>
      </c>
      <c r="F303" s="110">
        <f>表2_367162629303891213[[#This Row],[累计净值]]</f>
        <v>1.0537000000000001</v>
      </c>
      <c r="G303" s="20">
        <f>表2_367162629303891213[[#This Row],[累计净值]]/$B$21-1</f>
        <v>5.3489302139572148E-2</v>
      </c>
    </row>
    <row r="304" spans="1:7" x14ac:dyDescent="0.2">
      <c r="A304" s="15">
        <v>44257</v>
      </c>
      <c r="B304" s="112">
        <v>1.0533999999999999</v>
      </c>
      <c r="C304" s="108">
        <f t="shared" ref="C304:C307" si="90">IFERROR(B304-B303,0)</f>
        <v>-3.00000000000189E-4</v>
      </c>
      <c r="D304" s="109">
        <f t="shared" ref="D304:D307" si="91">IF(C304&lt;0,C304,"/")</f>
        <v>-3.00000000000189E-4</v>
      </c>
      <c r="E304" s="109">
        <f ca="1">IF(表2_367162629303891213[[#This Row],[累计净值]]/MAX(INDIRECT("B21:B" &amp; ROW()))-1&lt;E303,表2_367162629303891213[[#This Row],[累计净值]]/MAX(INDIRECT("B21:B" &amp; ROW()))-1,E303)</f>
        <v>-7.3265712733200483E-2</v>
      </c>
      <c r="F304" s="110">
        <f>表2_367162629303891213[[#This Row],[累计净值]]</f>
        <v>1.0533999999999999</v>
      </c>
      <c r="G304" s="20">
        <f>表2_367162629303891213[[#This Row],[累计净值]]/$B$21-1</f>
        <v>5.3189362127574302E-2</v>
      </c>
    </row>
    <row r="305" spans="1:7" x14ac:dyDescent="0.2">
      <c r="A305" s="15">
        <v>44258</v>
      </c>
      <c r="B305" s="112">
        <v>1.0536000000000001</v>
      </c>
      <c r="C305" s="108">
        <f t="shared" si="90"/>
        <v>2.0000000000020002E-4</v>
      </c>
      <c r="D305" s="109" t="str">
        <f t="shared" si="91"/>
        <v>/</v>
      </c>
      <c r="E305" s="109">
        <f ca="1">IF(表2_367162629303891213[[#This Row],[累计净值]]/MAX(INDIRECT("B21:B" &amp; ROW()))-1&lt;E304,表2_367162629303891213[[#This Row],[累计净值]]/MAX(INDIRECT("B21:B" &amp; ROW()))-1,E304)</f>
        <v>-7.3265712733200483E-2</v>
      </c>
      <c r="F305" s="110">
        <f>表2_367162629303891213[[#This Row],[累计净值]]</f>
        <v>1.0536000000000001</v>
      </c>
      <c r="G305" s="20">
        <f>表2_367162629303891213[[#This Row],[累计净值]]/$B$21-1</f>
        <v>5.3389322135573014E-2</v>
      </c>
    </row>
    <row r="306" spans="1:7" x14ac:dyDescent="0.2">
      <c r="A306" s="15">
        <v>44259</v>
      </c>
      <c r="B306" s="112">
        <v>1.0531999999999999</v>
      </c>
      <c r="C306" s="108">
        <f t="shared" si="90"/>
        <v>-4.0000000000017799E-4</v>
      </c>
      <c r="D306" s="109">
        <f t="shared" si="91"/>
        <v>-4.0000000000017799E-4</v>
      </c>
      <c r="E306" s="109">
        <f ca="1">IF(表2_367162629303891213[[#This Row],[累计净值]]/MAX(INDIRECT("B21:B" &amp; ROW()))-1&lt;E305,表2_367162629303891213[[#This Row],[累计净值]]/MAX(INDIRECT("B21:B" &amp; ROW()))-1,E305)</f>
        <v>-7.3265712733200483E-2</v>
      </c>
      <c r="F306" s="110">
        <f>表2_367162629303891213[[#This Row],[累计净值]]</f>
        <v>1.0531999999999999</v>
      </c>
      <c r="G306" s="20">
        <f>表2_367162629303891213[[#This Row],[累计净值]]/$B$21-1</f>
        <v>5.2989402119576035E-2</v>
      </c>
    </row>
    <row r="307" spans="1:7" x14ac:dyDescent="0.2">
      <c r="A307" s="15">
        <v>44260</v>
      </c>
      <c r="B307" s="112">
        <v>1.0538000000000001</v>
      </c>
      <c r="C307" s="108">
        <f t="shared" si="90"/>
        <v>6.0000000000015596E-4</v>
      </c>
      <c r="D307" s="109" t="str">
        <f t="shared" si="91"/>
        <v>/</v>
      </c>
      <c r="E307" s="109">
        <f ca="1">IF(表2_367162629303891213[[#This Row],[累计净值]]/MAX(INDIRECT("B21:B" &amp; ROW()))-1&lt;E306,表2_367162629303891213[[#This Row],[累计净值]]/MAX(INDIRECT("B21:B" &amp; ROW()))-1,E306)</f>
        <v>-7.3265712733200483E-2</v>
      </c>
      <c r="F307" s="110">
        <f>表2_367162629303891213[[#This Row],[累计净值]]</f>
        <v>1.0538000000000001</v>
      </c>
      <c r="G307" s="20">
        <f>表2_367162629303891213[[#This Row],[累计净值]]/$B$21-1</f>
        <v>5.3589282143571282E-2</v>
      </c>
    </row>
    <row r="308" spans="1:7" x14ac:dyDescent="0.2">
      <c r="A308" s="15">
        <v>44263</v>
      </c>
      <c r="B308" s="112">
        <v>1.0546</v>
      </c>
      <c r="C308" s="108">
        <f t="shared" ref="C308:C313" si="92">IFERROR(B308-B307,0)</f>
        <v>7.9999999999991189E-4</v>
      </c>
      <c r="D308" s="109" t="str">
        <f t="shared" ref="D308:D313" si="93">IF(C308&lt;0,C308,"/")</f>
        <v>/</v>
      </c>
      <c r="E308" s="109">
        <f ca="1">IF(表2_367162629303891213[[#This Row],[累计净值]]/MAX(INDIRECT("B21:B" &amp; ROW()))-1&lt;E307,表2_367162629303891213[[#This Row],[累计净值]]/MAX(INDIRECT("B21:B" &amp; ROW()))-1,E307)</f>
        <v>-7.3265712733200483E-2</v>
      </c>
      <c r="F308" s="110">
        <f>表2_367162629303891213[[#This Row],[累计净值]]</f>
        <v>1.0546</v>
      </c>
      <c r="G308" s="20">
        <f>表2_367162629303891213[[#This Row],[累计净值]]/$B$21-1</f>
        <v>5.4389122175564797E-2</v>
      </c>
    </row>
    <row r="309" spans="1:7" x14ac:dyDescent="0.2">
      <c r="A309" s="15">
        <v>44264</v>
      </c>
      <c r="B309" s="112">
        <v>1.0547</v>
      </c>
      <c r="C309" s="108">
        <f t="shared" si="92"/>
        <v>9.9999999999988987E-5</v>
      </c>
      <c r="D309" s="109" t="str">
        <f t="shared" si="93"/>
        <v>/</v>
      </c>
      <c r="E309" s="109">
        <f ca="1">IF(表2_367162629303891213[[#This Row],[累计净值]]/MAX(INDIRECT("B21:B" &amp; ROW()))-1&lt;E308,表2_367162629303891213[[#This Row],[累计净值]]/MAX(INDIRECT("B21:B" &amp; ROW()))-1,E308)</f>
        <v>-7.3265712733200483E-2</v>
      </c>
      <c r="F309" s="110">
        <f>表2_367162629303891213[[#This Row],[累计净值]]</f>
        <v>1.0547</v>
      </c>
      <c r="G309" s="20">
        <f>表2_367162629303891213[[#This Row],[累计净值]]/$B$21-1</f>
        <v>5.4489102179564153E-2</v>
      </c>
    </row>
    <row r="310" spans="1:7" x14ac:dyDescent="0.2">
      <c r="A310" s="15">
        <v>44265</v>
      </c>
      <c r="B310" s="112">
        <v>1.0543</v>
      </c>
      <c r="C310" s="108">
        <f t="shared" si="92"/>
        <v>-3.9999999999995595E-4</v>
      </c>
      <c r="D310" s="109">
        <f t="shared" si="93"/>
        <v>-3.9999999999995595E-4</v>
      </c>
      <c r="E310" s="109">
        <f ca="1">IF(表2_367162629303891213[[#This Row],[累计净值]]/MAX(INDIRECT("B21:B" &amp; ROW()))-1&lt;E309,表2_367162629303891213[[#This Row],[累计净值]]/MAX(INDIRECT("B21:B" &amp; ROW()))-1,E309)</f>
        <v>-7.3265712733200483E-2</v>
      </c>
      <c r="F310" s="110">
        <f>表2_367162629303891213[[#This Row],[累计净值]]</f>
        <v>1.0543</v>
      </c>
      <c r="G310" s="20">
        <f>表2_367162629303891213[[#This Row],[累计净值]]/$B$21-1</f>
        <v>5.4089182163567395E-2</v>
      </c>
    </row>
    <row r="311" spans="1:7" x14ac:dyDescent="0.2">
      <c r="A311" s="15">
        <v>44266</v>
      </c>
      <c r="B311" s="112">
        <v>1.0549999999999999</v>
      </c>
      <c r="C311" s="108">
        <f t="shared" si="92"/>
        <v>6.9999999999992291E-4</v>
      </c>
      <c r="D311" s="109" t="str">
        <f t="shared" si="93"/>
        <v>/</v>
      </c>
      <c r="E311" s="109">
        <f ca="1">IF(表2_367162629303891213[[#This Row],[累计净值]]/MAX(INDIRECT("B21:B" &amp; ROW()))-1&lt;E310,表2_367162629303891213[[#This Row],[累计净值]]/MAX(INDIRECT("B21:B" &amp; ROW()))-1,E310)</f>
        <v>-7.3265712733200483E-2</v>
      </c>
      <c r="F311" s="110">
        <f>表2_367162629303891213[[#This Row],[累计净值]]</f>
        <v>1.0549999999999999</v>
      </c>
      <c r="G311" s="20">
        <f>表2_367162629303891213[[#This Row],[累计净值]]/$B$21-1</f>
        <v>5.4789042191561554E-2</v>
      </c>
    </row>
    <row r="312" spans="1:7" x14ac:dyDescent="0.2">
      <c r="A312" s="15">
        <v>44267</v>
      </c>
      <c r="B312" s="112">
        <v>1.0558000000000001</v>
      </c>
      <c r="C312" s="108">
        <f t="shared" si="92"/>
        <v>8.0000000000013394E-4</v>
      </c>
      <c r="D312" s="109" t="str">
        <f t="shared" si="93"/>
        <v>/</v>
      </c>
      <c r="E312" s="109">
        <f ca="1">IF(表2_367162629303891213[[#This Row],[累计净值]]/MAX(INDIRECT("B21:B" &amp; ROW()))-1&lt;E311,表2_367162629303891213[[#This Row],[累计净值]]/MAX(INDIRECT("B21:B" &amp; ROW()))-1,E311)</f>
        <v>-7.3265712733200483E-2</v>
      </c>
      <c r="F312" s="110">
        <f>表2_367162629303891213[[#This Row],[累计净值]]</f>
        <v>1.0558000000000001</v>
      </c>
      <c r="G312" s="20">
        <f>表2_367162629303891213[[#This Row],[累计净值]]/$B$21-1</f>
        <v>5.5588882223555292E-2</v>
      </c>
    </row>
    <row r="313" spans="1:7" x14ac:dyDescent="0.2">
      <c r="A313" s="15">
        <v>44270</v>
      </c>
      <c r="B313" s="112">
        <v>1.0557000000000001</v>
      </c>
      <c r="C313" s="108">
        <f t="shared" si="92"/>
        <v>-9.9999999999988987E-5</v>
      </c>
      <c r="D313" s="109">
        <f t="shared" si="93"/>
        <v>-9.9999999999988987E-5</v>
      </c>
      <c r="E313" s="109">
        <f ca="1">IF(表2_367162629303891213[[#This Row],[累计净值]]/MAX(INDIRECT("B21:B" &amp; ROW()))-1&lt;E312,表2_367162629303891213[[#This Row],[累计净值]]/MAX(INDIRECT("B21:B" &amp; ROW()))-1,E312)</f>
        <v>-7.3265712733200483E-2</v>
      </c>
      <c r="F313" s="110">
        <f>表2_367162629303891213[[#This Row],[累计净值]]</f>
        <v>1.0557000000000001</v>
      </c>
      <c r="G313" s="20">
        <f>表2_367162629303891213[[#This Row],[累计净值]]/$B$21-1</f>
        <v>5.5488902219556158E-2</v>
      </c>
    </row>
    <row r="314" spans="1:7" x14ac:dyDescent="0.2">
      <c r="A314" s="15">
        <v>44271</v>
      </c>
      <c r="B314" s="112">
        <v>1.0566</v>
      </c>
      <c r="C314" s="108">
        <f>IFERROR(B314-B313,0)</f>
        <v>8.9999999999990088E-4</v>
      </c>
      <c r="D314" s="109" t="str">
        <f>IF(C314&lt;0,C314,"/")</f>
        <v>/</v>
      </c>
      <c r="E314" s="109">
        <f ca="1">IF(表2_367162629303891213[[#This Row],[累计净值]]/MAX(INDIRECT("B21:B" &amp; ROW()))-1&lt;E313,表2_367162629303891213[[#This Row],[累计净值]]/MAX(INDIRECT("B21:B" &amp; ROW()))-1,E313)</f>
        <v>-7.3265712733200483E-2</v>
      </c>
      <c r="F314" s="110">
        <f>表2_367162629303891213[[#This Row],[累计净值]]</f>
        <v>1.0566</v>
      </c>
      <c r="G314" s="20">
        <f>表2_367162629303891213[[#This Row],[累计净值]]/$B$21-1</f>
        <v>5.6388722255548807E-2</v>
      </c>
    </row>
    <row r="315" spans="1:7" x14ac:dyDescent="0.2">
      <c r="A315" s="15">
        <v>44272</v>
      </c>
      <c r="B315" s="112">
        <v>1.0570999999999999</v>
      </c>
      <c r="C315" s="108">
        <f>IFERROR(B315-B314,0)</f>
        <v>4.9999999999994493E-4</v>
      </c>
      <c r="D315" s="109" t="str">
        <f>IF(C315&lt;0,C315,"/")</f>
        <v>/</v>
      </c>
      <c r="E315" s="109">
        <f ca="1">IF(表2_367162629303891213[[#This Row],[累计净值]]/MAX(INDIRECT("B21:B" &amp; ROW()))-1&lt;E314,表2_367162629303891213[[#This Row],[累计净值]]/MAX(INDIRECT("B21:B" &amp; ROW()))-1,E314)</f>
        <v>-7.3265712733200483E-2</v>
      </c>
      <c r="F315" s="110">
        <f>表2_367162629303891213[[#This Row],[累计净值]]</f>
        <v>1.0570999999999999</v>
      </c>
      <c r="G315" s="20">
        <f>表2_367162629303891213[[#This Row],[累计净值]]/$B$21-1</f>
        <v>5.688862227554492E-2</v>
      </c>
    </row>
    <row r="316" spans="1:7" x14ac:dyDescent="0.2">
      <c r="A316" s="15">
        <v>44273</v>
      </c>
      <c r="B316" s="112">
        <v>1.0581</v>
      </c>
      <c r="C316" s="108">
        <f>IFERROR(B316-B315,0)</f>
        <v>1.0000000000001119E-3</v>
      </c>
      <c r="D316" s="109" t="str">
        <f>IF(C316&lt;0,C316,"/")</f>
        <v>/</v>
      </c>
      <c r="E316" s="109">
        <f ca="1">IF(表2_367162629303891213[[#This Row],[累计净值]]/MAX(INDIRECT("B21:B" &amp; ROW()))-1&lt;E315,表2_367162629303891213[[#This Row],[累计净值]]/MAX(INDIRECT("B21:B" &amp; ROW()))-1,E315)</f>
        <v>-7.3265712733200483E-2</v>
      </c>
      <c r="F316" s="110">
        <f>表2_367162629303891213[[#This Row],[累计净值]]</f>
        <v>1.0581</v>
      </c>
      <c r="G316" s="20">
        <f>表2_367162629303891213[[#This Row],[累计净值]]/$B$21-1</f>
        <v>5.7888422315536925E-2</v>
      </c>
    </row>
    <row r="317" spans="1:7" x14ac:dyDescent="0.2">
      <c r="A317" s="15">
        <v>44274</v>
      </c>
      <c r="B317" s="112">
        <v>1.0592999999999999</v>
      </c>
      <c r="C317" s="108">
        <f>IFERROR(B317-B316,0)</f>
        <v>1.1999999999998678E-3</v>
      </c>
      <c r="D317" s="109" t="str">
        <f>IF(C317&lt;0,C317,"/")</f>
        <v>/</v>
      </c>
      <c r="E317" s="109">
        <f ca="1">IF(表2_367162629303891213[[#This Row],[累计净值]]/MAX(INDIRECT("B21:B" &amp; ROW()))-1&lt;E316,表2_367162629303891213[[#This Row],[累计净值]]/MAX(INDIRECT("B21:B" &amp; ROW()))-1,E316)</f>
        <v>-7.3265712733200483E-2</v>
      </c>
      <c r="F317" s="110">
        <f>表2_367162629303891213[[#This Row],[累计净值]]</f>
        <v>1.0592999999999999</v>
      </c>
      <c r="G317" s="20">
        <f>表2_367162629303891213[[#This Row],[累计净值]]/$B$21-1</f>
        <v>5.9088182363527197E-2</v>
      </c>
    </row>
    <row r="318" spans="1:7" x14ac:dyDescent="0.2">
      <c r="A318" s="15">
        <v>44277</v>
      </c>
      <c r="B318" s="112">
        <v>1.0606</v>
      </c>
      <c r="C318" s="108">
        <f>IFERROR(B318-B317,0)</f>
        <v>1.3000000000000789E-3</v>
      </c>
      <c r="D318" s="109" t="str">
        <f>IF(C318&lt;0,C318,"/")</f>
        <v>/</v>
      </c>
      <c r="E318" s="109">
        <f ca="1">IF(表2_367162629303891213[[#This Row],[累计净值]]/MAX(INDIRECT("B21:B" &amp; ROW()))-1&lt;E317,表2_367162629303891213[[#This Row],[累计净值]]/MAX(INDIRECT("B21:B" &amp; ROW()))-1,E317)</f>
        <v>-7.3265712733200483E-2</v>
      </c>
      <c r="F318" s="110">
        <f>表2_367162629303891213[[#This Row],[累计净值]]</f>
        <v>1.0606</v>
      </c>
      <c r="G318" s="20">
        <f>表2_367162629303891213[[#This Row],[累计净值]]/$B$21-1</f>
        <v>6.0387922415516826E-2</v>
      </c>
    </row>
    <row r="319" spans="1:7" x14ac:dyDescent="0.2">
      <c r="A319" s="15">
        <v>44278</v>
      </c>
      <c r="B319" s="112">
        <v>1.0619000000000001</v>
      </c>
      <c r="C319" s="108">
        <f t="shared" ref="C319:C322" si="94">IFERROR(B319-B318,0)</f>
        <v>1.3000000000000789E-3</v>
      </c>
      <c r="D319" s="109" t="str">
        <f t="shared" ref="D319:D322" si="95">IF(C319&lt;0,C319,"/")</f>
        <v>/</v>
      </c>
      <c r="E319" s="109">
        <f ca="1">IF(表2_367162629303891213[[#This Row],[累计净值]]/MAX(INDIRECT("B21:B" &amp; ROW()))-1&lt;E318,表2_367162629303891213[[#This Row],[累计净值]]/MAX(INDIRECT("B21:B" &amp; ROW()))-1,E318)</f>
        <v>-7.3265712733200483E-2</v>
      </c>
      <c r="F319" s="110">
        <f>表2_367162629303891213[[#This Row],[累计净值]]</f>
        <v>1.0619000000000001</v>
      </c>
      <c r="G319" s="20">
        <f>表2_367162629303891213[[#This Row],[累计净值]]/$B$21-1</f>
        <v>6.1687662467506676E-2</v>
      </c>
    </row>
    <row r="320" spans="1:7" x14ac:dyDescent="0.2">
      <c r="A320" s="15">
        <v>44279</v>
      </c>
      <c r="B320" s="112">
        <v>1.0606</v>
      </c>
      <c r="C320" s="108">
        <f t="shared" si="94"/>
        <v>-1.3000000000000789E-3</v>
      </c>
      <c r="D320" s="109">
        <f t="shared" si="95"/>
        <v>-1.3000000000000789E-3</v>
      </c>
      <c r="E320" s="109">
        <f ca="1">IF(表2_367162629303891213[[#This Row],[累计净值]]/MAX(INDIRECT("B21:B" &amp; ROW()))-1&lt;E319,表2_367162629303891213[[#This Row],[累计净值]]/MAX(INDIRECT("B21:B" &amp; ROW()))-1,E319)</f>
        <v>-7.3265712733200483E-2</v>
      </c>
      <c r="F320" s="110">
        <f>表2_367162629303891213[[#This Row],[累计净值]]</f>
        <v>1.0606</v>
      </c>
      <c r="G320" s="20">
        <f>表2_367162629303891213[[#This Row],[累计净值]]/$B$21-1</f>
        <v>6.0387922415516826E-2</v>
      </c>
    </row>
    <row r="321" spans="1:7" x14ac:dyDescent="0.2">
      <c r="A321" s="15">
        <v>44280</v>
      </c>
      <c r="B321" s="112">
        <v>1.0610999999999999</v>
      </c>
      <c r="C321" s="108">
        <f t="shared" si="94"/>
        <v>4.9999999999994493E-4</v>
      </c>
      <c r="D321" s="109" t="str">
        <f t="shared" si="95"/>
        <v>/</v>
      </c>
      <c r="E321" s="109">
        <f ca="1">IF(表2_367162629303891213[[#This Row],[累计净值]]/MAX(INDIRECT("B21:B" &amp; ROW()))-1&lt;E320,表2_367162629303891213[[#This Row],[累计净值]]/MAX(INDIRECT("B21:B" &amp; ROW()))-1,E320)</f>
        <v>-7.3265712733200483E-2</v>
      </c>
      <c r="F321" s="110">
        <f>表2_367162629303891213[[#This Row],[累计净值]]</f>
        <v>1.0610999999999999</v>
      </c>
      <c r="G321" s="20">
        <f>表2_367162629303891213[[#This Row],[累计净值]]/$B$21-1</f>
        <v>6.0887822435512939E-2</v>
      </c>
    </row>
    <row r="322" spans="1:7" x14ac:dyDescent="0.2">
      <c r="A322" s="15">
        <v>44281</v>
      </c>
      <c r="B322" s="112">
        <v>1.0605</v>
      </c>
      <c r="C322" s="108">
        <f t="shared" si="94"/>
        <v>-5.9999999999993392E-4</v>
      </c>
      <c r="D322" s="109">
        <f t="shared" si="95"/>
        <v>-5.9999999999993392E-4</v>
      </c>
      <c r="E322" s="109">
        <f ca="1">IF(表2_367162629303891213[[#This Row],[累计净值]]/MAX(INDIRECT("B21:B" &amp; ROW()))-1&lt;E321,表2_367162629303891213[[#This Row],[累计净值]]/MAX(INDIRECT("B21:B" &amp; ROW()))-1,E321)</f>
        <v>-7.3265712733200483E-2</v>
      </c>
      <c r="F322" s="110">
        <f>表2_367162629303891213[[#This Row],[累计净值]]</f>
        <v>1.0605</v>
      </c>
      <c r="G322" s="20">
        <f>表2_367162629303891213[[#This Row],[累计净值]]/$B$21-1</f>
        <v>6.0287942411517692E-2</v>
      </c>
    </row>
    <row r="323" spans="1:7" x14ac:dyDescent="0.2">
      <c r="A323" s="15">
        <v>44284</v>
      </c>
      <c r="B323" s="112">
        <v>1.0619000000000001</v>
      </c>
      <c r="C323" s="108">
        <f>IFERROR(B323-B322,0)</f>
        <v>1.4000000000000679E-3</v>
      </c>
      <c r="D323" s="109" t="str">
        <f>IF(C323&lt;0,C323,"/")</f>
        <v>/</v>
      </c>
      <c r="E323" s="109">
        <f ca="1">IF(表2_367162629303891213[[#This Row],[累计净值]]/MAX(INDIRECT("B21:B" &amp; ROW()))-1&lt;E322,表2_367162629303891213[[#This Row],[累计净值]]/MAX(INDIRECT("B21:B" &amp; ROW()))-1,E322)</f>
        <v>-7.3265712733200483E-2</v>
      </c>
      <c r="F323" s="110">
        <f>表2_367162629303891213[[#This Row],[累计净值]]</f>
        <v>1.0619000000000001</v>
      </c>
      <c r="G323" s="20">
        <f>表2_367162629303891213[[#This Row],[累计净值]]/$B$21-1</f>
        <v>6.1687662467506676E-2</v>
      </c>
    </row>
    <row r="324" spans="1:7" x14ac:dyDescent="0.2">
      <c r="A324" s="15">
        <v>44285</v>
      </c>
      <c r="B324" s="112">
        <v>1.0609</v>
      </c>
      <c r="C324" s="108">
        <f>IFERROR(B324-B323,0)</f>
        <v>-1.0000000000001119E-3</v>
      </c>
      <c r="D324" s="109">
        <f>IF(C324&lt;0,C324,"/")</f>
        <v>-1.0000000000001119E-3</v>
      </c>
      <c r="E324" s="109">
        <f ca="1">IF(表2_367162629303891213[[#This Row],[累计净值]]/MAX(INDIRECT("B21:B" &amp; ROW()))-1&lt;E323,表2_367162629303891213[[#This Row],[累计净值]]/MAX(INDIRECT("B21:B" &amp; ROW()))-1,E323)</f>
        <v>-7.3265712733200483E-2</v>
      </c>
      <c r="F324" s="110">
        <f>表2_367162629303891213[[#This Row],[累计净值]]</f>
        <v>1.0609</v>
      </c>
      <c r="G324" s="20">
        <f>表2_367162629303891213[[#This Row],[累计净值]]/$B$21-1</f>
        <v>6.068786242751445E-2</v>
      </c>
    </row>
    <row r="325" spans="1:7" x14ac:dyDescent="0.2">
      <c r="A325" s="15">
        <v>44286</v>
      </c>
      <c r="B325" s="112">
        <v>1.0610999999999999</v>
      </c>
      <c r="C325" s="108">
        <f>IFERROR(B325-B324,0)</f>
        <v>1.9999999999997797E-4</v>
      </c>
      <c r="D325" s="109" t="str">
        <f>IF(C325&lt;0,C325,"/")</f>
        <v>/</v>
      </c>
      <c r="E325" s="109">
        <f ca="1">IF(表2_367162629303891213[[#This Row],[累计净值]]/MAX(INDIRECT("B21:B" &amp; ROW()))-1&lt;E324,表2_367162629303891213[[#This Row],[累计净值]]/MAX(INDIRECT("B21:B" &amp; ROW()))-1,E324)</f>
        <v>-7.3265712733200483E-2</v>
      </c>
      <c r="F325" s="110">
        <f>表2_367162629303891213[[#This Row],[累计净值]]</f>
        <v>1.0610999999999999</v>
      </c>
      <c r="G325" s="20">
        <f>表2_367162629303891213[[#This Row],[累计净值]]/$B$21-1</f>
        <v>6.0887822435512939E-2</v>
      </c>
    </row>
  </sheetData>
  <mergeCells count="1">
    <mergeCell ref="G2:G3"/>
  </mergeCells>
  <phoneticPr fontId="24" type="noConversion"/>
  <pageMargins left="0.7" right="0.7" top="0.75" bottom="0.75" header="0.3" footer="0.3"/>
  <pageSetup paperSize="9" orientation="portrait" horizontalDpi="200" verticalDpi="200" r:id="rId1"/>
  <drawing r:id="rId2"/>
  <tableParts count="1">
    <tablePart r:id="rId3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1"/>
  </sheetPr>
  <dimension ref="A1:J83"/>
  <sheetViews>
    <sheetView workbookViewId="0">
      <pane xSplit="1" ySplit="20" topLeftCell="B73" activePane="bottomRight" state="frozen"/>
      <selection pane="topRight" activeCell="B1" sqref="B1"/>
      <selection pane="bottomLeft" activeCell="A21" sqref="A21"/>
      <selection pane="bottomRight" activeCell="I86" sqref="I86"/>
    </sheetView>
  </sheetViews>
  <sheetFormatPr defaultColWidth="9" defaultRowHeight="14.25" x14ac:dyDescent="0.2"/>
  <cols>
    <col min="1" max="1" width="11.625" style="1" bestFit="1" customWidth="1"/>
    <col min="2" max="2" width="13" style="1" customWidth="1"/>
    <col min="3" max="4" width="13.5" style="1" bestFit="1" customWidth="1"/>
    <col min="5" max="5" width="10.75" style="1" customWidth="1"/>
    <col min="6" max="6" width="11.125" style="1" customWidth="1"/>
    <col min="7" max="7" width="18.875" style="2" customWidth="1"/>
    <col min="8" max="8" width="14.25" style="1" customWidth="1"/>
    <col min="9" max="9" width="12" style="1" bestFit="1" customWidth="1"/>
    <col min="10" max="16384" width="9" style="1"/>
  </cols>
  <sheetData>
    <row r="1" spans="1:7" ht="15" thickBot="1" x14ac:dyDescent="0.25"/>
    <row r="2" spans="1:7" ht="15" thickBot="1" x14ac:dyDescent="0.25">
      <c r="A2" s="23" t="s">
        <v>0</v>
      </c>
      <c r="B2" s="24">
        <f>COUNT(表2_367162629303891213141523242526272831323334[每日盈亏])</f>
        <v>63</v>
      </c>
      <c r="C2" s="27"/>
      <c r="D2" s="3" t="s">
        <v>1</v>
      </c>
      <c r="E2" s="28"/>
      <c r="F2" s="1" t="s">
        <v>2</v>
      </c>
      <c r="G2" s="394" t="s">
        <v>3</v>
      </c>
    </row>
    <row r="3" spans="1:7" x14ac:dyDescent="0.2">
      <c r="A3" s="25" t="s">
        <v>4</v>
      </c>
      <c r="B3" s="26">
        <f>COUNTIF(表2_367162629303891213141523242526272831323334[每日盈亏],"&gt;0")</f>
        <v>18</v>
      </c>
      <c r="C3" s="29"/>
      <c r="D3" s="30" t="s">
        <v>5</v>
      </c>
      <c r="E3" s="31">
        <f>245^0.5*(B10-0.025/365)/E10</f>
        <v>-1.2535772338945286</v>
      </c>
      <c r="G3" s="394"/>
    </row>
    <row r="4" spans="1:7" x14ac:dyDescent="0.2">
      <c r="A4" s="25" t="s">
        <v>6</v>
      </c>
      <c r="B4" s="26">
        <f>COUNTIF(表2_367162629303891213141523242526272831323334[每日盈亏],"&lt;0")</f>
        <v>38</v>
      </c>
      <c r="C4" s="29"/>
      <c r="D4" s="32" t="s">
        <v>7</v>
      </c>
      <c r="E4" s="31">
        <f ca="1">-B9/E8</f>
        <v>-1.8892779052141631</v>
      </c>
      <c r="G4" s="2">
        <f>LOOKUP(999^10,表2_367162629303891213141523242526272831323334[累计净值])</f>
        <v>0.95599999999999996</v>
      </c>
    </row>
    <row r="5" spans="1:7" x14ac:dyDescent="0.2">
      <c r="A5" s="25" t="s">
        <v>8</v>
      </c>
      <c r="B5" s="26">
        <f>B2-B3-B4</f>
        <v>7</v>
      </c>
      <c r="C5" s="29"/>
      <c r="D5" s="33" t="s">
        <v>9</v>
      </c>
      <c r="E5" s="4">
        <f>245^0.5*(B10-0.025/365)/E9</f>
        <v>-1.9351193200074794</v>
      </c>
    </row>
    <row r="6" spans="1:7" ht="15" thickBot="1" x14ac:dyDescent="0.25">
      <c r="A6" s="34"/>
      <c r="B6" s="35"/>
      <c r="C6" s="35"/>
      <c r="D6" s="35"/>
      <c r="E6" s="36"/>
    </row>
    <row r="7" spans="1:7" ht="15" thickBot="1" x14ac:dyDescent="0.25">
      <c r="A7" s="5" t="s">
        <v>10</v>
      </c>
      <c r="B7" s="35"/>
      <c r="C7" s="35"/>
      <c r="D7" s="3" t="s">
        <v>11</v>
      </c>
      <c r="E7" s="37"/>
    </row>
    <row r="8" spans="1:7" x14ac:dyDescent="0.2">
      <c r="A8" s="38" t="s">
        <v>12</v>
      </c>
      <c r="B8" s="39">
        <f>LOOKUP(999^10,表2_367162629303891213141523242526272831323334[累计净值])/$B$21-1</f>
        <v>-4.7808764940239112E-2</v>
      </c>
      <c r="C8" s="40"/>
      <c r="D8" s="30" t="s">
        <v>13</v>
      </c>
      <c r="E8" s="41">
        <f ca="1">MIN(表2_367162629303891213141523242526272831323334[最大回撤])</f>
        <v>-9.8409542743538747E-2</v>
      </c>
    </row>
    <row r="9" spans="1:7" x14ac:dyDescent="0.2">
      <c r="A9" s="25" t="s">
        <v>14</v>
      </c>
      <c r="B9" s="32">
        <f>B8*245/B2</f>
        <v>-0.18592297476759653</v>
      </c>
      <c r="C9" s="40"/>
      <c r="D9" s="33" t="s">
        <v>15</v>
      </c>
      <c r="E9" s="6">
        <f>STDEV(表2_367162629303891213141523242526272831323334[下跌幅度])</f>
        <v>6.7167864700049375E-3</v>
      </c>
    </row>
    <row r="10" spans="1:7" x14ac:dyDescent="0.2">
      <c r="A10" s="42" t="s">
        <v>16</v>
      </c>
      <c r="B10" s="43">
        <f>AVERAGE(表2_367162629303891213141523242526272831323334[每日盈亏])</f>
        <v>-7.6190476190476258E-4</v>
      </c>
      <c r="C10" s="44"/>
      <c r="D10" s="33" t="s">
        <v>17</v>
      </c>
      <c r="E10" s="6">
        <f>STDEV(表2_367162629303891213141523242526272831323334[每日盈亏])</f>
        <v>1.0368554018878248E-2</v>
      </c>
    </row>
    <row r="11" spans="1:7" x14ac:dyDescent="0.2">
      <c r="A11" s="7" t="s">
        <v>18</v>
      </c>
      <c r="B11" s="32">
        <f>B3/B2</f>
        <v>0.2857142857142857</v>
      </c>
      <c r="C11" s="40"/>
      <c r="D11" s="32" t="s">
        <v>19</v>
      </c>
      <c r="E11" s="41">
        <f>245^0.5*E10</f>
        <v>0.1622935413021328</v>
      </c>
    </row>
    <row r="12" spans="1:7" ht="15" thickBot="1" x14ac:dyDescent="0.25">
      <c r="A12" s="45" t="s">
        <v>20</v>
      </c>
      <c r="B12" s="46">
        <f>-(SUMIF(表2_367162629303891213141523242526272831323334[每日盈亏],"&gt;=0")/B3)/(SUMIF(表2_367162629303891213141523242526272831323334[每日盈亏],"&lt;0")/B4)</f>
        <v>1.6958105646630237</v>
      </c>
      <c r="C12" s="47"/>
      <c r="D12" s="48"/>
      <c r="E12" s="49"/>
    </row>
    <row r="14" spans="1:7" ht="28.5" x14ac:dyDescent="0.2">
      <c r="A14" s="50" t="s">
        <v>21</v>
      </c>
      <c r="B14" s="50" t="s">
        <v>14</v>
      </c>
      <c r="C14" s="51" t="s">
        <v>19</v>
      </c>
      <c r="D14" s="51" t="s">
        <v>13</v>
      </c>
      <c r="E14" s="51" t="s">
        <v>5</v>
      </c>
      <c r="F14" s="51" t="s">
        <v>7</v>
      </c>
    </row>
    <row r="15" spans="1:7" x14ac:dyDescent="0.2">
      <c r="A15" s="78">
        <f>B2</f>
        <v>63</v>
      </c>
      <c r="B15" s="53">
        <f>B9</f>
        <v>-0.18592297476759653</v>
      </c>
      <c r="C15" s="53">
        <f>E11</f>
        <v>0.1622935413021328</v>
      </c>
      <c r="D15" s="53">
        <f ca="1">E8</f>
        <v>-9.8409542743538747E-2</v>
      </c>
      <c r="E15" s="54">
        <f>E3</f>
        <v>-1.2535772338945286</v>
      </c>
      <c r="F15" s="54">
        <f ca="1">E4</f>
        <v>-1.8892779052141631</v>
      </c>
    </row>
    <row r="19" spans="1:7" x14ac:dyDescent="0.2">
      <c r="A19" s="8"/>
      <c r="B19" s="1" t="s">
        <v>22</v>
      </c>
    </row>
    <row r="20" spans="1:7" ht="15.75" x14ac:dyDescent="0.2">
      <c r="A20" s="22" t="s">
        <v>23</v>
      </c>
      <c r="B20" s="22" t="s">
        <v>24</v>
      </c>
      <c r="C20" s="22" t="s">
        <v>25</v>
      </c>
      <c r="D20" s="22" t="s">
        <v>26</v>
      </c>
      <c r="E20" s="22" t="s">
        <v>27</v>
      </c>
      <c r="F20" s="22" t="s">
        <v>28</v>
      </c>
      <c r="G20" s="22" t="s">
        <v>29</v>
      </c>
    </row>
    <row r="21" spans="1:7" x14ac:dyDescent="0.2">
      <c r="A21" s="15">
        <v>44169</v>
      </c>
      <c r="B21" s="112">
        <v>1.004</v>
      </c>
      <c r="C21" s="11">
        <f t="shared" ref="C21:C24" si="0">IFERROR(B21-B20,0)</f>
        <v>0</v>
      </c>
      <c r="D21" s="12" t="str">
        <f t="shared" ref="D21:D24" si="1">IF(C21&lt;0,C21,"/")</f>
        <v>/</v>
      </c>
      <c r="E21" s="12">
        <f ca="1">IF(表2_367162629303891213141523242526272831323334[[#This Row],[累计净值]]/MAX(INDIRECT("B21:B" &amp; ROW()))-1&lt;E20,表2_367162629303891213141523242526272831323334[[#This Row],[累计净值]]/MAX(INDIRECT("B21:B" &amp; ROW()))-1,E20)</f>
        <v>0</v>
      </c>
      <c r="F21" s="13">
        <f>表2_367162629303891213141523242526272831323334[[#This Row],[累计净值]]</f>
        <v>1.004</v>
      </c>
      <c r="G21" s="194" t="s">
        <v>30</v>
      </c>
    </row>
    <row r="22" spans="1:7" x14ac:dyDescent="0.2">
      <c r="A22" s="15">
        <v>44172</v>
      </c>
      <c r="B22" s="112">
        <v>1.0029999999999999</v>
      </c>
      <c r="C22" s="17">
        <f t="shared" si="0"/>
        <v>-1.0000000000001119E-3</v>
      </c>
      <c r="D22" s="18">
        <f t="shared" si="1"/>
        <v>-1.0000000000001119E-3</v>
      </c>
      <c r="E22" s="18">
        <f ca="1">IF(表2_367162629303891213141523242526272831323334[[#This Row],[累计净值]]/MAX(INDIRECT("B21:B" &amp; ROW()))-1&lt;E21,表2_367162629303891213141523242526272831323334[[#This Row],[累计净值]]/MAX(INDIRECT("B21:B" &amp; ROW()))-1,E21)</f>
        <v>-9.9601593625509022E-4</v>
      </c>
      <c r="F22" s="19">
        <f>表2_367162629303891213141523242526272831323334[[#This Row],[累计净值]]</f>
        <v>1.0029999999999999</v>
      </c>
      <c r="G22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-9.9601593625509022E-4</v>
      </c>
    </row>
    <row r="23" spans="1:7" x14ac:dyDescent="0.2">
      <c r="A23" s="15">
        <v>44173</v>
      </c>
      <c r="B23" s="112">
        <v>1.004</v>
      </c>
      <c r="C23" s="108">
        <f t="shared" si="0"/>
        <v>1.0000000000001119E-3</v>
      </c>
      <c r="D23" s="109" t="str">
        <f t="shared" si="1"/>
        <v>/</v>
      </c>
      <c r="E23" s="109">
        <f ca="1">IF(表2_367162629303891213141523242526272831323334[[#This Row],[累计净值]]/MAX(INDIRECT("B21:B" &amp; ROW()))-1&lt;E22,表2_367162629303891213141523242526272831323334[[#This Row],[累计净值]]/MAX(INDIRECT("B21:B" &amp; ROW()))-1,E22)</f>
        <v>-9.9601593625509022E-4</v>
      </c>
      <c r="F23" s="110">
        <f>表2_367162629303891213141523242526272831323334[[#This Row],[累计净值]]</f>
        <v>1.004</v>
      </c>
      <c r="G23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0</v>
      </c>
    </row>
    <row r="24" spans="1:7" x14ac:dyDescent="0.2">
      <c r="A24" s="15">
        <v>44174</v>
      </c>
      <c r="B24" s="112">
        <v>1.004</v>
      </c>
      <c r="C24" s="108">
        <f t="shared" si="0"/>
        <v>0</v>
      </c>
      <c r="D24" s="109" t="str">
        <f t="shared" si="1"/>
        <v>/</v>
      </c>
      <c r="E24" s="109">
        <f ca="1">IF(表2_367162629303891213141523242526272831323334[[#This Row],[累计净值]]/MAX(INDIRECT("B21:B" &amp; ROW()))-1&lt;E23,表2_367162629303891213141523242526272831323334[[#This Row],[累计净值]]/MAX(INDIRECT("B21:B" &amp; ROW()))-1,E23)</f>
        <v>-9.9601593625509022E-4</v>
      </c>
      <c r="F24" s="110">
        <f>表2_367162629303891213141523242526272831323334[[#This Row],[累计净值]]</f>
        <v>1.004</v>
      </c>
      <c r="G24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0</v>
      </c>
    </row>
    <row r="25" spans="1:7" x14ac:dyDescent="0.2">
      <c r="A25" s="15">
        <v>44175</v>
      </c>
      <c r="B25" s="112">
        <v>1.0029999999999999</v>
      </c>
      <c r="C25" s="108">
        <f t="shared" ref="C25:C30" si="2">IFERROR(B25-B24,0)</f>
        <v>-1.0000000000001119E-3</v>
      </c>
      <c r="D25" s="109">
        <f t="shared" ref="D25:D30" si="3">IF(C25&lt;0,C25,"/")</f>
        <v>-1.0000000000001119E-3</v>
      </c>
      <c r="E25" s="109">
        <f ca="1">IF(表2_367162629303891213141523242526272831323334[[#This Row],[累计净值]]/MAX(INDIRECT("B21:B" &amp; ROW()))-1&lt;E24,表2_367162629303891213141523242526272831323334[[#This Row],[累计净值]]/MAX(INDIRECT("B21:B" &amp; ROW()))-1,E24)</f>
        <v>-9.9601593625509022E-4</v>
      </c>
      <c r="F25" s="110">
        <f>表2_367162629303891213141523242526272831323334[[#This Row],[累计净值]]</f>
        <v>1.0029999999999999</v>
      </c>
      <c r="G25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-9.9601593625509022E-4</v>
      </c>
    </row>
    <row r="26" spans="1:7" x14ac:dyDescent="0.2">
      <c r="A26" s="15">
        <v>44176</v>
      </c>
      <c r="B26" s="112">
        <v>0.997</v>
      </c>
      <c r="C26" s="108">
        <f t="shared" si="2"/>
        <v>-5.9999999999998943E-3</v>
      </c>
      <c r="D26" s="109">
        <f t="shared" si="3"/>
        <v>-5.9999999999998943E-3</v>
      </c>
      <c r="E26" s="109">
        <f ca="1">IF(表2_367162629303891213141523242526272831323334[[#This Row],[累计净值]]/MAX(INDIRECT("B21:B" &amp; ROW()))-1&lt;E25,表2_367162629303891213141523242526272831323334[[#This Row],[累计净值]]/MAX(INDIRECT("B21:B" &amp; ROW()))-1,E25)</f>
        <v>-6.9721115537848544E-3</v>
      </c>
      <c r="F26" s="110">
        <f>表2_367162629303891213141523242526272831323334[[#This Row],[累计净值]]</f>
        <v>0.997</v>
      </c>
      <c r="G26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-6.9721115537848544E-3</v>
      </c>
    </row>
    <row r="27" spans="1:7" x14ac:dyDescent="0.2">
      <c r="A27" s="15">
        <v>44179</v>
      </c>
      <c r="B27" s="112">
        <v>1.002</v>
      </c>
      <c r="C27" s="108">
        <f t="shared" si="2"/>
        <v>5.0000000000000044E-3</v>
      </c>
      <c r="D27" s="109" t="str">
        <f t="shared" si="3"/>
        <v>/</v>
      </c>
      <c r="E27" s="109">
        <f ca="1">IF(表2_367162629303891213141523242526272831323334[[#This Row],[累计净值]]/MAX(INDIRECT("B21:B" &amp; ROW()))-1&lt;E26,表2_367162629303891213141523242526272831323334[[#This Row],[累计净值]]/MAX(INDIRECT("B21:B" &amp; ROW()))-1,E26)</f>
        <v>-6.9721115537848544E-3</v>
      </c>
      <c r="F27" s="110">
        <f>表2_367162629303891213141523242526272831323334[[#This Row],[累计净值]]</f>
        <v>1.002</v>
      </c>
      <c r="G27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-1.9920318725099584E-3</v>
      </c>
    </row>
    <row r="28" spans="1:7" x14ac:dyDescent="0.2">
      <c r="A28" s="15">
        <v>44180</v>
      </c>
      <c r="B28" s="112">
        <v>1.004</v>
      </c>
      <c r="C28" s="108">
        <f t="shared" si="2"/>
        <v>2.0000000000000018E-3</v>
      </c>
      <c r="D28" s="109" t="str">
        <f t="shared" si="3"/>
        <v>/</v>
      </c>
      <c r="E28" s="109">
        <f ca="1">IF(表2_367162629303891213141523242526272831323334[[#This Row],[累计净值]]/MAX(INDIRECT("B21:B" &amp; ROW()))-1&lt;E27,表2_367162629303891213141523242526272831323334[[#This Row],[累计净值]]/MAX(INDIRECT("B21:B" &amp; ROW()))-1,E27)</f>
        <v>-6.9721115537848544E-3</v>
      </c>
      <c r="F28" s="110">
        <f>表2_367162629303891213141523242526272831323334[[#This Row],[累计净值]]</f>
        <v>1.004</v>
      </c>
      <c r="G28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0</v>
      </c>
    </row>
    <row r="29" spans="1:7" x14ac:dyDescent="0.2">
      <c r="A29" s="15">
        <v>44181</v>
      </c>
      <c r="B29" s="112">
        <v>1.002</v>
      </c>
      <c r="C29" s="108">
        <f t="shared" si="2"/>
        <v>-2.0000000000000018E-3</v>
      </c>
      <c r="D29" s="109">
        <f t="shared" si="3"/>
        <v>-2.0000000000000018E-3</v>
      </c>
      <c r="E29" s="109">
        <f ca="1">IF(表2_367162629303891213141523242526272831323334[[#This Row],[累计净值]]/MAX(INDIRECT("B21:B" &amp; ROW()))-1&lt;E28,表2_367162629303891213141523242526272831323334[[#This Row],[累计净值]]/MAX(INDIRECT("B21:B" &amp; ROW()))-1,E28)</f>
        <v>-6.9721115537848544E-3</v>
      </c>
      <c r="F29" s="110">
        <f>表2_367162629303891213141523242526272831323334[[#This Row],[累计净值]]</f>
        <v>1.002</v>
      </c>
      <c r="G29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-1.9920318725099584E-3</v>
      </c>
    </row>
    <row r="30" spans="1:7" x14ac:dyDescent="0.2">
      <c r="A30" s="15">
        <v>44182</v>
      </c>
      <c r="B30" s="112">
        <v>1.006</v>
      </c>
      <c r="C30" s="108">
        <f t="shared" si="2"/>
        <v>4.0000000000000036E-3</v>
      </c>
      <c r="D30" s="109" t="str">
        <f t="shared" si="3"/>
        <v>/</v>
      </c>
      <c r="E30" s="109">
        <f ca="1">IF(表2_367162629303891213141523242526272831323334[[#This Row],[累计净值]]/MAX(INDIRECT("B21:B" &amp; ROW()))-1&lt;E29,表2_367162629303891213141523242526272831323334[[#This Row],[累计净值]]/MAX(INDIRECT("B21:B" &amp; ROW()))-1,E29)</f>
        <v>-6.9721115537848544E-3</v>
      </c>
      <c r="F30" s="110">
        <f>表2_367162629303891213141523242526272831323334[[#This Row],[累计净值]]</f>
        <v>1.006</v>
      </c>
      <c r="G30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1.5936254980079669E-3</v>
      </c>
    </row>
    <row r="31" spans="1:7" x14ac:dyDescent="0.2">
      <c r="A31" s="15">
        <v>44183</v>
      </c>
      <c r="B31" s="112">
        <v>1.002</v>
      </c>
      <c r="C31" s="108">
        <f>IFERROR(B31-B30,0)</f>
        <v>-4.0000000000000036E-3</v>
      </c>
      <c r="D31" s="109">
        <f>IF(C31&lt;0,C31,"/")</f>
        <v>-4.0000000000000036E-3</v>
      </c>
      <c r="E31" s="109">
        <f ca="1">IF(表2_367162629303891213141523242526272831323334[[#This Row],[累计净值]]/MAX(INDIRECT("B21:B" &amp; ROW()))-1&lt;E30,表2_367162629303891213141523242526272831323334[[#This Row],[累计净值]]/MAX(INDIRECT("B21:B" &amp; ROW()))-1,E30)</f>
        <v>-6.9721115537848544E-3</v>
      </c>
      <c r="F31" s="110">
        <f>表2_367162629303891213141523242526272831323334[[#This Row],[累计净值]]</f>
        <v>1.002</v>
      </c>
      <c r="G31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-1.9920318725099584E-3</v>
      </c>
    </row>
    <row r="32" spans="1:7" x14ac:dyDescent="0.2">
      <c r="A32" s="15">
        <v>44186</v>
      </c>
      <c r="B32" s="112">
        <v>1.0009999999999999</v>
      </c>
      <c r="C32" s="108">
        <f>IFERROR(B32-B31,0)</f>
        <v>-1.0000000000001119E-3</v>
      </c>
      <c r="D32" s="109">
        <f>IF(C32&lt;0,C32,"/")</f>
        <v>-1.0000000000001119E-3</v>
      </c>
      <c r="E32" s="109">
        <f ca="1">IF(表2_367162629303891213141523242526272831323334[[#This Row],[累计净值]]/MAX(INDIRECT("B21:B" &amp; ROW()))-1&lt;E31,表2_367162629303891213141523242526272831323334[[#This Row],[累计净值]]/MAX(INDIRECT("B21:B" &amp; ROW()))-1,E31)</f>
        <v>-6.9721115537848544E-3</v>
      </c>
      <c r="F32" s="110">
        <f>表2_367162629303891213141523242526272831323334[[#This Row],[累计净值]]</f>
        <v>1.0009999999999999</v>
      </c>
      <c r="G32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-2.9880478087650486E-3</v>
      </c>
    </row>
    <row r="33" spans="1:8" x14ac:dyDescent="0.2">
      <c r="A33" s="15">
        <v>44187</v>
      </c>
      <c r="B33" s="112">
        <v>0.997</v>
      </c>
      <c r="C33" s="108">
        <f>IFERROR(B33-B32,0)</f>
        <v>-3.9999999999998925E-3</v>
      </c>
      <c r="D33" s="109">
        <f>IF(C33&lt;0,C33,"/")</f>
        <v>-3.9999999999998925E-3</v>
      </c>
      <c r="E33" s="109">
        <f ca="1">IF(表2_367162629303891213141523242526272831323334[[#This Row],[累计净值]]/MAX(INDIRECT("B21:B" &amp; ROW()))-1&lt;E32,表2_367162629303891213141523242526272831323334[[#This Row],[累计净值]]/MAX(INDIRECT("B21:B" &amp; ROW()))-1,E32)</f>
        <v>-8.9463220675944921E-3</v>
      </c>
      <c r="F33" s="110">
        <f>表2_367162629303891213141523242526272831323334[[#This Row],[累计净值]]</f>
        <v>0.997</v>
      </c>
      <c r="G33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-6.9721115537848544E-3</v>
      </c>
    </row>
    <row r="34" spans="1:8" x14ac:dyDescent="0.2">
      <c r="A34" s="15">
        <v>44188</v>
      </c>
      <c r="B34" s="112">
        <v>0.995</v>
      </c>
      <c r="C34" s="108">
        <f>IFERROR(B34-B33,0)</f>
        <v>-2.0000000000000018E-3</v>
      </c>
      <c r="D34" s="109">
        <f>IF(C34&lt;0,C34,"/")</f>
        <v>-2.0000000000000018E-3</v>
      </c>
      <c r="E34" s="109">
        <f ca="1">IF(表2_367162629303891213141523242526272831323334[[#This Row],[累计净值]]/MAX(INDIRECT("B21:B" &amp; ROW()))-1&lt;E33,表2_367162629303891213141523242526272831323334[[#This Row],[累计净值]]/MAX(INDIRECT("B21:B" &amp; ROW()))-1,E33)</f>
        <v>-1.0934393638170947E-2</v>
      </c>
      <c r="F34" s="110">
        <f>表2_367162629303891213141523242526272831323334[[#This Row],[累计净值]]</f>
        <v>0.995</v>
      </c>
      <c r="G34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-8.9641434262948128E-3</v>
      </c>
    </row>
    <row r="35" spans="1:8" x14ac:dyDescent="0.2">
      <c r="A35" s="15">
        <v>44189</v>
      </c>
      <c r="B35" s="112">
        <v>0.98899999999999999</v>
      </c>
      <c r="C35" s="108">
        <f t="shared" ref="C35:C36" si="4">IFERROR(B35-B34,0)</f>
        <v>-6.0000000000000053E-3</v>
      </c>
      <c r="D35" s="109">
        <f t="shared" ref="D35:D36" si="5">IF(C35&lt;0,C35,"/")</f>
        <v>-6.0000000000000053E-3</v>
      </c>
      <c r="E35" s="109">
        <f ca="1">IF(表2_367162629303891213141523242526272831323334[[#This Row],[累计净值]]/MAX(INDIRECT("B21:B" &amp; ROW()))-1&lt;E34,表2_367162629303891213141523242526272831323334[[#This Row],[累计净值]]/MAX(INDIRECT("B21:B" &amp; ROW()))-1,E34)</f>
        <v>-1.6898608349900646E-2</v>
      </c>
      <c r="F35" s="110">
        <f>表2_367162629303891213141523242526272831323334[[#This Row],[累计净值]]</f>
        <v>0.98899999999999999</v>
      </c>
      <c r="G35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-1.4940239043824688E-2</v>
      </c>
    </row>
    <row r="36" spans="1:8" x14ac:dyDescent="0.2">
      <c r="A36" s="15">
        <v>44190</v>
      </c>
      <c r="B36" s="112">
        <v>0.99399999999999999</v>
      </c>
      <c r="C36" s="108">
        <f t="shared" si="4"/>
        <v>5.0000000000000044E-3</v>
      </c>
      <c r="D36" s="109" t="str">
        <f t="shared" si="5"/>
        <v>/</v>
      </c>
      <c r="E36" s="109">
        <f ca="1">IF(表2_367162629303891213141523242526272831323334[[#This Row],[累计净值]]/MAX(INDIRECT("B21:B" &amp; ROW()))-1&lt;E35,表2_367162629303891213141523242526272831323334[[#This Row],[累计净值]]/MAX(INDIRECT("B21:B" &amp; ROW()))-1,E35)</f>
        <v>-1.6898608349900646E-2</v>
      </c>
      <c r="F36" s="110">
        <f>表2_367162629303891213141523242526272831323334[[#This Row],[累计净值]]</f>
        <v>0.99399999999999999</v>
      </c>
      <c r="G36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-9.960159362549792E-3</v>
      </c>
    </row>
    <row r="37" spans="1:8" x14ac:dyDescent="0.2">
      <c r="A37" s="15">
        <v>44193</v>
      </c>
      <c r="B37" s="112">
        <v>0.98599999999999999</v>
      </c>
      <c r="C37" s="108">
        <f t="shared" ref="C37:C42" si="6">IFERROR(B37-B36,0)</f>
        <v>-8.0000000000000071E-3</v>
      </c>
      <c r="D37" s="109">
        <f t="shared" ref="D37:D42" si="7">IF(C37&lt;0,C37,"/")</f>
        <v>-8.0000000000000071E-3</v>
      </c>
      <c r="E37" s="109">
        <f ca="1">IF(表2_367162629303891213141523242526272831323334[[#This Row],[累计净值]]/MAX(INDIRECT("B21:B" &amp; ROW()))-1&lt;E36,表2_367162629303891213141523242526272831323334[[#This Row],[累计净值]]/MAX(INDIRECT("B21:B" &amp; ROW()))-1,E36)</f>
        <v>-1.9880715705765439E-2</v>
      </c>
      <c r="F37" s="110">
        <f>表2_367162629303891213141523242526272831323334[[#This Row],[累计净值]]</f>
        <v>0.98599999999999999</v>
      </c>
      <c r="G37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-1.7928286852589626E-2</v>
      </c>
    </row>
    <row r="38" spans="1:8" x14ac:dyDescent="0.2">
      <c r="A38" s="15">
        <v>44194</v>
      </c>
      <c r="B38" s="112">
        <v>0.98099999999999998</v>
      </c>
      <c r="C38" s="108">
        <f t="shared" si="6"/>
        <v>-5.0000000000000044E-3</v>
      </c>
      <c r="D38" s="109">
        <f t="shared" si="7"/>
        <v>-5.0000000000000044E-3</v>
      </c>
      <c r="E38" s="109">
        <f ca="1">IF(表2_367162629303891213141523242526272831323334[[#This Row],[累计净值]]/MAX(INDIRECT("B21:B" &amp; ROW()))-1&lt;E37,表2_367162629303891213141523242526272831323334[[#This Row],[累计净值]]/MAX(INDIRECT("B21:B" &amp; ROW()))-1,E37)</f>
        <v>-2.4850894632206799E-2</v>
      </c>
      <c r="F38" s="110">
        <f>表2_367162629303891213141523242526272831323334[[#This Row],[累计净值]]</f>
        <v>0.98099999999999998</v>
      </c>
      <c r="G38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-2.2908366533864521E-2</v>
      </c>
    </row>
    <row r="39" spans="1:8" x14ac:dyDescent="0.2">
      <c r="A39" s="15">
        <v>44195</v>
      </c>
      <c r="B39" s="112">
        <v>0.97899999999999998</v>
      </c>
      <c r="C39" s="108">
        <f t="shared" si="6"/>
        <v>-2.0000000000000018E-3</v>
      </c>
      <c r="D39" s="109">
        <f t="shared" si="7"/>
        <v>-2.0000000000000018E-3</v>
      </c>
      <c r="E39" s="109">
        <f ca="1">IF(表2_367162629303891213141523242526272831323334[[#This Row],[累计净值]]/MAX(INDIRECT("B21:B" &amp; ROW()))-1&lt;E38,表2_367162629303891213141523242526272831323334[[#This Row],[累计净值]]/MAX(INDIRECT("B21:B" &amp; ROW()))-1,E38)</f>
        <v>-2.6838966202783365E-2</v>
      </c>
      <c r="F39" s="110">
        <f>表2_367162629303891213141523242526272831323334[[#This Row],[累计净值]]</f>
        <v>0.97899999999999998</v>
      </c>
      <c r="G39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-2.490039840637448E-2</v>
      </c>
    </row>
    <row r="40" spans="1:8" x14ac:dyDescent="0.2">
      <c r="A40" s="15">
        <v>44196</v>
      </c>
      <c r="B40" s="112">
        <v>0.98699999999999999</v>
      </c>
      <c r="C40" s="108">
        <f t="shared" si="6"/>
        <v>8.0000000000000071E-3</v>
      </c>
      <c r="D40" s="109" t="str">
        <f t="shared" si="7"/>
        <v>/</v>
      </c>
      <c r="E40" s="109">
        <f ca="1">IF(表2_367162629303891213141523242526272831323334[[#This Row],[累计净值]]/MAX(INDIRECT("B21:B" &amp; ROW()))-1&lt;E39,表2_367162629303891213141523242526272831323334[[#This Row],[累计净值]]/MAX(INDIRECT("B21:B" &amp; ROW()))-1,E39)</f>
        <v>-2.6838966202783365E-2</v>
      </c>
      <c r="F40" s="110">
        <f>表2_367162629303891213141523242526272831323334[[#This Row],[累计净值]]</f>
        <v>0.98699999999999999</v>
      </c>
      <c r="G40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-1.6932270916334646E-2</v>
      </c>
    </row>
    <row r="41" spans="1:8" x14ac:dyDescent="0.2">
      <c r="A41" s="15">
        <v>44200</v>
      </c>
      <c r="B41" s="112">
        <v>1.002</v>
      </c>
      <c r="C41" s="108">
        <f t="shared" si="6"/>
        <v>1.5000000000000013E-2</v>
      </c>
      <c r="D41" s="109" t="str">
        <f t="shared" si="7"/>
        <v>/</v>
      </c>
      <c r="E41" s="109">
        <f ca="1">IF(表2_367162629303891213141523242526272831323334[[#This Row],[累计净值]]/MAX(INDIRECT("B21:B" &amp; ROW()))-1&lt;E40,表2_367162629303891213141523242526272831323334[[#This Row],[累计净值]]/MAX(INDIRECT("B21:B" &amp; ROW()))-1,E40)</f>
        <v>-2.6838966202783365E-2</v>
      </c>
      <c r="F41" s="110">
        <f>表2_367162629303891213141523242526272831323334[[#This Row],[累计净值]]</f>
        <v>1.002</v>
      </c>
      <c r="G41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-1.9920318725099584E-3</v>
      </c>
    </row>
    <row r="42" spans="1:8" x14ac:dyDescent="0.2">
      <c r="A42" s="15">
        <v>44201</v>
      </c>
      <c r="B42" s="112">
        <v>0.995</v>
      </c>
      <c r="C42" s="108">
        <f t="shared" si="6"/>
        <v>-7.0000000000000062E-3</v>
      </c>
      <c r="D42" s="109">
        <f t="shared" si="7"/>
        <v>-7.0000000000000062E-3</v>
      </c>
      <c r="E42" s="109">
        <f ca="1">IF(表2_367162629303891213141523242526272831323334[[#This Row],[累计净值]]/MAX(INDIRECT("B21:B" &amp; ROW()))-1&lt;E41,表2_367162629303891213141523242526272831323334[[#This Row],[累计净值]]/MAX(INDIRECT("B21:B" &amp; ROW()))-1,E41)</f>
        <v>-2.6838966202783365E-2</v>
      </c>
      <c r="F42" s="110">
        <f>表2_367162629303891213141523242526272831323334[[#This Row],[累计净值]]</f>
        <v>0.995</v>
      </c>
      <c r="G42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-8.9641434262948128E-3</v>
      </c>
      <c r="H42" s="211" t="s">
        <v>48</v>
      </c>
    </row>
    <row r="43" spans="1:8" x14ac:dyDescent="0.2">
      <c r="A43" s="15">
        <v>44202</v>
      </c>
      <c r="B43" s="112">
        <v>0.99199999999999999</v>
      </c>
      <c r="C43" s="108">
        <f>IFERROR(B43-B42,0)</f>
        <v>-3.0000000000000027E-3</v>
      </c>
      <c r="D43" s="109">
        <f>IF(C43&lt;0,C43,"/")</f>
        <v>-3.0000000000000027E-3</v>
      </c>
      <c r="E43" s="109">
        <f ca="1">IF(表2_367162629303891213141523242526272831323334[[#This Row],[累计净值]]/MAX(INDIRECT("B21:B" &amp; ROW()))-1&lt;E42,表2_367162629303891213141523242526272831323334[[#This Row],[累计净值]]/MAX(INDIRECT("B21:B" &amp; ROW()))-1,E42)</f>
        <v>-2.6838966202783365E-2</v>
      </c>
      <c r="F43" s="110">
        <f>表2_367162629303891213141523242526272831323334[[#This Row],[累计净值]]</f>
        <v>0.99199999999999999</v>
      </c>
      <c r="G43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-1.195219123505975E-2</v>
      </c>
    </row>
    <row r="44" spans="1:8" x14ac:dyDescent="0.2">
      <c r="A44" s="15">
        <v>44203</v>
      </c>
      <c r="B44" s="112">
        <v>0.99199999999999999</v>
      </c>
      <c r="C44" s="108">
        <f t="shared" ref="C44:C45" si="8">IFERROR(B44-B43,0)</f>
        <v>0</v>
      </c>
      <c r="D44" s="109" t="str">
        <f t="shared" ref="D44:D45" si="9">IF(C44&lt;0,C44,"/")</f>
        <v>/</v>
      </c>
      <c r="E44" s="109">
        <f ca="1">IF(表2_367162629303891213141523242526272831323334[[#This Row],[累计净值]]/MAX(INDIRECT("B21:B" &amp; ROW()))-1&lt;E43,表2_367162629303891213141523242526272831323334[[#This Row],[累计净值]]/MAX(INDIRECT("B21:B" &amp; ROW()))-1,E43)</f>
        <v>-2.6838966202783365E-2</v>
      </c>
      <c r="F44" s="110">
        <f>表2_367162629303891213141523242526272831323334[[#This Row],[累计净值]]</f>
        <v>0.99199999999999999</v>
      </c>
      <c r="G44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-1.195219123505975E-2</v>
      </c>
    </row>
    <row r="45" spans="1:8" x14ac:dyDescent="0.2">
      <c r="A45" s="15">
        <v>44204</v>
      </c>
      <c r="B45" s="112">
        <v>0.98699999999999999</v>
      </c>
      <c r="C45" s="108">
        <f t="shared" si="8"/>
        <v>-5.0000000000000044E-3</v>
      </c>
      <c r="D45" s="109">
        <f t="shared" si="9"/>
        <v>-5.0000000000000044E-3</v>
      </c>
      <c r="E45" s="109">
        <f ca="1">IF(表2_367162629303891213141523242526272831323334[[#This Row],[累计净值]]/MAX(INDIRECT("B21:B" &amp; ROW()))-1&lt;E44,表2_367162629303891213141523242526272831323334[[#This Row],[累计净值]]/MAX(INDIRECT("B21:B" &amp; ROW()))-1,E44)</f>
        <v>-2.6838966202783365E-2</v>
      </c>
      <c r="F45" s="110">
        <f>表2_367162629303891213141523242526272831323334[[#This Row],[累计净值]]</f>
        <v>0.98699999999999999</v>
      </c>
      <c r="G45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-1.6932270916334646E-2</v>
      </c>
    </row>
    <row r="46" spans="1:8" x14ac:dyDescent="0.2">
      <c r="A46" s="15">
        <v>44207</v>
      </c>
      <c r="B46" s="112">
        <v>0.97499999999999998</v>
      </c>
      <c r="C46" s="108">
        <f t="shared" ref="C46:C52" si="10">IFERROR(B46-B45,0)</f>
        <v>-1.2000000000000011E-2</v>
      </c>
      <c r="D46" s="109">
        <f t="shared" ref="D46:D52" si="11">IF(C46&lt;0,C46,"/")</f>
        <v>-1.2000000000000011E-2</v>
      </c>
      <c r="E46" s="109">
        <f ca="1">IF(表2_367162629303891213141523242526272831323334[[#This Row],[累计净值]]/MAX(INDIRECT("B21:B" &amp; ROW()))-1&lt;E45,表2_367162629303891213141523242526272831323334[[#This Row],[累计净值]]/MAX(INDIRECT("B21:B" &amp; ROW()))-1,E45)</f>
        <v>-3.0815109343936387E-2</v>
      </c>
      <c r="F46" s="110">
        <f>表2_367162629303891213141523242526272831323334[[#This Row],[累计净值]]</f>
        <v>0.97499999999999998</v>
      </c>
      <c r="G46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-2.8884462151394397E-2</v>
      </c>
    </row>
    <row r="47" spans="1:8" x14ac:dyDescent="0.2">
      <c r="A47" s="15">
        <v>44208</v>
      </c>
      <c r="B47" s="112">
        <v>0.97199999999999998</v>
      </c>
      <c r="C47" s="108">
        <f t="shared" si="10"/>
        <v>-3.0000000000000027E-3</v>
      </c>
      <c r="D47" s="109">
        <f t="shared" si="11"/>
        <v>-3.0000000000000027E-3</v>
      </c>
      <c r="E47" s="109">
        <f ca="1">IF(表2_367162629303891213141523242526272831323334[[#This Row],[累计净值]]/MAX(INDIRECT("B21:B" &amp; ROW()))-1&lt;E46,表2_367162629303891213141523242526272831323334[[#This Row],[累计净值]]/MAX(INDIRECT("B21:B" &amp; ROW()))-1,E46)</f>
        <v>-3.379721669980118E-2</v>
      </c>
      <c r="F47" s="110">
        <f>表2_367162629303891213141523242526272831323334[[#This Row],[累计净值]]</f>
        <v>0.97199999999999998</v>
      </c>
      <c r="G47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-3.1872509960159445E-2</v>
      </c>
    </row>
    <row r="48" spans="1:8" x14ac:dyDescent="0.2">
      <c r="A48" s="15">
        <v>44209</v>
      </c>
      <c r="B48" s="112">
        <v>0.95599999999999996</v>
      </c>
      <c r="C48" s="108">
        <f t="shared" si="10"/>
        <v>-1.6000000000000014E-2</v>
      </c>
      <c r="D48" s="109">
        <f t="shared" si="11"/>
        <v>-1.6000000000000014E-2</v>
      </c>
      <c r="E48" s="109">
        <f ca="1">IF(表2_367162629303891213141523242526272831323334[[#This Row],[累计净值]]/MAX(INDIRECT("B21:B" &amp; ROW()))-1&lt;E47,表2_367162629303891213141523242526272831323334[[#This Row],[累计净值]]/MAX(INDIRECT("B21:B" &amp; ROW()))-1,E47)</f>
        <v>-4.9701789264413598E-2</v>
      </c>
      <c r="F48" s="110">
        <f>表2_367162629303891213141523242526272831323334[[#This Row],[累计净值]]</f>
        <v>0.95599999999999996</v>
      </c>
      <c r="G48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-4.7808764940239112E-2</v>
      </c>
    </row>
    <row r="49" spans="1:7" x14ac:dyDescent="0.2">
      <c r="A49" s="15">
        <v>44210</v>
      </c>
      <c r="B49" s="112">
        <v>0.95499999999999996</v>
      </c>
      <c r="C49" s="108">
        <f t="shared" si="10"/>
        <v>-1.0000000000000009E-3</v>
      </c>
      <c r="D49" s="109">
        <f t="shared" si="11"/>
        <v>-1.0000000000000009E-3</v>
      </c>
      <c r="E49" s="109">
        <f ca="1">IF(表2_367162629303891213141523242526272831323334[[#This Row],[累计净值]]/MAX(INDIRECT("B21:B" &amp; ROW()))-1&lt;E48,表2_367162629303891213141523242526272831323334[[#This Row],[累计净值]]/MAX(INDIRECT("B21:B" &amp; ROW()))-1,E48)</f>
        <v>-5.0695825049701826E-2</v>
      </c>
      <c r="F49" s="110">
        <f>表2_367162629303891213141523242526272831323334[[#This Row],[累计净值]]</f>
        <v>0.95499999999999996</v>
      </c>
      <c r="G49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-4.8804780876494092E-2</v>
      </c>
    </row>
    <row r="50" spans="1:7" x14ac:dyDescent="0.2">
      <c r="A50" s="15">
        <v>44211</v>
      </c>
      <c r="B50" s="112">
        <v>0.97499999999999998</v>
      </c>
      <c r="C50" s="108">
        <f t="shared" si="10"/>
        <v>2.0000000000000018E-2</v>
      </c>
      <c r="D50" s="109" t="str">
        <f t="shared" si="11"/>
        <v>/</v>
      </c>
      <c r="E50" s="109">
        <f ca="1">IF(表2_367162629303891213141523242526272831323334[[#This Row],[累计净值]]/MAX(INDIRECT("B21:B" &amp; ROW()))-1&lt;E49,表2_367162629303891213141523242526272831323334[[#This Row],[累计净值]]/MAX(INDIRECT("B21:B" &amp; ROW()))-1,E49)</f>
        <v>-5.0695825049701826E-2</v>
      </c>
      <c r="F50" s="110">
        <f>表2_367162629303891213141523242526272831323334[[#This Row],[累计净值]]</f>
        <v>0.97499999999999998</v>
      </c>
      <c r="G50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-2.8884462151394397E-2</v>
      </c>
    </row>
    <row r="51" spans="1:7" x14ac:dyDescent="0.2">
      <c r="A51" s="15">
        <v>44214</v>
      </c>
      <c r="B51" s="112">
        <v>0.99099999999999999</v>
      </c>
      <c r="C51" s="108">
        <f t="shared" si="10"/>
        <v>1.6000000000000014E-2</v>
      </c>
      <c r="D51" s="109" t="str">
        <f t="shared" si="11"/>
        <v>/</v>
      </c>
      <c r="E51" s="109">
        <f ca="1">IF(表2_367162629303891213141523242526272831323334[[#This Row],[累计净值]]/MAX(INDIRECT("B21:B" &amp; ROW()))-1&lt;E50,表2_367162629303891213141523242526272831323334[[#This Row],[累计净值]]/MAX(INDIRECT("B21:B" &amp; ROW()))-1,E50)</f>
        <v>-5.0695825049701826E-2</v>
      </c>
      <c r="F51" s="110">
        <f>表2_367162629303891213141523242526272831323334[[#This Row],[累计净值]]</f>
        <v>0.99099999999999999</v>
      </c>
      <c r="G51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-1.294820717131473E-2</v>
      </c>
    </row>
    <row r="52" spans="1:7" x14ac:dyDescent="0.2">
      <c r="A52" s="15">
        <v>44215</v>
      </c>
      <c r="B52" s="112">
        <v>0.99199999999999999</v>
      </c>
      <c r="C52" s="108">
        <f t="shared" si="10"/>
        <v>1.0000000000000009E-3</v>
      </c>
      <c r="D52" s="109" t="str">
        <f t="shared" si="11"/>
        <v>/</v>
      </c>
      <c r="E52" s="109">
        <f ca="1">IF(表2_367162629303891213141523242526272831323334[[#This Row],[累计净值]]/MAX(INDIRECT("B21:B" &amp; ROW()))-1&lt;E51,表2_367162629303891213141523242526272831323334[[#This Row],[累计净值]]/MAX(INDIRECT("B21:B" &amp; ROW()))-1,E51)</f>
        <v>-5.0695825049701826E-2</v>
      </c>
      <c r="F52" s="110">
        <f>表2_367162629303891213141523242526272831323334[[#This Row],[累计净值]]</f>
        <v>0.99199999999999999</v>
      </c>
      <c r="G52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-1.195219123505975E-2</v>
      </c>
    </row>
    <row r="53" spans="1:7" x14ac:dyDescent="0.2">
      <c r="A53" s="15">
        <v>44216</v>
      </c>
      <c r="B53" s="112">
        <v>0.99099999999999999</v>
      </c>
      <c r="C53" s="108">
        <f t="shared" ref="C53:C58" si="12">IFERROR(B53-B52,0)</f>
        <v>-1.0000000000000009E-3</v>
      </c>
      <c r="D53" s="109">
        <f t="shared" ref="D53:D58" si="13">IF(C53&lt;0,C53,"/")</f>
        <v>-1.0000000000000009E-3</v>
      </c>
      <c r="E53" s="109">
        <f ca="1">IF(表2_367162629303891213141523242526272831323334[[#This Row],[累计净值]]/MAX(INDIRECT("B21:B" &amp; ROW()))-1&lt;E52,表2_367162629303891213141523242526272831323334[[#This Row],[累计净值]]/MAX(INDIRECT("B21:B" &amp; ROW()))-1,E52)</f>
        <v>-5.0695825049701826E-2</v>
      </c>
      <c r="F53" s="110">
        <f>表2_367162629303891213141523242526272831323334[[#This Row],[累计净值]]</f>
        <v>0.99099999999999999</v>
      </c>
      <c r="G53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-1.294820717131473E-2</v>
      </c>
    </row>
    <row r="54" spans="1:7" x14ac:dyDescent="0.2">
      <c r="A54" s="15">
        <v>44217</v>
      </c>
      <c r="B54" s="112">
        <v>0.99</v>
      </c>
      <c r="C54" s="108">
        <f t="shared" si="12"/>
        <v>-1.0000000000000009E-3</v>
      </c>
      <c r="D54" s="109">
        <f t="shared" si="13"/>
        <v>-1.0000000000000009E-3</v>
      </c>
      <c r="E54" s="109">
        <f ca="1">IF(表2_367162629303891213141523242526272831323334[[#This Row],[累计净值]]/MAX(INDIRECT("B21:B" &amp; ROW()))-1&lt;E53,表2_367162629303891213141523242526272831323334[[#This Row],[累计净值]]/MAX(INDIRECT("B21:B" &amp; ROW()))-1,E53)</f>
        <v>-5.0695825049701826E-2</v>
      </c>
      <c r="F54" s="110">
        <f>表2_367162629303891213141523242526272831323334[[#This Row],[累计净值]]</f>
        <v>0.99</v>
      </c>
      <c r="G54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-1.3944223107569709E-2</v>
      </c>
    </row>
    <row r="55" spans="1:7" x14ac:dyDescent="0.2">
      <c r="A55" s="15">
        <v>44218</v>
      </c>
      <c r="B55" s="112">
        <v>0.98299999999999998</v>
      </c>
      <c r="C55" s="108">
        <f t="shared" si="12"/>
        <v>-7.0000000000000062E-3</v>
      </c>
      <c r="D55" s="109">
        <f t="shared" si="13"/>
        <v>-7.0000000000000062E-3</v>
      </c>
      <c r="E55" s="109">
        <f ca="1">IF(表2_367162629303891213141523242526272831323334[[#This Row],[累计净值]]/MAX(INDIRECT("B21:B" &amp; ROW()))-1&lt;E54,表2_367162629303891213141523242526272831323334[[#This Row],[累计净值]]/MAX(INDIRECT("B21:B" &amp; ROW()))-1,E54)</f>
        <v>-5.0695825049701826E-2</v>
      </c>
      <c r="F55" s="110">
        <f>表2_367162629303891213141523242526272831323334[[#This Row],[累计净值]]</f>
        <v>0.98299999999999998</v>
      </c>
      <c r="G55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-2.0916334661354563E-2</v>
      </c>
    </row>
    <row r="56" spans="1:7" x14ac:dyDescent="0.2">
      <c r="A56" s="15">
        <v>44221</v>
      </c>
      <c r="B56" s="112">
        <v>0.98299999999999998</v>
      </c>
      <c r="C56" s="108">
        <f t="shared" si="12"/>
        <v>0</v>
      </c>
      <c r="D56" s="109" t="str">
        <f t="shared" si="13"/>
        <v>/</v>
      </c>
      <c r="E56" s="109">
        <f ca="1">IF(表2_367162629303891213141523242526272831323334[[#This Row],[累计净值]]/MAX(INDIRECT("B21:B" &amp; ROW()))-1&lt;E55,表2_367162629303891213141523242526272831323334[[#This Row],[累计净值]]/MAX(INDIRECT("B21:B" &amp; ROW()))-1,E55)</f>
        <v>-5.0695825049701826E-2</v>
      </c>
      <c r="F56" s="110">
        <f>表2_367162629303891213141523242526272831323334[[#This Row],[累计净值]]</f>
        <v>0.98299999999999998</v>
      </c>
      <c r="G56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-2.0916334661354563E-2</v>
      </c>
    </row>
    <row r="57" spans="1:7" x14ac:dyDescent="0.2">
      <c r="A57" s="15">
        <v>44222</v>
      </c>
      <c r="B57" s="112">
        <v>0.97499999999999998</v>
      </c>
      <c r="C57" s="108">
        <f t="shared" si="12"/>
        <v>-8.0000000000000071E-3</v>
      </c>
      <c r="D57" s="109">
        <f t="shared" si="13"/>
        <v>-8.0000000000000071E-3</v>
      </c>
      <c r="E57" s="109">
        <f ca="1">IF(表2_367162629303891213141523242526272831323334[[#This Row],[累计净值]]/MAX(INDIRECT("B21:B" &amp; ROW()))-1&lt;E56,表2_367162629303891213141523242526272831323334[[#This Row],[累计净值]]/MAX(INDIRECT("B21:B" &amp; ROW()))-1,E56)</f>
        <v>-5.0695825049701826E-2</v>
      </c>
      <c r="F57" s="110">
        <f>表2_367162629303891213141523242526272831323334[[#This Row],[累计净值]]</f>
        <v>0.97499999999999998</v>
      </c>
      <c r="G57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-2.8884462151394397E-2</v>
      </c>
    </row>
    <row r="58" spans="1:7" x14ac:dyDescent="0.2">
      <c r="A58" s="15">
        <v>44223</v>
      </c>
      <c r="B58" s="112">
        <v>0.97399999999999998</v>
      </c>
      <c r="C58" s="108">
        <f t="shared" si="12"/>
        <v>-1.0000000000000009E-3</v>
      </c>
      <c r="D58" s="109">
        <f t="shared" si="13"/>
        <v>-1.0000000000000009E-3</v>
      </c>
      <c r="E58" s="109">
        <f ca="1">IF(表2_367162629303891213141523242526272831323334[[#This Row],[累计净值]]/MAX(INDIRECT("B21:B" &amp; ROW()))-1&lt;E57,表2_367162629303891213141523242526272831323334[[#This Row],[累计净值]]/MAX(INDIRECT("B21:B" &amp; ROW()))-1,E57)</f>
        <v>-5.0695825049701826E-2</v>
      </c>
      <c r="F58" s="110">
        <f>表2_367162629303891213141523242526272831323334[[#This Row],[累计净值]]</f>
        <v>0.97399999999999998</v>
      </c>
      <c r="G58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-2.9880478087649376E-2</v>
      </c>
    </row>
    <row r="59" spans="1:7" x14ac:dyDescent="0.2">
      <c r="A59" s="15">
        <v>44224</v>
      </c>
      <c r="B59" s="112">
        <v>0.96599999999999997</v>
      </c>
      <c r="C59" s="108">
        <f t="shared" ref="C59:C64" si="14">IFERROR(B59-B58,0)</f>
        <v>-8.0000000000000071E-3</v>
      </c>
      <c r="D59" s="109">
        <f t="shared" ref="D59:D64" si="15">IF(C59&lt;0,C59,"/")</f>
        <v>-8.0000000000000071E-3</v>
      </c>
      <c r="E59" s="109">
        <f ca="1">IF(表2_367162629303891213141523242526272831323334[[#This Row],[累计净值]]/MAX(INDIRECT("B21:B" &amp; ROW()))-1&lt;E58,表2_367162629303891213141523242526272831323334[[#This Row],[累计净值]]/MAX(INDIRECT("B21:B" &amp; ROW()))-1,E58)</f>
        <v>-5.0695825049701826E-2</v>
      </c>
      <c r="F59" s="110">
        <f>表2_367162629303891213141523242526272831323334[[#This Row],[累计净值]]</f>
        <v>0.96599999999999997</v>
      </c>
      <c r="G59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-3.784860557768932E-2</v>
      </c>
    </row>
    <row r="60" spans="1:7" x14ac:dyDescent="0.2">
      <c r="A60" s="15">
        <v>44225</v>
      </c>
      <c r="B60" s="112">
        <v>0.96</v>
      </c>
      <c r="C60" s="108">
        <f t="shared" si="14"/>
        <v>-6.0000000000000053E-3</v>
      </c>
      <c r="D60" s="109">
        <f t="shared" si="15"/>
        <v>-6.0000000000000053E-3</v>
      </c>
      <c r="E60" s="109">
        <f ca="1">IF(表2_367162629303891213141523242526272831323334[[#This Row],[累计净值]]/MAX(INDIRECT("B21:B" &amp; ROW()))-1&lt;E59,表2_367162629303891213141523242526272831323334[[#This Row],[累计净值]]/MAX(INDIRECT("B21:B" &amp; ROW()))-1,E59)</f>
        <v>-5.0695825049701826E-2</v>
      </c>
      <c r="F60" s="110">
        <f>表2_367162629303891213141523242526272831323334[[#This Row],[累计净值]]</f>
        <v>0.96</v>
      </c>
      <c r="G60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-4.3824701195219196E-2</v>
      </c>
    </row>
    <row r="61" spans="1:7" x14ac:dyDescent="0.2">
      <c r="A61" s="15">
        <v>44228</v>
      </c>
      <c r="B61" s="112">
        <v>0.95899999999999996</v>
      </c>
      <c r="C61" s="108">
        <f t="shared" si="14"/>
        <v>-1.0000000000000009E-3</v>
      </c>
      <c r="D61" s="109">
        <f t="shared" si="15"/>
        <v>-1.0000000000000009E-3</v>
      </c>
      <c r="E61" s="109">
        <f ca="1">IF(表2_367162629303891213141523242526272831323334[[#This Row],[累计净值]]/MAX(INDIRECT("B21:B" &amp; ROW()))-1&lt;E60,表2_367162629303891213141523242526272831323334[[#This Row],[累计净值]]/MAX(INDIRECT("B21:B" &amp; ROW()))-1,E60)</f>
        <v>-5.0695825049701826E-2</v>
      </c>
      <c r="F61" s="110">
        <f>表2_367162629303891213141523242526272831323334[[#This Row],[累计净值]]</f>
        <v>0.95899999999999996</v>
      </c>
      <c r="G61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-4.4820717131474175E-2</v>
      </c>
    </row>
    <row r="62" spans="1:7" x14ac:dyDescent="0.2">
      <c r="A62" s="15">
        <v>44229</v>
      </c>
      <c r="B62" s="112">
        <v>0.95699999999999996</v>
      </c>
      <c r="C62" s="108">
        <f t="shared" si="14"/>
        <v>-2.0000000000000018E-3</v>
      </c>
      <c r="D62" s="109">
        <f t="shared" si="15"/>
        <v>-2.0000000000000018E-3</v>
      </c>
      <c r="E62" s="109">
        <f ca="1">IF(表2_367162629303891213141523242526272831323334[[#This Row],[累计净值]]/MAX(INDIRECT("B21:B" &amp; ROW()))-1&lt;E61,表2_367162629303891213141523242526272831323334[[#This Row],[累计净值]]/MAX(INDIRECT("B21:B" &amp; ROW()))-1,E61)</f>
        <v>-5.0695825049701826E-2</v>
      </c>
      <c r="F62" s="110">
        <f>表2_367162629303891213141523242526272831323334[[#This Row],[累计净值]]</f>
        <v>0.95699999999999996</v>
      </c>
      <c r="G62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-4.6812749003984133E-2</v>
      </c>
    </row>
    <row r="63" spans="1:7" x14ac:dyDescent="0.2">
      <c r="A63" s="15">
        <v>44230</v>
      </c>
      <c r="B63" s="112">
        <v>0.95199999999999996</v>
      </c>
      <c r="C63" s="108">
        <f t="shared" si="14"/>
        <v>-5.0000000000000044E-3</v>
      </c>
      <c r="D63" s="109">
        <f t="shared" si="15"/>
        <v>-5.0000000000000044E-3</v>
      </c>
      <c r="E63" s="109">
        <f ca="1">IF(表2_367162629303891213141523242526272831323334[[#This Row],[累计净值]]/MAX(INDIRECT("B21:B" &amp; ROW()))-1&lt;E62,表2_367162629303891213141523242526272831323334[[#This Row],[累计净值]]/MAX(INDIRECT("B21:B" &amp; ROW()))-1,E62)</f>
        <v>-5.367793240556662E-2</v>
      </c>
      <c r="F63" s="110">
        <f>表2_367162629303891213141523242526272831323334[[#This Row],[累计净值]]</f>
        <v>0.95199999999999996</v>
      </c>
      <c r="G63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-5.1792828685259029E-2</v>
      </c>
    </row>
    <row r="64" spans="1:7" x14ac:dyDescent="0.2">
      <c r="A64" s="15">
        <v>44231</v>
      </c>
      <c r="B64" s="112">
        <v>0.95199999999999996</v>
      </c>
      <c r="C64" s="108">
        <f t="shared" si="14"/>
        <v>0</v>
      </c>
      <c r="D64" s="109" t="str">
        <f t="shared" si="15"/>
        <v>/</v>
      </c>
      <c r="E64" s="109">
        <f ca="1">IF(表2_367162629303891213141523242526272831323334[[#This Row],[累计净值]]/MAX(INDIRECT("B21:B" &amp; ROW()))-1&lt;E63,表2_367162629303891213141523242526272831323334[[#This Row],[累计净值]]/MAX(INDIRECT("B21:B" &amp; ROW()))-1,E63)</f>
        <v>-5.367793240556662E-2</v>
      </c>
      <c r="F64" s="110">
        <f>表2_367162629303891213141523242526272831323334[[#This Row],[累计净值]]</f>
        <v>0.95199999999999996</v>
      </c>
      <c r="G64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-5.1792828685259029E-2</v>
      </c>
    </row>
    <row r="65" spans="1:10" x14ac:dyDescent="0.2">
      <c r="A65" s="15">
        <v>44232</v>
      </c>
      <c r="B65" s="112">
        <v>0.91700000000000004</v>
      </c>
      <c r="C65" s="108">
        <f>IFERROR(B65-B64,0)</f>
        <v>-3.499999999999992E-2</v>
      </c>
      <c r="D65" s="109">
        <f>IF(C65&lt;0,C65,"/")</f>
        <v>-3.499999999999992E-2</v>
      </c>
      <c r="E65" s="109">
        <f ca="1">IF(表2_367162629303891213141523242526272831323334[[#This Row],[累计净值]]/MAX(INDIRECT("B21:B" &amp; ROW()))-1&lt;E64,表2_367162629303891213141523242526272831323334[[#This Row],[累计净值]]/MAX(INDIRECT("B21:B" &amp; ROW()))-1,E64)</f>
        <v>-8.8469184890656027E-2</v>
      </c>
      <c r="F65" s="110">
        <f>表2_367162629303891213141523242526272831323334[[#This Row],[累计净值]]</f>
        <v>0.91700000000000004</v>
      </c>
      <c r="G65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-8.665338645418319E-2</v>
      </c>
    </row>
    <row r="66" spans="1:10" x14ac:dyDescent="0.2">
      <c r="A66" s="15">
        <v>44235</v>
      </c>
      <c r="B66" s="112">
        <v>0.90700000000000003</v>
      </c>
      <c r="C66" s="108">
        <f>IFERROR(B66-B65,0)</f>
        <v>-1.0000000000000009E-2</v>
      </c>
      <c r="D66" s="109">
        <f>IF(C66&lt;0,C66,"/")</f>
        <v>-1.0000000000000009E-2</v>
      </c>
      <c r="E66" s="109">
        <f ca="1">IF(表2_367162629303891213141523242526272831323334[[#This Row],[累计净值]]/MAX(INDIRECT("B21:B" &amp; ROW()))-1&lt;E65,表2_367162629303891213141523242526272831323334[[#This Row],[累计净值]]/MAX(INDIRECT("B21:B" &amp; ROW()))-1,E65)</f>
        <v>-9.8409542743538747E-2</v>
      </c>
      <c r="F66" s="110">
        <f>表2_367162629303891213141523242526272831323334[[#This Row],[累计净值]]</f>
        <v>0.90700000000000003</v>
      </c>
      <c r="G66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-9.6613545816733093E-2</v>
      </c>
    </row>
    <row r="67" spans="1:10" x14ac:dyDescent="0.2">
      <c r="A67" s="15">
        <v>44236</v>
      </c>
      <c r="B67" s="112">
        <v>0.92100000000000004</v>
      </c>
      <c r="C67" s="108">
        <f t="shared" ref="C67:C69" si="16">IFERROR(B67-B66,0)</f>
        <v>1.4000000000000012E-2</v>
      </c>
      <c r="D67" s="109" t="str">
        <f t="shared" ref="D67:D69" si="17">IF(C67&lt;0,C67,"/")</f>
        <v>/</v>
      </c>
      <c r="E67" s="109">
        <f ca="1">IF(表2_367162629303891213141523242526272831323334[[#This Row],[累计净值]]/MAX(INDIRECT("B21:B" &amp; ROW()))-1&lt;E66,表2_367162629303891213141523242526272831323334[[#This Row],[累计净值]]/MAX(INDIRECT("B21:B" &amp; ROW()))-1,E66)</f>
        <v>-9.8409542743538747E-2</v>
      </c>
      <c r="F67" s="110">
        <f>表2_367162629303891213141523242526272831323334[[#This Row],[累计净值]]</f>
        <v>0.92100000000000004</v>
      </c>
      <c r="G67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-8.2669322709163273E-2</v>
      </c>
    </row>
    <row r="68" spans="1:10" x14ac:dyDescent="0.2">
      <c r="A68" s="15">
        <v>44237</v>
      </c>
      <c r="B68" s="112">
        <v>0.92400000000000004</v>
      </c>
      <c r="C68" s="108">
        <f t="shared" si="16"/>
        <v>3.0000000000000027E-3</v>
      </c>
      <c r="D68" s="109" t="str">
        <f t="shared" si="17"/>
        <v>/</v>
      </c>
      <c r="E68" s="109">
        <f ca="1">IF(表2_367162629303891213141523242526272831323334[[#This Row],[累计净值]]/MAX(INDIRECT("B21:B" &amp; ROW()))-1&lt;E67,表2_367162629303891213141523242526272831323334[[#This Row],[累计净值]]/MAX(INDIRECT("B21:B" &amp; ROW()))-1,E67)</f>
        <v>-9.8409542743538747E-2</v>
      </c>
      <c r="F68" s="110">
        <f>表2_367162629303891213141523242526272831323334[[#This Row],[累计净值]]</f>
        <v>0.92400000000000004</v>
      </c>
      <c r="G68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-7.9681274900398336E-2</v>
      </c>
      <c r="J68" s="221"/>
    </row>
    <row r="69" spans="1:10" x14ac:dyDescent="0.2">
      <c r="A69" s="15">
        <v>44245</v>
      </c>
      <c r="B69" s="112">
        <v>0.94299999999999995</v>
      </c>
      <c r="C69" s="108">
        <f t="shared" si="16"/>
        <v>1.8999999999999906E-2</v>
      </c>
      <c r="D69" s="109" t="str">
        <f t="shared" si="17"/>
        <v>/</v>
      </c>
      <c r="E69" s="109">
        <f ca="1">IF(表2_367162629303891213141523242526272831323334[[#This Row],[累计净值]]/MAX(INDIRECT("B21:B" &amp; ROW()))-1&lt;E68,表2_367162629303891213141523242526272831323334[[#This Row],[累计净值]]/MAX(INDIRECT("B21:B" &amp; ROW()))-1,E68)</f>
        <v>-9.8409542743538747E-2</v>
      </c>
      <c r="F69" s="110">
        <f>表2_367162629303891213141523242526272831323334[[#This Row],[累计净值]]</f>
        <v>0.94299999999999995</v>
      </c>
      <c r="G69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-6.0756972111553842E-2</v>
      </c>
    </row>
    <row r="70" spans="1:10" x14ac:dyDescent="0.2">
      <c r="A70" s="15">
        <v>44246</v>
      </c>
      <c r="B70" s="112">
        <v>0.97399999999999998</v>
      </c>
      <c r="C70" s="108">
        <f>IFERROR(B70-B69,0)</f>
        <v>3.1000000000000028E-2</v>
      </c>
      <c r="D70" s="109" t="str">
        <f>IF(C70&lt;0,C70,"/")</f>
        <v>/</v>
      </c>
      <c r="E70" s="109">
        <f ca="1">IF(表2_367162629303891213141523242526272831323334[[#This Row],[累计净值]]/MAX(INDIRECT("B21:B" &amp; ROW()))-1&lt;E69,表2_367162629303891213141523242526272831323334[[#This Row],[累计净值]]/MAX(INDIRECT("B21:B" &amp; ROW()))-1,E69)</f>
        <v>-9.8409542743538747E-2</v>
      </c>
      <c r="F70" s="110">
        <f>表2_367162629303891213141523242526272831323334[[#This Row],[累计净值]]</f>
        <v>0.97399999999999998</v>
      </c>
      <c r="G70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-2.9880478087649376E-2</v>
      </c>
    </row>
    <row r="71" spans="1:10" x14ac:dyDescent="0.2">
      <c r="A71" s="15">
        <v>44249</v>
      </c>
      <c r="B71" s="112">
        <v>0.98399999999999999</v>
      </c>
      <c r="C71" s="108">
        <f>IFERROR(B71-B70,0)</f>
        <v>1.0000000000000009E-2</v>
      </c>
      <c r="D71" s="109" t="str">
        <f>IF(C71&lt;0,C71,"/")</f>
        <v>/</v>
      </c>
      <c r="E71" s="109">
        <f ca="1">IF(表2_367162629303891213141523242526272831323334[[#This Row],[累计净值]]/MAX(INDIRECT("B21:B" &amp; ROW()))-1&lt;E70,表2_367162629303891213141523242526272831323334[[#This Row],[累计净值]]/MAX(INDIRECT("B21:B" &amp; ROW()))-1,E70)</f>
        <v>-9.8409542743538747E-2</v>
      </c>
      <c r="F71" s="110">
        <f>表2_367162629303891213141523242526272831323334[[#This Row],[累计净值]]</f>
        <v>0.98399999999999999</v>
      </c>
      <c r="G71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-1.9920318725099584E-2</v>
      </c>
    </row>
    <row r="72" spans="1:10" x14ac:dyDescent="0.2">
      <c r="A72" s="15">
        <v>44250</v>
      </c>
      <c r="B72" s="112">
        <v>0.97499999999999998</v>
      </c>
      <c r="C72" s="108">
        <f t="shared" ref="C72:C76" si="18">IFERROR(B72-B71,0)</f>
        <v>-9.000000000000008E-3</v>
      </c>
      <c r="D72" s="109">
        <f t="shared" ref="D72:D76" si="19">IF(C72&lt;0,C72,"/")</f>
        <v>-9.000000000000008E-3</v>
      </c>
      <c r="E72" s="109">
        <f ca="1">IF(表2_367162629303891213141523242526272831323334[[#This Row],[累计净值]]/MAX(INDIRECT("B21:B" &amp; ROW()))-1&lt;E71,表2_367162629303891213141523242526272831323334[[#This Row],[累计净值]]/MAX(INDIRECT("B21:B" &amp; ROW()))-1,E71)</f>
        <v>-9.8409542743538747E-2</v>
      </c>
      <c r="F72" s="110">
        <f>表2_367162629303891213141523242526272831323334[[#This Row],[累计净值]]</f>
        <v>0.97499999999999998</v>
      </c>
      <c r="G72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-2.8884462151394397E-2</v>
      </c>
    </row>
    <row r="73" spans="1:10" x14ac:dyDescent="0.2">
      <c r="A73" s="15">
        <v>44251</v>
      </c>
      <c r="B73" s="112">
        <v>0.97099999999999997</v>
      </c>
      <c r="C73" s="108">
        <f t="shared" si="18"/>
        <v>-4.0000000000000036E-3</v>
      </c>
      <c r="D73" s="109">
        <f t="shared" si="19"/>
        <v>-4.0000000000000036E-3</v>
      </c>
      <c r="E73" s="109">
        <f ca="1">IF(表2_367162629303891213141523242526272831323334[[#This Row],[累计净值]]/MAX(INDIRECT("B21:B" &amp; ROW()))-1&lt;E72,表2_367162629303891213141523242526272831323334[[#This Row],[累计净值]]/MAX(INDIRECT("B21:B" &amp; ROW()))-1,E72)</f>
        <v>-9.8409542743538747E-2</v>
      </c>
      <c r="F73" s="110">
        <f>表2_367162629303891213141523242526272831323334[[#This Row],[累计净值]]</f>
        <v>0.97099999999999997</v>
      </c>
      <c r="G73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-3.2868525896414424E-2</v>
      </c>
    </row>
    <row r="74" spans="1:10" x14ac:dyDescent="0.2">
      <c r="A74" s="15">
        <v>44252</v>
      </c>
      <c r="B74" s="112">
        <v>0.96299999999999997</v>
      </c>
      <c r="C74" s="108">
        <f t="shared" si="18"/>
        <v>-8.0000000000000071E-3</v>
      </c>
      <c r="D74" s="109">
        <f t="shared" si="19"/>
        <v>-8.0000000000000071E-3</v>
      </c>
      <c r="E74" s="109">
        <f ca="1">IF(表2_367162629303891213141523242526272831323334[[#This Row],[累计净值]]/MAX(INDIRECT("B21:B" &amp; ROW()))-1&lt;E73,表2_367162629303891213141523242526272831323334[[#This Row],[累计净值]]/MAX(INDIRECT("B21:B" &amp; ROW()))-1,E73)</f>
        <v>-9.8409542743538747E-2</v>
      </c>
      <c r="F74" s="110">
        <f>表2_367162629303891213141523242526272831323334[[#This Row],[累计净值]]</f>
        <v>0.96299999999999997</v>
      </c>
      <c r="G74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-4.0836653386454258E-2</v>
      </c>
    </row>
    <row r="75" spans="1:10" x14ac:dyDescent="0.2">
      <c r="A75" s="15">
        <v>44253</v>
      </c>
      <c r="B75" s="112">
        <v>0.96299999999999997</v>
      </c>
      <c r="C75" s="108">
        <f t="shared" si="18"/>
        <v>0</v>
      </c>
      <c r="D75" s="109" t="str">
        <f t="shared" si="19"/>
        <v>/</v>
      </c>
      <c r="E75" s="109">
        <f ca="1">IF(表2_367162629303891213141523242526272831323334[[#This Row],[累计净值]]/MAX(INDIRECT("B21:B" &amp; ROW()))-1&lt;E74,表2_367162629303891213141523242526272831323334[[#This Row],[累计净值]]/MAX(INDIRECT("B21:B" &amp; ROW()))-1,E74)</f>
        <v>-9.8409542743538747E-2</v>
      </c>
      <c r="F75" s="110">
        <f>表2_367162629303891213141523242526272831323334[[#This Row],[累计净值]]</f>
        <v>0.96299999999999997</v>
      </c>
      <c r="G75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-4.0836653386454258E-2</v>
      </c>
    </row>
    <row r="76" spans="1:10" x14ac:dyDescent="0.2">
      <c r="A76" s="15">
        <v>44256</v>
      </c>
      <c r="B76" s="112">
        <v>0.98899999999999999</v>
      </c>
      <c r="C76" s="108">
        <f t="shared" si="18"/>
        <v>2.6000000000000023E-2</v>
      </c>
      <c r="D76" s="109" t="str">
        <f t="shared" si="19"/>
        <v>/</v>
      </c>
      <c r="E76" s="109">
        <f ca="1">IF(表2_367162629303891213141523242526272831323334[[#This Row],[累计净值]]/MAX(INDIRECT("B21:B" &amp; ROW()))-1&lt;E75,表2_367162629303891213141523242526272831323334[[#This Row],[累计净值]]/MAX(INDIRECT("B21:B" &amp; ROW()))-1,E75)</f>
        <v>-9.8409542743538747E-2</v>
      </c>
      <c r="F76" s="110">
        <f>表2_367162629303891213141523242526272831323334[[#This Row],[累计净值]]</f>
        <v>0.98899999999999999</v>
      </c>
      <c r="G76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-1.4940239043824688E-2</v>
      </c>
    </row>
    <row r="77" spans="1:10" x14ac:dyDescent="0.2">
      <c r="A77" s="15">
        <v>44257</v>
      </c>
      <c r="B77" s="112">
        <v>0.98099999999999998</v>
      </c>
      <c r="C77" s="108">
        <f t="shared" ref="C77" si="20">IFERROR(B77-B76,0)</f>
        <v>-8.0000000000000071E-3</v>
      </c>
      <c r="D77" s="109">
        <f t="shared" ref="D77" si="21">IF(C77&lt;0,C77,"/")</f>
        <v>-8.0000000000000071E-3</v>
      </c>
      <c r="E77" s="109">
        <f ca="1">IF(表2_367162629303891213141523242526272831323334[[#This Row],[累计净值]]/MAX(INDIRECT("B21:B" &amp; ROW()))-1&lt;E76,表2_367162629303891213141523242526272831323334[[#This Row],[累计净值]]/MAX(INDIRECT("B21:B" &amp; ROW()))-1,E76)</f>
        <v>-9.8409542743538747E-2</v>
      </c>
      <c r="F77" s="110">
        <f>表2_367162629303891213141523242526272831323334[[#This Row],[累计净值]]</f>
        <v>0.98099999999999998</v>
      </c>
      <c r="G77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-2.2908366533864521E-2</v>
      </c>
    </row>
    <row r="78" spans="1:10" x14ac:dyDescent="0.2">
      <c r="A78" s="15">
        <v>44258</v>
      </c>
      <c r="B78" s="112">
        <v>0.98599999999999999</v>
      </c>
      <c r="C78" s="108">
        <f t="shared" ref="C78" si="22">IFERROR(B78-B77,0)</f>
        <v>5.0000000000000044E-3</v>
      </c>
      <c r="D78" s="109" t="str">
        <f t="shared" ref="D78" si="23">IF(C78&lt;0,C78,"/")</f>
        <v>/</v>
      </c>
      <c r="E78" s="109">
        <f ca="1">IF(表2_367162629303891213141523242526272831323334[[#This Row],[累计净值]]/MAX(INDIRECT("B21:B" &amp; ROW()))-1&lt;E77,表2_367162629303891213141523242526272831323334[[#This Row],[累计净值]]/MAX(INDIRECT("B21:B" &amp; ROW()))-1,E77)</f>
        <v>-9.8409542743538747E-2</v>
      </c>
      <c r="F78" s="110">
        <f>表2_367162629303891213141523242526272831323334[[#This Row],[累计净值]]</f>
        <v>0.98599999999999999</v>
      </c>
      <c r="G78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-1.7928286852589626E-2</v>
      </c>
    </row>
    <row r="79" spans="1:10" x14ac:dyDescent="0.2">
      <c r="A79" s="15">
        <v>44259</v>
      </c>
      <c r="B79" s="112">
        <v>0.96899999999999997</v>
      </c>
      <c r="C79" s="108">
        <f t="shared" ref="C79:C83" si="24">IFERROR(B79-B78,0)</f>
        <v>-1.7000000000000015E-2</v>
      </c>
      <c r="D79" s="109">
        <f t="shared" ref="D79:D83" si="25">IF(C79&lt;0,C79,"/")</f>
        <v>-1.7000000000000015E-2</v>
      </c>
      <c r="E79" s="109">
        <f ca="1">IF(表2_367162629303891213141523242526272831323334[[#This Row],[累计净值]]/MAX(INDIRECT("B21:B" &amp; ROW()))-1&lt;E78,表2_367162629303891213141523242526272831323334[[#This Row],[累计净值]]/MAX(INDIRECT("B21:B" &amp; ROW()))-1,E78)</f>
        <v>-9.8409542743538747E-2</v>
      </c>
      <c r="F79" s="110">
        <f>表2_367162629303891213141523242526272831323334[[#This Row],[累计净值]]</f>
        <v>0.96899999999999997</v>
      </c>
      <c r="G79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-3.4860557768924383E-2</v>
      </c>
    </row>
    <row r="80" spans="1:10" x14ac:dyDescent="0.2">
      <c r="A80" s="15">
        <v>44260</v>
      </c>
      <c r="B80" s="112">
        <v>0.98</v>
      </c>
      <c r="C80" s="108">
        <f t="shared" si="24"/>
        <v>1.100000000000001E-2</v>
      </c>
      <c r="D80" s="109" t="str">
        <f t="shared" si="25"/>
        <v>/</v>
      </c>
      <c r="E80" s="109">
        <f ca="1">IF(表2_367162629303891213141523242526272831323334[[#This Row],[累计净值]]/MAX(INDIRECT("B21:B" &amp; ROW()))-1&lt;E79,表2_367162629303891213141523242526272831323334[[#This Row],[累计净值]]/MAX(INDIRECT("B21:B" &amp; ROW()))-1,E79)</f>
        <v>-9.8409542743538747E-2</v>
      </c>
      <c r="F80" s="110">
        <f>表2_367162629303891213141523242526272831323334[[#This Row],[累计净值]]</f>
        <v>0.98</v>
      </c>
      <c r="G80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-2.3904382470119501E-2</v>
      </c>
    </row>
    <row r="81" spans="1:7" x14ac:dyDescent="0.2">
      <c r="A81" s="15">
        <v>44263</v>
      </c>
      <c r="B81" s="112">
        <v>0.95899999999999996</v>
      </c>
      <c r="C81" s="108">
        <f t="shared" si="24"/>
        <v>-2.1000000000000019E-2</v>
      </c>
      <c r="D81" s="109">
        <f t="shared" si="25"/>
        <v>-2.1000000000000019E-2</v>
      </c>
      <c r="E81" s="109">
        <f ca="1">IF(表2_367162629303891213141523242526272831323334[[#This Row],[累计净值]]/MAX(INDIRECT("B21:B" &amp; ROW()))-1&lt;E80,表2_367162629303891213141523242526272831323334[[#This Row],[累计净值]]/MAX(INDIRECT("B21:B" &amp; ROW()))-1,E80)</f>
        <v>-9.8409542743538747E-2</v>
      </c>
      <c r="F81" s="110">
        <f>表2_367162629303891213141523242526272831323334[[#This Row],[累计净值]]</f>
        <v>0.95899999999999996</v>
      </c>
      <c r="G81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-4.4820717131474175E-2</v>
      </c>
    </row>
    <row r="82" spans="1:7" x14ac:dyDescent="0.2">
      <c r="A82" s="15">
        <v>44264</v>
      </c>
      <c r="B82" s="112">
        <v>0.95599999999999996</v>
      </c>
      <c r="C82" s="108">
        <f t="shared" si="24"/>
        <v>-3.0000000000000027E-3</v>
      </c>
      <c r="D82" s="109">
        <f t="shared" si="25"/>
        <v>-3.0000000000000027E-3</v>
      </c>
      <c r="E82" s="109">
        <f ca="1">IF(表2_367162629303891213141523242526272831323334[[#This Row],[累计净值]]/MAX(INDIRECT("B21:B" &amp; ROW()))-1&lt;E81,表2_367162629303891213141523242526272831323334[[#This Row],[累计净值]]/MAX(INDIRECT("B21:B" &amp; ROW()))-1,E81)</f>
        <v>-9.8409542743538747E-2</v>
      </c>
      <c r="F82" s="110">
        <f>表2_367162629303891213141523242526272831323334[[#This Row],[累计净值]]</f>
        <v>0.95599999999999996</v>
      </c>
      <c r="G82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-4.7808764940239112E-2</v>
      </c>
    </row>
    <row r="83" spans="1:7" x14ac:dyDescent="0.2">
      <c r="A83" s="15">
        <v>44265</v>
      </c>
      <c r="B83" s="112">
        <v>0.95599999999999996</v>
      </c>
      <c r="C83" s="108">
        <f t="shared" si="24"/>
        <v>0</v>
      </c>
      <c r="D83" s="109" t="str">
        <f t="shared" si="25"/>
        <v>/</v>
      </c>
      <c r="E83" s="109">
        <f ca="1">IF(表2_367162629303891213141523242526272831323334[[#This Row],[累计净值]]/MAX(INDIRECT("B21:B" &amp; ROW()))-1&lt;E82,表2_367162629303891213141523242526272831323334[[#This Row],[累计净值]]/MAX(INDIRECT("B21:B" &amp; ROW()))-1,E82)</f>
        <v>-9.8409542743538747E-2</v>
      </c>
      <c r="F83" s="110">
        <f>表2_367162629303891213141523242526272831323334[[#This Row],[累计净值]]</f>
        <v>0.95599999999999996</v>
      </c>
      <c r="G83" s="20">
        <f>IF(表2_367162629303891213141523242526272831323334[[#This Row],[累计净值]]&gt;1.004,0.8*(表2_367162629303891213141523242526272831323334[[#This Row],[累计净值]]/$B$21-1),表2_367162629303891213141523242526272831323334[[#This Row],[累计净值]]/$B$21-1)</f>
        <v>-4.7808764940239112E-2</v>
      </c>
    </row>
  </sheetData>
  <mergeCells count="1">
    <mergeCell ref="G2:G3"/>
  </mergeCells>
  <phoneticPr fontId="24" type="noConversion"/>
  <pageMargins left="0.7" right="0.7" top="0.75" bottom="0.75" header="0.3" footer="0.3"/>
  <pageSetup paperSize="9" orientation="portrait" horizontalDpi="200" verticalDpi="200" r:id="rId1"/>
  <drawing r:id="rId2"/>
  <tableParts count="1">
    <tablePart r:id="rId3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1"/>
  </sheetPr>
  <dimension ref="A1:G213"/>
  <sheetViews>
    <sheetView workbookViewId="0">
      <pane xSplit="1" ySplit="20" topLeftCell="B201" activePane="bottomRight" state="frozen"/>
      <selection pane="topRight" activeCell="B1" sqref="B1"/>
      <selection pane="bottomLeft" activeCell="A21" sqref="A21"/>
      <selection pane="bottomRight" activeCell="L212" sqref="L212"/>
    </sheetView>
  </sheetViews>
  <sheetFormatPr defaultColWidth="9" defaultRowHeight="14.25" x14ac:dyDescent="0.2"/>
  <cols>
    <col min="1" max="1" width="11.625" style="1" bestFit="1" customWidth="1"/>
    <col min="2" max="2" width="13" style="1" customWidth="1"/>
    <col min="3" max="4" width="13.5" style="1" bestFit="1" customWidth="1"/>
    <col min="5" max="5" width="10.75" style="1" customWidth="1"/>
    <col min="6" max="6" width="11.125" style="1" customWidth="1"/>
    <col min="7" max="7" width="14.875" style="2" customWidth="1"/>
    <col min="8" max="8" width="14.25" style="1" customWidth="1"/>
    <col min="9" max="9" width="12" style="1" bestFit="1" customWidth="1"/>
    <col min="10" max="16384" width="9" style="1"/>
  </cols>
  <sheetData>
    <row r="1" spans="1:7" ht="15" thickBot="1" x14ac:dyDescent="0.25"/>
    <row r="2" spans="1:7" ht="15" thickBot="1" x14ac:dyDescent="0.25">
      <c r="A2" s="23" t="s">
        <v>0</v>
      </c>
      <c r="B2" s="24">
        <f>COUNT(表2_36716262930389121314151819[每日盈亏])</f>
        <v>193</v>
      </c>
      <c r="C2" s="27"/>
      <c r="D2" s="3" t="s">
        <v>1</v>
      </c>
      <c r="E2" s="28"/>
      <c r="F2" s="1" t="s">
        <v>2</v>
      </c>
      <c r="G2" s="394" t="s">
        <v>3</v>
      </c>
    </row>
    <row r="3" spans="1:7" x14ac:dyDescent="0.2">
      <c r="A3" s="25" t="s">
        <v>4</v>
      </c>
      <c r="B3" s="26">
        <f>COUNTIF(表2_36716262930389121314151819[每日盈亏],"&gt;0")</f>
        <v>85</v>
      </c>
      <c r="C3" s="29"/>
      <c r="D3" s="30" t="s">
        <v>5</v>
      </c>
      <c r="E3" s="31">
        <f>245^0.5*(B10-0.025/365)/E10</f>
        <v>0.79221126965838229</v>
      </c>
      <c r="G3" s="394"/>
    </row>
    <row r="4" spans="1:7" x14ac:dyDescent="0.2">
      <c r="A4" s="25" t="s">
        <v>6</v>
      </c>
      <c r="B4" s="26">
        <f>COUNTIF(表2_36716262930389121314151819[每日盈亏],"&lt;0")</f>
        <v>98</v>
      </c>
      <c r="C4" s="29"/>
      <c r="D4" s="32" t="s">
        <v>7</v>
      </c>
      <c r="E4" s="31">
        <f ca="1">-B9/E8</f>
        <v>1.6470004857512972</v>
      </c>
      <c r="G4" s="2">
        <f>LOOKUP(999^10,表2_36716262930389121314151819[累计净值])</f>
        <v>1.3420000000000001</v>
      </c>
    </row>
    <row r="5" spans="1:7" x14ac:dyDescent="0.2">
      <c r="A5" s="25" t="s">
        <v>8</v>
      </c>
      <c r="B5" s="26">
        <f>B2-B3-B4</f>
        <v>10</v>
      </c>
      <c r="C5" s="29"/>
      <c r="D5" s="33" t="s">
        <v>9</v>
      </c>
      <c r="E5" s="4">
        <f>245^0.5*(B10-0.025/365)/E9</f>
        <v>1.6082859376114562</v>
      </c>
    </row>
    <row r="6" spans="1:7" ht="15" thickBot="1" x14ac:dyDescent="0.25">
      <c r="A6" s="34"/>
      <c r="B6" s="35"/>
      <c r="C6" s="35"/>
      <c r="D6" s="35"/>
      <c r="E6" s="36"/>
    </row>
    <row r="7" spans="1:7" ht="15" thickBot="1" x14ac:dyDescent="0.25">
      <c r="A7" s="5" t="s">
        <v>10</v>
      </c>
      <c r="B7" s="35"/>
      <c r="C7" s="35"/>
      <c r="D7" s="3" t="s">
        <v>11</v>
      </c>
      <c r="E7" s="37"/>
    </row>
    <row r="8" spans="1:7" x14ac:dyDescent="0.2">
      <c r="A8" s="38" t="s">
        <v>12</v>
      </c>
      <c r="B8" s="39">
        <f>LOOKUP(999^10,表2_36716262930389121314151819[累计净值])/$B$21-1</f>
        <v>8.9285714285714413E-2</v>
      </c>
      <c r="C8" s="40"/>
      <c r="D8" s="30" t="s">
        <v>13</v>
      </c>
      <c r="E8" s="41">
        <f ca="1">MIN(表2_36716262930389121314151819[最大回撤])</f>
        <v>-6.8817204301075297E-2</v>
      </c>
    </row>
    <row r="9" spans="1:7" x14ac:dyDescent="0.2">
      <c r="A9" s="25" t="s">
        <v>14</v>
      </c>
      <c r="B9" s="32">
        <f>B8*245/B2</f>
        <v>0.11334196891191727</v>
      </c>
      <c r="C9" s="40"/>
      <c r="D9" s="33" t="s">
        <v>15</v>
      </c>
      <c r="E9" s="6">
        <f>STDEV(表2_36716262930389121314151819[下跌幅度])</f>
        <v>4.880359052506303E-3</v>
      </c>
    </row>
    <row r="10" spans="1:7" x14ac:dyDescent="0.2">
      <c r="A10" s="42" t="s">
        <v>16</v>
      </c>
      <c r="B10" s="43">
        <f>AVERAGE(表2_36716262930389121314151819[每日盈亏])</f>
        <v>5.6994818652849797E-4</v>
      </c>
      <c r="C10" s="44"/>
      <c r="D10" s="33" t="s">
        <v>17</v>
      </c>
      <c r="E10" s="6">
        <f>STDEV(表2_36716262930389121314151819[每日盈亏])</f>
        <v>9.9077268088161793E-3</v>
      </c>
    </row>
    <row r="11" spans="1:7" x14ac:dyDescent="0.2">
      <c r="A11" s="7" t="s">
        <v>18</v>
      </c>
      <c r="B11" s="32">
        <f>B3/B2</f>
        <v>0.44041450777202074</v>
      </c>
      <c r="C11" s="40"/>
      <c r="D11" s="32" t="s">
        <v>19</v>
      </c>
      <c r="E11" s="41">
        <f>245^0.5*E10</f>
        <v>0.15508045452907029</v>
      </c>
    </row>
    <row r="12" spans="1:7" ht="15" thickBot="1" x14ac:dyDescent="0.25">
      <c r="A12" s="45" t="s">
        <v>20</v>
      </c>
      <c r="B12" s="46">
        <f>-(SUMIF(表2_36716262930389121314151819[每日盈亏],"&gt;=0")/B3)/(SUMIF(表2_36716262930389121314151819[每日盈亏],"&lt;0")/B4)</f>
        <v>1.3507937964577408</v>
      </c>
      <c r="C12" s="47"/>
      <c r="D12" s="48"/>
      <c r="E12" s="49"/>
    </row>
    <row r="14" spans="1:7" ht="28.5" x14ac:dyDescent="0.2">
      <c r="A14" s="50" t="s">
        <v>21</v>
      </c>
      <c r="B14" s="50" t="s">
        <v>14</v>
      </c>
      <c r="C14" s="51" t="s">
        <v>19</v>
      </c>
      <c r="D14" s="51" t="s">
        <v>13</v>
      </c>
      <c r="E14" s="51" t="s">
        <v>5</v>
      </c>
      <c r="F14" s="51" t="s">
        <v>7</v>
      </c>
    </row>
    <row r="15" spans="1:7" x14ac:dyDescent="0.2">
      <c r="A15" s="78">
        <f>B2</f>
        <v>193</v>
      </c>
      <c r="B15" s="53">
        <f>B9</f>
        <v>0.11334196891191727</v>
      </c>
      <c r="C15" s="53">
        <f>E11</f>
        <v>0.15508045452907029</v>
      </c>
      <c r="D15" s="53">
        <f ca="1">E8</f>
        <v>-6.8817204301075297E-2</v>
      </c>
      <c r="E15" s="54">
        <f>E3</f>
        <v>0.79221126965838229</v>
      </c>
      <c r="F15" s="54">
        <f ca="1">E4</f>
        <v>1.6470004857512972</v>
      </c>
    </row>
    <row r="19" spans="1:7" x14ac:dyDescent="0.2">
      <c r="A19" s="8"/>
      <c r="B19" s="1" t="s">
        <v>22</v>
      </c>
    </row>
    <row r="20" spans="1:7" ht="15.75" x14ac:dyDescent="0.2">
      <c r="A20" s="22" t="s">
        <v>23</v>
      </c>
      <c r="B20" s="22" t="s">
        <v>24</v>
      </c>
      <c r="C20" s="22" t="s">
        <v>25</v>
      </c>
      <c r="D20" s="22" t="s">
        <v>26</v>
      </c>
      <c r="E20" s="22" t="s">
        <v>27</v>
      </c>
      <c r="F20" s="22" t="s">
        <v>28</v>
      </c>
      <c r="G20" s="22" t="s">
        <v>29</v>
      </c>
    </row>
    <row r="21" spans="1:7" x14ac:dyDescent="0.2">
      <c r="A21" s="15">
        <v>43983</v>
      </c>
      <c r="B21" s="104">
        <v>1.232</v>
      </c>
      <c r="C21" s="11">
        <f>IFERROR(B21-B20,0)</f>
        <v>0</v>
      </c>
      <c r="D21" s="12" t="str">
        <f>IF(C21&lt;0,C21,"/")</f>
        <v>/</v>
      </c>
      <c r="E21" s="12">
        <f ca="1">IF(表2_36716262930389121314151819[[#This Row],[累计净值]]/MAX(INDIRECT("B21:B" &amp; ROW()))-1&lt;E20,表2_36716262930389121314151819[[#This Row],[累计净值]]/MAX(INDIRECT("B21:B" &amp; ROW()))-1,E20)</f>
        <v>0</v>
      </c>
      <c r="F21" s="13">
        <f>表2_36716262930389121314151819[[#This Row],[累计净值]]-0.144</f>
        <v>1.0880000000000001</v>
      </c>
      <c r="G21" s="14" t="s">
        <v>30</v>
      </c>
    </row>
    <row r="22" spans="1:7" x14ac:dyDescent="0.2">
      <c r="A22" s="15">
        <v>43984</v>
      </c>
      <c r="B22" s="104">
        <v>1.234</v>
      </c>
      <c r="C22" s="17">
        <f>IFERROR(B22-B21,0)</f>
        <v>2.0000000000000018E-3</v>
      </c>
      <c r="D22" s="18" t="str">
        <f>IF(C22&lt;0,C22,"/")</f>
        <v>/</v>
      </c>
      <c r="E22" s="18">
        <f ca="1">IF(表2_36716262930389121314151819[[#This Row],[累计净值]]/MAX(INDIRECT("B21:B" &amp; ROW()))-1&lt;E21,表2_36716262930389121314151819[[#This Row],[累计净值]]/MAX(INDIRECT("B21:B" &amp; ROW()))-1,E21)</f>
        <v>0</v>
      </c>
      <c r="F22" s="19">
        <f>表2_36716262930389121314151819[[#This Row],[累计净值]]-0.144</f>
        <v>1.0900000000000001</v>
      </c>
      <c r="G22" s="20">
        <f>IF(表2_36716262930389121314151819[[#This Row],[单位净值]]&gt;1.088,0.8*(表2_36716262930389121314151819[[#This Row],[单位净值]]-1.088)/1.088,(表2_36716262930389121314151819[[#This Row],[单位净值]]-1.088)/1.088)</f>
        <v>1.4705882352941189E-3</v>
      </c>
    </row>
    <row r="23" spans="1:7" x14ac:dyDescent="0.2">
      <c r="A23" s="15">
        <v>43985</v>
      </c>
      <c r="B23" s="112">
        <v>1.244</v>
      </c>
      <c r="C23" s="101">
        <f>IFERROR(B23-B22,0)</f>
        <v>1.0000000000000009E-2</v>
      </c>
      <c r="D23" s="102" t="str">
        <f>IF(C23&lt;0,C23,"/")</f>
        <v>/</v>
      </c>
      <c r="E23" s="102">
        <f ca="1">IF(表2_36716262930389121314151819[[#This Row],[累计净值]]/MAX(INDIRECT("B21:B" &amp; ROW()))-1&lt;E22,表2_36716262930389121314151819[[#This Row],[累计净值]]/MAX(INDIRECT("B21:B" &amp; ROW()))-1,E22)</f>
        <v>0</v>
      </c>
      <c r="F23" s="103">
        <f>表2_36716262930389121314151819[[#This Row],[累计净值]]-0.144</f>
        <v>1.1000000000000001</v>
      </c>
      <c r="G23" s="20">
        <f>IF(表2_36716262930389121314151819[[#This Row],[单位净值]]&gt;1.088,0.8*(表2_36716262930389121314151819[[#This Row],[单位净值]]-1.088)/1.088,(表2_36716262930389121314151819[[#This Row],[单位净值]]-1.088)/1.088)</f>
        <v>8.8235294117647144E-3</v>
      </c>
    </row>
    <row r="24" spans="1:7" x14ac:dyDescent="0.2">
      <c r="A24" s="15">
        <v>43986</v>
      </c>
      <c r="B24" s="112">
        <v>1.25</v>
      </c>
      <c r="C24" s="108">
        <f t="shared" ref="C24:C29" si="0">IFERROR(B24-B23,0)</f>
        <v>6.0000000000000053E-3</v>
      </c>
      <c r="D24" s="109" t="str">
        <f t="shared" ref="D24:D29" si="1">IF(C24&lt;0,C24,"/")</f>
        <v>/</v>
      </c>
      <c r="E24" s="109">
        <f ca="1">IF(表2_36716262930389121314151819[[#This Row],[累计净值]]/MAX(INDIRECT("B21:B" &amp; ROW()))-1&lt;E23,表2_36716262930389121314151819[[#This Row],[累计净值]]/MAX(INDIRECT("B21:B" &amp; ROW()))-1,E23)</f>
        <v>0</v>
      </c>
      <c r="F24" s="103">
        <f>表2_36716262930389121314151819[[#This Row],[累计净值]]-0.144</f>
        <v>1.1060000000000001</v>
      </c>
      <c r="G24" s="20">
        <f>IF(表2_36716262930389121314151819[[#This Row],[单位净值]]&gt;1.088,0.8*(表2_36716262930389121314151819[[#This Row],[单位净值]]-1.088)/1.088,(表2_36716262930389121314151819[[#This Row],[单位净值]]-1.088)/1.088)</f>
        <v>1.3235294117647071E-2</v>
      </c>
    </row>
    <row r="25" spans="1:7" x14ac:dyDescent="0.2">
      <c r="A25" s="15">
        <v>43987</v>
      </c>
      <c r="B25" s="112">
        <v>1.248</v>
      </c>
      <c r="C25" s="108">
        <f t="shared" si="0"/>
        <v>-2.0000000000000018E-3</v>
      </c>
      <c r="D25" s="109">
        <f t="shared" si="1"/>
        <v>-2.0000000000000018E-3</v>
      </c>
      <c r="E25" s="109">
        <f ca="1">IF(表2_36716262930389121314151819[[#This Row],[累计净值]]/MAX(INDIRECT("B21:B" &amp; ROW()))-1&lt;E24,表2_36716262930389121314151819[[#This Row],[累计净值]]/MAX(INDIRECT("B21:B" &amp; ROW()))-1,E24)</f>
        <v>-1.6000000000000458E-3</v>
      </c>
      <c r="F25" s="103">
        <f>表2_36716262930389121314151819[[#This Row],[累计净值]]-0.144</f>
        <v>1.1040000000000001</v>
      </c>
      <c r="G25" s="20">
        <f>IF(表2_36716262930389121314151819[[#This Row],[单位净值]]&gt;1.088,0.8*(表2_36716262930389121314151819[[#This Row],[单位净值]]-1.088)/1.088,(表2_36716262930389121314151819[[#This Row],[单位净值]]-1.088)/1.088)</f>
        <v>1.1764705882352951E-2</v>
      </c>
    </row>
    <row r="26" spans="1:7" x14ac:dyDescent="0.2">
      <c r="A26" s="15">
        <v>43990</v>
      </c>
      <c r="B26" s="112">
        <v>1.242</v>
      </c>
      <c r="C26" s="108">
        <f t="shared" si="0"/>
        <v>-6.0000000000000053E-3</v>
      </c>
      <c r="D26" s="109">
        <f t="shared" si="1"/>
        <v>-6.0000000000000053E-3</v>
      </c>
      <c r="E26" s="109">
        <f ca="1">IF(表2_36716262930389121314151819[[#This Row],[累计净值]]/MAX(INDIRECT("B21:B" &amp; ROW()))-1&lt;E25,表2_36716262930389121314151819[[#This Row],[累计净值]]/MAX(INDIRECT("B21:B" &amp; ROW()))-1,E25)</f>
        <v>-6.3999999999999613E-3</v>
      </c>
      <c r="F26" s="110">
        <f>表2_36716262930389121314151819[[#This Row],[累计净值]]-0.144</f>
        <v>1.0980000000000001</v>
      </c>
      <c r="G26" s="20">
        <f>IF(表2_36716262930389121314151819[[#This Row],[单位净值]]&gt;1.088,0.8*(表2_36716262930389121314151819[[#This Row],[单位净值]]-1.088)/1.088,(表2_36716262930389121314151819[[#This Row],[单位净值]]-1.088)/1.088)</f>
        <v>7.3529411764705942E-3</v>
      </c>
    </row>
    <row r="27" spans="1:7" x14ac:dyDescent="0.2">
      <c r="A27" s="15">
        <v>43991</v>
      </c>
      <c r="B27" s="112">
        <v>1.2390000000000001</v>
      </c>
      <c r="C27" s="108">
        <f t="shared" si="0"/>
        <v>-2.9999999999998916E-3</v>
      </c>
      <c r="D27" s="109">
        <f t="shared" si="1"/>
        <v>-2.9999999999998916E-3</v>
      </c>
      <c r="E27" s="109">
        <f ca="1">IF(表2_36716262930389121314151819[[#This Row],[累计净值]]/MAX(INDIRECT("B21:B" &amp; ROW()))-1&lt;E26,表2_36716262930389121314151819[[#This Row],[累计净值]]/MAX(INDIRECT("B21:B" &amp; ROW()))-1,E26)</f>
        <v>-8.799999999999919E-3</v>
      </c>
      <c r="F27" s="110">
        <f>表2_36716262930389121314151819[[#This Row],[累计净值]]-0.144</f>
        <v>1.0950000000000002</v>
      </c>
      <c r="G27" s="20">
        <f>IF(表2_36716262930389121314151819[[#This Row],[单位净值]]&gt;1.088,0.8*(表2_36716262930389121314151819[[#This Row],[单位净值]]-1.088)/1.088,(表2_36716262930389121314151819[[#This Row],[单位净值]]-1.088)/1.088)</f>
        <v>5.1470588235294984E-3</v>
      </c>
    </row>
    <row r="28" spans="1:7" x14ac:dyDescent="0.2">
      <c r="A28" s="15">
        <v>43992</v>
      </c>
      <c r="B28" s="112">
        <v>1.2470000000000001</v>
      </c>
      <c r="C28" s="108">
        <f t="shared" si="0"/>
        <v>8.0000000000000071E-3</v>
      </c>
      <c r="D28" s="109" t="str">
        <f t="shared" si="1"/>
        <v>/</v>
      </c>
      <c r="E28" s="109">
        <f ca="1">IF(表2_36716262930389121314151819[[#This Row],[累计净值]]/MAX(INDIRECT("B21:B" &amp; ROW()))-1&lt;E27,表2_36716262930389121314151819[[#This Row],[累计净值]]/MAX(INDIRECT("B21:B" &amp; ROW()))-1,E27)</f>
        <v>-8.799999999999919E-3</v>
      </c>
      <c r="F28" s="110">
        <f>表2_36716262930389121314151819[[#This Row],[累计净值]]-0.144</f>
        <v>1.1030000000000002</v>
      </c>
      <c r="G28" s="20">
        <f>IF(表2_36716262930389121314151819[[#This Row],[单位净值]]&gt;1.088,0.8*(表2_36716262930389121314151819[[#This Row],[单位净值]]-1.088)/1.088,(表2_36716262930389121314151819[[#This Row],[单位净值]]-1.088)/1.088)</f>
        <v>1.1029411764705975E-2</v>
      </c>
    </row>
    <row r="29" spans="1:7" x14ac:dyDescent="0.2">
      <c r="A29" s="15">
        <v>43993</v>
      </c>
      <c r="B29" s="112">
        <v>1.2390000000000001</v>
      </c>
      <c r="C29" s="108">
        <f t="shared" si="0"/>
        <v>-8.0000000000000071E-3</v>
      </c>
      <c r="D29" s="109">
        <f t="shared" si="1"/>
        <v>-8.0000000000000071E-3</v>
      </c>
      <c r="E29" s="109">
        <f ca="1">IF(表2_36716262930389121314151819[[#This Row],[累计净值]]/MAX(INDIRECT("B21:B" &amp; ROW()))-1&lt;E28,表2_36716262930389121314151819[[#This Row],[累计净值]]/MAX(INDIRECT("B21:B" &amp; ROW()))-1,E28)</f>
        <v>-8.799999999999919E-3</v>
      </c>
      <c r="F29" s="110">
        <f>表2_36716262930389121314151819[[#This Row],[累计净值]]-0.144</f>
        <v>1.0950000000000002</v>
      </c>
      <c r="G29" s="20">
        <f>IF(表2_36716262930389121314151819[[#This Row],[单位净值]]&gt;1.088,0.8*(表2_36716262930389121314151819[[#This Row],[单位净值]]-1.088)/1.088,(表2_36716262930389121314151819[[#This Row],[单位净值]]-1.088)/1.088)</f>
        <v>5.1470588235294984E-3</v>
      </c>
    </row>
    <row r="30" spans="1:7" x14ac:dyDescent="0.2">
      <c r="A30" s="15">
        <v>43994</v>
      </c>
      <c r="B30" s="117">
        <v>1.2689999999999999</v>
      </c>
      <c r="C30" s="108">
        <f t="shared" ref="C30:C35" si="2">IFERROR(B30-B29,0)</f>
        <v>2.9999999999999805E-2</v>
      </c>
      <c r="D30" s="109" t="str">
        <f t="shared" ref="D30:D35" si="3">IF(C30&lt;0,C30,"/")</f>
        <v>/</v>
      </c>
      <c r="E30" s="109">
        <f ca="1">IF(表2_36716262930389121314151819[[#This Row],[累计净值]]/MAX(INDIRECT("B21:B" &amp; ROW()))-1&lt;E29,表2_36716262930389121314151819[[#This Row],[累计净值]]/MAX(INDIRECT("B21:B" &amp; ROW()))-1,E29)</f>
        <v>-8.799999999999919E-3</v>
      </c>
      <c r="F30" s="110">
        <f>表2_36716262930389121314151819[[#This Row],[累计净值]]-0.144</f>
        <v>1.125</v>
      </c>
      <c r="G30" s="20">
        <f>IF(表2_36716262930389121314151819[[#This Row],[单位净值]]&gt;1.088,0.8*(表2_36716262930389121314151819[[#This Row],[单位净值]]-1.088)/1.088,(表2_36716262930389121314151819[[#This Row],[单位净值]]-1.088)/1.088)</f>
        <v>2.7205882352941118E-2</v>
      </c>
    </row>
    <row r="31" spans="1:7" x14ac:dyDescent="0.2">
      <c r="A31" s="15">
        <v>43997</v>
      </c>
      <c r="B31" s="112">
        <v>1.25</v>
      </c>
      <c r="C31" s="108">
        <f t="shared" si="2"/>
        <v>-1.8999999999999906E-2</v>
      </c>
      <c r="D31" s="109">
        <f t="shared" si="3"/>
        <v>-1.8999999999999906E-2</v>
      </c>
      <c r="E31" s="109">
        <f ca="1">IF(表2_36716262930389121314151819[[#This Row],[累计净值]]/MAX(INDIRECT("B21:B" &amp; ROW()))-1&lt;E30,表2_36716262930389121314151819[[#This Row],[累计净值]]/MAX(INDIRECT("B21:B" &amp; ROW()))-1,E30)</f>
        <v>-1.4972419227738287E-2</v>
      </c>
      <c r="F31" s="110">
        <f>表2_36716262930389121314151819[[#This Row],[累计净值]]-0.144</f>
        <v>1.1060000000000001</v>
      </c>
      <c r="G31" s="20">
        <f>IF(表2_36716262930389121314151819[[#This Row],[单位净值]]&gt;1.088,0.8*(表2_36716262930389121314151819[[#This Row],[单位净值]]-1.088)/1.088,(表2_36716262930389121314151819[[#This Row],[单位净值]]-1.088)/1.088)</f>
        <v>1.3235294117647071E-2</v>
      </c>
    </row>
    <row r="32" spans="1:7" x14ac:dyDescent="0.2">
      <c r="A32" s="15">
        <v>43998</v>
      </c>
      <c r="B32" s="112">
        <v>1.2350000000000001</v>
      </c>
      <c r="C32" s="108">
        <f t="shared" si="2"/>
        <v>-1.4999999999999902E-2</v>
      </c>
      <c r="D32" s="109">
        <f t="shared" si="3"/>
        <v>-1.4999999999999902E-2</v>
      </c>
      <c r="E32" s="109">
        <f ca="1">IF(表2_36716262930389121314151819[[#This Row],[累计净值]]/MAX(INDIRECT("B21:B" &amp; ROW()))-1&lt;E31,表2_36716262930389121314151819[[#This Row],[累计净值]]/MAX(INDIRECT("B21:B" &amp; ROW()))-1,E31)</f>
        <v>-2.6792750197005333E-2</v>
      </c>
      <c r="F32" s="110">
        <f>表2_36716262930389121314151819[[#This Row],[累计净值]]-0.144</f>
        <v>1.0910000000000002</v>
      </c>
      <c r="G32" s="20">
        <f>IF(表2_36716262930389121314151819[[#This Row],[单位净值]]&gt;1.088,0.8*(表2_36716262930389121314151819[[#This Row],[单位净值]]-1.088)/1.088,(表2_36716262930389121314151819[[#This Row],[单位净值]]-1.088)/1.088)</f>
        <v>2.2058823529412601E-3</v>
      </c>
    </row>
    <row r="33" spans="1:7" x14ac:dyDescent="0.2">
      <c r="A33" s="15">
        <v>43999</v>
      </c>
      <c r="B33" s="112">
        <v>1.228</v>
      </c>
      <c r="C33" s="108">
        <f t="shared" si="2"/>
        <v>-7.0000000000001172E-3</v>
      </c>
      <c r="D33" s="109">
        <f t="shared" si="3"/>
        <v>-7.0000000000001172E-3</v>
      </c>
      <c r="E33" s="109">
        <f ca="1">IF(表2_36716262930389121314151819[[#This Row],[累计净值]]/MAX(INDIRECT("B21:B" &amp; ROW()))-1&lt;E32,表2_36716262930389121314151819[[#This Row],[累计净值]]/MAX(INDIRECT("B21:B" &amp; ROW()))-1,E32)</f>
        <v>-3.2308904649330117E-2</v>
      </c>
      <c r="F33" s="110">
        <f>表2_36716262930389121314151819[[#This Row],[累计净值]]-0.144</f>
        <v>1.0840000000000001</v>
      </c>
      <c r="G33" s="20">
        <f>IF(表2_36716262930389121314151819[[#This Row],[单位净值]]&gt;1.088,0.8*(表2_36716262930389121314151819[[#This Row],[单位净值]]-1.088)/1.088,(表2_36716262930389121314151819[[#This Row],[单位净值]]-1.088)/1.088)</f>
        <v>-3.6764705882352971E-3</v>
      </c>
    </row>
    <row r="34" spans="1:7" x14ac:dyDescent="0.2">
      <c r="A34" s="15">
        <v>44000</v>
      </c>
      <c r="B34" s="112">
        <v>1.2170000000000001</v>
      </c>
      <c r="C34" s="108">
        <f t="shared" si="2"/>
        <v>-1.0999999999999899E-2</v>
      </c>
      <c r="D34" s="109">
        <f t="shared" si="3"/>
        <v>-1.0999999999999899E-2</v>
      </c>
      <c r="E34" s="109">
        <f ca="1">IF(表2_36716262930389121314151819[[#This Row],[累计净值]]/MAX(INDIRECT("B21:B" &amp; ROW()))-1&lt;E33,表2_36716262930389121314151819[[#This Row],[累计净值]]/MAX(INDIRECT("B21:B" &amp; ROW()))-1,E33)</f>
        <v>-4.0977147360125921E-2</v>
      </c>
      <c r="F34" s="110">
        <f>表2_36716262930389121314151819[[#This Row],[累计净值]]-0.144</f>
        <v>1.0730000000000002</v>
      </c>
      <c r="G34" s="20">
        <f>IF(表2_36716262930389121314151819[[#This Row],[单位净值]]&gt;1.088,0.8*(表2_36716262930389121314151819[[#This Row],[单位净值]]-1.088)/1.088,(表2_36716262930389121314151819[[#This Row],[单位净值]]-1.088)/1.088)</f>
        <v>-1.3786764705882262E-2</v>
      </c>
    </row>
    <row r="35" spans="1:7" x14ac:dyDescent="0.2">
      <c r="A35" s="15">
        <v>44001</v>
      </c>
      <c r="B35" s="112">
        <v>1.2250000000000001</v>
      </c>
      <c r="C35" s="108">
        <f t="shared" si="2"/>
        <v>8.0000000000000071E-3</v>
      </c>
      <c r="D35" s="109" t="str">
        <f t="shared" si="3"/>
        <v>/</v>
      </c>
      <c r="E35" s="109">
        <f ca="1">IF(表2_36716262930389121314151819[[#This Row],[累计净值]]/MAX(INDIRECT("B21:B" &amp; ROW()))-1&lt;E34,表2_36716262930389121314151819[[#This Row],[累计净值]]/MAX(INDIRECT("B21:B" &amp; ROW()))-1,E34)</f>
        <v>-4.0977147360125921E-2</v>
      </c>
      <c r="F35" s="110">
        <f>表2_36716262930389121314151819[[#This Row],[累计净值]]-0.144</f>
        <v>1.0810000000000002</v>
      </c>
      <c r="G35" s="20">
        <f>IF(表2_36716262930389121314151819[[#This Row],[单位净值]]&gt;1.088,0.8*(表2_36716262930389121314151819[[#This Row],[单位净值]]-1.088)/1.088,(表2_36716262930389121314151819[[#This Row],[单位净值]]-1.088)/1.088)</f>
        <v>-6.4338235294116681E-3</v>
      </c>
    </row>
    <row r="36" spans="1:7" x14ac:dyDescent="0.2">
      <c r="A36" s="15">
        <v>44004</v>
      </c>
      <c r="B36" s="112">
        <v>1.218</v>
      </c>
      <c r="C36" s="108">
        <f t="shared" ref="C36:C41" si="4">IFERROR(B36-B35,0)</f>
        <v>-7.0000000000001172E-3</v>
      </c>
      <c r="D36" s="109">
        <f t="shared" ref="D36:D41" si="5">IF(C36&lt;0,C36,"/")</f>
        <v>-7.0000000000001172E-3</v>
      </c>
      <c r="E36" s="109">
        <f ca="1">IF(表2_36716262930389121314151819[[#This Row],[累计净值]]/MAX(INDIRECT("B21:B" &amp; ROW()))-1&lt;E35,表2_36716262930389121314151819[[#This Row],[累计净值]]/MAX(INDIRECT("B21:B" &amp; ROW()))-1,E35)</f>
        <v>-4.0977147360125921E-2</v>
      </c>
      <c r="F36" s="110">
        <f>表2_36716262930389121314151819[[#This Row],[累计净值]]-0.144</f>
        <v>1.0740000000000001</v>
      </c>
      <c r="G36" s="20">
        <f>IF(表2_36716262930389121314151819[[#This Row],[单位净值]]&gt;1.088,0.8*(表2_36716262930389121314151819[[#This Row],[单位净值]]-1.088)/1.088,(表2_36716262930389121314151819[[#This Row],[单位净值]]-1.088)/1.088)</f>
        <v>-1.2867647058823539E-2</v>
      </c>
    </row>
    <row r="37" spans="1:7" x14ac:dyDescent="0.2">
      <c r="A37" s="15">
        <v>44005</v>
      </c>
      <c r="B37" s="112">
        <v>1.2130000000000001</v>
      </c>
      <c r="C37" s="108">
        <f t="shared" si="4"/>
        <v>-4.9999999999998934E-3</v>
      </c>
      <c r="D37" s="109">
        <f t="shared" si="5"/>
        <v>-4.9999999999998934E-3</v>
      </c>
      <c r="E37" s="109">
        <f ca="1">IF(表2_36716262930389121314151819[[#This Row],[累计净值]]/MAX(INDIRECT("B21:B" &amp; ROW()))-1&lt;E36,表2_36716262930389121314151819[[#This Row],[累计净值]]/MAX(INDIRECT("B21:B" &amp; ROW()))-1,E36)</f>
        <v>-4.4129235618597162E-2</v>
      </c>
      <c r="F37" s="110">
        <f>表2_36716262930389121314151819[[#This Row],[累计净值]]-0.144</f>
        <v>1.0690000000000002</v>
      </c>
      <c r="G37" s="20">
        <f>IF(表2_36716262930389121314151819[[#This Row],[单位净值]]&gt;1.088,0.8*(表2_36716262930389121314151819[[#This Row],[单位净值]]-1.088)/1.088,(表2_36716262930389121314151819[[#This Row],[单位净值]]-1.088)/1.088)</f>
        <v>-1.7463235294117561E-2</v>
      </c>
    </row>
    <row r="38" spans="1:7" x14ac:dyDescent="0.2">
      <c r="A38" s="15">
        <v>44006</v>
      </c>
      <c r="B38" s="112">
        <v>1.2090000000000001</v>
      </c>
      <c r="C38" s="108">
        <f t="shared" si="4"/>
        <v>-4.0000000000000036E-3</v>
      </c>
      <c r="D38" s="109">
        <f t="shared" si="5"/>
        <v>-4.0000000000000036E-3</v>
      </c>
      <c r="E38" s="109">
        <f ca="1">IF(表2_36716262930389121314151819[[#This Row],[累计净值]]/MAX(INDIRECT("B21:B" &amp; ROW()))-1&lt;E37,表2_36716262930389121314151819[[#This Row],[累计净值]]/MAX(INDIRECT("B21:B" &amp; ROW()))-1,E37)</f>
        <v>-4.7281323877068404E-2</v>
      </c>
      <c r="F38" s="110">
        <f>表2_36716262930389121314151819[[#This Row],[累计净值]]-0.144</f>
        <v>1.0650000000000002</v>
      </c>
      <c r="G38" s="20">
        <f>IF(表2_36716262930389121314151819[[#This Row],[单位净值]]&gt;1.088,0.8*(表2_36716262930389121314151819[[#This Row],[单位净值]]-1.088)/1.088,(表2_36716262930389121314151819[[#This Row],[单位净值]]-1.088)/1.088)</f>
        <v>-2.1139705882352856E-2</v>
      </c>
    </row>
    <row r="39" spans="1:7" x14ac:dyDescent="0.2">
      <c r="A39" s="15">
        <v>44011</v>
      </c>
      <c r="B39" s="112">
        <v>1.2130000000000001</v>
      </c>
      <c r="C39" s="108">
        <f t="shared" si="4"/>
        <v>4.0000000000000036E-3</v>
      </c>
      <c r="D39" s="109" t="str">
        <f t="shared" si="5"/>
        <v>/</v>
      </c>
      <c r="E39" s="109">
        <f ca="1">IF(表2_36716262930389121314151819[[#This Row],[累计净值]]/MAX(INDIRECT("B21:B" &amp; ROW()))-1&lt;E38,表2_36716262930389121314151819[[#This Row],[累计净值]]/MAX(INDIRECT("B21:B" &amp; ROW()))-1,E38)</f>
        <v>-4.7281323877068404E-2</v>
      </c>
      <c r="F39" s="110">
        <f>表2_36716262930389121314151819[[#This Row],[累计净值]]-0.144</f>
        <v>1.0690000000000002</v>
      </c>
      <c r="G39" s="20">
        <f>IF(表2_36716262930389121314151819[[#This Row],[单位净值]]&gt;1.088,0.8*(表2_36716262930389121314151819[[#This Row],[单位净值]]-1.088)/1.088,(表2_36716262930389121314151819[[#This Row],[单位净值]]-1.088)/1.088)</f>
        <v>-1.7463235294117561E-2</v>
      </c>
    </row>
    <row r="40" spans="1:7" x14ac:dyDescent="0.2">
      <c r="A40" s="15">
        <v>44012</v>
      </c>
      <c r="B40" s="112">
        <v>1.2110000000000001</v>
      </c>
      <c r="C40" s="108">
        <f t="shared" si="4"/>
        <v>-2.0000000000000018E-3</v>
      </c>
      <c r="D40" s="109">
        <f t="shared" si="5"/>
        <v>-2.0000000000000018E-3</v>
      </c>
      <c r="E40" s="109">
        <f ca="1">IF(表2_36716262930389121314151819[[#This Row],[累计净值]]/MAX(INDIRECT("B21:B" &amp; ROW()))-1&lt;E39,表2_36716262930389121314151819[[#This Row],[累计净值]]/MAX(INDIRECT("B21:B" &amp; ROW()))-1,E39)</f>
        <v>-4.7281323877068404E-2</v>
      </c>
      <c r="F40" s="110">
        <f>表2_36716262930389121314151819[[#This Row],[累计净值]]-0.144</f>
        <v>1.0670000000000002</v>
      </c>
      <c r="G40" s="20">
        <f>IF(表2_36716262930389121314151819[[#This Row],[单位净值]]&gt;1.088,0.8*(表2_36716262930389121314151819[[#This Row],[单位净值]]-1.088)/1.088,(表2_36716262930389121314151819[[#This Row],[单位净值]]-1.088)/1.088)</f>
        <v>-1.9301470588235208E-2</v>
      </c>
    </row>
    <row r="41" spans="1:7" x14ac:dyDescent="0.2">
      <c r="A41" s="15">
        <v>44013</v>
      </c>
      <c r="B41" s="112">
        <v>1.2110000000000001</v>
      </c>
      <c r="C41" s="108">
        <f t="shared" si="4"/>
        <v>0</v>
      </c>
      <c r="D41" s="109" t="str">
        <f t="shared" si="5"/>
        <v>/</v>
      </c>
      <c r="E41" s="109">
        <f ca="1">IF(表2_36716262930389121314151819[[#This Row],[累计净值]]/MAX(INDIRECT("B21:B" &amp; ROW()))-1&lt;E40,表2_36716262930389121314151819[[#This Row],[累计净值]]/MAX(INDIRECT("B21:B" &amp; ROW()))-1,E40)</f>
        <v>-4.7281323877068404E-2</v>
      </c>
      <c r="F41" s="110">
        <f>表2_36716262930389121314151819[[#This Row],[累计净值]]-0.144</f>
        <v>1.0670000000000002</v>
      </c>
      <c r="G41" s="20">
        <f>IF(表2_36716262930389121314151819[[#This Row],[单位净值]]&gt;1.088,0.8*(表2_36716262930389121314151819[[#This Row],[单位净值]]-1.088)/1.088,(表2_36716262930389121314151819[[#This Row],[单位净值]]-1.088)/1.088)</f>
        <v>-1.9301470588235208E-2</v>
      </c>
    </row>
    <row r="42" spans="1:7" x14ac:dyDescent="0.2">
      <c r="A42" s="15">
        <v>44014</v>
      </c>
      <c r="B42" s="112">
        <v>1.21</v>
      </c>
      <c r="C42" s="108">
        <f>IFERROR(B42-B41,0)</f>
        <v>-1.0000000000001119E-3</v>
      </c>
      <c r="D42" s="109">
        <f>IF(C42&lt;0,C42,"/")</f>
        <v>-1.0000000000001119E-3</v>
      </c>
      <c r="E42" s="109">
        <f ca="1">IF(表2_36716262930389121314151819[[#This Row],[累计净值]]/MAX(INDIRECT("B21:B" &amp; ROW()))-1&lt;E41,表2_36716262930389121314151819[[#This Row],[累计净值]]/MAX(INDIRECT("B21:B" &amp; ROW()))-1,E41)</f>
        <v>-4.7281323877068404E-2</v>
      </c>
      <c r="F42" s="110">
        <f>表2_36716262930389121314151819[[#This Row],[累计净值]]-0.144</f>
        <v>1.0660000000000001</v>
      </c>
      <c r="G42" s="20">
        <f>IF(表2_36716262930389121314151819[[#This Row],[单位净值]]&gt;1.088,0.8*(表2_36716262930389121314151819[[#This Row],[单位净值]]-1.088)/1.088,(表2_36716262930389121314151819[[#This Row],[单位净值]]-1.088)/1.088)</f>
        <v>-2.0220588235294133E-2</v>
      </c>
    </row>
    <row r="43" spans="1:7" x14ac:dyDescent="0.2">
      <c r="A43" s="15">
        <v>44015</v>
      </c>
      <c r="B43" s="112">
        <v>1.2130000000000001</v>
      </c>
      <c r="C43" s="108">
        <f>IFERROR(B43-B42,0)</f>
        <v>3.0000000000001137E-3</v>
      </c>
      <c r="D43" s="109" t="str">
        <f>IF(C43&lt;0,C43,"/")</f>
        <v>/</v>
      </c>
      <c r="E43" s="109">
        <f ca="1">IF(表2_36716262930389121314151819[[#This Row],[累计净值]]/MAX(INDIRECT("B21:B" &amp; ROW()))-1&lt;E42,表2_36716262930389121314151819[[#This Row],[累计净值]]/MAX(INDIRECT("B21:B" &amp; ROW()))-1,E42)</f>
        <v>-4.7281323877068404E-2</v>
      </c>
      <c r="F43" s="110">
        <f>表2_36716262930389121314151819[[#This Row],[累计净值]]-0.144</f>
        <v>1.0690000000000002</v>
      </c>
      <c r="G43" s="20">
        <f>IF(表2_36716262930389121314151819[[#This Row],[单位净值]]&gt;1.088,0.8*(表2_36716262930389121314151819[[#This Row],[单位净值]]-1.088)/1.088,(表2_36716262930389121314151819[[#This Row],[单位净值]]-1.088)/1.088)</f>
        <v>-1.7463235294117561E-2</v>
      </c>
    </row>
    <row r="44" spans="1:7" x14ac:dyDescent="0.2">
      <c r="A44" s="15">
        <v>44018</v>
      </c>
      <c r="B44" s="112">
        <v>1.214</v>
      </c>
      <c r="C44" s="108">
        <f t="shared" ref="C44:C49" si="6">IFERROR(B44-B43,0)</f>
        <v>9.9999999999988987E-4</v>
      </c>
      <c r="D44" s="109" t="str">
        <f t="shared" ref="D44:D49" si="7">IF(C44&lt;0,C44,"/")</f>
        <v>/</v>
      </c>
      <c r="E44" s="109">
        <f ca="1">IF(表2_36716262930389121314151819[[#This Row],[累计净值]]/MAX(INDIRECT("B21:B" &amp; ROW()))-1&lt;E43,表2_36716262930389121314151819[[#This Row],[累计净值]]/MAX(INDIRECT("B21:B" &amp; ROW()))-1,E43)</f>
        <v>-4.7281323877068404E-2</v>
      </c>
      <c r="F44" s="110">
        <f>表2_36716262930389121314151819[[#This Row],[累计净值]]-0.144</f>
        <v>1.07</v>
      </c>
      <c r="G44" s="20">
        <f>IF(表2_36716262930389121314151819[[#This Row],[单位净值]]&gt;1.088,0.8*(表2_36716262930389121314151819[[#This Row],[单位净值]]-1.088)/1.088,(表2_36716262930389121314151819[[#This Row],[单位净值]]-1.088)/1.088)</f>
        <v>-1.6544117647058838E-2</v>
      </c>
    </row>
    <row r="45" spans="1:7" x14ac:dyDescent="0.2">
      <c r="A45" s="15">
        <v>44019</v>
      </c>
      <c r="B45" s="112">
        <v>1.2130000000000001</v>
      </c>
      <c r="C45" s="108">
        <f t="shared" si="6"/>
        <v>-9.9999999999988987E-4</v>
      </c>
      <c r="D45" s="109">
        <f t="shared" si="7"/>
        <v>-9.9999999999988987E-4</v>
      </c>
      <c r="E45" s="109">
        <f ca="1">IF(表2_36716262930389121314151819[[#This Row],[累计净值]]/MAX(INDIRECT("B21:B" &amp; ROW()))-1&lt;E44,表2_36716262930389121314151819[[#This Row],[累计净值]]/MAX(INDIRECT("B21:B" &amp; ROW()))-1,E44)</f>
        <v>-4.7281323877068404E-2</v>
      </c>
      <c r="F45" s="110">
        <f>表2_36716262930389121314151819[[#This Row],[累计净值]]-0.144</f>
        <v>1.0690000000000002</v>
      </c>
      <c r="G45" s="20">
        <f>IF(表2_36716262930389121314151819[[#This Row],[单位净值]]&gt;1.088,0.8*(表2_36716262930389121314151819[[#This Row],[单位净值]]-1.088)/1.088,(表2_36716262930389121314151819[[#This Row],[单位净值]]-1.088)/1.088)</f>
        <v>-1.7463235294117561E-2</v>
      </c>
    </row>
    <row r="46" spans="1:7" x14ac:dyDescent="0.2">
      <c r="A46" s="15">
        <v>44020</v>
      </c>
      <c r="B46" s="112">
        <v>1.2150000000000001</v>
      </c>
      <c r="C46" s="108">
        <f t="shared" si="6"/>
        <v>2.0000000000000018E-3</v>
      </c>
      <c r="D46" s="109" t="str">
        <f t="shared" si="7"/>
        <v>/</v>
      </c>
      <c r="E46" s="109">
        <f ca="1">IF(表2_36716262930389121314151819[[#This Row],[累计净值]]/MAX(INDIRECT("B21:B" &amp; ROW()))-1&lt;E45,表2_36716262930389121314151819[[#This Row],[累计净值]]/MAX(INDIRECT("B21:B" &amp; ROW()))-1,E45)</f>
        <v>-4.7281323877068404E-2</v>
      </c>
      <c r="F46" s="110">
        <f>表2_36716262930389121314151819[[#This Row],[累计净值]]-0.144</f>
        <v>1.0710000000000002</v>
      </c>
      <c r="G46" s="20">
        <f>IF(表2_36716262930389121314151819[[#This Row],[单位净值]]&gt;1.088,0.8*(表2_36716262930389121314151819[[#This Row],[单位净值]]-1.088)/1.088,(表2_36716262930389121314151819[[#This Row],[单位净值]]-1.088)/1.088)</f>
        <v>-1.5624999999999912E-2</v>
      </c>
    </row>
    <row r="47" spans="1:7" x14ac:dyDescent="0.2">
      <c r="A47" s="15">
        <v>44021</v>
      </c>
      <c r="B47" s="112">
        <v>1.214</v>
      </c>
      <c r="C47" s="108">
        <f t="shared" si="6"/>
        <v>-1.0000000000001119E-3</v>
      </c>
      <c r="D47" s="109">
        <f t="shared" si="7"/>
        <v>-1.0000000000001119E-3</v>
      </c>
      <c r="E47" s="109">
        <f ca="1">IF(表2_36716262930389121314151819[[#This Row],[累计净值]]/MAX(INDIRECT("B21:B" &amp; ROW()))-1&lt;E46,表2_36716262930389121314151819[[#This Row],[累计净值]]/MAX(INDIRECT("B21:B" &amp; ROW()))-1,E46)</f>
        <v>-4.7281323877068404E-2</v>
      </c>
      <c r="F47" s="110">
        <f>表2_36716262930389121314151819[[#This Row],[累计净值]]-0.144</f>
        <v>1.07</v>
      </c>
      <c r="G47" s="20">
        <f>IF(表2_36716262930389121314151819[[#This Row],[单位净值]]&gt;1.088,0.8*(表2_36716262930389121314151819[[#This Row],[单位净值]]-1.088)/1.088,(表2_36716262930389121314151819[[#This Row],[单位净值]]-1.088)/1.088)</f>
        <v>-1.6544117647058838E-2</v>
      </c>
    </row>
    <row r="48" spans="1:7" x14ac:dyDescent="0.2">
      <c r="A48" s="15">
        <v>44022</v>
      </c>
      <c r="B48" s="112">
        <v>1.216</v>
      </c>
      <c r="C48" s="108">
        <f t="shared" si="6"/>
        <v>2.0000000000000018E-3</v>
      </c>
      <c r="D48" s="109" t="str">
        <f t="shared" si="7"/>
        <v>/</v>
      </c>
      <c r="E48" s="109">
        <f ca="1">IF(表2_36716262930389121314151819[[#This Row],[累计净值]]/MAX(INDIRECT("B21:B" &amp; ROW()))-1&lt;E47,表2_36716262930389121314151819[[#This Row],[累计净值]]/MAX(INDIRECT("B21:B" &amp; ROW()))-1,E47)</f>
        <v>-4.7281323877068404E-2</v>
      </c>
      <c r="F48" s="110">
        <f>表2_36716262930389121314151819[[#This Row],[累计净值]]-0.144</f>
        <v>1.0720000000000001</v>
      </c>
      <c r="G48" s="20">
        <f>IF(表2_36716262930389121314151819[[#This Row],[单位净值]]&gt;1.088,0.8*(表2_36716262930389121314151819[[#This Row],[单位净值]]-1.088)/1.088,(表2_36716262930389121314151819[[#This Row],[单位净值]]-1.088)/1.088)</f>
        <v>-1.4705882352941188E-2</v>
      </c>
    </row>
    <row r="49" spans="1:7" x14ac:dyDescent="0.2">
      <c r="A49" s="15">
        <v>44025</v>
      </c>
      <c r="B49" s="112">
        <v>1.2130000000000001</v>
      </c>
      <c r="C49" s="108">
        <f t="shared" si="6"/>
        <v>-2.9999999999998916E-3</v>
      </c>
      <c r="D49" s="109">
        <f t="shared" si="7"/>
        <v>-2.9999999999998916E-3</v>
      </c>
      <c r="E49" s="109">
        <f ca="1">IF(表2_36716262930389121314151819[[#This Row],[累计净值]]/MAX(INDIRECT("B21:B" &amp; ROW()))-1&lt;E48,表2_36716262930389121314151819[[#This Row],[累计净值]]/MAX(INDIRECT("B21:B" &amp; ROW()))-1,E48)</f>
        <v>-4.7281323877068404E-2</v>
      </c>
      <c r="F49" s="110">
        <f>表2_36716262930389121314151819[[#This Row],[累计净值]]-0.144</f>
        <v>1.0690000000000002</v>
      </c>
      <c r="G49" s="20">
        <f>IF(表2_36716262930389121314151819[[#This Row],[单位净值]]&gt;1.088,0.8*(表2_36716262930389121314151819[[#This Row],[单位净值]]-1.088)/1.088,(表2_36716262930389121314151819[[#This Row],[单位净值]]-1.088)/1.088)</f>
        <v>-1.7463235294117561E-2</v>
      </c>
    </row>
    <row r="50" spans="1:7" x14ac:dyDescent="0.2">
      <c r="A50" s="15">
        <v>44026</v>
      </c>
      <c r="B50" s="112">
        <v>1.21</v>
      </c>
      <c r="C50" s="108">
        <f t="shared" ref="C50:C55" si="8">IFERROR(B50-B49,0)</f>
        <v>-3.0000000000001137E-3</v>
      </c>
      <c r="D50" s="109">
        <f t="shared" ref="D50:D55" si="9">IF(C50&lt;0,C50,"/")</f>
        <v>-3.0000000000001137E-3</v>
      </c>
      <c r="E50" s="109">
        <f ca="1">IF(表2_36716262930389121314151819[[#This Row],[累计净值]]/MAX(INDIRECT("B21:B" &amp; ROW()))-1&lt;E49,表2_36716262930389121314151819[[#This Row],[累计净值]]/MAX(INDIRECT("B21:B" &amp; ROW()))-1,E49)</f>
        <v>-4.7281323877068404E-2</v>
      </c>
      <c r="F50" s="110">
        <f>表2_36716262930389121314151819[[#This Row],[累计净值]]-0.144</f>
        <v>1.0660000000000001</v>
      </c>
      <c r="G50" s="20">
        <f>IF(表2_36716262930389121314151819[[#This Row],[单位净值]]&gt;1.088,0.8*(表2_36716262930389121314151819[[#This Row],[单位净值]]-1.088)/1.088,(表2_36716262930389121314151819[[#This Row],[单位净值]]-1.088)/1.088)</f>
        <v>-2.0220588235294133E-2</v>
      </c>
    </row>
    <row r="51" spans="1:7" x14ac:dyDescent="0.2">
      <c r="A51" s="15">
        <v>44027</v>
      </c>
      <c r="B51" s="112">
        <v>1.21</v>
      </c>
      <c r="C51" s="108">
        <f t="shared" si="8"/>
        <v>0</v>
      </c>
      <c r="D51" s="109" t="str">
        <f t="shared" si="9"/>
        <v>/</v>
      </c>
      <c r="E51" s="109">
        <f ca="1">IF(表2_36716262930389121314151819[[#This Row],[累计净值]]/MAX(INDIRECT("B21:B" &amp; ROW()))-1&lt;E50,表2_36716262930389121314151819[[#This Row],[累计净值]]/MAX(INDIRECT("B21:B" &amp; ROW()))-1,E50)</f>
        <v>-4.7281323877068404E-2</v>
      </c>
      <c r="F51" s="110">
        <f>表2_36716262930389121314151819[[#This Row],[累计净值]]-0.144</f>
        <v>1.0660000000000001</v>
      </c>
      <c r="G51" s="20">
        <f>IF(表2_36716262930389121314151819[[#This Row],[单位净值]]&gt;1.088,0.8*(表2_36716262930389121314151819[[#This Row],[单位净值]]-1.088)/1.088,(表2_36716262930389121314151819[[#This Row],[单位净值]]-1.088)/1.088)</f>
        <v>-2.0220588235294133E-2</v>
      </c>
    </row>
    <row r="52" spans="1:7" x14ac:dyDescent="0.2">
      <c r="A52" s="15">
        <v>44028</v>
      </c>
      <c r="B52" s="112">
        <v>1.2030000000000001</v>
      </c>
      <c r="C52" s="108">
        <f t="shared" si="8"/>
        <v>-6.9999999999998952E-3</v>
      </c>
      <c r="D52" s="109">
        <f t="shared" si="9"/>
        <v>-6.9999999999998952E-3</v>
      </c>
      <c r="E52" s="109">
        <f ca="1">IF(表2_36716262930389121314151819[[#This Row],[累计净值]]/MAX(INDIRECT("B21:B" &amp; ROW()))-1&lt;E51,表2_36716262930389121314151819[[#This Row],[累计净值]]/MAX(INDIRECT("B21:B" &amp; ROW()))-1,E51)</f>
        <v>-5.2009456264775267E-2</v>
      </c>
      <c r="F52" s="110">
        <f>表2_36716262930389121314151819[[#This Row],[累计净值]]-0.144</f>
        <v>1.0590000000000002</v>
      </c>
      <c r="G52" s="20">
        <f>IF(表2_36716262930389121314151819[[#This Row],[单位净值]]&gt;1.088,0.8*(表2_36716262930389121314151819[[#This Row],[单位净值]]-1.088)/1.088,(表2_36716262930389121314151819[[#This Row],[单位净值]]-1.088)/1.088)</f>
        <v>-2.6654411764705802E-2</v>
      </c>
    </row>
    <row r="53" spans="1:7" x14ac:dyDescent="0.2">
      <c r="A53" s="15">
        <v>44029</v>
      </c>
      <c r="B53" s="112">
        <v>1.2030000000000001</v>
      </c>
      <c r="C53" s="108">
        <f t="shared" si="8"/>
        <v>0</v>
      </c>
      <c r="D53" s="109" t="str">
        <f t="shared" si="9"/>
        <v>/</v>
      </c>
      <c r="E53" s="109">
        <f ca="1">IF(表2_36716262930389121314151819[[#This Row],[累计净值]]/MAX(INDIRECT("B21:B" &amp; ROW()))-1&lt;E52,表2_36716262930389121314151819[[#This Row],[累计净值]]/MAX(INDIRECT("B21:B" &amp; ROW()))-1,E52)</f>
        <v>-5.2009456264775267E-2</v>
      </c>
      <c r="F53" s="110">
        <f>表2_36716262930389121314151819[[#This Row],[累计净值]]-0.144</f>
        <v>1.0590000000000002</v>
      </c>
      <c r="G53" s="20">
        <f>IF(表2_36716262930389121314151819[[#This Row],[单位净值]]&gt;1.088,0.8*(表2_36716262930389121314151819[[#This Row],[单位净值]]-1.088)/1.088,(表2_36716262930389121314151819[[#This Row],[单位净值]]-1.088)/1.088)</f>
        <v>-2.6654411764705802E-2</v>
      </c>
    </row>
    <row r="54" spans="1:7" x14ac:dyDescent="0.2">
      <c r="A54" s="15">
        <v>44032</v>
      </c>
      <c r="B54" s="112">
        <v>1.204</v>
      </c>
      <c r="C54" s="108">
        <f t="shared" si="8"/>
        <v>9.9999999999988987E-4</v>
      </c>
      <c r="D54" s="109" t="str">
        <f t="shared" si="9"/>
        <v>/</v>
      </c>
      <c r="E54" s="109">
        <f ca="1">IF(表2_36716262930389121314151819[[#This Row],[累计净值]]/MAX(INDIRECT("B21:B" &amp; ROW()))-1&lt;E53,表2_36716262930389121314151819[[#This Row],[累计净值]]/MAX(INDIRECT("B21:B" &amp; ROW()))-1,E53)</f>
        <v>-5.2009456264775267E-2</v>
      </c>
      <c r="F54" s="110">
        <f>表2_36716262930389121314151819[[#This Row],[累计净值]]-0.144</f>
        <v>1.06</v>
      </c>
      <c r="G54" s="20">
        <f>IF(表2_36716262930389121314151819[[#This Row],[单位净值]]&gt;1.088,0.8*(表2_36716262930389121314151819[[#This Row],[单位净值]]-1.088)/1.088,(表2_36716262930389121314151819[[#This Row],[单位净值]]-1.088)/1.088)</f>
        <v>-2.5735294117647078E-2</v>
      </c>
    </row>
    <row r="55" spans="1:7" x14ac:dyDescent="0.2">
      <c r="A55" s="15">
        <v>44033</v>
      </c>
      <c r="B55" s="112">
        <v>1.2050000000000001</v>
      </c>
      <c r="C55" s="108">
        <f t="shared" si="8"/>
        <v>1.0000000000001119E-3</v>
      </c>
      <c r="D55" s="109" t="str">
        <f t="shared" si="9"/>
        <v>/</v>
      </c>
      <c r="E55" s="109">
        <f ca="1">IF(表2_36716262930389121314151819[[#This Row],[累计净值]]/MAX(INDIRECT("B21:B" &amp; ROW()))-1&lt;E54,表2_36716262930389121314151819[[#This Row],[累计净值]]/MAX(INDIRECT("B21:B" &amp; ROW()))-1,E54)</f>
        <v>-5.2009456264775267E-2</v>
      </c>
      <c r="F55" s="110">
        <f>表2_36716262930389121314151819[[#This Row],[累计净值]]-0.144</f>
        <v>1.0610000000000002</v>
      </c>
      <c r="G55" s="20">
        <f>IF(表2_36716262930389121314151819[[#This Row],[单位净值]]&gt;1.088,0.8*(表2_36716262930389121314151819[[#This Row],[单位净值]]-1.088)/1.088,(表2_36716262930389121314151819[[#This Row],[单位净值]]-1.088)/1.088)</f>
        <v>-2.4816176470588154E-2</v>
      </c>
    </row>
    <row r="56" spans="1:7" x14ac:dyDescent="0.2">
      <c r="A56" s="15">
        <v>44034</v>
      </c>
      <c r="B56" s="112">
        <v>1.2090000000000001</v>
      </c>
      <c r="C56" s="108">
        <f>IFERROR(B56-B55,0)</f>
        <v>4.0000000000000036E-3</v>
      </c>
      <c r="D56" s="109" t="str">
        <f>IF(C56&lt;0,C56,"/")</f>
        <v>/</v>
      </c>
      <c r="E56" s="109">
        <f ca="1">IF(表2_36716262930389121314151819[[#This Row],[累计净值]]/MAX(INDIRECT("B21:B" &amp; ROW()))-1&lt;E55,表2_36716262930389121314151819[[#This Row],[累计净值]]/MAX(INDIRECT("B21:B" &amp; ROW()))-1,E55)</f>
        <v>-5.2009456264775267E-2</v>
      </c>
      <c r="F56" s="110">
        <f>表2_36716262930389121314151819[[#This Row],[累计净值]]-0.144</f>
        <v>1.0650000000000002</v>
      </c>
      <c r="G56" s="20">
        <f>IF(表2_36716262930389121314151819[[#This Row],[单位净值]]&gt;1.088,0.8*(表2_36716262930389121314151819[[#This Row],[单位净值]]-1.088)/1.088,(表2_36716262930389121314151819[[#This Row],[单位净值]]-1.088)/1.088)</f>
        <v>-2.1139705882352856E-2</v>
      </c>
    </row>
    <row r="57" spans="1:7" x14ac:dyDescent="0.2">
      <c r="A57" s="15">
        <v>44035</v>
      </c>
      <c r="B57" s="112">
        <v>1.2050000000000001</v>
      </c>
      <c r="C57" s="108">
        <f>IFERROR(B57-B56,0)</f>
        <v>-4.0000000000000036E-3</v>
      </c>
      <c r="D57" s="109">
        <f>IF(C57&lt;0,C57,"/")</f>
        <v>-4.0000000000000036E-3</v>
      </c>
      <c r="E57" s="109">
        <f ca="1">IF(表2_36716262930389121314151819[[#This Row],[累计净值]]/MAX(INDIRECT("B21:B" &amp; ROW()))-1&lt;E56,表2_36716262930389121314151819[[#This Row],[累计净值]]/MAX(INDIRECT("B21:B" &amp; ROW()))-1,E56)</f>
        <v>-5.2009456264775267E-2</v>
      </c>
      <c r="F57" s="110">
        <f>表2_36716262930389121314151819[[#This Row],[累计净值]]-0.144</f>
        <v>1.0610000000000002</v>
      </c>
      <c r="G57" s="20">
        <f>IF(表2_36716262930389121314151819[[#This Row],[单位净值]]&gt;1.088,0.8*(表2_36716262930389121314151819[[#This Row],[单位净值]]-1.088)/1.088,(表2_36716262930389121314151819[[#This Row],[单位净值]]-1.088)/1.088)</f>
        <v>-2.4816176470588154E-2</v>
      </c>
    </row>
    <row r="58" spans="1:7" x14ac:dyDescent="0.2">
      <c r="A58" s="15">
        <v>44036</v>
      </c>
      <c r="B58" s="112">
        <v>1.204</v>
      </c>
      <c r="C58" s="108">
        <f>IFERROR(B58-B57,0)</f>
        <v>-1.0000000000001119E-3</v>
      </c>
      <c r="D58" s="109">
        <f>IF(C58&lt;0,C58,"/")</f>
        <v>-1.0000000000001119E-3</v>
      </c>
      <c r="E58" s="109">
        <f ca="1">IF(表2_36716262930389121314151819[[#This Row],[累计净值]]/MAX(INDIRECT("B21:B" &amp; ROW()))-1&lt;E57,表2_36716262930389121314151819[[#This Row],[累计净值]]/MAX(INDIRECT("B21:B" &amp; ROW()))-1,E57)</f>
        <v>-5.2009456264775267E-2</v>
      </c>
      <c r="F58" s="110">
        <f>表2_36716262930389121314151819[[#This Row],[累计净值]]-0.144</f>
        <v>1.06</v>
      </c>
      <c r="G58" s="20">
        <f>IF(表2_36716262930389121314151819[[#This Row],[单位净值]]&gt;1.088,0.8*(表2_36716262930389121314151819[[#This Row],[单位净值]]-1.088)/1.088,(表2_36716262930389121314151819[[#This Row],[单位净值]]-1.088)/1.088)</f>
        <v>-2.5735294117647078E-2</v>
      </c>
    </row>
    <row r="59" spans="1:7" x14ac:dyDescent="0.2">
      <c r="A59" s="15">
        <v>44039</v>
      </c>
      <c r="B59" s="112">
        <v>1.2010000000000001</v>
      </c>
      <c r="C59" s="108">
        <f t="shared" ref="C59:C64" si="10">IFERROR(B59-B58,0)</f>
        <v>-2.9999999999998916E-3</v>
      </c>
      <c r="D59" s="109">
        <f t="shared" ref="D59:D64" si="11">IF(C59&lt;0,C59,"/")</f>
        <v>-2.9999999999998916E-3</v>
      </c>
      <c r="E59" s="109">
        <f ca="1">IF(表2_36716262930389121314151819[[#This Row],[累计净值]]/MAX(INDIRECT("B21:B" &amp; ROW()))-1&lt;E58,表2_36716262930389121314151819[[#This Row],[累计净值]]/MAX(INDIRECT("B21:B" &amp; ROW()))-1,E58)</f>
        <v>-5.3585500394010888E-2</v>
      </c>
      <c r="F59" s="110">
        <f>表2_36716262930389121314151819[[#This Row],[累计净值]]-0.144</f>
        <v>1.0570000000000002</v>
      </c>
      <c r="G59" s="20">
        <f>IF(表2_36716262930389121314151819[[#This Row],[单位净值]]&gt;1.088,0.8*(表2_36716262930389121314151819[[#This Row],[单位净值]]-1.088)/1.088,(表2_36716262930389121314151819[[#This Row],[单位净值]]-1.088)/1.088)</f>
        <v>-2.8492647058823449E-2</v>
      </c>
    </row>
    <row r="60" spans="1:7" x14ac:dyDescent="0.2">
      <c r="A60" s="15">
        <v>44040</v>
      </c>
      <c r="B60" s="112">
        <v>1.2090000000000001</v>
      </c>
      <c r="C60" s="108">
        <f t="shared" si="10"/>
        <v>8.0000000000000071E-3</v>
      </c>
      <c r="D60" s="109" t="str">
        <f t="shared" si="11"/>
        <v>/</v>
      </c>
      <c r="E60" s="109">
        <f ca="1">IF(表2_36716262930389121314151819[[#This Row],[累计净值]]/MAX(INDIRECT("B21:B" &amp; ROW()))-1&lt;E59,表2_36716262930389121314151819[[#This Row],[累计净值]]/MAX(INDIRECT("B21:B" &amp; ROW()))-1,E59)</f>
        <v>-5.3585500394010888E-2</v>
      </c>
      <c r="F60" s="110">
        <f>表2_36716262930389121314151819[[#This Row],[累计净值]]-0.144</f>
        <v>1.0650000000000002</v>
      </c>
      <c r="G60" s="20">
        <f>IF(表2_36716262930389121314151819[[#This Row],[单位净值]]&gt;1.088,0.8*(表2_36716262930389121314151819[[#This Row],[单位净值]]-1.088)/1.088,(表2_36716262930389121314151819[[#This Row],[单位净值]]-1.088)/1.088)</f>
        <v>-2.1139705882352856E-2</v>
      </c>
    </row>
    <row r="61" spans="1:7" x14ac:dyDescent="0.2">
      <c r="A61" s="15">
        <v>44041</v>
      </c>
      <c r="B61" s="112">
        <v>1.2050000000000001</v>
      </c>
      <c r="C61" s="108">
        <f t="shared" si="10"/>
        <v>-4.0000000000000036E-3</v>
      </c>
      <c r="D61" s="109">
        <f t="shared" si="11"/>
        <v>-4.0000000000000036E-3</v>
      </c>
      <c r="E61" s="109">
        <f ca="1">IF(表2_36716262930389121314151819[[#This Row],[累计净值]]/MAX(INDIRECT("B21:B" &amp; ROW()))-1&lt;E60,表2_36716262930389121314151819[[#This Row],[累计净值]]/MAX(INDIRECT("B21:B" &amp; ROW()))-1,E60)</f>
        <v>-5.3585500394010888E-2</v>
      </c>
      <c r="F61" s="110">
        <f>表2_36716262930389121314151819[[#This Row],[累计净值]]-0.144</f>
        <v>1.0610000000000002</v>
      </c>
      <c r="G61" s="20">
        <f>IF(表2_36716262930389121314151819[[#This Row],[单位净值]]&gt;1.088,0.8*(表2_36716262930389121314151819[[#This Row],[单位净值]]-1.088)/1.088,(表2_36716262930389121314151819[[#This Row],[单位净值]]-1.088)/1.088)</f>
        <v>-2.4816176470588154E-2</v>
      </c>
    </row>
    <row r="62" spans="1:7" x14ac:dyDescent="0.2">
      <c r="A62" s="15">
        <v>44042</v>
      </c>
      <c r="B62" s="112">
        <v>1.2030000000000001</v>
      </c>
      <c r="C62" s="108">
        <f t="shared" si="10"/>
        <v>-2.0000000000000018E-3</v>
      </c>
      <c r="D62" s="109">
        <f t="shared" si="11"/>
        <v>-2.0000000000000018E-3</v>
      </c>
      <c r="E62" s="109">
        <f ca="1">IF(表2_36716262930389121314151819[[#This Row],[累计净值]]/MAX(INDIRECT("B21:B" &amp; ROW()))-1&lt;E61,表2_36716262930389121314151819[[#This Row],[累计净值]]/MAX(INDIRECT("B21:B" &amp; ROW()))-1,E61)</f>
        <v>-5.3585500394010888E-2</v>
      </c>
      <c r="F62" s="110">
        <f>表2_36716262930389121314151819[[#This Row],[累计净值]]-0.144</f>
        <v>1.0590000000000002</v>
      </c>
      <c r="G62" s="20">
        <f>IF(表2_36716262930389121314151819[[#This Row],[单位净值]]&gt;1.088,0.8*(表2_36716262930389121314151819[[#This Row],[单位净值]]-1.088)/1.088,(表2_36716262930389121314151819[[#This Row],[单位净值]]-1.088)/1.088)</f>
        <v>-2.6654411764705802E-2</v>
      </c>
    </row>
    <row r="63" spans="1:7" x14ac:dyDescent="0.2">
      <c r="A63" s="15">
        <v>44043</v>
      </c>
      <c r="B63" s="112">
        <v>1.202</v>
      </c>
      <c r="C63" s="108">
        <f t="shared" si="10"/>
        <v>-1.0000000000001119E-3</v>
      </c>
      <c r="D63" s="109">
        <f t="shared" si="11"/>
        <v>-1.0000000000001119E-3</v>
      </c>
      <c r="E63" s="109">
        <f ca="1">IF(表2_36716262930389121314151819[[#This Row],[累计净值]]/MAX(INDIRECT("B21:B" &amp; ROW()))-1&lt;E62,表2_36716262930389121314151819[[#This Row],[累计净值]]/MAX(INDIRECT("B21:B" &amp; ROW()))-1,E62)</f>
        <v>-5.3585500394010888E-2</v>
      </c>
      <c r="F63" s="110">
        <f>表2_36716262930389121314151819[[#This Row],[累计净值]]-0.144</f>
        <v>1.0580000000000001</v>
      </c>
      <c r="G63" s="20">
        <f>IF(表2_36716262930389121314151819[[#This Row],[单位净值]]&gt;1.088,0.8*(表2_36716262930389121314151819[[#This Row],[单位净值]]-1.088)/1.088,(表2_36716262930389121314151819[[#This Row],[单位净值]]-1.088)/1.088)</f>
        <v>-2.7573529411764729E-2</v>
      </c>
    </row>
    <row r="64" spans="1:7" x14ac:dyDescent="0.2">
      <c r="A64" s="15">
        <v>44046</v>
      </c>
      <c r="B64" s="112">
        <v>1.208</v>
      </c>
      <c r="C64" s="108">
        <f t="shared" si="10"/>
        <v>6.0000000000000053E-3</v>
      </c>
      <c r="D64" s="109" t="str">
        <f t="shared" si="11"/>
        <v>/</v>
      </c>
      <c r="E64" s="109">
        <f ca="1">IF(表2_36716262930389121314151819[[#This Row],[累计净值]]/MAX(INDIRECT("B21:B" &amp; ROW()))-1&lt;E63,表2_36716262930389121314151819[[#This Row],[累计净值]]/MAX(INDIRECT("B21:B" &amp; ROW()))-1,E63)</f>
        <v>-5.3585500394010888E-2</v>
      </c>
      <c r="F64" s="110">
        <f>表2_36716262930389121314151819[[#This Row],[累计净值]]-0.144</f>
        <v>1.0640000000000001</v>
      </c>
      <c r="G64" s="20">
        <f>IF(表2_36716262930389121314151819[[#This Row],[单位净值]]&gt;1.088,0.8*(表2_36716262930389121314151819[[#This Row],[单位净值]]-1.088)/1.088,(表2_36716262930389121314151819[[#This Row],[单位净值]]-1.088)/1.088)</f>
        <v>-2.2058823529411783E-2</v>
      </c>
    </row>
    <row r="65" spans="1:7" x14ac:dyDescent="0.2">
      <c r="A65" s="15">
        <v>44047</v>
      </c>
      <c r="B65" s="112">
        <v>1.21</v>
      </c>
      <c r="C65" s="108">
        <f t="shared" ref="C65:C70" si="12">IFERROR(B65-B64,0)</f>
        <v>2.0000000000000018E-3</v>
      </c>
      <c r="D65" s="109" t="str">
        <f t="shared" ref="D65:D70" si="13">IF(C65&lt;0,C65,"/")</f>
        <v>/</v>
      </c>
      <c r="E65" s="109">
        <f ca="1">IF(表2_36716262930389121314151819[[#This Row],[累计净值]]/MAX(INDIRECT("B21:B" &amp; ROW()))-1&lt;E64,表2_36716262930389121314151819[[#This Row],[累计净值]]/MAX(INDIRECT("B21:B" &amp; ROW()))-1,E64)</f>
        <v>-5.3585500394010888E-2</v>
      </c>
      <c r="F65" s="110">
        <f>表2_36716262930389121314151819[[#This Row],[累计净值]]-0.144</f>
        <v>1.0660000000000001</v>
      </c>
      <c r="G65" s="20">
        <f>IF(表2_36716262930389121314151819[[#This Row],[单位净值]]&gt;1.088,0.8*(表2_36716262930389121314151819[[#This Row],[单位净值]]-1.088)/1.088,(表2_36716262930389121314151819[[#This Row],[单位净值]]-1.088)/1.088)</f>
        <v>-2.0220588235294133E-2</v>
      </c>
    </row>
    <row r="66" spans="1:7" x14ac:dyDescent="0.2">
      <c r="A66" s="15">
        <v>44048</v>
      </c>
      <c r="B66" s="112">
        <v>1.2150000000000001</v>
      </c>
      <c r="C66" s="108">
        <f t="shared" si="12"/>
        <v>5.0000000000001155E-3</v>
      </c>
      <c r="D66" s="109" t="str">
        <f t="shared" si="13"/>
        <v>/</v>
      </c>
      <c r="E66" s="109">
        <f ca="1">IF(表2_36716262930389121314151819[[#This Row],[累计净值]]/MAX(INDIRECT("B21:B" &amp; ROW()))-1&lt;E65,表2_36716262930389121314151819[[#This Row],[累计净值]]/MAX(INDIRECT("B21:B" &amp; ROW()))-1,E65)</f>
        <v>-5.3585500394010888E-2</v>
      </c>
      <c r="F66" s="110">
        <f>表2_36716262930389121314151819[[#This Row],[累计净值]]-0.144</f>
        <v>1.0710000000000002</v>
      </c>
      <c r="G66" s="20">
        <f>IF(表2_36716262930389121314151819[[#This Row],[单位净值]]&gt;1.088,0.8*(表2_36716262930389121314151819[[#This Row],[单位净值]]-1.088)/1.088,(表2_36716262930389121314151819[[#This Row],[单位净值]]-1.088)/1.088)</f>
        <v>-1.5624999999999912E-2</v>
      </c>
    </row>
    <row r="67" spans="1:7" x14ac:dyDescent="0.2">
      <c r="A67" s="15">
        <v>44049</v>
      </c>
      <c r="B67" s="112">
        <v>1.2190000000000001</v>
      </c>
      <c r="C67" s="108">
        <f t="shared" si="12"/>
        <v>4.0000000000000036E-3</v>
      </c>
      <c r="D67" s="109" t="str">
        <f t="shared" si="13"/>
        <v>/</v>
      </c>
      <c r="E67" s="109">
        <f ca="1">IF(表2_36716262930389121314151819[[#This Row],[累计净值]]/MAX(INDIRECT("B21:B" &amp; ROW()))-1&lt;E66,表2_36716262930389121314151819[[#This Row],[累计净值]]/MAX(INDIRECT("B21:B" &amp; ROW()))-1,E66)</f>
        <v>-5.3585500394010888E-2</v>
      </c>
      <c r="F67" s="110">
        <f>表2_36716262930389121314151819[[#This Row],[累计净值]]-0.144</f>
        <v>1.0750000000000002</v>
      </c>
      <c r="G67" s="20">
        <f>IF(表2_36716262930389121314151819[[#This Row],[单位净值]]&gt;1.088,0.8*(表2_36716262930389121314151819[[#This Row],[单位净值]]-1.088)/1.088,(表2_36716262930389121314151819[[#This Row],[单位净值]]-1.088)/1.088)</f>
        <v>-1.1948529411764613E-2</v>
      </c>
    </row>
    <row r="68" spans="1:7" x14ac:dyDescent="0.2">
      <c r="A68" s="15">
        <v>44050</v>
      </c>
      <c r="B68" s="112">
        <v>1.2210000000000001</v>
      </c>
      <c r="C68" s="108">
        <f t="shared" si="12"/>
        <v>2.0000000000000018E-3</v>
      </c>
      <c r="D68" s="109" t="str">
        <f t="shared" si="13"/>
        <v>/</v>
      </c>
      <c r="E68" s="109">
        <f ca="1">IF(表2_36716262930389121314151819[[#This Row],[累计净值]]/MAX(INDIRECT("B21:B" &amp; ROW()))-1&lt;E67,表2_36716262930389121314151819[[#This Row],[累计净值]]/MAX(INDIRECT("B21:B" &amp; ROW()))-1,E67)</f>
        <v>-5.3585500394010888E-2</v>
      </c>
      <c r="F68" s="110">
        <f>表2_36716262930389121314151819[[#This Row],[累计净值]]-0.144</f>
        <v>1.0770000000000002</v>
      </c>
      <c r="G68" s="20">
        <f>IF(表2_36716262930389121314151819[[#This Row],[单位净值]]&gt;1.088,0.8*(表2_36716262930389121314151819[[#This Row],[单位净值]]-1.088)/1.088,(表2_36716262930389121314151819[[#This Row],[单位净值]]-1.088)/1.088)</f>
        <v>-1.0110294117646966E-2</v>
      </c>
    </row>
    <row r="69" spans="1:7" x14ac:dyDescent="0.2">
      <c r="A69" s="15">
        <v>44053</v>
      </c>
      <c r="B69" s="112">
        <v>1.222</v>
      </c>
      <c r="C69" s="108">
        <f t="shared" si="12"/>
        <v>9.9999999999988987E-4</v>
      </c>
      <c r="D69" s="109" t="str">
        <f t="shared" si="13"/>
        <v>/</v>
      </c>
      <c r="E69" s="109">
        <f ca="1">IF(表2_36716262930389121314151819[[#This Row],[累计净值]]/MAX(INDIRECT("B21:B" &amp; ROW()))-1&lt;E68,表2_36716262930389121314151819[[#This Row],[累计净值]]/MAX(INDIRECT("B21:B" &amp; ROW()))-1,E68)</f>
        <v>-5.3585500394010888E-2</v>
      </c>
      <c r="F69" s="110">
        <f>表2_36716262930389121314151819[[#This Row],[累计净值]]-0.144</f>
        <v>1.0780000000000001</v>
      </c>
      <c r="G69" s="20">
        <f>IF(表2_36716262930389121314151819[[#This Row],[单位净值]]&gt;1.088,0.8*(表2_36716262930389121314151819[[#This Row],[单位净值]]-1.088)/1.088,(表2_36716262930389121314151819[[#This Row],[单位净值]]-1.088)/1.088)</f>
        <v>-9.1911764705882425E-3</v>
      </c>
    </row>
    <row r="70" spans="1:7" x14ac:dyDescent="0.2">
      <c r="A70" s="15">
        <v>44054</v>
      </c>
      <c r="B70" s="112">
        <v>1.2250000000000001</v>
      </c>
      <c r="C70" s="108">
        <f t="shared" si="12"/>
        <v>3.0000000000001137E-3</v>
      </c>
      <c r="D70" s="109" t="str">
        <f t="shared" si="13"/>
        <v>/</v>
      </c>
      <c r="E70" s="109">
        <f ca="1">IF(表2_36716262930389121314151819[[#This Row],[累计净值]]/MAX(INDIRECT("B21:B" &amp; ROW()))-1&lt;E69,表2_36716262930389121314151819[[#This Row],[累计净值]]/MAX(INDIRECT("B21:B" &amp; ROW()))-1,E69)</f>
        <v>-5.3585500394010888E-2</v>
      </c>
      <c r="F70" s="110">
        <f>表2_36716262930389121314151819[[#This Row],[累计净值]]-0.144</f>
        <v>1.0810000000000002</v>
      </c>
      <c r="G70" s="20">
        <f>IF(表2_36716262930389121314151819[[#This Row],[单位净值]]&gt;1.088,0.8*(表2_36716262930389121314151819[[#This Row],[单位净值]]-1.088)/1.088,(表2_36716262930389121314151819[[#This Row],[单位净值]]-1.088)/1.088)</f>
        <v>-6.4338235294116681E-3</v>
      </c>
    </row>
    <row r="71" spans="1:7" x14ac:dyDescent="0.2">
      <c r="A71" s="15">
        <v>44055</v>
      </c>
      <c r="B71" s="112">
        <v>1.228</v>
      </c>
      <c r="C71" s="108">
        <f t="shared" ref="C71:C76" si="14">IFERROR(B71-B70,0)</f>
        <v>2.9999999999998916E-3</v>
      </c>
      <c r="D71" s="109" t="str">
        <f t="shared" ref="D71:D76" si="15">IF(C71&lt;0,C71,"/")</f>
        <v>/</v>
      </c>
      <c r="E71" s="109">
        <f ca="1">IF(表2_36716262930389121314151819[[#This Row],[累计净值]]/MAX(INDIRECT("B21:B" &amp; ROW()))-1&lt;E70,表2_36716262930389121314151819[[#This Row],[累计净值]]/MAX(INDIRECT("B21:B" &amp; ROW()))-1,E70)</f>
        <v>-5.3585500394010888E-2</v>
      </c>
      <c r="F71" s="110">
        <f>表2_36716262930389121314151819[[#This Row],[累计净值]]-0.144</f>
        <v>1.0840000000000001</v>
      </c>
      <c r="G71" s="20">
        <f>IF(表2_36716262930389121314151819[[#This Row],[单位净值]]&gt;1.088,0.8*(表2_36716262930389121314151819[[#This Row],[单位净值]]-1.088)/1.088,(表2_36716262930389121314151819[[#This Row],[单位净值]]-1.088)/1.088)</f>
        <v>-3.6764705882352971E-3</v>
      </c>
    </row>
    <row r="72" spans="1:7" x14ac:dyDescent="0.2">
      <c r="A72" s="15">
        <v>44056</v>
      </c>
      <c r="B72" s="112">
        <v>1.226</v>
      </c>
      <c r="C72" s="108">
        <f t="shared" si="14"/>
        <v>-2.0000000000000018E-3</v>
      </c>
      <c r="D72" s="109">
        <f t="shared" si="15"/>
        <v>-2.0000000000000018E-3</v>
      </c>
      <c r="E72" s="109">
        <f ca="1">IF(表2_36716262930389121314151819[[#This Row],[累计净值]]/MAX(INDIRECT("B21:B" &amp; ROW()))-1&lt;E71,表2_36716262930389121314151819[[#This Row],[累计净值]]/MAX(INDIRECT("B21:B" &amp; ROW()))-1,E71)</f>
        <v>-5.3585500394010888E-2</v>
      </c>
      <c r="F72" s="110">
        <f>表2_36716262930389121314151819[[#This Row],[累计净值]]-0.144</f>
        <v>1.0820000000000001</v>
      </c>
      <c r="G72" s="20">
        <f>IF(表2_36716262930389121314151819[[#This Row],[单位净值]]&gt;1.088,0.8*(表2_36716262930389121314151819[[#This Row],[单位净值]]-1.088)/1.088,(表2_36716262930389121314151819[[#This Row],[单位净值]]-1.088)/1.088)</f>
        <v>-5.5147058823529459E-3</v>
      </c>
    </row>
    <row r="73" spans="1:7" x14ac:dyDescent="0.2">
      <c r="A73" s="15">
        <v>44057</v>
      </c>
      <c r="B73" s="112">
        <v>1.2250000000000001</v>
      </c>
      <c r="C73" s="108">
        <f t="shared" si="14"/>
        <v>-9.9999999999988987E-4</v>
      </c>
      <c r="D73" s="109">
        <f t="shared" si="15"/>
        <v>-9.9999999999988987E-4</v>
      </c>
      <c r="E73" s="109">
        <f ca="1">IF(表2_36716262930389121314151819[[#This Row],[累计净值]]/MAX(INDIRECT("B21:B" &amp; ROW()))-1&lt;E72,表2_36716262930389121314151819[[#This Row],[累计净值]]/MAX(INDIRECT("B21:B" &amp; ROW()))-1,E72)</f>
        <v>-5.3585500394010888E-2</v>
      </c>
      <c r="F73" s="110">
        <f>表2_36716262930389121314151819[[#This Row],[累计净值]]-0.144</f>
        <v>1.0810000000000002</v>
      </c>
      <c r="G73" s="20">
        <f>IF(表2_36716262930389121314151819[[#This Row],[单位净值]]&gt;1.088,0.8*(表2_36716262930389121314151819[[#This Row],[单位净值]]-1.088)/1.088,(表2_36716262930389121314151819[[#This Row],[单位净值]]-1.088)/1.088)</f>
        <v>-6.4338235294116681E-3</v>
      </c>
    </row>
    <row r="74" spans="1:7" x14ac:dyDescent="0.2">
      <c r="A74" s="15">
        <v>44060</v>
      </c>
      <c r="B74" s="112">
        <v>1.2230000000000001</v>
      </c>
      <c r="C74" s="108">
        <f t="shared" si="14"/>
        <v>-2.0000000000000018E-3</v>
      </c>
      <c r="D74" s="109">
        <f t="shared" si="15"/>
        <v>-2.0000000000000018E-3</v>
      </c>
      <c r="E74" s="109">
        <f ca="1">IF(表2_36716262930389121314151819[[#This Row],[累计净值]]/MAX(INDIRECT("B21:B" &amp; ROW()))-1&lt;E73,表2_36716262930389121314151819[[#This Row],[累计净值]]/MAX(INDIRECT("B21:B" &amp; ROW()))-1,E73)</f>
        <v>-5.3585500394010888E-2</v>
      </c>
      <c r="F74" s="110">
        <f>表2_36716262930389121314151819[[#This Row],[累计净值]]-0.144</f>
        <v>1.0790000000000002</v>
      </c>
      <c r="G74" s="20">
        <f>IF(表2_36716262930389121314151819[[#This Row],[单位净值]]&gt;1.088,0.8*(表2_36716262930389121314151819[[#This Row],[单位净值]]-1.088)/1.088,(表2_36716262930389121314151819[[#This Row],[单位净值]]-1.088)/1.088)</f>
        <v>-8.2720588235293165E-3</v>
      </c>
    </row>
    <row r="75" spans="1:7" x14ac:dyDescent="0.2">
      <c r="A75" s="15">
        <v>44061</v>
      </c>
      <c r="B75" s="112">
        <v>1.226</v>
      </c>
      <c r="C75" s="108">
        <f t="shared" si="14"/>
        <v>2.9999999999998916E-3</v>
      </c>
      <c r="D75" s="109" t="str">
        <f t="shared" si="15"/>
        <v>/</v>
      </c>
      <c r="E75" s="109">
        <f ca="1">IF(表2_36716262930389121314151819[[#This Row],[累计净值]]/MAX(INDIRECT("B21:B" &amp; ROW()))-1&lt;E74,表2_36716262930389121314151819[[#This Row],[累计净值]]/MAX(INDIRECT("B21:B" &amp; ROW()))-1,E74)</f>
        <v>-5.3585500394010888E-2</v>
      </c>
      <c r="F75" s="110">
        <f>表2_36716262930389121314151819[[#This Row],[累计净值]]-0.144</f>
        <v>1.0820000000000001</v>
      </c>
      <c r="G75" s="20">
        <f>IF(表2_36716262930389121314151819[[#This Row],[单位净值]]&gt;1.088,0.8*(表2_36716262930389121314151819[[#This Row],[单位净值]]-1.088)/1.088,(表2_36716262930389121314151819[[#This Row],[单位净值]]-1.088)/1.088)</f>
        <v>-5.5147058823529459E-3</v>
      </c>
    </row>
    <row r="76" spans="1:7" x14ac:dyDescent="0.2">
      <c r="A76" s="15">
        <v>44062</v>
      </c>
      <c r="B76" s="112">
        <v>1.2290000000000001</v>
      </c>
      <c r="C76" s="108">
        <f t="shared" si="14"/>
        <v>3.0000000000001137E-3</v>
      </c>
      <c r="D76" s="109" t="str">
        <f t="shared" si="15"/>
        <v>/</v>
      </c>
      <c r="E76" s="109">
        <f ca="1">IF(表2_36716262930389121314151819[[#This Row],[累计净值]]/MAX(INDIRECT("B21:B" &amp; ROW()))-1&lt;E75,表2_36716262930389121314151819[[#This Row],[累计净值]]/MAX(INDIRECT("B21:B" &amp; ROW()))-1,E75)</f>
        <v>-5.3585500394010888E-2</v>
      </c>
      <c r="F76" s="110">
        <f>表2_36716262930389121314151819[[#This Row],[累计净值]]-0.144</f>
        <v>1.0850000000000002</v>
      </c>
      <c r="G76" s="20">
        <f>IF(表2_36716262930389121314151819[[#This Row],[单位净值]]&gt;1.088,0.8*(表2_36716262930389121314151819[[#This Row],[单位净值]]-1.088)/1.088,(表2_36716262930389121314151819[[#This Row],[单位净值]]-1.088)/1.088)</f>
        <v>-2.7573529411763706E-3</v>
      </c>
    </row>
    <row r="77" spans="1:7" x14ac:dyDescent="0.2">
      <c r="A77" s="15">
        <v>44063</v>
      </c>
      <c r="B77" s="112">
        <v>1.232</v>
      </c>
      <c r="C77" s="108">
        <f t="shared" ref="C77:C83" si="16">IFERROR(B77-B76,0)</f>
        <v>2.9999999999998916E-3</v>
      </c>
      <c r="D77" s="109" t="str">
        <f t="shared" ref="D77:D83" si="17">IF(C77&lt;0,C77,"/")</f>
        <v>/</v>
      </c>
      <c r="E77" s="109">
        <f ca="1">IF(表2_36716262930389121314151819[[#This Row],[累计净值]]/MAX(INDIRECT("B21:B" &amp; ROW()))-1&lt;E76,表2_36716262930389121314151819[[#This Row],[累计净值]]/MAX(INDIRECT("B21:B" &amp; ROW()))-1,E76)</f>
        <v>-5.3585500394010888E-2</v>
      </c>
      <c r="F77" s="110">
        <f>表2_36716262930389121314151819[[#This Row],[累计净值]]-0.144</f>
        <v>1.0880000000000001</v>
      </c>
      <c r="G77" s="20">
        <f>IF(表2_36716262930389121314151819[[#This Row],[单位净值]]&gt;1.088,0.8*(表2_36716262930389121314151819[[#This Row],[单位净值]]-1.088)/1.088,(表2_36716262930389121314151819[[#This Row],[单位净值]]-1.088)/1.088)</f>
        <v>0</v>
      </c>
    </row>
    <row r="78" spans="1:7" x14ac:dyDescent="0.2">
      <c r="A78" s="15">
        <v>44064</v>
      </c>
      <c r="B78" s="112">
        <v>1.2390000000000001</v>
      </c>
      <c r="C78" s="108">
        <f t="shared" si="16"/>
        <v>7.0000000000001172E-3</v>
      </c>
      <c r="D78" s="109" t="str">
        <f t="shared" si="17"/>
        <v>/</v>
      </c>
      <c r="E78" s="109">
        <f ca="1">IF(表2_36716262930389121314151819[[#This Row],[累计净值]]/MAX(INDIRECT("B21:B" &amp; ROW()))-1&lt;E77,表2_36716262930389121314151819[[#This Row],[累计净值]]/MAX(INDIRECT("B21:B" &amp; ROW()))-1,E77)</f>
        <v>-5.3585500394010888E-2</v>
      </c>
      <c r="F78" s="110">
        <f>表2_36716262930389121314151819[[#This Row],[累计净值]]-0.144</f>
        <v>1.0950000000000002</v>
      </c>
      <c r="G78" s="20">
        <f>IF(表2_36716262930389121314151819[[#This Row],[单位净值]]&gt;1.088,0.8*(表2_36716262930389121314151819[[#This Row],[单位净值]]-1.088)/1.088,(表2_36716262930389121314151819[[#This Row],[单位净值]]-1.088)/1.088)</f>
        <v>5.1470588235294984E-3</v>
      </c>
    </row>
    <row r="79" spans="1:7" x14ac:dyDescent="0.2">
      <c r="A79" s="15">
        <v>44067</v>
      </c>
      <c r="B79" s="112">
        <v>1.2310000000000001</v>
      </c>
      <c r="C79" s="108">
        <f t="shared" si="16"/>
        <v>-8.0000000000000071E-3</v>
      </c>
      <c r="D79" s="109">
        <f t="shared" si="17"/>
        <v>-8.0000000000000071E-3</v>
      </c>
      <c r="E79" s="109">
        <f ca="1">IF(表2_36716262930389121314151819[[#This Row],[累计净值]]/MAX(INDIRECT("B21:B" &amp; ROW()))-1&lt;E78,表2_36716262930389121314151819[[#This Row],[累计净值]]/MAX(INDIRECT("B21:B" &amp; ROW()))-1,E78)</f>
        <v>-5.3585500394010888E-2</v>
      </c>
      <c r="F79" s="110">
        <f>表2_36716262930389121314151819[[#This Row],[累计净值]]-0.144</f>
        <v>1.0870000000000002</v>
      </c>
      <c r="G79" s="20">
        <f>IF(表2_36716262930389121314151819[[#This Row],[单位净值]]&gt;1.088,0.8*(表2_36716262930389121314151819[[#This Row],[单位净值]]-1.088)/1.088,(表2_36716262930389121314151819[[#This Row],[单位净值]]-1.088)/1.088)</f>
        <v>-9.1911764705872225E-4</v>
      </c>
    </row>
    <row r="80" spans="1:7" x14ac:dyDescent="0.2">
      <c r="A80" s="15">
        <v>44068</v>
      </c>
      <c r="B80" s="112">
        <v>1.23</v>
      </c>
      <c r="C80" s="108">
        <f t="shared" si="16"/>
        <v>-1.0000000000001119E-3</v>
      </c>
      <c r="D80" s="109">
        <f t="shared" si="17"/>
        <v>-1.0000000000001119E-3</v>
      </c>
      <c r="E80" s="109">
        <f ca="1">IF(表2_36716262930389121314151819[[#This Row],[累计净值]]/MAX(INDIRECT("B21:B" &amp; ROW()))-1&lt;E79,表2_36716262930389121314151819[[#This Row],[累计净值]]/MAX(INDIRECT("B21:B" &amp; ROW()))-1,E79)</f>
        <v>-5.3585500394010888E-2</v>
      </c>
      <c r="F80" s="110">
        <f>表2_36716262930389121314151819[[#This Row],[累计净值]]-0.144</f>
        <v>1.0860000000000001</v>
      </c>
      <c r="G80" s="20">
        <f>IF(表2_36716262930389121314151819[[#This Row],[单位净值]]&gt;1.088,0.8*(表2_36716262930389121314151819[[#This Row],[单位净值]]-1.088)/1.088,(表2_36716262930389121314151819[[#This Row],[单位净值]]-1.088)/1.088)</f>
        <v>-1.8382352941176486E-3</v>
      </c>
    </row>
    <row r="81" spans="1:7" x14ac:dyDescent="0.2">
      <c r="A81" s="15">
        <v>44069</v>
      </c>
      <c r="B81" s="112">
        <v>1.226</v>
      </c>
      <c r="C81" s="108">
        <f t="shared" si="16"/>
        <v>-4.0000000000000036E-3</v>
      </c>
      <c r="D81" s="109">
        <f t="shared" si="17"/>
        <v>-4.0000000000000036E-3</v>
      </c>
      <c r="E81" s="109">
        <f ca="1">IF(表2_36716262930389121314151819[[#This Row],[累计净值]]/MAX(INDIRECT("B21:B" &amp; ROW()))-1&lt;E80,表2_36716262930389121314151819[[#This Row],[累计净值]]/MAX(INDIRECT("B21:B" &amp; ROW()))-1,E80)</f>
        <v>-5.3585500394010888E-2</v>
      </c>
      <c r="F81" s="110">
        <f>表2_36716262930389121314151819[[#This Row],[累计净值]]-0.144</f>
        <v>1.0820000000000001</v>
      </c>
      <c r="G81" s="20">
        <f>IF(表2_36716262930389121314151819[[#This Row],[单位净值]]&gt;1.088,0.8*(表2_36716262930389121314151819[[#This Row],[单位净值]]-1.088)/1.088,(表2_36716262930389121314151819[[#This Row],[单位净值]]-1.088)/1.088)</f>
        <v>-5.5147058823529459E-3</v>
      </c>
    </row>
    <row r="82" spans="1:7" x14ac:dyDescent="0.2">
      <c r="A82" s="15">
        <v>44070</v>
      </c>
      <c r="B82" s="112">
        <v>1.22</v>
      </c>
      <c r="C82" s="108">
        <f t="shared" si="16"/>
        <v>-6.0000000000000053E-3</v>
      </c>
      <c r="D82" s="109">
        <f t="shared" si="17"/>
        <v>-6.0000000000000053E-3</v>
      </c>
      <c r="E82" s="109">
        <f ca="1">IF(表2_36716262930389121314151819[[#This Row],[累计净值]]/MAX(INDIRECT("B21:B" &amp; ROW()))-1&lt;E81,表2_36716262930389121314151819[[#This Row],[累计净值]]/MAX(INDIRECT("B21:B" &amp; ROW()))-1,E81)</f>
        <v>-5.3585500394010888E-2</v>
      </c>
      <c r="F82" s="110">
        <f>表2_36716262930389121314151819[[#This Row],[累计净值]]-0.144</f>
        <v>1.0760000000000001</v>
      </c>
      <c r="G82" s="20">
        <f>IF(表2_36716262930389121314151819[[#This Row],[单位净值]]&gt;1.088,0.8*(表2_36716262930389121314151819[[#This Row],[单位净值]]-1.088)/1.088,(表2_36716262930389121314151819[[#This Row],[单位净值]]-1.088)/1.088)</f>
        <v>-1.1029411764705892E-2</v>
      </c>
    </row>
    <row r="83" spans="1:7" x14ac:dyDescent="0.2">
      <c r="A83" s="15">
        <v>44071</v>
      </c>
      <c r="B83" s="112">
        <v>1.222</v>
      </c>
      <c r="C83" s="108">
        <f t="shared" si="16"/>
        <v>2.0000000000000018E-3</v>
      </c>
      <c r="D83" s="109" t="str">
        <f t="shared" si="17"/>
        <v>/</v>
      </c>
      <c r="E83" s="109">
        <f ca="1">IF(表2_36716262930389121314151819[[#This Row],[累计净值]]/MAX(INDIRECT("B21:B" &amp; ROW()))-1&lt;E82,表2_36716262930389121314151819[[#This Row],[累计净值]]/MAX(INDIRECT("B21:B" &amp; ROW()))-1,E82)</f>
        <v>-5.3585500394010888E-2</v>
      </c>
      <c r="F83" s="110">
        <f>表2_36716262930389121314151819[[#This Row],[累计净值]]-0.144</f>
        <v>1.0780000000000001</v>
      </c>
      <c r="G83" s="20">
        <f>IF(表2_36716262930389121314151819[[#This Row],[单位净值]]&gt;1.088,0.8*(表2_36716262930389121314151819[[#This Row],[单位净值]]-1.088)/1.088,(表2_36716262930389121314151819[[#This Row],[单位净值]]-1.088)/1.088)</f>
        <v>-9.1911764705882425E-3</v>
      </c>
    </row>
    <row r="84" spans="1:7" x14ac:dyDescent="0.2">
      <c r="A84" s="15">
        <v>44074</v>
      </c>
      <c r="B84" s="112">
        <v>1.2270000000000001</v>
      </c>
      <c r="C84" s="108">
        <f t="shared" ref="C84:C90" si="18">IFERROR(B84-B83,0)</f>
        <v>5.0000000000001155E-3</v>
      </c>
      <c r="D84" s="109" t="str">
        <f t="shared" ref="D84:D90" si="19">IF(C84&lt;0,C84,"/")</f>
        <v>/</v>
      </c>
      <c r="E84" s="109">
        <f ca="1">IF(表2_36716262930389121314151819[[#This Row],[累计净值]]/MAX(INDIRECT("B21:B" &amp; ROW()))-1&lt;E83,表2_36716262930389121314151819[[#This Row],[累计净值]]/MAX(INDIRECT("B21:B" &amp; ROW()))-1,E83)</f>
        <v>-5.3585500394010888E-2</v>
      </c>
      <c r="F84" s="110">
        <f>表2_36716262930389121314151819[[#This Row],[累计净值]]-0.144</f>
        <v>1.0830000000000002</v>
      </c>
      <c r="G84" s="20">
        <f>IF(表2_36716262930389121314151819[[#This Row],[单位净值]]&gt;1.088,0.8*(表2_36716262930389121314151819[[#This Row],[单位净值]]-1.088)/1.088,(表2_36716262930389121314151819[[#This Row],[单位净值]]-1.088)/1.088)</f>
        <v>-4.5955882352940198E-3</v>
      </c>
    </row>
    <row r="85" spans="1:7" x14ac:dyDescent="0.2">
      <c r="A85" s="15">
        <v>44075</v>
      </c>
      <c r="B85" s="112">
        <v>1.23</v>
      </c>
      <c r="C85" s="108">
        <f t="shared" si="18"/>
        <v>2.9999999999998916E-3</v>
      </c>
      <c r="D85" s="109" t="str">
        <f t="shared" si="19"/>
        <v>/</v>
      </c>
      <c r="E85" s="109">
        <f ca="1">IF(表2_36716262930389121314151819[[#This Row],[累计净值]]/MAX(INDIRECT("B21:B" &amp; ROW()))-1&lt;E84,表2_36716262930389121314151819[[#This Row],[累计净值]]/MAX(INDIRECT("B21:B" &amp; ROW()))-1,E84)</f>
        <v>-5.3585500394010888E-2</v>
      </c>
      <c r="F85" s="110">
        <f>表2_36716262930389121314151819[[#This Row],[累计净值]]-0.144</f>
        <v>1.0860000000000001</v>
      </c>
      <c r="G85" s="20">
        <f>IF(表2_36716262930389121314151819[[#This Row],[单位净值]]&gt;1.088,0.8*(表2_36716262930389121314151819[[#This Row],[单位净值]]-1.088)/1.088,(表2_36716262930389121314151819[[#This Row],[单位净值]]-1.088)/1.088)</f>
        <v>-1.8382352941176486E-3</v>
      </c>
    </row>
    <row r="86" spans="1:7" x14ac:dyDescent="0.2">
      <c r="A86" s="15">
        <v>44076</v>
      </c>
      <c r="B86" s="112">
        <v>1.24</v>
      </c>
      <c r="C86" s="108">
        <f t="shared" si="18"/>
        <v>1.0000000000000009E-2</v>
      </c>
      <c r="D86" s="109" t="str">
        <f t="shared" si="19"/>
        <v>/</v>
      </c>
      <c r="E86" s="109">
        <f ca="1">IF(表2_36716262930389121314151819[[#This Row],[累计净值]]/MAX(INDIRECT("B21:B" &amp; ROW()))-1&lt;E85,表2_36716262930389121314151819[[#This Row],[累计净值]]/MAX(INDIRECT("B21:B" &amp; ROW()))-1,E85)</f>
        <v>-5.3585500394010888E-2</v>
      </c>
      <c r="F86" s="110">
        <f>表2_36716262930389121314151819[[#This Row],[累计净值]]-0.144</f>
        <v>1.0960000000000001</v>
      </c>
      <c r="G86" s="20">
        <f>IF(表2_36716262930389121314151819[[#This Row],[单位净值]]&gt;1.088,0.8*(表2_36716262930389121314151819[[#This Row],[单位净值]]-1.088)/1.088,(表2_36716262930389121314151819[[#This Row],[单位净值]]-1.088)/1.088)</f>
        <v>5.8823529411764757E-3</v>
      </c>
    </row>
    <row r="87" spans="1:7" x14ac:dyDescent="0.2">
      <c r="A87" s="15">
        <v>44077</v>
      </c>
      <c r="B87" s="112">
        <v>1.256</v>
      </c>
      <c r="C87" s="108">
        <f t="shared" si="18"/>
        <v>1.6000000000000014E-2</v>
      </c>
      <c r="D87" s="109" t="str">
        <f t="shared" si="19"/>
        <v>/</v>
      </c>
      <c r="E87" s="109">
        <f ca="1">IF(表2_36716262930389121314151819[[#This Row],[累计净值]]/MAX(INDIRECT("B21:B" &amp; ROW()))-1&lt;E86,表2_36716262930389121314151819[[#This Row],[累计净值]]/MAX(INDIRECT("B21:B" &amp; ROW()))-1,E86)</f>
        <v>-5.3585500394010888E-2</v>
      </c>
      <c r="F87" s="110">
        <f>表2_36716262930389121314151819[[#This Row],[累计净值]]-0.144</f>
        <v>1.1120000000000001</v>
      </c>
      <c r="G87" s="20">
        <f>IF(表2_36716262930389121314151819[[#This Row],[单位净值]]&gt;1.088,0.8*(表2_36716262930389121314151819[[#This Row],[单位净值]]-1.088)/1.088,(表2_36716262930389121314151819[[#This Row],[单位净值]]-1.088)/1.088)</f>
        <v>1.7647058823529429E-2</v>
      </c>
    </row>
    <row r="88" spans="1:7" x14ac:dyDescent="0.2">
      <c r="A88" s="15">
        <v>44078</v>
      </c>
      <c r="B88" s="112">
        <v>1.2589999999999999</v>
      </c>
      <c r="C88" s="108">
        <f t="shared" si="18"/>
        <v>2.9999999999998916E-3</v>
      </c>
      <c r="D88" s="109" t="str">
        <f t="shared" si="19"/>
        <v>/</v>
      </c>
      <c r="E88" s="109">
        <f ca="1">IF(表2_36716262930389121314151819[[#This Row],[累计净值]]/MAX(INDIRECT("B21:B" &amp; ROW()))-1&lt;E87,表2_36716262930389121314151819[[#This Row],[累计净值]]/MAX(INDIRECT("B21:B" &amp; ROW()))-1,E87)</f>
        <v>-5.3585500394010888E-2</v>
      </c>
      <c r="F88" s="110">
        <f>表2_36716262930389121314151819[[#This Row],[累计净值]]-0.144</f>
        <v>1.115</v>
      </c>
      <c r="G88" s="20">
        <f>IF(表2_36716262930389121314151819[[#This Row],[单位净值]]&gt;1.088,0.8*(表2_36716262930389121314151819[[#This Row],[单位净值]]-1.088)/1.088,(表2_36716262930389121314151819[[#This Row],[单位净值]]-1.088)/1.088)</f>
        <v>1.9852941176470525E-2</v>
      </c>
    </row>
    <row r="89" spans="1:7" x14ac:dyDescent="0.2">
      <c r="A89" s="15">
        <v>44081</v>
      </c>
      <c r="B89" s="112">
        <v>1.262</v>
      </c>
      <c r="C89" s="108">
        <f t="shared" si="18"/>
        <v>3.0000000000001137E-3</v>
      </c>
      <c r="D89" s="109" t="str">
        <f t="shared" si="19"/>
        <v>/</v>
      </c>
      <c r="E89" s="109">
        <f ca="1">IF(表2_36716262930389121314151819[[#This Row],[累计净值]]/MAX(INDIRECT("B21:B" &amp; ROW()))-1&lt;E88,表2_36716262930389121314151819[[#This Row],[累计净值]]/MAX(INDIRECT("B21:B" &amp; ROW()))-1,E88)</f>
        <v>-5.3585500394010888E-2</v>
      </c>
      <c r="F89" s="110">
        <f>表2_36716262930389121314151819[[#This Row],[累计净值]]-0.144</f>
        <v>1.1180000000000001</v>
      </c>
      <c r="G89" s="20">
        <f>IF(表2_36716262930389121314151819[[#This Row],[单位净值]]&gt;1.088,0.8*(表2_36716262930389121314151819[[#This Row],[单位净值]]-1.088)/1.088,(表2_36716262930389121314151819[[#This Row],[单位净值]]-1.088)/1.088)</f>
        <v>2.2058823529411783E-2</v>
      </c>
    </row>
    <row r="90" spans="1:7" x14ac:dyDescent="0.2">
      <c r="A90" s="15">
        <v>44082</v>
      </c>
      <c r="B90" s="112">
        <v>1.2649999999999999</v>
      </c>
      <c r="C90" s="108">
        <f t="shared" si="18"/>
        <v>2.9999999999998916E-3</v>
      </c>
      <c r="D90" s="109" t="str">
        <f t="shared" si="19"/>
        <v>/</v>
      </c>
      <c r="E90" s="109">
        <f ca="1">IF(表2_36716262930389121314151819[[#This Row],[累计净值]]/MAX(INDIRECT("B21:B" &amp; ROW()))-1&lt;E89,表2_36716262930389121314151819[[#This Row],[累计净值]]/MAX(INDIRECT("B21:B" &amp; ROW()))-1,E89)</f>
        <v>-5.3585500394010888E-2</v>
      </c>
      <c r="F90" s="110">
        <f>表2_36716262930389121314151819[[#This Row],[累计净值]]-0.144</f>
        <v>1.121</v>
      </c>
      <c r="G90" s="20">
        <f>IF(表2_36716262930389121314151819[[#This Row],[单位净值]]&gt;1.088,0.8*(表2_36716262930389121314151819[[#This Row],[单位净值]]-1.088)/1.088,(表2_36716262930389121314151819[[#This Row],[单位净值]]-1.088)/1.088)</f>
        <v>2.4264705882352883E-2</v>
      </c>
    </row>
    <row r="91" spans="1:7" x14ac:dyDescent="0.2">
      <c r="A91" s="15">
        <v>44083</v>
      </c>
      <c r="B91" s="112">
        <v>1.3</v>
      </c>
      <c r="C91" s="108">
        <f t="shared" ref="C91:C96" si="20">IFERROR(B91-B90,0)</f>
        <v>3.5000000000000142E-2</v>
      </c>
      <c r="D91" s="109" t="str">
        <f t="shared" ref="D91:D96" si="21">IF(C91&lt;0,C91,"/")</f>
        <v>/</v>
      </c>
      <c r="E91" s="109">
        <f ca="1">IF(表2_36716262930389121314151819[[#This Row],[累计净值]]/MAX(INDIRECT("B21:B" &amp; ROW()))-1&lt;E90,表2_36716262930389121314151819[[#This Row],[累计净值]]/MAX(INDIRECT("B21:B" &amp; ROW()))-1,E90)</f>
        <v>-5.3585500394010888E-2</v>
      </c>
      <c r="F91" s="110">
        <f>表2_36716262930389121314151819[[#This Row],[累计净值]]-0.144</f>
        <v>1.1560000000000001</v>
      </c>
      <c r="G91" s="20">
        <f>IF(表2_36716262930389121314151819[[#This Row],[单位净值]]&gt;1.088,0.8*(表2_36716262930389121314151819[[#This Row],[单位净值]]-1.088)/1.088,(表2_36716262930389121314151819[[#This Row],[单位净值]]-1.088)/1.088)</f>
        <v>5.0000000000000044E-2</v>
      </c>
    </row>
    <row r="92" spans="1:7" x14ac:dyDescent="0.2">
      <c r="A92" s="15">
        <v>44084</v>
      </c>
      <c r="B92" s="112">
        <v>1.3029999999999999</v>
      </c>
      <c r="C92" s="108">
        <f t="shared" si="20"/>
        <v>2.9999999999998916E-3</v>
      </c>
      <c r="D92" s="109" t="str">
        <f t="shared" si="21"/>
        <v>/</v>
      </c>
      <c r="E92" s="109">
        <f ca="1">IF(表2_36716262930389121314151819[[#This Row],[累计净值]]/MAX(INDIRECT("B21:B" &amp; ROW()))-1&lt;E91,表2_36716262930389121314151819[[#This Row],[累计净值]]/MAX(INDIRECT("B21:B" &amp; ROW()))-1,E91)</f>
        <v>-5.3585500394010888E-2</v>
      </c>
      <c r="F92" s="110">
        <f>表2_36716262930389121314151819[[#This Row],[累计净值]]-0.144</f>
        <v>1.159</v>
      </c>
      <c r="G92" s="20">
        <f>IF(表2_36716262930389121314151819[[#This Row],[单位净值]]&gt;1.088,0.8*(表2_36716262930389121314151819[[#This Row],[单位净值]]-1.088)/1.088,(表2_36716262930389121314151819[[#This Row],[单位净值]]-1.088)/1.088)</f>
        <v>5.2205882352941137E-2</v>
      </c>
    </row>
    <row r="93" spans="1:7" x14ac:dyDescent="0.2">
      <c r="A93" s="15">
        <v>44085</v>
      </c>
      <c r="B93" s="112">
        <v>1.2989999999999999</v>
      </c>
      <c r="C93" s="108">
        <f t="shared" si="20"/>
        <v>-4.0000000000000036E-3</v>
      </c>
      <c r="D93" s="109">
        <f t="shared" si="21"/>
        <v>-4.0000000000000036E-3</v>
      </c>
      <c r="E93" s="109">
        <f ca="1">IF(表2_36716262930389121314151819[[#This Row],[累计净值]]/MAX(INDIRECT("B21:B" &amp; ROW()))-1&lt;E92,表2_36716262930389121314151819[[#This Row],[累计净值]]/MAX(INDIRECT("B21:B" &amp; ROW()))-1,E92)</f>
        <v>-5.3585500394010888E-2</v>
      </c>
      <c r="F93" s="110">
        <f>表2_36716262930389121314151819[[#This Row],[累计净值]]-0.144</f>
        <v>1.155</v>
      </c>
      <c r="G93" s="20">
        <f>IF(表2_36716262930389121314151819[[#This Row],[单位净值]]&gt;1.088,0.8*(表2_36716262930389121314151819[[#This Row],[单位净值]]-1.088)/1.088,(表2_36716262930389121314151819[[#This Row],[单位净值]]-1.088)/1.088)</f>
        <v>4.9264705882352898E-2</v>
      </c>
    </row>
    <row r="94" spans="1:7" x14ac:dyDescent="0.2">
      <c r="A94" s="15">
        <v>44088</v>
      </c>
      <c r="B94" s="112">
        <v>1.3</v>
      </c>
      <c r="C94" s="108">
        <f t="shared" si="20"/>
        <v>1.0000000000001119E-3</v>
      </c>
      <c r="D94" s="109" t="str">
        <f t="shared" si="21"/>
        <v>/</v>
      </c>
      <c r="E94" s="109">
        <f ca="1">IF(表2_36716262930389121314151819[[#This Row],[累计净值]]/MAX(INDIRECT("B21:B" &amp; ROW()))-1&lt;E93,表2_36716262930389121314151819[[#This Row],[累计净值]]/MAX(INDIRECT("B21:B" &amp; ROW()))-1,E93)</f>
        <v>-5.3585500394010888E-2</v>
      </c>
      <c r="F94" s="110">
        <f>表2_36716262930389121314151819[[#This Row],[累计净值]]-0.144</f>
        <v>1.1560000000000001</v>
      </c>
      <c r="G94" s="20">
        <f>IF(表2_36716262930389121314151819[[#This Row],[单位净值]]&gt;1.088,0.8*(表2_36716262930389121314151819[[#This Row],[单位净值]]-1.088)/1.088,(表2_36716262930389121314151819[[#This Row],[单位净值]]-1.088)/1.088)</f>
        <v>5.0000000000000044E-2</v>
      </c>
    </row>
    <row r="95" spans="1:7" x14ac:dyDescent="0.2">
      <c r="A95" s="15">
        <v>44089</v>
      </c>
      <c r="B95" s="112">
        <v>1.2989999999999999</v>
      </c>
      <c r="C95" s="108">
        <f t="shared" si="20"/>
        <v>-1.0000000000001119E-3</v>
      </c>
      <c r="D95" s="109">
        <f t="shared" si="21"/>
        <v>-1.0000000000001119E-3</v>
      </c>
      <c r="E95" s="109">
        <f ca="1">IF(表2_36716262930389121314151819[[#This Row],[累计净值]]/MAX(INDIRECT("B21:B" &amp; ROW()))-1&lt;E94,表2_36716262930389121314151819[[#This Row],[累计净值]]/MAX(INDIRECT("B21:B" &amp; ROW()))-1,E94)</f>
        <v>-5.3585500394010888E-2</v>
      </c>
      <c r="F95" s="110">
        <f>表2_36716262930389121314151819[[#This Row],[累计净值]]-0.144</f>
        <v>1.155</v>
      </c>
      <c r="G95" s="20">
        <f>IF(表2_36716262930389121314151819[[#This Row],[单位净值]]&gt;1.088,0.8*(表2_36716262930389121314151819[[#This Row],[单位净值]]-1.088)/1.088,(表2_36716262930389121314151819[[#This Row],[单位净值]]-1.088)/1.088)</f>
        <v>4.9264705882352898E-2</v>
      </c>
    </row>
    <row r="96" spans="1:7" x14ac:dyDescent="0.2">
      <c r="A96" s="15">
        <v>44090</v>
      </c>
      <c r="B96" s="112">
        <v>1.28</v>
      </c>
      <c r="C96" s="108">
        <f t="shared" si="20"/>
        <v>-1.8999999999999906E-2</v>
      </c>
      <c r="D96" s="109">
        <f t="shared" si="21"/>
        <v>-1.8999999999999906E-2</v>
      </c>
      <c r="E96" s="109">
        <f ca="1">IF(表2_36716262930389121314151819[[#This Row],[累计净值]]/MAX(INDIRECT("B21:B" &amp; ROW()))-1&lt;E95,表2_36716262930389121314151819[[#This Row],[累计净值]]/MAX(INDIRECT("B21:B" &amp; ROW()))-1,E95)</f>
        <v>-5.3585500394010888E-2</v>
      </c>
      <c r="F96" s="110">
        <f>表2_36716262930389121314151819[[#This Row],[累计净值]]-0.144</f>
        <v>1.1360000000000001</v>
      </c>
      <c r="G96" s="20">
        <f>IF(表2_36716262930389121314151819[[#This Row],[单位净值]]&gt;1.088,0.8*(表2_36716262930389121314151819[[#This Row],[单位净值]]-1.088)/1.088,(表2_36716262930389121314151819[[#This Row],[单位净值]]-1.088)/1.088)</f>
        <v>3.5294117647058858E-2</v>
      </c>
    </row>
    <row r="97" spans="1:7" x14ac:dyDescent="0.2">
      <c r="A97" s="15">
        <v>44091</v>
      </c>
      <c r="B97" s="112">
        <v>1.2689999999999999</v>
      </c>
      <c r="C97" s="108">
        <f t="shared" ref="C97:C102" si="22">IFERROR(B97-B96,0)</f>
        <v>-1.1000000000000121E-2</v>
      </c>
      <c r="D97" s="109">
        <f t="shared" ref="D97:D102" si="23">IF(C97&lt;0,C97,"/")</f>
        <v>-1.1000000000000121E-2</v>
      </c>
      <c r="E97" s="109">
        <f ca="1">IF(表2_36716262930389121314151819[[#This Row],[累计净值]]/MAX(INDIRECT("B21:B" &amp; ROW()))-1&lt;E96,表2_36716262930389121314151819[[#This Row],[累计净值]]/MAX(INDIRECT("B21:B" &amp; ROW()))-1,E96)</f>
        <v>-5.3585500394010888E-2</v>
      </c>
      <c r="F97" s="110">
        <f>表2_36716262930389121314151819[[#This Row],[累计净值]]-0.144</f>
        <v>1.125</v>
      </c>
      <c r="G97" s="20">
        <f>IF(表2_36716262930389121314151819[[#This Row],[单位净值]]&gt;1.088,0.8*(表2_36716262930389121314151819[[#This Row],[单位净值]]-1.088)/1.088,(表2_36716262930389121314151819[[#This Row],[单位净值]]-1.088)/1.088)</f>
        <v>2.7205882352941118E-2</v>
      </c>
    </row>
    <row r="98" spans="1:7" x14ac:dyDescent="0.2">
      <c r="A98" s="15">
        <v>44092</v>
      </c>
      <c r="B98" s="112">
        <v>1.2629999999999999</v>
      </c>
      <c r="C98" s="108">
        <f t="shared" si="22"/>
        <v>-6.0000000000000053E-3</v>
      </c>
      <c r="D98" s="109">
        <f t="shared" si="23"/>
        <v>-6.0000000000000053E-3</v>
      </c>
      <c r="E98" s="109">
        <f ca="1">IF(表2_36716262930389121314151819[[#This Row],[累计净值]]/MAX(INDIRECT("B21:B" &amp; ROW()))-1&lt;E97,表2_36716262930389121314151819[[#This Row],[累计净值]]/MAX(INDIRECT("B21:B" &amp; ROW()))-1,E97)</f>
        <v>-5.3585500394010888E-2</v>
      </c>
      <c r="F98" s="110">
        <f>表2_36716262930389121314151819[[#This Row],[累计净值]]-0.144</f>
        <v>1.119</v>
      </c>
      <c r="G98" s="20">
        <f>IF(表2_36716262930389121314151819[[#This Row],[单位净值]]&gt;1.088,0.8*(表2_36716262930389121314151819[[#This Row],[单位净值]]-1.088)/1.088,(表2_36716262930389121314151819[[#This Row],[单位净值]]-1.088)/1.088)</f>
        <v>2.279411764705876E-2</v>
      </c>
    </row>
    <row r="99" spans="1:7" x14ac:dyDescent="0.2">
      <c r="A99" s="15">
        <v>44095</v>
      </c>
      <c r="B99" s="112">
        <v>1.256</v>
      </c>
      <c r="C99" s="108">
        <f t="shared" si="22"/>
        <v>-6.9999999999998952E-3</v>
      </c>
      <c r="D99" s="109">
        <f t="shared" si="23"/>
        <v>-6.9999999999998952E-3</v>
      </c>
      <c r="E99" s="109">
        <f ca="1">IF(表2_36716262930389121314151819[[#This Row],[累计净值]]/MAX(INDIRECT("B21:B" &amp; ROW()))-1&lt;E98,表2_36716262930389121314151819[[#This Row],[累计净值]]/MAX(INDIRECT("B21:B" &amp; ROW()))-1,E98)</f>
        <v>-5.3585500394010888E-2</v>
      </c>
      <c r="F99" s="110">
        <f>表2_36716262930389121314151819[[#This Row],[累计净值]]-0.144</f>
        <v>1.1120000000000001</v>
      </c>
      <c r="G99" s="20">
        <f>IF(表2_36716262930389121314151819[[#This Row],[单位净值]]&gt;1.088,0.8*(表2_36716262930389121314151819[[#This Row],[单位净值]]-1.088)/1.088,(表2_36716262930389121314151819[[#This Row],[单位净值]]-1.088)/1.088)</f>
        <v>1.7647058823529429E-2</v>
      </c>
    </row>
    <row r="100" spans="1:7" x14ac:dyDescent="0.2">
      <c r="A100" s="15">
        <v>44096</v>
      </c>
      <c r="B100" s="112">
        <v>1.266</v>
      </c>
      <c r="C100" s="108">
        <f t="shared" si="22"/>
        <v>1.0000000000000009E-2</v>
      </c>
      <c r="D100" s="109" t="str">
        <f t="shared" si="23"/>
        <v>/</v>
      </c>
      <c r="E100" s="109">
        <f ca="1">IF(表2_36716262930389121314151819[[#This Row],[累计净值]]/MAX(INDIRECT("B21:B" &amp; ROW()))-1&lt;E99,表2_36716262930389121314151819[[#This Row],[累计净值]]/MAX(INDIRECT("B21:B" &amp; ROW()))-1,E99)</f>
        <v>-5.3585500394010888E-2</v>
      </c>
      <c r="F100" s="110">
        <f>表2_36716262930389121314151819[[#This Row],[累计净值]]-0.144</f>
        <v>1.1220000000000001</v>
      </c>
      <c r="G100" s="20">
        <f>IF(表2_36716262930389121314151819[[#This Row],[单位净值]]&gt;1.088,0.8*(表2_36716262930389121314151819[[#This Row],[单位净值]]-1.088)/1.088,(表2_36716262930389121314151819[[#This Row],[单位净值]]-1.088)/1.088)</f>
        <v>2.5000000000000022E-2</v>
      </c>
    </row>
    <row r="101" spans="1:7" x14ac:dyDescent="0.2">
      <c r="A101" s="15">
        <v>44097</v>
      </c>
      <c r="B101" s="112">
        <v>1.2709999999999999</v>
      </c>
      <c r="C101" s="108">
        <f t="shared" si="22"/>
        <v>4.9999999999998934E-3</v>
      </c>
      <c r="D101" s="109" t="str">
        <f t="shared" si="23"/>
        <v>/</v>
      </c>
      <c r="E101" s="109">
        <f ca="1">IF(表2_36716262930389121314151819[[#This Row],[累计净值]]/MAX(INDIRECT("B21:B" &amp; ROW()))-1&lt;E100,表2_36716262930389121314151819[[#This Row],[累计净值]]/MAX(INDIRECT("B21:B" &amp; ROW()))-1,E100)</f>
        <v>-5.3585500394010888E-2</v>
      </c>
      <c r="F101" s="110">
        <f>表2_36716262930389121314151819[[#This Row],[累计净值]]-0.144</f>
        <v>1.127</v>
      </c>
      <c r="G101" s="20">
        <f>IF(表2_36716262930389121314151819[[#This Row],[单位净值]]&gt;1.088,0.8*(表2_36716262930389121314151819[[#This Row],[单位净值]]-1.088)/1.088,(表2_36716262930389121314151819[[#This Row],[单位净值]]-1.088)/1.088)</f>
        <v>2.8676470588235237E-2</v>
      </c>
    </row>
    <row r="102" spans="1:7" x14ac:dyDescent="0.2">
      <c r="A102" s="15">
        <v>44098</v>
      </c>
      <c r="B102" s="112">
        <v>1.2749999999999999</v>
      </c>
      <c r="C102" s="108">
        <f t="shared" si="22"/>
        <v>4.0000000000000036E-3</v>
      </c>
      <c r="D102" s="109" t="str">
        <f t="shared" si="23"/>
        <v>/</v>
      </c>
      <c r="E102" s="109">
        <f ca="1">IF(表2_36716262930389121314151819[[#This Row],[累计净值]]/MAX(INDIRECT("B21:B" &amp; ROW()))-1&lt;E101,表2_36716262930389121314151819[[#This Row],[累计净值]]/MAX(INDIRECT("B21:B" &amp; ROW()))-1,E101)</f>
        <v>-5.3585500394010888E-2</v>
      </c>
      <c r="F102" s="110">
        <f>表2_36716262930389121314151819[[#This Row],[累计净值]]-0.144</f>
        <v>1.131</v>
      </c>
      <c r="G102" s="20">
        <f>IF(表2_36716262930389121314151819[[#This Row],[单位净值]]&gt;1.088,0.8*(表2_36716262930389121314151819[[#This Row],[单位净值]]-1.088)/1.088,(表2_36716262930389121314151819[[#This Row],[单位净值]]-1.088)/1.088)</f>
        <v>3.161764705882348E-2</v>
      </c>
    </row>
    <row r="103" spans="1:7" x14ac:dyDescent="0.2">
      <c r="A103" s="15">
        <v>44099</v>
      </c>
      <c r="B103" s="112">
        <v>1.2689999999999999</v>
      </c>
      <c r="C103" s="108">
        <f>IFERROR(B103-B102,0)</f>
        <v>-6.0000000000000053E-3</v>
      </c>
      <c r="D103" s="109">
        <f>IF(C103&lt;0,C103,"/")</f>
        <v>-6.0000000000000053E-3</v>
      </c>
      <c r="E103" s="109">
        <f ca="1">IF(表2_36716262930389121314151819[[#This Row],[累计净值]]/MAX(INDIRECT("B21:B" &amp; ROW()))-1&lt;E102,表2_36716262930389121314151819[[#This Row],[累计净值]]/MAX(INDIRECT("B21:B" &amp; ROW()))-1,E102)</f>
        <v>-5.3585500394010888E-2</v>
      </c>
      <c r="F103" s="110">
        <f>表2_36716262930389121314151819[[#This Row],[累计净值]]-0.144</f>
        <v>1.125</v>
      </c>
      <c r="G103" s="20">
        <f>IF(表2_36716262930389121314151819[[#This Row],[单位净值]]&gt;1.088,0.8*(表2_36716262930389121314151819[[#This Row],[单位净值]]-1.088)/1.088,(表2_36716262930389121314151819[[#This Row],[单位净值]]-1.088)/1.088)</f>
        <v>2.7205882352941118E-2</v>
      </c>
    </row>
    <row r="104" spans="1:7" x14ac:dyDescent="0.2">
      <c r="A104" s="15">
        <v>44102</v>
      </c>
      <c r="B104" s="112">
        <v>1.2609999999999999</v>
      </c>
      <c r="C104" s="108">
        <f>IFERROR(B104-B103,0)</f>
        <v>-8.0000000000000071E-3</v>
      </c>
      <c r="D104" s="109">
        <f>IF(C104&lt;0,C104,"/")</f>
        <v>-8.0000000000000071E-3</v>
      </c>
      <c r="E104" s="109">
        <f ca="1">IF(表2_36716262930389121314151819[[#This Row],[累计净值]]/MAX(INDIRECT("B21:B" &amp; ROW()))-1&lt;E103,表2_36716262930389121314151819[[#This Row],[累计净值]]/MAX(INDIRECT("B21:B" &amp; ROW()))-1,E103)</f>
        <v>-5.3585500394010888E-2</v>
      </c>
      <c r="F104" s="110">
        <f>表2_36716262930389121314151819[[#This Row],[累计净值]]-0.144</f>
        <v>1.117</v>
      </c>
      <c r="G104" s="20">
        <f>IF(表2_36716262930389121314151819[[#This Row],[单位净值]]&gt;1.088,0.8*(表2_36716262930389121314151819[[#This Row],[单位净值]]-1.088)/1.088,(表2_36716262930389121314151819[[#This Row],[单位净值]]-1.088)/1.088)</f>
        <v>2.1323529411764644E-2</v>
      </c>
    </row>
    <row r="105" spans="1:7" x14ac:dyDescent="0.2">
      <c r="A105" s="15">
        <v>44103</v>
      </c>
      <c r="B105" s="112">
        <v>1.264</v>
      </c>
      <c r="C105" s="108">
        <f t="shared" ref="C105:C106" si="24">IFERROR(B105-B104,0)</f>
        <v>3.0000000000001137E-3</v>
      </c>
      <c r="D105" s="109" t="str">
        <f t="shared" ref="D105:D106" si="25">IF(C105&lt;0,C105,"/")</f>
        <v>/</v>
      </c>
      <c r="E105" s="109">
        <f ca="1">IF(表2_36716262930389121314151819[[#This Row],[累计净值]]/MAX(INDIRECT("B21:B" &amp; ROW()))-1&lt;E104,表2_36716262930389121314151819[[#This Row],[累计净值]]/MAX(INDIRECT("B21:B" &amp; ROW()))-1,E104)</f>
        <v>-5.3585500394010888E-2</v>
      </c>
      <c r="F105" s="110">
        <f>表2_36716262930389121314151819[[#This Row],[累计净值]]-0.144</f>
        <v>1.1200000000000001</v>
      </c>
      <c r="G105" s="20">
        <f>IF(表2_36716262930389121314151819[[#This Row],[单位净值]]&gt;1.088,0.8*(表2_36716262930389121314151819[[#This Row],[单位净值]]-1.088)/1.088,(表2_36716262930389121314151819[[#This Row],[单位净值]]-1.088)/1.088)</f>
        <v>2.3529411764705903E-2</v>
      </c>
    </row>
    <row r="106" spans="1:7" x14ac:dyDescent="0.2">
      <c r="A106" s="15">
        <v>44104</v>
      </c>
      <c r="B106" s="112">
        <v>1.2689999999999999</v>
      </c>
      <c r="C106" s="108">
        <f t="shared" si="24"/>
        <v>4.9999999999998934E-3</v>
      </c>
      <c r="D106" s="109" t="str">
        <f t="shared" si="25"/>
        <v>/</v>
      </c>
      <c r="E106" s="109">
        <f ca="1">IF(表2_36716262930389121314151819[[#This Row],[累计净值]]/MAX(INDIRECT("B21:B" &amp; ROW()))-1&lt;E105,表2_36716262930389121314151819[[#This Row],[累计净值]]/MAX(INDIRECT("B21:B" &amp; ROW()))-1,E105)</f>
        <v>-5.3585500394010888E-2</v>
      </c>
      <c r="F106" s="110">
        <f>表2_36716262930389121314151819[[#This Row],[累计净值]]-0.144</f>
        <v>1.125</v>
      </c>
      <c r="G106" s="20">
        <f>IF(表2_36716262930389121314151819[[#This Row],[单位净值]]&gt;1.088,0.8*(表2_36716262930389121314151819[[#This Row],[单位净值]]-1.088)/1.088,(表2_36716262930389121314151819[[#This Row],[单位净值]]-1.088)/1.088)</f>
        <v>2.7205882352941118E-2</v>
      </c>
    </row>
    <row r="107" spans="1:7" x14ac:dyDescent="0.2">
      <c r="A107" s="15">
        <v>44113</v>
      </c>
      <c r="B107" s="112">
        <v>1.258</v>
      </c>
      <c r="C107" s="108">
        <f t="shared" ref="C107:C112" si="26">IFERROR(B107-B106,0)</f>
        <v>-1.0999999999999899E-2</v>
      </c>
      <c r="D107" s="109">
        <f t="shared" ref="D107:D112" si="27">IF(C107&lt;0,C107,"/")</f>
        <v>-1.0999999999999899E-2</v>
      </c>
      <c r="E107" s="109">
        <f ca="1">IF(表2_36716262930389121314151819[[#This Row],[累计净值]]/MAX(INDIRECT("B21:B" &amp; ROW()))-1&lt;E106,表2_36716262930389121314151819[[#This Row],[累计净值]]/MAX(INDIRECT("B21:B" &amp; ROW()))-1,E106)</f>
        <v>-5.3585500394010888E-2</v>
      </c>
      <c r="F107" s="110">
        <f>表2_36716262930389121314151819[[#This Row],[累计净值]]-0.144</f>
        <v>1.1140000000000001</v>
      </c>
      <c r="G107" s="20">
        <f>IF(表2_36716262930389121314151819[[#This Row],[单位净值]]&gt;1.088,0.8*(表2_36716262930389121314151819[[#This Row],[单位净值]]-1.088)/1.088,(表2_36716262930389121314151819[[#This Row],[单位净值]]-1.088)/1.088)</f>
        <v>1.9117647058823545E-2</v>
      </c>
    </row>
    <row r="108" spans="1:7" x14ac:dyDescent="0.2">
      <c r="A108" s="15">
        <v>44116</v>
      </c>
      <c r="B108" s="112">
        <v>1.274</v>
      </c>
      <c r="C108" s="108">
        <f t="shared" si="26"/>
        <v>1.6000000000000014E-2</v>
      </c>
      <c r="D108" s="109" t="str">
        <f t="shared" si="27"/>
        <v>/</v>
      </c>
      <c r="E108" s="109">
        <f ca="1">IF(表2_36716262930389121314151819[[#This Row],[累计净值]]/MAX(INDIRECT("B21:B" &amp; ROW()))-1&lt;E107,表2_36716262930389121314151819[[#This Row],[累计净值]]/MAX(INDIRECT("B21:B" &amp; ROW()))-1,E107)</f>
        <v>-5.3585500394010888E-2</v>
      </c>
      <c r="F108" s="110">
        <f>表2_36716262930389121314151819[[#This Row],[累计净值]]-0.144</f>
        <v>1.1300000000000001</v>
      </c>
      <c r="G108" s="20">
        <f>IF(表2_36716262930389121314151819[[#This Row],[单位净值]]&gt;1.088,0.8*(表2_36716262930389121314151819[[#This Row],[单位净值]]-1.088)/1.088,(表2_36716262930389121314151819[[#This Row],[单位净值]]-1.088)/1.088)</f>
        <v>3.08823529411765E-2</v>
      </c>
    </row>
    <row r="109" spans="1:7" x14ac:dyDescent="0.2">
      <c r="A109" s="15">
        <v>44117</v>
      </c>
      <c r="B109" s="112">
        <v>1.2709999999999999</v>
      </c>
      <c r="C109" s="108">
        <f t="shared" si="26"/>
        <v>-3.0000000000001137E-3</v>
      </c>
      <c r="D109" s="109">
        <f t="shared" si="27"/>
        <v>-3.0000000000001137E-3</v>
      </c>
      <c r="E109" s="109">
        <f ca="1">IF(表2_36716262930389121314151819[[#This Row],[累计净值]]/MAX(INDIRECT("B21:B" &amp; ROW()))-1&lt;E108,表2_36716262930389121314151819[[#This Row],[累计净值]]/MAX(INDIRECT("B21:B" &amp; ROW()))-1,E108)</f>
        <v>-5.3585500394010888E-2</v>
      </c>
      <c r="F109" s="110">
        <f>表2_36716262930389121314151819[[#This Row],[累计净值]]-0.144</f>
        <v>1.127</v>
      </c>
      <c r="G109" s="20">
        <f>IF(表2_36716262930389121314151819[[#This Row],[单位净值]]&gt;1.088,0.8*(表2_36716262930389121314151819[[#This Row],[单位净值]]-1.088)/1.088,(表2_36716262930389121314151819[[#This Row],[单位净值]]-1.088)/1.088)</f>
        <v>2.8676470588235237E-2</v>
      </c>
    </row>
    <row r="110" spans="1:7" x14ac:dyDescent="0.2">
      <c r="A110" s="15">
        <v>44118</v>
      </c>
      <c r="B110" s="112">
        <v>1.2689999999999999</v>
      </c>
      <c r="C110" s="108">
        <f t="shared" si="26"/>
        <v>-2.0000000000000018E-3</v>
      </c>
      <c r="D110" s="109">
        <f t="shared" si="27"/>
        <v>-2.0000000000000018E-3</v>
      </c>
      <c r="E110" s="109">
        <f ca="1">IF(表2_36716262930389121314151819[[#This Row],[累计净值]]/MAX(INDIRECT("B21:B" &amp; ROW()))-1&lt;E109,表2_36716262930389121314151819[[#This Row],[累计净值]]/MAX(INDIRECT("B21:B" &amp; ROW()))-1,E109)</f>
        <v>-5.3585500394010888E-2</v>
      </c>
      <c r="F110" s="110">
        <f>表2_36716262930389121314151819[[#This Row],[累计净值]]-0.144</f>
        <v>1.125</v>
      </c>
      <c r="G110" s="20">
        <f>IF(表2_36716262930389121314151819[[#This Row],[单位净值]]&gt;1.088,0.8*(表2_36716262930389121314151819[[#This Row],[单位净值]]-1.088)/1.088,(表2_36716262930389121314151819[[#This Row],[单位净值]]-1.088)/1.088)</f>
        <v>2.7205882352941118E-2</v>
      </c>
    </row>
    <row r="111" spans="1:7" x14ac:dyDescent="0.2">
      <c r="A111" s="15">
        <v>44119</v>
      </c>
      <c r="B111" s="112">
        <v>1.2589999999999999</v>
      </c>
      <c r="C111" s="108">
        <f t="shared" si="26"/>
        <v>-1.0000000000000009E-2</v>
      </c>
      <c r="D111" s="109">
        <f t="shared" si="27"/>
        <v>-1.0000000000000009E-2</v>
      </c>
      <c r="E111" s="109">
        <f ca="1">IF(表2_36716262930389121314151819[[#This Row],[累计净值]]/MAX(INDIRECT("B21:B" &amp; ROW()))-1&lt;E110,表2_36716262930389121314151819[[#This Row],[累计净值]]/MAX(INDIRECT("B21:B" &amp; ROW()))-1,E110)</f>
        <v>-5.3585500394010888E-2</v>
      </c>
      <c r="F111" s="110">
        <f>表2_36716262930389121314151819[[#This Row],[累计净值]]-0.144</f>
        <v>1.115</v>
      </c>
      <c r="G111" s="20">
        <f>IF(表2_36716262930389121314151819[[#This Row],[单位净值]]&gt;1.088,0.8*(表2_36716262930389121314151819[[#This Row],[单位净值]]-1.088)/1.088,(表2_36716262930389121314151819[[#This Row],[单位净值]]-1.088)/1.088)</f>
        <v>1.9852941176470525E-2</v>
      </c>
    </row>
    <row r="112" spans="1:7" x14ac:dyDescent="0.2">
      <c r="A112" s="15">
        <v>44120</v>
      </c>
      <c r="B112" s="112">
        <v>1.2529999999999999</v>
      </c>
      <c r="C112" s="108">
        <f t="shared" si="26"/>
        <v>-6.0000000000000053E-3</v>
      </c>
      <c r="D112" s="109">
        <f t="shared" si="27"/>
        <v>-6.0000000000000053E-3</v>
      </c>
      <c r="E112" s="109">
        <f ca="1">IF(表2_36716262930389121314151819[[#This Row],[累计净值]]/MAX(INDIRECT("B21:B" &amp; ROW()))-1&lt;E111,表2_36716262930389121314151819[[#This Row],[累计净值]]/MAX(INDIRECT("B21:B" &amp; ROW()))-1,E111)</f>
        <v>-5.3585500394010888E-2</v>
      </c>
      <c r="F112" s="110">
        <f>表2_36716262930389121314151819[[#This Row],[累计净值]]-0.144</f>
        <v>1.109</v>
      </c>
      <c r="G112" s="20">
        <f>IF(表2_36716262930389121314151819[[#This Row],[单位净值]]&gt;1.088,0.8*(表2_36716262930389121314151819[[#This Row],[单位净值]]-1.088)/1.088,(表2_36716262930389121314151819[[#This Row],[单位净值]]-1.088)/1.088)</f>
        <v>1.5441176470588167E-2</v>
      </c>
    </row>
    <row r="113" spans="1:7" x14ac:dyDescent="0.2">
      <c r="A113" s="15">
        <v>44123</v>
      </c>
      <c r="B113" s="112">
        <v>1.2529999999999999</v>
      </c>
      <c r="C113" s="108">
        <f t="shared" ref="C113:C118" si="28">IFERROR(B113-B112,0)</f>
        <v>0</v>
      </c>
      <c r="D113" s="109" t="str">
        <f t="shared" ref="D113:D118" si="29">IF(C113&lt;0,C113,"/")</f>
        <v>/</v>
      </c>
      <c r="E113" s="109">
        <f ca="1">IF(表2_36716262930389121314151819[[#This Row],[累计净值]]/MAX(INDIRECT("B21:B" &amp; ROW()))-1&lt;E112,表2_36716262930389121314151819[[#This Row],[累计净值]]/MAX(INDIRECT("B21:B" &amp; ROW()))-1,E112)</f>
        <v>-5.3585500394010888E-2</v>
      </c>
      <c r="F113" s="110">
        <f>表2_36716262930389121314151819[[#This Row],[累计净值]]-0.144</f>
        <v>1.109</v>
      </c>
      <c r="G113" s="20">
        <f>IF(表2_36716262930389121314151819[[#This Row],[单位净值]]&gt;1.088,0.8*(表2_36716262930389121314151819[[#This Row],[单位净值]]-1.088)/1.088,(表2_36716262930389121314151819[[#This Row],[单位净值]]-1.088)/1.088)</f>
        <v>1.5441176470588167E-2</v>
      </c>
    </row>
    <row r="114" spans="1:7" x14ac:dyDescent="0.2">
      <c r="A114" s="15">
        <v>44124</v>
      </c>
      <c r="B114" s="112">
        <v>1.2490000000000001</v>
      </c>
      <c r="C114" s="108">
        <f t="shared" si="28"/>
        <v>-3.9999999999997815E-3</v>
      </c>
      <c r="D114" s="109">
        <f t="shared" si="29"/>
        <v>-3.9999999999997815E-3</v>
      </c>
      <c r="E114" s="109">
        <f ca="1">IF(表2_36716262930389121314151819[[#This Row],[累计净值]]/MAX(INDIRECT("B21:B" &amp; ROW()))-1&lt;E113,表2_36716262930389121314151819[[#This Row],[累计净值]]/MAX(INDIRECT("B21:B" &amp; ROW()))-1,E113)</f>
        <v>-5.3585500394010888E-2</v>
      </c>
      <c r="F114" s="110">
        <f>表2_36716262930389121314151819[[#This Row],[累计净值]]-0.144</f>
        <v>1.1050000000000002</v>
      </c>
      <c r="G114" s="20">
        <f>IF(表2_36716262930389121314151819[[#This Row],[单位净值]]&gt;1.088,0.8*(表2_36716262930389121314151819[[#This Row],[单位净值]]-1.088)/1.088,(表2_36716262930389121314151819[[#This Row],[单位净值]]-1.088)/1.088)</f>
        <v>1.2500000000000093E-2</v>
      </c>
    </row>
    <row r="115" spans="1:7" x14ac:dyDescent="0.2">
      <c r="A115" s="15">
        <v>44125</v>
      </c>
      <c r="B115" s="112">
        <v>1.244</v>
      </c>
      <c r="C115" s="108">
        <f t="shared" si="28"/>
        <v>-5.0000000000001155E-3</v>
      </c>
      <c r="D115" s="109">
        <f t="shared" si="29"/>
        <v>-5.0000000000001155E-3</v>
      </c>
      <c r="E115" s="109">
        <f ca="1">IF(表2_36716262930389121314151819[[#This Row],[累计净值]]/MAX(INDIRECT("B21:B" &amp; ROW()))-1&lt;E114,表2_36716262930389121314151819[[#This Row],[累计净值]]/MAX(INDIRECT("B21:B" &amp; ROW()))-1,E114)</f>
        <v>-5.3585500394010888E-2</v>
      </c>
      <c r="F115" s="110">
        <f>表2_36716262930389121314151819[[#This Row],[累计净值]]-0.144</f>
        <v>1.1000000000000001</v>
      </c>
      <c r="G115" s="20">
        <f>IF(表2_36716262930389121314151819[[#This Row],[单位净值]]&gt;1.088,0.8*(表2_36716262930389121314151819[[#This Row],[单位净值]]-1.088)/1.088,(表2_36716262930389121314151819[[#This Row],[单位净值]]-1.088)/1.088)</f>
        <v>8.8235294117647144E-3</v>
      </c>
    </row>
    <row r="116" spans="1:7" x14ac:dyDescent="0.2">
      <c r="A116" s="15">
        <v>44126</v>
      </c>
      <c r="B116" s="112">
        <v>1.246</v>
      </c>
      <c r="C116" s="108">
        <f t="shared" si="28"/>
        <v>2.0000000000000018E-3</v>
      </c>
      <c r="D116" s="109" t="str">
        <f t="shared" si="29"/>
        <v>/</v>
      </c>
      <c r="E116" s="109">
        <f ca="1">IF(表2_36716262930389121314151819[[#This Row],[累计净值]]/MAX(INDIRECT("B21:B" &amp; ROW()))-1&lt;E115,表2_36716262930389121314151819[[#This Row],[累计净值]]/MAX(INDIRECT("B21:B" &amp; ROW()))-1,E115)</f>
        <v>-5.3585500394010888E-2</v>
      </c>
      <c r="F116" s="110">
        <f>表2_36716262930389121314151819[[#This Row],[累计净值]]-0.144</f>
        <v>1.1020000000000001</v>
      </c>
      <c r="G116" s="20">
        <f>IF(表2_36716262930389121314151819[[#This Row],[单位净值]]&gt;1.088,0.8*(表2_36716262930389121314151819[[#This Row],[单位净值]]-1.088)/1.088,(表2_36716262930389121314151819[[#This Row],[单位净值]]-1.088)/1.088)</f>
        <v>1.0294117647058832E-2</v>
      </c>
    </row>
    <row r="117" spans="1:7" x14ac:dyDescent="0.2">
      <c r="A117" s="15">
        <v>44127</v>
      </c>
      <c r="B117" s="112">
        <v>1.236</v>
      </c>
      <c r="C117" s="108">
        <f t="shared" si="28"/>
        <v>-1.0000000000000009E-2</v>
      </c>
      <c r="D117" s="109">
        <f t="shared" si="29"/>
        <v>-1.0000000000000009E-2</v>
      </c>
      <c r="E117" s="109">
        <f ca="1">IF(表2_36716262930389121314151819[[#This Row],[累计净值]]/MAX(INDIRECT("B21:B" &amp; ROW()))-1&lt;E116,表2_36716262930389121314151819[[#This Row],[累计净值]]/MAX(INDIRECT("B21:B" &amp; ROW()))-1,E116)</f>
        <v>-5.3585500394010888E-2</v>
      </c>
      <c r="F117" s="110">
        <f>表2_36716262930389121314151819[[#This Row],[累计净值]]-0.144</f>
        <v>1.0920000000000001</v>
      </c>
      <c r="G117" s="20">
        <f>IF(表2_36716262930389121314151819[[#This Row],[单位净值]]&gt;1.088,0.8*(表2_36716262930389121314151819[[#This Row],[单位净值]]-1.088)/1.088,(表2_36716262930389121314151819[[#This Row],[单位净值]]-1.088)/1.088)</f>
        <v>2.9411764705882379E-3</v>
      </c>
    </row>
    <row r="118" spans="1:7" x14ac:dyDescent="0.2">
      <c r="A118" s="15">
        <v>44130</v>
      </c>
      <c r="B118" s="112">
        <v>1.2430000000000001</v>
      </c>
      <c r="C118" s="108">
        <f t="shared" si="28"/>
        <v>7.0000000000001172E-3</v>
      </c>
      <c r="D118" s="109" t="str">
        <f t="shared" si="29"/>
        <v>/</v>
      </c>
      <c r="E118" s="109">
        <f ca="1">IF(表2_36716262930389121314151819[[#This Row],[累计净值]]/MAX(INDIRECT("B21:B" &amp; ROW()))-1&lt;E117,表2_36716262930389121314151819[[#This Row],[累计净值]]/MAX(INDIRECT("B21:B" &amp; ROW()))-1,E117)</f>
        <v>-5.3585500394010888E-2</v>
      </c>
      <c r="F118" s="110">
        <f>表2_36716262930389121314151819[[#This Row],[累计净值]]-0.144</f>
        <v>1.0990000000000002</v>
      </c>
      <c r="G118" s="20">
        <f>IF(表2_36716262930389121314151819[[#This Row],[单位净值]]&gt;1.088,0.8*(表2_36716262930389121314151819[[#This Row],[单位净值]]-1.088)/1.088,(表2_36716262930389121314151819[[#This Row],[单位净值]]-1.088)/1.088)</f>
        <v>8.0882352941177363E-3</v>
      </c>
    </row>
    <row r="119" spans="1:7" x14ac:dyDescent="0.2">
      <c r="A119" s="15">
        <v>44131</v>
      </c>
      <c r="B119" s="112">
        <v>1.254</v>
      </c>
      <c r="C119" s="108">
        <f t="shared" ref="C119:C125" si="30">IFERROR(B119-B118,0)</f>
        <v>1.0999999999999899E-2</v>
      </c>
      <c r="D119" s="109" t="str">
        <f t="shared" ref="D119:D125" si="31">IF(C119&lt;0,C119,"/")</f>
        <v>/</v>
      </c>
      <c r="E119" s="109">
        <f ca="1">IF(表2_36716262930389121314151819[[#This Row],[累计净值]]/MAX(INDIRECT("B21:B" &amp; ROW()))-1&lt;E118,表2_36716262930389121314151819[[#This Row],[累计净值]]/MAX(INDIRECT("B21:B" &amp; ROW()))-1,E118)</f>
        <v>-5.3585500394010888E-2</v>
      </c>
      <c r="F119" s="110">
        <f>表2_36716262930389121314151819[[#This Row],[累计净值]]-0.144</f>
        <v>1.1100000000000001</v>
      </c>
      <c r="G119" s="20">
        <f>IF(表2_36716262930389121314151819[[#This Row],[单位净值]]&gt;1.088,0.8*(表2_36716262930389121314151819[[#This Row],[单位净值]]-1.088)/1.088,(表2_36716262930389121314151819[[#This Row],[单位净值]]-1.088)/1.088)</f>
        <v>1.6176470588235306E-2</v>
      </c>
    </row>
    <row r="120" spans="1:7" x14ac:dyDescent="0.2">
      <c r="A120" s="15">
        <v>44132</v>
      </c>
      <c r="B120" s="112">
        <v>1.256</v>
      </c>
      <c r="C120" s="108">
        <f t="shared" si="30"/>
        <v>2.0000000000000018E-3</v>
      </c>
      <c r="D120" s="109" t="str">
        <f t="shared" si="31"/>
        <v>/</v>
      </c>
      <c r="E120" s="109">
        <f ca="1">IF(表2_36716262930389121314151819[[#This Row],[累计净值]]/MAX(INDIRECT("B21:B" &amp; ROW()))-1&lt;E119,表2_36716262930389121314151819[[#This Row],[累计净值]]/MAX(INDIRECT("B21:B" &amp; ROW()))-1,E119)</f>
        <v>-5.3585500394010888E-2</v>
      </c>
      <c r="F120" s="110">
        <f>表2_36716262930389121314151819[[#This Row],[累计净值]]-0.144</f>
        <v>1.1120000000000001</v>
      </c>
      <c r="G120" s="20">
        <f>IF(表2_36716262930389121314151819[[#This Row],[单位净值]]&gt;1.088,0.8*(表2_36716262930389121314151819[[#This Row],[单位净值]]-1.088)/1.088,(表2_36716262930389121314151819[[#This Row],[单位净值]]-1.088)/1.088)</f>
        <v>1.7647058823529429E-2</v>
      </c>
    </row>
    <row r="121" spans="1:7" x14ac:dyDescent="0.2">
      <c r="A121" s="15">
        <v>44133</v>
      </c>
      <c r="B121" s="112">
        <v>1.2649999999999999</v>
      </c>
      <c r="C121" s="108">
        <f t="shared" si="30"/>
        <v>8.999999999999897E-3</v>
      </c>
      <c r="D121" s="109" t="str">
        <f t="shared" si="31"/>
        <v>/</v>
      </c>
      <c r="E121" s="109">
        <f ca="1">IF(表2_36716262930389121314151819[[#This Row],[累计净值]]/MAX(INDIRECT("B21:B" &amp; ROW()))-1&lt;E120,表2_36716262930389121314151819[[#This Row],[累计净值]]/MAX(INDIRECT("B21:B" &amp; ROW()))-1,E120)</f>
        <v>-5.3585500394010888E-2</v>
      </c>
      <c r="F121" s="110">
        <f>表2_36716262930389121314151819[[#This Row],[累计净值]]-0.144</f>
        <v>1.121</v>
      </c>
      <c r="G121" s="20">
        <f>IF(表2_36716262930389121314151819[[#This Row],[单位净值]]&gt;1.088,0.8*(表2_36716262930389121314151819[[#This Row],[单位净值]]-1.088)/1.088,(表2_36716262930389121314151819[[#This Row],[单位净值]]-1.088)/1.088)</f>
        <v>2.4264705882352883E-2</v>
      </c>
    </row>
    <row r="122" spans="1:7" x14ac:dyDescent="0.2">
      <c r="A122" s="15">
        <v>44134</v>
      </c>
      <c r="B122" s="112">
        <v>1.3009999999999999</v>
      </c>
      <c r="C122" s="108">
        <f t="shared" si="30"/>
        <v>3.6000000000000032E-2</v>
      </c>
      <c r="D122" s="109" t="str">
        <f t="shared" si="31"/>
        <v>/</v>
      </c>
      <c r="E122" s="109">
        <f ca="1">IF(表2_36716262930389121314151819[[#This Row],[累计净值]]/MAX(INDIRECT("B21:B" &amp; ROW()))-1&lt;E121,表2_36716262930389121314151819[[#This Row],[累计净值]]/MAX(INDIRECT("B21:B" &amp; ROW()))-1,E121)</f>
        <v>-5.3585500394010888E-2</v>
      </c>
      <c r="F122" s="110">
        <f>表2_36716262930389121314151819[[#This Row],[累计净值]]-0.144</f>
        <v>1.157</v>
      </c>
      <c r="G122" s="20">
        <f>IF(表2_36716262930389121314151819[[#This Row],[单位净值]]&gt;1.088,0.8*(表2_36716262930389121314151819[[#This Row],[单位净值]]-1.088)/1.088,(表2_36716262930389121314151819[[#This Row],[单位净值]]-1.088)/1.088)</f>
        <v>5.0735294117647024E-2</v>
      </c>
    </row>
    <row r="123" spans="1:7" x14ac:dyDescent="0.2">
      <c r="A123" s="15">
        <v>44137</v>
      </c>
      <c r="B123" s="112">
        <v>1.3069999999999999</v>
      </c>
      <c r="C123" s="108">
        <f t="shared" si="30"/>
        <v>6.0000000000000053E-3</v>
      </c>
      <c r="D123" s="109" t="str">
        <f t="shared" si="31"/>
        <v>/</v>
      </c>
      <c r="E123" s="109">
        <f ca="1">IF(表2_36716262930389121314151819[[#This Row],[累计净值]]/MAX(INDIRECT("B21:B" &amp; ROW()))-1&lt;E122,表2_36716262930389121314151819[[#This Row],[累计净值]]/MAX(INDIRECT("B21:B" &amp; ROW()))-1,E122)</f>
        <v>-5.3585500394010888E-2</v>
      </c>
      <c r="F123" s="110">
        <f>表2_36716262930389121314151819[[#This Row],[累计净值]]-0.144</f>
        <v>1.163</v>
      </c>
      <c r="G123" s="20">
        <f>IF(表2_36716262930389121314151819[[#This Row],[单位净值]]&gt;1.088,0.8*(表2_36716262930389121314151819[[#This Row],[单位净值]]-1.088)/1.088,(表2_36716262930389121314151819[[#This Row],[单位净值]]-1.088)/1.088)</f>
        <v>5.5147058823529382E-2</v>
      </c>
    </row>
    <row r="124" spans="1:7" x14ac:dyDescent="0.2">
      <c r="A124" s="15">
        <v>44138</v>
      </c>
      <c r="B124" s="112">
        <v>1.3069999999999999</v>
      </c>
      <c r="C124" s="108">
        <f t="shared" si="30"/>
        <v>0</v>
      </c>
      <c r="D124" s="109" t="str">
        <f t="shared" si="31"/>
        <v>/</v>
      </c>
      <c r="E124" s="109">
        <f ca="1">IF(表2_36716262930389121314151819[[#This Row],[累计净值]]/MAX(INDIRECT("B21:B" &amp; ROW()))-1&lt;E123,表2_36716262930389121314151819[[#This Row],[累计净值]]/MAX(INDIRECT("B21:B" &amp; ROW()))-1,E123)</f>
        <v>-5.3585500394010888E-2</v>
      </c>
      <c r="F124" s="110">
        <f>表2_36716262930389121314151819[[#This Row],[累计净值]]-0.144</f>
        <v>1.163</v>
      </c>
      <c r="G124" s="20">
        <f>IF(表2_36716262930389121314151819[[#This Row],[单位净值]]&gt;1.088,0.8*(表2_36716262930389121314151819[[#This Row],[单位净值]]-1.088)/1.088,(表2_36716262930389121314151819[[#This Row],[单位净值]]-1.088)/1.088)</f>
        <v>5.5147058823529382E-2</v>
      </c>
    </row>
    <row r="125" spans="1:7" x14ac:dyDescent="0.2">
      <c r="A125" s="15">
        <v>44139</v>
      </c>
      <c r="B125" s="112">
        <v>1.319</v>
      </c>
      <c r="C125" s="108">
        <f t="shared" si="30"/>
        <v>1.2000000000000011E-2</v>
      </c>
      <c r="D125" s="109" t="str">
        <f t="shared" si="31"/>
        <v>/</v>
      </c>
      <c r="E125" s="109">
        <f ca="1">IF(表2_36716262930389121314151819[[#This Row],[累计净值]]/MAX(INDIRECT("B21:B" &amp; ROW()))-1&lt;E124,表2_36716262930389121314151819[[#This Row],[累计净值]]/MAX(INDIRECT("B21:B" &amp; ROW()))-1,E124)</f>
        <v>-5.3585500394010888E-2</v>
      </c>
      <c r="F125" s="110">
        <f>表2_36716262930389121314151819[[#This Row],[累计净值]]-0.144</f>
        <v>1.175</v>
      </c>
      <c r="G125" s="20">
        <f>IF(表2_36716262930389121314151819[[#This Row],[单位净值]]&gt;1.088,0.8*(表2_36716262930389121314151819[[#This Row],[单位净值]]-1.088)/1.088,(表2_36716262930389121314151819[[#This Row],[单位净值]]-1.088)/1.088)</f>
        <v>6.3970588235294099E-2</v>
      </c>
    </row>
    <row r="126" spans="1:7" x14ac:dyDescent="0.2">
      <c r="A126" s="15">
        <v>44140</v>
      </c>
      <c r="B126" s="112">
        <v>1.3129999999999999</v>
      </c>
      <c r="C126" s="108">
        <f t="shared" ref="C126:C131" si="32">IFERROR(B126-B125,0)</f>
        <v>-6.0000000000000053E-3</v>
      </c>
      <c r="D126" s="109">
        <f t="shared" ref="D126:D131" si="33">IF(C126&lt;0,C126,"/")</f>
        <v>-6.0000000000000053E-3</v>
      </c>
      <c r="E126" s="109">
        <f ca="1">IF(表2_36716262930389121314151819[[#This Row],[累计净值]]/MAX(INDIRECT("B21:B" &amp; ROW()))-1&lt;E125,表2_36716262930389121314151819[[#This Row],[累计净值]]/MAX(INDIRECT("B21:B" &amp; ROW()))-1,E125)</f>
        <v>-5.3585500394010888E-2</v>
      </c>
      <c r="F126" s="110">
        <f>表2_36716262930389121314151819[[#This Row],[累计净值]]-0.144</f>
        <v>1.169</v>
      </c>
      <c r="G126" s="20">
        <f>IF(表2_36716262930389121314151819[[#This Row],[单位净值]]&gt;1.088,0.8*(表2_36716262930389121314151819[[#This Row],[单位净值]]-1.088)/1.088,(表2_36716262930389121314151819[[#This Row],[单位净值]]-1.088)/1.088)</f>
        <v>5.9558823529411734E-2</v>
      </c>
    </row>
    <row r="127" spans="1:7" x14ac:dyDescent="0.2">
      <c r="A127" s="15">
        <v>44141</v>
      </c>
      <c r="B127" s="112">
        <v>1.319</v>
      </c>
      <c r="C127" s="108">
        <f t="shared" si="32"/>
        <v>6.0000000000000053E-3</v>
      </c>
      <c r="D127" s="109" t="str">
        <f t="shared" si="33"/>
        <v>/</v>
      </c>
      <c r="E127" s="109">
        <f ca="1">IF(表2_36716262930389121314151819[[#This Row],[累计净值]]/MAX(INDIRECT("B21:B" &amp; ROW()))-1&lt;E126,表2_36716262930389121314151819[[#This Row],[累计净值]]/MAX(INDIRECT("B21:B" &amp; ROW()))-1,E126)</f>
        <v>-5.3585500394010888E-2</v>
      </c>
      <c r="F127" s="110">
        <f>表2_36716262930389121314151819[[#This Row],[累计净值]]-0.144</f>
        <v>1.175</v>
      </c>
      <c r="G127" s="20">
        <f>IF(表2_36716262930389121314151819[[#This Row],[单位净值]]&gt;1.088,0.8*(表2_36716262930389121314151819[[#This Row],[单位净值]]-1.088)/1.088,(表2_36716262930389121314151819[[#This Row],[单位净值]]-1.088)/1.088)</f>
        <v>6.3970588235294099E-2</v>
      </c>
    </row>
    <row r="128" spans="1:7" x14ac:dyDescent="0.2">
      <c r="A128" s="15">
        <v>44144</v>
      </c>
      <c r="B128" s="117">
        <v>1.3380000000000001</v>
      </c>
      <c r="C128" s="108">
        <f t="shared" si="32"/>
        <v>1.9000000000000128E-2</v>
      </c>
      <c r="D128" s="109" t="str">
        <f t="shared" si="33"/>
        <v>/</v>
      </c>
      <c r="E128" s="109">
        <f ca="1">IF(表2_36716262930389121314151819[[#This Row],[累计净值]]/MAX(INDIRECT("B21:B" &amp; ROW()))-1&lt;E127,表2_36716262930389121314151819[[#This Row],[累计净值]]/MAX(INDIRECT("B21:B" &amp; ROW()))-1,E127)</f>
        <v>-5.3585500394010888E-2</v>
      </c>
      <c r="F128" s="110">
        <f>表2_36716262930389121314151819[[#This Row],[累计净值]]-0.144</f>
        <v>1.1940000000000002</v>
      </c>
      <c r="G128" s="20">
        <f>IF(表2_36716262930389121314151819[[#This Row],[单位净值]]&gt;1.088,0.8*(表2_36716262930389121314151819[[#This Row],[单位净值]]-1.088)/1.088,(表2_36716262930389121314151819[[#This Row],[单位净值]]-1.088)/1.088)</f>
        <v>7.7941176470588305E-2</v>
      </c>
    </row>
    <row r="129" spans="1:7" x14ac:dyDescent="0.2">
      <c r="A129" s="15">
        <v>44145</v>
      </c>
      <c r="B129" s="112">
        <v>1.325</v>
      </c>
      <c r="C129" s="108">
        <f t="shared" si="32"/>
        <v>-1.3000000000000123E-2</v>
      </c>
      <c r="D129" s="109">
        <f t="shared" si="33"/>
        <v>-1.3000000000000123E-2</v>
      </c>
      <c r="E129" s="109">
        <f ca="1">IF(表2_36716262930389121314151819[[#This Row],[累计净值]]/MAX(INDIRECT("B21:B" &amp; ROW()))-1&lt;E128,表2_36716262930389121314151819[[#This Row],[累计净值]]/MAX(INDIRECT("B21:B" &amp; ROW()))-1,E128)</f>
        <v>-5.3585500394010888E-2</v>
      </c>
      <c r="F129" s="110">
        <f>表2_36716262930389121314151819[[#This Row],[累计净值]]-0.144</f>
        <v>1.181</v>
      </c>
      <c r="G129" s="20">
        <f>IF(表2_36716262930389121314151819[[#This Row],[单位净值]]&gt;1.088,0.8*(表2_36716262930389121314151819[[#This Row],[单位净值]]-1.088)/1.088,(表2_36716262930389121314151819[[#This Row],[单位净值]]-1.088)/1.088)</f>
        <v>6.838235294117645E-2</v>
      </c>
    </row>
    <row r="130" spans="1:7" x14ac:dyDescent="0.2">
      <c r="A130" s="15">
        <v>44146</v>
      </c>
      <c r="B130" s="112">
        <v>1.323</v>
      </c>
      <c r="C130" s="108">
        <f t="shared" si="32"/>
        <v>-2.0000000000000018E-3</v>
      </c>
      <c r="D130" s="109">
        <f t="shared" si="33"/>
        <v>-2.0000000000000018E-3</v>
      </c>
      <c r="E130" s="109">
        <f ca="1">IF(表2_36716262930389121314151819[[#This Row],[累计净值]]/MAX(INDIRECT("B21:B" &amp; ROW()))-1&lt;E129,表2_36716262930389121314151819[[#This Row],[累计净值]]/MAX(INDIRECT("B21:B" &amp; ROW()))-1,E129)</f>
        <v>-5.3585500394010888E-2</v>
      </c>
      <c r="F130" s="110">
        <f>表2_36716262930389121314151819[[#This Row],[累计净值]]-0.144</f>
        <v>1.179</v>
      </c>
      <c r="G130" s="20">
        <f>IF(表2_36716262930389121314151819[[#This Row],[单位净值]]&gt;1.088,0.8*(表2_36716262930389121314151819[[#This Row],[单位净值]]-1.088)/1.088,(表2_36716262930389121314151819[[#This Row],[单位净值]]-1.088)/1.088)</f>
        <v>6.6911764705882323E-2</v>
      </c>
    </row>
    <row r="131" spans="1:7" x14ac:dyDescent="0.2">
      <c r="A131" s="15">
        <v>44147</v>
      </c>
      <c r="B131" s="112">
        <v>1.3169999999999999</v>
      </c>
      <c r="C131" s="108">
        <f t="shared" si="32"/>
        <v>-6.0000000000000053E-3</v>
      </c>
      <c r="D131" s="109">
        <f t="shared" si="33"/>
        <v>-6.0000000000000053E-3</v>
      </c>
      <c r="E131" s="109">
        <f ca="1">IF(表2_36716262930389121314151819[[#This Row],[累计净值]]/MAX(INDIRECT("B21:B" &amp; ROW()))-1&lt;E130,表2_36716262930389121314151819[[#This Row],[累计净值]]/MAX(INDIRECT("B21:B" &amp; ROW()))-1,E130)</f>
        <v>-5.3585500394010888E-2</v>
      </c>
      <c r="F131" s="110">
        <f>表2_36716262930389121314151819[[#This Row],[累计净值]]-0.144</f>
        <v>1.173</v>
      </c>
      <c r="G131" s="20">
        <f>IF(表2_36716262930389121314151819[[#This Row],[单位净值]]&gt;1.088,0.8*(表2_36716262930389121314151819[[#This Row],[单位净值]]-1.088)/1.088,(表2_36716262930389121314151819[[#This Row],[单位净值]]-1.088)/1.088)</f>
        <v>6.2499999999999972E-2</v>
      </c>
    </row>
    <row r="132" spans="1:7" x14ac:dyDescent="0.2">
      <c r="A132" s="15">
        <v>44148</v>
      </c>
      <c r="B132" s="112">
        <v>1.306</v>
      </c>
      <c r="C132" s="108">
        <f t="shared" ref="C132:C137" si="34">IFERROR(B132-B131,0)</f>
        <v>-1.0999999999999899E-2</v>
      </c>
      <c r="D132" s="109">
        <f t="shared" ref="D132:D137" si="35">IF(C132&lt;0,C132,"/")</f>
        <v>-1.0999999999999899E-2</v>
      </c>
      <c r="E132" s="109">
        <f ca="1">IF(表2_36716262930389121314151819[[#This Row],[累计净值]]/MAX(INDIRECT("B21:B" &amp; ROW()))-1&lt;E131,表2_36716262930389121314151819[[#This Row],[累计净值]]/MAX(INDIRECT("B21:B" &amp; ROW()))-1,E131)</f>
        <v>-5.3585500394010888E-2</v>
      </c>
      <c r="F132" s="110">
        <f>表2_36716262930389121314151819[[#This Row],[累计净值]]-0.144</f>
        <v>1.1620000000000001</v>
      </c>
      <c r="G132" s="20">
        <f>IF(表2_36716262930389121314151819[[#This Row],[单位净值]]&gt;1.088,0.8*(表2_36716262930389121314151819[[#This Row],[单位净值]]-1.088)/1.088,(表2_36716262930389121314151819[[#This Row],[单位净值]]-1.088)/1.088)</f>
        <v>5.4411764705882402E-2</v>
      </c>
    </row>
    <row r="133" spans="1:7" x14ac:dyDescent="0.2">
      <c r="A133" s="15">
        <v>44151</v>
      </c>
      <c r="B133" s="112">
        <v>1.319</v>
      </c>
      <c r="C133" s="108">
        <f t="shared" si="34"/>
        <v>1.2999999999999901E-2</v>
      </c>
      <c r="D133" s="109" t="str">
        <f t="shared" si="35"/>
        <v>/</v>
      </c>
      <c r="E133" s="109">
        <f ca="1">IF(表2_36716262930389121314151819[[#This Row],[累计净值]]/MAX(INDIRECT("B21:B" &amp; ROW()))-1&lt;E132,表2_36716262930389121314151819[[#This Row],[累计净值]]/MAX(INDIRECT("B21:B" &amp; ROW()))-1,E132)</f>
        <v>-5.3585500394010888E-2</v>
      </c>
      <c r="F133" s="110">
        <f>表2_36716262930389121314151819[[#This Row],[累计净值]]-0.144</f>
        <v>1.175</v>
      </c>
      <c r="G133" s="20">
        <f>IF(表2_36716262930389121314151819[[#This Row],[单位净值]]&gt;1.088,0.8*(表2_36716262930389121314151819[[#This Row],[单位净值]]-1.088)/1.088,(表2_36716262930389121314151819[[#This Row],[单位净值]]-1.088)/1.088)</f>
        <v>6.3970588235294099E-2</v>
      </c>
    </row>
    <row r="134" spans="1:7" x14ac:dyDescent="0.2">
      <c r="A134" s="15">
        <v>44152</v>
      </c>
      <c r="B134" s="112">
        <v>1.3080000000000001</v>
      </c>
      <c r="C134" s="108">
        <f t="shared" si="34"/>
        <v>-1.0999999999999899E-2</v>
      </c>
      <c r="D134" s="109">
        <f t="shared" si="35"/>
        <v>-1.0999999999999899E-2</v>
      </c>
      <c r="E134" s="109">
        <f ca="1">IF(表2_36716262930389121314151819[[#This Row],[累计净值]]/MAX(INDIRECT("B21:B" &amp; ROW()))-1&lt;E133,表2_36716262930389121314151819[[#This Row],[累计净值]]/MAX(INDIRECT("B21:B" &amp; ROW()))-1,E133)</f>
        <v>-5.3585500394010888E-2</v>
      </c>
      <c r="F134" s="110">
        <f>表2_36716262930389121314151819[[#This Row],[累计净值]]-0.144</f>
        <v>1.1640000000000001</v>
      </c>
      <c r="G134" s="20">
        <f>IF(表2_36716262930389121314151819[[#This Row],[单位净值]]&gt;1.088,0.8*(表2_36716262930389121314151819[[#This Row],[单位净值]]-1.088)/1.088,(表2_36716262930389121314151819[[#This Row],[单位净值]]-1.088)/1.088)</f>
        <v>5.5882352941176515E-2</v>
      </c>
    </row>
    <row r="135" spans="1:7" x14ac:dyDescent="0.2">
      <c r="A135" s="15">
        <v>44153</v>
      </c>
      <c r="B135" s="112">
        <v>1.304</v>
      </c>
      <c r="C135" s="108">
        <f t="shared" si="34"/>
        <v>-4.0000000000000036E-3</v>
      </c>
      <c r="D135" s="109">
        <f t="shared" si="35"/>
        <v>-4.0000000000000036E-3</v>
      </c>
      <c r="E135" s="109">
        <f ca="1">IF(表2_36716262930389121314151819[[#This Row],[累计净值]]/MAX(INDIRECT("B21:B" &amp; ROW()))-1&lt;E134,表2_36716262930389121314151819[[#This Row],[累计净值]]/MAX(INDIRECT("B21:B" &amp; ROW()))-1,E134)</f>
        <v>-5.3585500394010888E-2</v>
      </c>
      <c r="F135" s="110">
        <f>表2_36716262930389121314151819[[#This Row],[累计净值]]-0.144</f>
        <v>1.1600000000000001</v>
      </c>
      <c r="G135" s="20">
        <f>IF(表2_36716262930389121314151819[[#This Row],[单位净值]]&gt;1.088,0.8*(表2_36716262930389121314151819[[#This Row],[单位净值]]-1.088)/1.088,(表2_36716262930389121314151819[[#This Row],[单位净值]]-1.088)/1.088)</f>
        <v>5.2941176470588283E-2</v>
      </c>
    </row>
    <row r="136" spans="1:7" x14ac:dyDescent="0.2">
      <c r="A136" s="15">
        <v>44154</v>
      </c>
      <c r="B136" s="112">
        <v>1.2969999999999999</v>
      </c>
      <c r="C136" s="108">
        <f t="shared" si="34"/>
        <v>-7.0000000000001172E-3</v>
      </c>
      <c r="D136" s="109">
        <f t="shared" si="35"/>
        <v>-7.0000000000001172E-3</v>
      </c>
      <c r="E136" s="109">
        <f ca="1">IF(表2_36716262930389121314151819[[#This Row],[累计净值]]/MAX(INDIRECT("B21:B" &amp; ROW()))-1&lt;E135,表2_36716262930389121314151819[[#This Row],[累计净值]]/MAX(INDIRECT("B21:B" &amp; ROW()))-1,E135)</f>
        <v>-5.3585500394010888E-2</v>
      </c>
      <c r="F136" s="110">
        <f>表2_36716262930389121314151819[[#This Row],[累计净值]]-0.144</f>
        <v>1.153</v>
      </c>
      <c r="G136" s="20">
        <f>IF(表2_36716262930389121314151819[[#This Row],[单位净值]]&gt;1.088,0.8*(表2_36716262930389121314151819[[#This Row],[单位净值]]-1.088)/1.088,(表2_36716262930389121314151819[[#This Row],[单位净值]]-1.088)/1.088)</f>
        <v>4.7794117647058786E-2</v>
      </c>
    </row>
    <row r="137" spans="1:7" x14ac:dyDescent="0.2">
      <c r="A137" s="15">
        <v>44155</v>
      </c>
      <c r="B137" s="112">
        <v>1.2929999999999999</v>
      </c>
      <c r="C137" s="108">
        <f t="shared" si="34"/>
        <v>-4.0000000000000036E-3</v>
      </c>
      <c r="D137" s="109">
        <f t="shared" si="35"/>
        <v>-4.0000000000000036E-3</v>
      </c>
      <c r="E137" s="109">
        <f ca="1">IF(表2_36716262930389121314151819[[#This Row],[累计净值]]/MAX(INDIRECT("B21:B" &amp; ROW()))-1&lt;E136,表2_36716262930389121314151819[[#This Row],[累计净值]]/MAX(INDIRECT("B21:B" &amp; ROW()))-1,E136)</f>
        <v>-5.3585500394010888E-2</v>
      </c>
      <c r="F137" s="110">
        <f>表2_36716262930389121314151819[[#This Row],[累计净值]]-0.144</f>
        <v>1.149</v>
      </c>
      <c r="G137" s="20">
        <f>IF(表2_36716262930389121314151819[[#This Row],[单位净值]]&gt;1.088,0.8*(表2_36716262930389121314151819[[#This Row],[单位净值]]-1.088)/1.088,(表2_36716262930389121314151819[[#This Row],[单位净值]]-1.088)/1.088)</f>
        <v>4.485294117647054E-2</v>
      </c>
    </row>
    <row r="138" spans="1:7" x14ac:dyDescent="0.2">
      <c r="A138" s="15">
        <v>44158</v>
      </c>
      <c r="B138" s="112">
        <v>1.288</v>
      </c>
      <c r="C138" s="108">
        <f t="shared" ref="C138:C143" si="36">IFERROR(B138-B137,0)</f>
        <v>-4.9999999999998934E-3</v>
      </c>
      <c r="D138" s="109">
        <f t="shared" ref="D138:D143" si="37">IF(C138&lt;0,C138,"/")</f>
        <v>-4.9999999999998934E-3</v>
      </c>
      <c r="E138" s="109">
        <f ca="1">IF(表2_36716262930389121314151819[[#This Row],[累计净值]]/MAX(INDIRECT("B21:B" &amp; ROW()))-1&lt;E137,表2_36716262930389121314151819[[#This Row],[累计净值]]/MAX(INDIRECT("B21:B" &amp; ROW()))-1,E137)</f>
        <v>-5.3585500394010888E-2</v>
      </c>
      <c r="F138" s="110">
        <f>表2_36716262930389121314151819[[#This Row],[累计净值]]-0.144</f>
        <v>1.1440000000000001</v>
      </c>
      <c r="G138" s="20">
        <f>IF(表2_36716262930389121314151819[[#This Row],[单位净值]]&gt;1.088,0.8*(表2_36716262930389121314151819[[#This Row],[单位净值]]-1.088)/1.088,(表2_36716262930389121314151819[[#This Row],[单位净值]]-1.088)/1.088)</f>
        <v>4.1176470588235328E-2</v>
      </c>
    </row>
    <row r="139" spans="1:7" x14ac:dyDescent="0.2">
      <c r="A139" s="15">
        <v>44159</v>
      </c>
      <c r="B139" s="112">
        <v>1.2889999999999999</v>
      </c>
      <c r="C139" s="108">
        <f t="shared" si="36"/>
        <v>9.9999999999988987E-4</v>
      </c>
      <c r="D139" s="109" t="str">
        <f t="shared" si="37"/>
        <v>/</v>
      </c>
      <c r="E139" s="109">
        <f ca="1">IF(表2_36716262930389121314151819[[#This Row],[累计净值]]/MAX(INDIRECT("B21:B" &amp; ROW()))-1&lt;E138,表2_36716262930389121314151819[[#This Row],[累计净值]]/MAX(INDIRECT("B21:B" &amp; ROW()))-1,E138)</f>
        <v>-5.3585500394010888E-2</v>
      </c>
      <c r="F139" s="110">
        <f>表2_36716262930389121314151819[[#This Row],[累计净值]]-0.144</f>
        <v>1.145</v>
      </c>
      <c r="G139" s="20">
        <f>IF(表2_36716262930389121314151819[[#This Row],[单位净值]]&gt;1.088,0.8*(表2_36716262930389121314151819[[#This Row],[单位净值]]-1.088)/1.088,(表2_36716262930389121314151819[[#This Row],[单位净值]]-1.088)/1.088)</f>
        <v>4.1911764705882308E-2</v>
      </c>
    </row>
    <row r="140" spans="1:7" x14ac:dyDescent="0.2">
      <c r="A140" s="15">
        <v>44160</v>
      </c>
      <c r="B140" s="112">
        <v>1.32</v>
      </c>
      <c r="C140" s="108">
        <f t="shared" si="36"/>
        <v>3.1000000000000139E-2</v>
      </c>
      <c r="D140" s="109" t="str">
        <f t="shared" si="37"/>
        <v>/</v>
      </c>
      <c r="E140" s="109">
        <f ca="1">IF(表2_36716262930389121314151819[[#This Row],[累计净值]]/MAX(INDIRECT("B21:B" &amp; ROW()))-1&lt;E139,表2_36716262930389121314151819[[#This Row],[累计净值]]/MAX(INDIRECT("B21:B" &amp; ROW()))-1,E139)</f>
        <v>-5.3585500394010888E-2</v>
      </c>
      <c r="F140" s="110">
        <f>表2_36716262930389121314151819[[#This Row],[累计净值]]-0.144</f>
        <v>1.1760000000000002</v>
      </c>
      <c r="G140" s="20">
        <f>IF(表2_36716262930389121314151819[[#This Row],[单位净值]]&gt;1.088,0.8*(表2_36716262930389121314151819[[#This Row],[单位净值]]-1.088)/1.088,(表2_36716262930389121314151819[[#This Row],[单位净值]]-1.088)/1.088)</f>
        <v>6.4705882352941224E-2</v>
      </c>
    </row>
    <row r="141" spans="1:7" x14ac:dyDescent="0.2">
      <c r="A141" s="15">
        <v>44161</v>
      </c>
      <c r="B141" s="112">
        <v>1.3120000000000001</v>
      </c>
      <c r="C141" s="108">
        <f t="shared" si="36"/>
        <v>-8.0000000000000071E-3</v>
      </c>
      <c r="D141" s="109">
        <f t="shared" si="37"/>
        <v>-8.0000000000000071E-3</v>
      </c>
      <c r="E141" s="109">
        <f ca="1">IF(表2_36716262930389121314151819[[#This Row],[累计净值]]/MAX(INDIRECT("B21:B" &amp; ROW()))-1&lt;E140,表2_36716262930389121314151819[[#This Row],[累计净值]]/MAX(INDIRECT("B21:B" &amp; ROW()))-1,E140)</f>
        <v>-5.3585500394010888E-2</v>
      </c>
      <c r="F141" s="110">
        <f>表2_36716262930389121314151819[[#This Row],[累计净值]]-0.144</f>
        <v>1.1680000000000001</v>
      </c>
      <c r="G141" s="20">
        <f>IF(表2_36716262930389121314151819[[#This Row],[单位净值]]&gt;1.088,0.8*(表2_36716262930389121314151819[[#This Row],[单位净值]]-1.088)/1.088,(表2_36716262930389121314151819[[#This Row],[单位净值]]-1.088)/1.088)</f>
        <v>5.8823529411764754E-2</v>
      </c>
    </row>
    <row r="142" spans="1:7" x14ac:dyDescent="0.2">
      <c r="A142" s="15">
        <v>44162</v>
      </c>
      <c r="B142" s="112">
        <v>1.31</v>
      </c>
      <c r="C142" s="108">
        <f t="shared" si="36"/>
        <v>-2.0000000000000018E-3</v>
      </c>
      <c r="D142" s="109">
        <f t="shared" si="37"/>
        <v>-2.0000000000000018E-3</v>
      </c>
      <c r="E142" s="109">
        <f ca="1">IF(表2_36716262930389121314151819[[#This Row],[累计净值]]/MAX(INDIRECT("B21:B" &amp; ROW()))-1&lt;E141,表2_36716262930389121314151819[[#This Row],[累计净值]]/MAX(INDIRECT("B21:B" &amp; ROW()))-1,E141)</f>
        <v>-5.3585500394010888E-2</v>
      </c>
      <c r="F142" s="110">
        <f>表2_36716262930389121314151819[[#This Row],[累计净值]]-0.144</f>
        <v>1.1660000000000001</v>
      </c>
      <c r="G142" s="20">
        <f>IF(表2_36716262930389121314151819[[#This Row],[单位净值]]&gt;1.088,0.8*(表2_36716262930389121314151819[[#This Row],[单位净值]]-1.088)/1.088,(表2_36716262930389121314151819[[#This Row],[单位净值]]-1.088)/1.088)</f>
        <v>5.7352941176470641E-2</v>
      </c>
    </row>
    <row r="143" spans="1:7" x14ac:dyDescent="0.2">
      <c r="A143" s="15">
        <v>44165</v>
      </c>
      <c r="B143" s="112">
        <v>1.3120000000000001</v>
      </c>
      <c r="C143" s="108">
        <f t="shared" si="36"/>
        <v>2.0000000000000018E-3</v>
      </c>
      <c r="D143" s="109" t="str">
        <f t="shared" si="37"/>
        <v>/</v>
      </c>
      <c r="E143" s="109">
        <f ca="1">IF(表2_36716262930389121314151819[[#This Row],[累计净值]]/MAX(INDIRECT("B21:B" &amp; ROW()))-1&lt;E142,表2_36716262930389121314151819[[#This Row],[累计净值]]/MAX(INDIRECT("B21:B" &amp; ROW()))-1,E142)</f>
        <v>-5.3585500394010888E-2</v>
      </c>
      <c r="F143" s="110">
        <f>表2_36716262930389121314151819[[#This Row],[累计净值]]-0.144</f>
        <v>1.1680000000000001</v>
      </c>
      <c r="G143" s="20">
        <f>IF(表2_36716262930389121314151819[[#This Row],[单位净值]]&gt;1.088,0.8*(表2_36716262930389121314151819[[#This Row],[单位净值]]-1.088)/1.088,(表2_36716262930389121314151819[[#This Row],[单位净值]]-1.088)/1.088)</f>
        <v>5.8823529411764754E-2</v>
      </c>
    </row>
    <row r="144" spans="1:7" x14ac:dyDescent="0.2">
      <c r="A144" s="15">
        <v>44166</v>
      </c>
      <c r="B144" s="112">
        <v>1.3320000000000001</v>
      </c>
      <c r="C144" s="108">
        <f t="shared" ref="C144:C149" si="38">IFERROR(B144-B143,0)</f>
        <v>2.0000000000000018E-2</v>
      </c>
      <c r="D144" s="109" t="str">
        <f t="shared" ref="D144:D149" si="39">IF(C144&lt;0,C144,"/")</f>
        <v>/</v>
      </c>
      <c r="E144" s="109">
        <f ca="1">IF(表2_36716262930389121314151819[[#This Row],[累计净值]]/MAX(INDIRECT("B21:B" &amp; ROW()))-1&lt;E143,表2_36716262930389121314151819[[#This Row],[累计净值]]/MAX(INDIRECT("B21:B" &amp; ROW()))-1,E143)</f>
        <v>-5.3585500394010888E-2</v>
      </c>
      <c r="F144" s="110">
        <f>表2_36716262930389121314151819[[#This Row],[累计净值]]-0.144</f>
        <v>1.1880000000000002</v>
      </c>
      <c r="G144" s="20">
        <f>IF(表2_36716262930389121314151819[[#This Row],[单位净值]]&gt;1.088,0.8*(表2_36716262930389121314151819[[#This Row],[单位净值]]-1.088)/1.088,(表2_36716262930389121314151819[[#This Row],[单位净值]]-1.088)/1.088)</f>
        <v>7.352941176470594E-2</v>
      </c>
    </row>
    <row r="145" spans="1:7" x14ac:dyDescent="0.2">
      <c r="A145" s="15">
        <v>44167</v>
      </c>
      <c r="B145" s="112">
        <v>1.3320000000000001</v>
      </c>
      <c r="C145" s="108">
        <f t="shared" si="38"/>
        <v>0</v>
      </c>
      <c r="D145" s="109" t="str">
        <f t="shared" si="39"/>
        <v>/</v>
      </c>
      <c r="E145" s="109">
        <f ca="1">IF(表2_36716262930389121314151819[[#This Row],[累计净值]]/MAX(INDIRECT("B21:B" &amp; ROW()))-1&lt;E144,表2_36716262930389121314151819[[#This Row],[累计净值]]/MAX(INDIRECT("B21:B" &amp; ROW()))-1,E144)</f>
        <v>-5.3585500394010888E-2</v>
      </c>
      <c r="F145" s="110">
        <f>表2_36716262930389121314151819[[#This Row],[累计净值]]-0.144</f>
        <v>1.1880000000000002</v>
      </c>
      <c r="G145" s="20">
        <f>IF(表2_36716262930389121314151819[[#This Row],[单位净值]]&gt;1.088,0.8*(表2_36716262930389121314151819[[#This Row],[单位净值]]-1.088)/1.088,(表2_36716262930389121314151819[[#This Row],[单位净值]]-1.088)/1.088)</f>
        <v>7.352941176470594E-2</v>
      </c>
    </row>
    <row r="146" spans="1:7" x14ac:dyDescent="0.2">
      <c r="A146" s="15">
        <v>44168</v>
      </c>
      <c r="B146" s="112">
        <v>1.319</v>
      </c>
      <c r="C146" s="108">
        <f t="shared" si="38"/>
        <v>-1.3000000000000123E-2</v>
      </c>
      <c r="D146" s="109">
        <f t="shared" si="39"/>
        <v>-1.3000000000000123E-2</v>
      </c>
      <c r="E146" s="109">
        <f ca="1">IF(表2_36716262930389121314151819[[#This Row],[累计净值]]/MAX(INDIRECT("B21:B" &amp; ROW()))-1&lt;E145,表2_36716262930389121314151819[[#This Row],[累计净值]]/MAX(INDIRECT("B21:B" &amp; ROW()))-1,E145)</f>
        <v>-5.3585500394010888E-2</v>
      </c>
      <c r="F146" s="110">
        <f>表2_36716262930389121314151819[[#This Row],[累计净值]]-0.144</f>
        <v>1.175</v>
      </c>
      <c r="G146" s="20">
        <f>IF(表2_36716262930389121314151819[[#This Row],[单位净值]]&gt;1.088,0.8*(表2_36716262930389121314151819[[#This Row],[单位净值]]-1.088)/1.088,(表2_36716262930389121314151819[[#This Row],[单位净值]]-1.088)/1.088)</f>
        <v>6.3970588235294099E-2</v>
      </c>
    </row>
    <row r="147" spans="1:7" x14ac:dyDescent="0.2">
      <c r="A147" s="15">
        <v>44169</v>
      </c>
      <c r="B147" s="112">
        <v>1.3140000000000001</v>
      </c>
      <c r="C147" s="108">
        <f t="shared" si="38"/>
        <v>-4.9999999999998934E-3</v>
      </c>
      <c r="D147" s="109">
        <f t="shared" si="39"/>
        <v>-4.9999999999998934E-3</v>
      </c>
      <c r="E147" s="109">
        <f ca="1">IF(表2_36716262930389121314151819[[#This Row],[累计净值]]/MAX(INDIRECT("B21:B" &amp; ROW()))-1&lt;E146,表2_36716262930389121314151819[[#This Row],[累计净值]]/MAX(INDIRECT("B21:B" &amp; ROW()))-1,E146)</f>
        <v>-5.3585500394010888E-2</v>
      </c>
      <c r="F147" s="110">
        <f>表2_36716262930389121314151819[[#This Row],[累计净值]]-0.144</f>
        <v>1.1700000000000002</v>
      </c>
      <c r="G147" s="20">
        <f>IF(表2_36716262930389121314151819[[#This Row],[单位净值]]&gt;1.088,0.8*(表2_36716262930389121314151819[[#This Row],[单位净值]]-1.088)/1.088,(表2_36716262930389121314151819[[#This Row],[单位净值]]-1.088)/1.088)</f>
        <v>6.0294117647058873E-2</v>
      </c>
    </row>
    <row r="148" spans="1:7" x14ac:dyDescent="0.2">
      <c r="A148" s="15">
        <v>44172</v>
      </c>
      <c r="B148" s="112">
        <v>1.32</v>
      </c>
      <c r="C148" s="108">
        <f t="shared" si="38"/>
        <v>6.0000000000000053E-3</v>
      </c>
      <c r="D148" s="109" t="str">
        <f t="shared" si="39"/>
        <v>/</v>
      </c>
      <c r="E148" s="109">
        <f ca="1">IF(表2_36716262930389121314151819[[#This Row],[累计净值]]/MAX(INDIRECT("B21:B" &amp; ROW()))-1&lt;E147,表2_36716262930389121314151819[[#This Row],[累计净值]]/MAX(INDIRECT("B21:B" &amp; ROW()))-1,E147)</f>
        <v>-5.3585500394010888E-2</v>
      </c>
      <c r="F148" s="110">
        <f>表2_36716262930389121314151819[[#This Row],[累计净值]]-0.144</f>
        <v>1.1760000000000002</v>
      </c>
      <c r="G148" s="20">
        <f>IF(表2_36716262930389121314151819[[#This Row],[单位净值]]&gt;1.088,0.8*(表2_36716262930389121314151819[[#This Row],[单位净值]]-1.088)/1.088,(表2_36716262930389121314151819[[#This Row],[单位净值]]-1.088)/1.088)</f>
        <v>6.4705882352941224E-2</v>
      </c>
    </row>
    <row r="149" spans="1:7" x14ac:dyDescent="0.2">
      <c r="A149" s="15">
        <v>44173</v>
      </c>
      <c r="B149" s="112">
        <v>1.3160000000000001</v>
      </c>
      <c r="C149" s="108">
        <f t="shared" si="38"/>
        <v>-4.0000000000000036E-3</v>
      </c>
      <c r="D149" s="109">
        <f t="shared" si="39"/>
        <v>-4.0000000000000036E-3</v>
      </c>
      <c r="E149" s="109">
        <f ca="1">IF(表2_36716262930389121314151819[[#This Row],[累计净值]]/MAX(INDIRECT("B21:B" &amp; ROW()))-1&lt;E148,表2_36716262930389121314151819[[#This Row],[累计净值]]/MAX(INDIRECT("B21:B" &amp; ROW()))-1,E148)</f>
        <v>-5.3585500394010888E-2</v>
      </c>
      <c r="F149" s="110">
        <f>表2_36716262930389121314151819[[#This Row],[累计净值]]-0.144</f>
        <v>1.1720000000000002</v>
      </c>
      <c r="G149" s="20">
        <f>IF(表2_36716262930389121314151819[[#This Row],[单位净值]]&gt;1.088,0.8*(表2_36716262930389121314151819[[#This Row],[单位净值]]-1.088)/1.088,(表2_36716262930389121314151819[[#This Row],[单位净值]]-1.088)/1.088)</f>
        <v>6.1764705882352999E-2</v>
      </c>
    </row>
    <row r="150" spans="1:7" x14ac:dyDescent="0.2">
      <c r="A150" s="15">
        <v>44174</v>
      </c>
      <c r="B150" s="112">
        <v>1.3129999999999999</v>
      </c>
      <c r="C150" s="108">
        <f t="shared" ref="C150:C155" si="40">IFERROR(B150-B149,0)</f>
        <v>-3.0000000000001137E-3</v>
      </c>
      <c r="D150" s="109">
        <f t="shared" ref="D150:D155" si="41">IF(C150&lt;0,C150,"/")</f>
        <v>-3.0000000000001137E-3</v>
      </c>
      <c r="E150" s="109">
        <f ca="1">IF(表2_36716262930389121314151819[[#This Row],[累计净值]]/MAX(INDIRECT("B21:B" &amp; ROW()))-1&lt;E149,表2_36716262930389121314151819[[#This Row],[累计净值]]/MAX(INDIRECT("B21:B" &amp; ROW()))-1,E149)</f>
        <v>-5.3585500394010888E-2</v>
      </c>
      <c r="F150" s="110">
        <f>表2_36716262930389121314151819[[#This Row],[累计净值]]-0.144</f>
        <v>1.169</v>
      </c>
      <c r="G150" s="20">
        <f>IF(表2_36716262930389121314151819[[#This Row],[单位净值]]&gt;1.088,0.8*(表2_36716262930389121314151819[[#This Row],[单位净值]]-1.088)/1.088,(表2_36716262930389121314151819[[#This Row],[单位净值]]-1.088)/1.088)</f>
        <v>5.9558823529411734E-2</v>
      </c>
    </row>
    <row r="151" spans="1:7" x14ac:dyDescent="0.2">
      <c r="A151" s="15">
        <v>44175</v>
      </c>
      <c r="B151" s="112">
        <v>1.3320000000000001</v>
      </c>
      <c r="C151" s="108">
        <f t="shared" si="40"/>
        <v>1.9000000000000128E-2</v>
      </c>
      <c r="D151" s="109" t="str">
        <f t="shared" si="41"/>
        <v>/</v>
      </c>
      <c r="E151" s="109">
        <f ca="1">IF(表2_36716262930389121314151819[[#This Row],[累计净值]]/MAX(INDIRECT("B21:B" &amp; ROW()))-1&lt;E150,表2_36716262930389121314151819[[#This Row],[累计净值]]/MAX(INDIRECT("B21:B" &amp; ROW()))-1,E150)</f>
        <v>-5.3585500394010888E-2</v>
      </c>
      <c r="F151" s="110">
        <f>表2_36716262930389121314151819[[#This Row],[累计净值]]-0.144</f>
        <v>1.1880000000000002</v>
      </c>
      <c r="G151" s="20">
        <f>IF(表2_36716262930389121314151819[[#This Row],[单位净值]]&gt;1.088,0.8*(表2_36716262930389121314151819[[#This Row],[单位净值]]-1.088)/1.088,(表2_36716262930389121314151819[[#This Row],[单位净值]]-1.088)/1.088)</f>
        <v>7.352941176470594E-2</v>
      </c>
    </row>
    <row r="152" spans="1:7" x14ac:dyDescent="0.2">
      <c r="A152" s="15">
        <v>44176</v>
      </c>
      <c r="B152" s="112">
        <v>1.323</v>
      </c>
      <c r="C152" s="108">
        <f t="shared" si="40"/>
        <v>-9.000000000000119E-3</v>
      </c>
      <c r="D152" s="109">
        <f t="shared" si="41"/>
        <v>-9.000000000000119E-3</v>
      </c>
      <c r="E152" s="109">
        <f ca="1">IF(表2_36716262930389121314151819[[#This Row],[累计净值]]/MAX(INDIRECT("B21:B" &amp; ROW()))-1&lt;E151,表2_36716262930389121314151819[[#This Row],[累计净值]]/MAX(INDIRECT("B21:B" &amp; ROW()))-1,E151)</f>
        <v>-5.3585500394010888E-2</v>
      </c>
      <c r="F152" s="110">
        <f>表2_36716262930389121314151819[[#This Row],[累计净值]]-0.144</f>
        <v>1.179</v>
      </c>
      <c r="G152" s="20">
        <f>IF(表2_36716262930389121314151819[[#This Row],[单位净值]]&gt;1.088,0.8*(表2_36716262930389121314151819[[#This Row],[单位净值]]-1.088)/1.088,(表2_36716262930389121314151819[[#This Row],[单位净值]]-1.088)/1.088)</f>
        <v>6.6911764705882323E-2</v>
      </c>
    </row>
    <row r="153" spans="1:7" x14ac:dyDescent="0.2">
      <c r="A153" s="15">
        <v>44179</v>
      </c>
      <c r="B153" s="112">
        <v>1.3140000000000001</v>
      </c>
      <c r="C153" s="108">
        <f t="shared" si="40"/>
        <v>-8.999999999999897E-3</v>
      </c>
      <c r="D153" s="109">
        <f t="shared" si="41"/>
        <v>-8.999999999999897E-3</v>
      </c>
      <c r="E153" s="109">
        <f ca="1">IF(表2_36716262930389121314151819[[#This Row],[累计净值]]/MAX(INDIRECT("B21:B" &amp; ROW()))-1&lt;E152,表2_36716262930389121314151819[[#This Row],[累计净值]]/MAX(INDIRECT("B21:B" &amp; ROW()))-1,E152)</f>
        <v>-5.3585500394010888E-2</v>
      </c>
      <c r="F153" s="110">
        <f>表2_36716262930389121314151819[[#This Row],[累计净值]]-0.144</f>
        <v>1.1700000000000002</v>
      </c>
      <c r="G153" s="20">
        <f>IF(表2_36716262930389121314151819[[#This Row],[单位净值]]&gt;1.088,0.8*(表2_36716262930389121314151819[[#This Row],[单位净值]]-1.088)/1.088,(表2_36716262930389121314151819[[#This Row],[单位净值]]-1.088)/1.088)</f>
        <v>6.0294117647058873E-2</v>
      </c>
    </row>
    <row r="154" spans="1:7" x14ac:dyDescent="0.2">
      <c r="A154" s="15">
        <v>44180</v>
      </c>
      <c r="B154" s="112">
        <v>1.3009999999999999</v>
      </c>
      <c r="C154" s="108">
        <f t="shared" si="40"/>
        <v>-1.3000000000000123E-2</v>
      </c>
      <c r="D154" s="109">
        <f t="shared" si="41"/>
        <v>-1.3000000000000123E-2</v>
      </c>
      <c r="E154" s="109">
        <f ca="1">IF(表2_36716262930389121314151819[[#This Row],[累计净值]]/MAX(INDIRECT("B21:B" &amp; ROW()))-1&lt;E153,表2_36716262930389121314151819[[#This Row],[累计净值]]/MAX(INDIRECT("B21:B" &amp; ROW()))-1,E153)</f>
        <v>-5.3585500394010888E-2</v>
      </c>
      <c r="F154" s="110">
        <f>表2_36716262930389121314151819[[#This Row],[累计净值]]-0.144</f>
        <v>1.157</v>
      </c>
      <c r="G154" s="20">
        <f>IF(表2_36716262930389121314151819[[#This Row],[单位净值]]&gt;1.088,0.8*(表2_36716262930389121314151819[[#This Row],[单位净值]]-1.088)/1.088,(表2_36716262930389121314151819[[#This Row],[单位净值]]-1.088)/1.088)</f>
        <v>5.0735294117647024E-2</v>
      </c>
    </row>
    <row r="155" spans="1:7" x14ac:dyDescent="0.2">
      <c r="A155" s="15">
        <v>44181</v>
      </c>
      <c r="B155" s="112">
        <v>1.2969999999999999</v>
      </c>
      <c r="C155" s="108">
        <f t="shared" si="40"/>
        <v>-4.0000000000000036E-3</v>
      </c>
      <c r="D155" s="109">
        <f t="shared" si="41"/>
        <v>-4.0000000000000036E-3</v>
      </c>
      <c r="E155" s="109">
        <f ca="1">IF(表2_36716262930389121314151819[[#This Row],[累计净值]]/MAX(INDIRECT("B21:B" &amp; ROW()))-1&lt;E154,表2_36716262930389121314151819[[#This Row],[累计净值]]/MAX(INDIRECT("B21:B" &amp; ROW()))-1,E154)</f>
        <v>-5.3585500394010888E-2</v>
      </c>
      <c r="F155" s="110">
        <f>表2_36716262930389121314151819[[#This Row],[累计净值]]-0.144</f>
        <v>1.153</v>
      </c>
      <c r="G155" s="20">
        <f>IF(表2_36716262930389121314151819[[#This Row],[单位净值]]&gt;1.088,0.8*(表2_36716262930389121314151819[[#This Row],[单位净值]]-1.088)/1.088,(表2_36716262930389121314151819[[#This Row],[单位净值]]-1.088)/1.088)</f>
        <v>4.7794117647058786E-2</v>
      </c>
    </row>
    <row r="156" spans="1:7" x14ac:dyDescent="0.2">
      <c r="A156" s="15">
        <v>44182</v>
      </c>
      <c r="B156" s="112">
        <v>1.3029999999999999</v>
      </c>
      <c r="C156" s="108">
        <f t="shared" ref="C156:C161" si="42">IFERROR(B156-B155,0)</f>
        <v>6.0000000000000053E-3</v>
      </c>
      <c r="D156" s="109" t="str">
        <f t="shared" ref="D156:D161" si="43">IF(C156&lt;0,C156,"/")</f>
        <v>/</v>
      </c>
      <c r="E156" s="109">
        <f ca="1">IF(表2_36716262930389121314151819[[#This Row],[累计净值]]/MAX(INDIRECT("B21:B" &amp; ROW()))-1&lt;E155,表2_36716262930389121314151819[[#This Row],[累计净值]]/MAX(INDIRECT("B21:B" &amp; ROW()))-1,E155)</f>
        <v>-5.3585500394010888E-2</v>
      </c>
      <c r="F156" s="110">
        <f>表2_36716262930389121314151819[[#This Row],[累计净值]]-0.144</f>
        <v>1.159</v>
      </c>
      <c r="G156" s="20">
        <f>IF(表2_36716262930389121314151819[[#This Row],[单位净值]]&gt;1.088,0.8*(表2_36716262930389121314151819[[#This Row],[单位净值]]-1.088)/1.088,(表2_36716262930389121314151819[[#This Row],[单位净值]]-1.088)/1.088)</f>
        <v>5.2205882352941137E-2</v>
      </c>
    </row>
    <row r="157" spans="1:7" x14ac:dyDescent="0.2">
      <c r="A157" s="15">
        <v>44183</v>
      </c>
      <c r="B157" s="112">
        <v>1.33</v>
      </c>
      <c r="C157" s="108">
        <f t="shared" si="42"/>
        <v>2.7000000000000135E-2</v>
      </c>
      <c r="D157" s="109" t="str">
        <f t="shared" si="43"/>
        <v>/</v>
      </c>
      <c r="E157" s="109">
        <f ca="1">IF(表2_36716262930389121314151819[[#This Row],[累计净值]]/MAX(INDIRECT("B21:B" &amp; ROW()))-1&lt;E156,表2_36716262930389121314151819[[#This Row],[累计净值]]/MAX(INDIRECT("B21:B" &amp; ROW()))-1,E156)</f>
        <v>-5.3585500394010888E-2</v>
      </c>
      <c r="F157" s="110">
        <f>表2_36716262930389121314151819[[#This Row],[累计净值]]-0.144</f>
        <v>1.1860000000000002</v>
      </c>
      <c r="G157" s="20">
        <f>IF(表2_36716262930389121314151819[[#This Row],[单位净值]]&gt;1.088,0.8*(表2_36716262930389121314151819[[#This Row],[单位净值]]-1.088)/1.088,(表2_36716262930389121314151819[[#This Row],[单位净值]]-1.088)/1.088)</f>
        <v>7.2058823529411828E-2</v>
      </c>
    </row>
    <row r="158" spans="1:7" x14ac:dyDescent="0.2">
      <c r="A158" s="15">
        <v>44186</v>
      </c>
      <c r="B158" s="112">
        <v>1.347</v>
      </c>
      <c r="C158" s="108">
        <f t="shared" si="42"/>
        <v>1.6999999999999904E-2</v>
      </c>
      <c r="D158" s="109" t="str">
        <f t="shared" si="43"/>
        <v>/</v>
      </c>
      <c r="E158" s="109">
        <f ca="1">IF(表2_36716262930389121314151819[[#This Row],[累计净值]]/MAX(INDIRECT("B21:B" &amp; ROW()))-1&lt;E157,表2_36716262930389121314151819[[#This Row],[累计净值]]/MAX(INDIRECT("B21:B" &amp; ROW()))-1,E157)</f>
        <v>-5.3585500394010888E-2</v>
      </c>
      <c r="F158" s="110">
        <f>表2_36716262930389121314151819[[#This Row],[累计净值]]-0.144</f>
        <v>1.2030000000000001</v>
      </c>
      <c r="G158" s="20">
        <f>IF(表2_36716262930389121314151819[[#This Row],[单位净值]]&gt;1.088,0.8*(表2_36716262930389121314151819[[#This Row],[单位净值]]-1.088)/1.088,(表2_36716262930389121314151819[[#This Row],[单位净值]]-1.088)/1.088)</f>
        <v>8.4558823529411756E-2</v>
      </c>
    </row>
    <row r="159" spans="1:7" x14ac:dyDescent="0.2">
      <c r="A159" s="15">
        <v>44187</v>
      </c>
      <c r="B159" s="112">
        <v>1.367</v>
      </c>
      <c r="C159" s="108">
        <f t="shared" si="42"/>
        <v>2.0000000000000018E-2</v>
      </c>
      <c r="D159" s="109" t="str">
        <f t="shared" si="43"/>
        <v>/</v>
      </c>
      <c r="E159" s="109">
        <f ca="1">IF(表2_36716262930389121314151819[[#This Row],[累计净值]]/MAX(INDIRECT("B21:B" &amp; ROW()))-1&lt;E158,表2_36716262930389121314151819[[#This Row],[累计净值]]/MAX(INDIRECT("B21:B" &amp; ROW()))-1,E158)</f>
        <v>-5.3585500394010888E-2</v>
      </c>
      <c r="F159" s="110">
        <f>表2_36716262930389121314151819[[#This Row],[累计净值]]-0.144</f>
        <v>1.2230000000000001</v>
      </c>
      <c r="G159" s="20">
        <f>IF(表2_36716262930389121314151819[[#This Row],[单位净值]]&gt;1.088,0.8*(表2_36716262930389121314151819[[#This Row],[单位净值]]-1.088)/1.088,(表2_36716262930389121314151819[[#This Row],[单位净值]]-1.088)/1.088)</f>
        <v>9.9264705882352949E-2</v>
      </c>
    </row>
    <row r="160" spans="1:7" x14ac:dyDescent="0.2">
      <c r="A160" s="15">
        <v>44188</v>
      </c>
      <c r="B160" s="206">
        <v>1.395</v>
      </c>
      <c r="C160" s="108">
        <f t="shared" si="42"/>
        <v>2.8000000000000025E-2</v>
      </c>
      <c r="D160" s="109" t="str">
        <f t="shared" si="43"/>
        <v>/</v>
      </c>
      <c r="E160" s="109">
        <f ca="1">IF(表2_36716262930389121314151819[[#This Row],[累计净值]]/MAX(INDIRECT("B21:B" &amp; ROW()))-1&lt;E159,表2_36716262930389121314151819[[#This Row],[累计净值]]/MAX(INDIRECT("B21:B" &amp; ROW()))-1,E159)</f>
        <v>-5.3585500394010888E-2</v>
      </c>
      <c r="F160" s="110">
        <f>表2_36716262930389121314151819[[#This Row],[累计净值]]-0.144</f>
        <v>1.2510000000000001</v>
      </c>
      <c r="G160" s="20">
        <f>IF(表2_36716262930389121314151819[[#This Row],[单位净值]]&gt;1.088,0.8*(表2_36716262930389121314151819[[#This Row],[单位净值]]-1.088)/1.088,(表2_36716262930389121314151819[[#This Row],[单位净值]]-1.088)/1.088)</f>
        <v>0.11985294117647062</v>
      </c>
    </row>
    <row r="161" spans="1:7" x14ac:dyDescent="0.2">
      <c r="A161" s="15">
        <v>44189</v>
      </c>
      <c r="B161" s="112">
        <v>1.381</v>
      </c>
      <c r="C161" s="108">
        <f t="shared" si="42"/>
        <v>-1.4000000000000012E-2</v>
      </c>
      <c r="D161" s="109">
        <f t="shared" si="43"/>
        <v>-1.4000000000000012E-2</v>
      </c>
      <c r="E161" s="109">
        <f ca="1">IF(表2_36716262930389121314151819[[#This Row],[累计净值]]/MAX(INDIRECT("B21:B" &amp; ROW()))-1&lt;E160,表2_36716262930389121314151819[[#This Row],[累计净值]]/MAX(INDIRECT("B21:B" &amp; ROW()))-1,E160)</f>
        <v>-5.3585500394010888E-2</v>
      </c>
      <c r="F161" s="110">
        <f>表2_36716262930389121314151819[[#This Row],[累计净值]]-0.144</f>
        <v>1.2370000000000001</v>
      </c>
      <c r="G161" s="20">
        <f>IF(表2_36716262930389121314151819[[#This Row],[单位净值]]&gt;1.088,0.8*(表2_36716262930389121314151819[[#This Row],[单位净值]]-1.088)/1.088,(表2_36716262930389121314151819[[#This Row],[单位净值]]-1.088)/1.088)</f>
        <v>0.10955882352941178</v>
      </c>
    </row>
    <row r="162" spans="1:7" x14ac:dyDescent="0.2">
      <c r="A162" s="15">
        <v>44190</v>
      </c>
      <c r="B162" s="112">
        <v>1.375</v>
      </c>
      <c r="C162" s="108">
        <f t="shared" ref="C162:C167" si="44">IFERROR(B162-B161,0)</f>
        <v>-6.0000000000000053E-3</v>
      </c>
      <c r="D162" s="109">
        <f t="shared" ref="D162:D167" si="45">IF(C162&lt;0,C162,"/")</f>
        <v>-6.0000000000000053E-3</v>
      </c>
      <c r="E162" s="109">
        <f ca="1">IF(表2_36716262930389121314151819[[#This Row],[累计净值]]/MAX(INDIRECT("B21:B" &amp; ROW()))-1&lt;E161,表2_36716262930389121314151819[[#This Row],[累计净值]]/MAX(INDIRECT("B21:B" &amp; ROW()))-1,E161)</f>
        <v>-5.3585500394010888E-2</v>
      </c>
      <c r="F162" s="110">
        <f>表2_36716262930389121314151819[[#This Row],[累计净值]]-0.144</f>
        <v>1.2310000000000001</v>
      </c>
      <c r="G162" s="20">
        <f>IF(表2_36716262930389121314151819[[#This Row],[单位净值]]&gt;1.088,0.8*(表2_36716262930389121314151819[[#This Row],[单位净值]]-1.088)/1.088,(表2_36716262930389121314151819[[#This Row],[单位净值]]-1.088)/1.088)</f>
        <v>0.10514705882352941</v>
      </c>
    </row>
    <row r="163" spans="1:7" x14ac:dyDescent="0.2">
      <c r="A163" s="15">
        <v>44193</v>
      </c>
      <c r="B163" s="112">
        <v>1.3720000000000001</v>
      </c>
      <c r="C163" s="108">
        <f t="shared" si="44"/>
        <v>-2.9999999999998916E-3</v>
      </c>
      <c r="D163" s="109">
        <f t="shared" si="45"/>
        <v>-2.9999999999998916E-3</v>
      </c>
      <c r="E163" s="109">
        <f ca="1">IF(表2_36716262930389121314151819[[#This Row],[累计净值]]/MAX(INDIRECT("B21:B" &amp; ROW()))-1&lt;E162,表2_36716262930389121314151819[[#This Row],[累计净值]]/MAX(INDIRECT("B21:B" &amp; ROW()))-1,E162)</f>
        <v>-5.3585500394010888E-2</v>
      </c>
      <c r="F163" s="110">
        <f>表2_36716262930389121314151819[[#This Row],[累计净值]]-0.144</f>
        <v>1.2280000000000002</v>
      </c>
      <c r="G163" s="20">
        <f>IF(表2_36716262930389121314151819[[#This Row],[单位净值]]&gt;1.088,0.8*(表2_36716262930389121314151819[[#This Row],[单位净值]]-1.088)/1.088,(表2_36716262930389121314151819[[#This Row],[单位净值]]-1.088)/1.088)</f>
        <v>0.10294117647058831</v>
      </c>
    </row>
    <row r="164" spans="1:7" x14ac:dyDescent="0.2">
      <c r="A164" s="15">
        <v>44194</v>
      </c>
      <c r="B164" s="112">
        <v>1.3720000000000001</v>
      </c>
      <c r="C164" s="108">
        <f t="shared" si="44"/>
        <v>0</v>
      </c>
      <c r="D164" s="109" t="str">
        <f t="shared" si="45"/>
        <v>/</v>
      </c>
      <c r="E164" s="109">
        <f ca="1">IF(表2_36716262930389121314151819[[#This Row],[累计净值]]/MAX(INDIRECT("B21:B" &amp; ROW()))-1&lt;E163,表2_36716262930389121314151819[[#This Row],[累计净值]]/MAX(INDIRECT("B21:B" &amp; ROW()))-1,E163)</f>
        <v>-5.3585500394010888E-2</v>
      </c>
      <c r="F164" s="110">
        <f>表2_36716262930389121314151819[[#This Row],[累计净值]]-0.144</f>
        <v>1.2280000000000002</v>
      </c>
      <c r="G164" s="20">
        <f>IF(表2_36716262930389121314151819[[#This Row],[单位净值]]&gt;1.088,0.8*(表2_36716262930389121314151819[[#This Row],[单位净值]]-1.088)/1.088,(表2_36716262930389121314151819[[#This Row],[单位净值]]-1.088)/1.088)</f>
        <v>0.10294117647058831</v>
      </c>
    </row>
    <row r="165" spans="1:7" x14ac:dyDescent="0.2">
      <c r="A165" s="15">
        <v>44195</v>
      </c>
      <c r="B165" s="112">
        <v>1.36</v>
      </c>
      <c r="C165" s="108">
        <f t="shared" si="44"/>
        <v>-1.2000000000000011E-2</v>
      </c>
      <c r="D165" s="109">
        <f t="shared" si="45"/>
        <v>-1.2000000000000011E-2</v>
      </c>
      <c r="E165" s="109">
        <f ca="1">IF(表2_36716262930389121314151819[[#This Row],[累计净值]]/MAX(INDIRECT("B21:B" &amp; ROW()))-1&lt;E164,表2_36716262930389121314151819[[#This Row],[累计净值]]/MAX(INDIRECT("B21:B" &amp; ROW()))-1,E164)</f>
        <v>-5.3585500394010888E-2</v>
      </c>
      <c r="F165" s="110">
        <f>表2_36716262930389121314151819[[#This Row],[累计净值]]-0.144</f>
        <v>1.2160000000000002</v>
      </c>
      <c r="G165" s="20">
        <f>IF(表2_36716262930389121314151819[[#This Row],[单位净值]]&gt;1.088,0.8*(表2_36716262930389121314151819[[#This Row],[单位净值]]-1.088)/1.088,(表2_36716262930389121314151819[[#This Row],[单位净值]]-1.088)/1.088)</f>
        <v>9.4117647058823611E-2</v>
      </c>
    </row>
    <row r="166" spans="1:7" x14ac:dyDescent="0.2">
      <c r="A166" s="15">
        <v>44196</v>
      </c>
      <c r="B166" s="112">
        <v>1.349</v>
      </c>
      <c r="C166" s="108">
        <f t="shared" si="44"/>
        <v>-1.1000000000000121E-2</v>
      </c>
      <c r="D166" s="109">
        <f t="shared" si="45"/>
        <v>-1.1000000000000121E-2</v>
      </c>
      <c r="E166" s="109">
        <f ca="1">IF(表2_36716262930389121314151819[[#This Row],[累计净值]]/MAX(INDIRECT("B21:B" &amp; ROW()))-1&lt;E165,表2_36716262930389121314151819[[#This Row],[累计净值]]/MAX(INDIRECT("B21:B" &amp; ROW()))-1,E165)</f>
        <v>-5.3585500394010888E-2</v>
      </c>
      <c r="F166" s="110">
        <f>表2_36716262930389121314151819[[#This Row],[累计净值]]-0.144</f>
        <v>1.2050000000000001</v>
      </c>
      <c r="G166" s="20">
        <f>IF(表2_36716262930389121314151819[[#This Row],[单位净值]]&gt;1.088,0.8*(表2_36716262930389121314151819[[#This Row],[单位净值]]-1.088)/1.088,(表2_36716262930389121314151819[[#This Row],[单位净值]]-1.088)/1.088)</f>
        <v>8.6029411764705882E-2</v>
      </c>
    </row>
    <row r="167" spans="1:7" x14ac:dyDescent="0.2">
      <c r="A167" s="15">
        <v>44200</v>
      </c>
      <c r="B167" s="112">
        <v>1.3360000000000001</v>
      </c>
      <c r="C167" s="108">
        <f t="shared" si="44"/>
        <v>-1.2999999999999901E-2</v>
      </c>
      <c r="D167" s="109">
        <f t="shared" si="45"/>
        <v>-1.2999999999999901E-2</v>
      </c>
      <c r="E167" s="109">
        <f ca="1">IF(表2_36716262930389121314151819[[#This Row],[累计净值]]/MAX(INDIRECT("B21:B" &amp; ROW()))-1&lt;E166,表2_36716262930389121314151819[[#This Row],[累计净值]]/MAX(INDIRECT("B21:B" &amp; ROW()))-1,E166)</f>
        <v>-5.3585500394010888E-2</v>
      </c>
      <c r="F167" s="110">
        <f>表2_36716262930389121314151819[[#This Row],[累计净值]]-0.144</f>
        <v>1.1920000000000002</v>
      </c>
      <c r="G167" s="20">
        <f>IF(表2_36716262930389121314151819[[#This Row],[单位净值]]&gt;1.088,0.8*(表2_36716262930389121314151819[[#This Row],[单位净值]]-1.088)/1.088,(表2_36716262930389121314151819[[#This Row],[单位净值]]-1.088)/1.088)</f>
        <v>7.6470588235294179E-2</v>
      </c>
    </row>
    <row r="168" spans="1:7" x14ac:dyDescent="0.2">
      <c r="A168" s="15">
        <v>44201</v>
      </c>
      <c r="B168" s="112">
        <v>1.3440000000000001</v>
      </c>
      <c r="C168" s="108">
        <f t="shared" ref="C168:C173" si="46">IFERROR(B168-B167,0)</f>
        <v>8.0000000000000071E-3</v>
      </c>
      <c r="D168" s="109" t="str">
        <f t="shared" ref="D168:D173" si="47">IF(C168&lt;0,C168,"/")</f>
        <v>/</v>
      </c>
      <c r="E168" s="109">
        <f ca="1">IF(表2_36716262930389121314151819[[#This Row],[累计净值]]/MAX(INDIRECT("B21:B" &amp; ROW()))-1&lt;E167,表2_36716262930389121314151819[[#This Row],[累计净值]]/MAX(INDIRECT("B21:B" &amp; ROW()))-1,E167)</f>
        <v>-5.3585500394010888E-2</v>
      </c>
      <c r="F168" s="110">
        <f>表2_36716262930389121314151819[[#This Row],[累计净值]]-0.144</f>
        <v>1.2000000000000002</v>
      </c>
      <c r="G168" s="20">
        <f>IF(表2_36716262930389121314151819[[#This Row],[单位净值]]&gt;1.088,0.8*(表2_36716262930389121314151819[[#This Row],[单位净值]]-1.088)/1.088,(表2_36716262930389121314151819[[#This Row],[单位净值]]-1.088)/1.088)</f>
        <v>8.2352941176470656E-2</v>
      </c>
    </row>
    <row r="169" spans="1:7" x14ac:dyDescent="0.2">
      <c r="A169" s="15">
        <v>44202</v>
      </c>
      <c r="B169" s="112">
        <v>1.335</v>
      </c>
      <c r="C169" s="108">
        <f t="shared" si="46"/>
        <v>-9.000000000000119E-3</v>
      </c>
      <c r="D169" s="109">
        <f t="shared" si="47"/>
        <v>-9.000000000000119E-3</v>
      </c>
      <c r="E169" s="109">
        <f ca="1">IF(表2_36716262930389121314151819[[#This Row],[累计净值]]/MAX(INDIRECT("B21:B" &amp; ROW()))-1&lt;E168,表2_36716262930389121314151819[[#This Row],[累计净值]]/MAX(INDIRECT("B21:B" &amp; ROW()))-1,E168)</f>
        <v>-5.3585500394010888E-2</v>
      </c>
      <c r="F169" s="110">
        <f>表2_36716262930389121314151819[[#This Row],[累计净值]]-0.144</f>
        <v>1.1910000000000001</v>
      </c>
      <c r="G169" s="20">
        <f>IF(表2_36716262930389121314151819[[#This Row],[单位净值]]&gt;1.088,0.8*(表2_36716262930389121314151819[[#This Row],[单位净值]]-1.088)/1.088,(表2_36716262930389121314151819[[#This Row],[单位净值]]-1.088)/1.088)</f>
        <v>7.573529411764704E-2</v>
      </c>
    </row>
    <row r="170" spans="1:7" x14ac:dyDescent="0.2">
      <c r="A170" s="15">
        <v>44203</v>
      </c>
      <c r="B170" s="112">
        <v>1.3360000000000001</v>
      </c>
      <c r="C170" s="108">
        <f t="shared" si="46"/>
        <v>1.0000000000001119E-3</v>
      </c>
      <c r="D170" s="109" t="str">
        <f t="shared" si="47"/>
        <v>/</v>
      </c>
      <c r="E170" s="109">
        <f ca="1">IF(表2_36716262930389121314151819[[#This Row],[累计净值]]/MAX(INDIRECT("B21:B" &amp; ROW()))-1&lt;E169,表2_36716262930389121314151819[[#This Row],[累计净值]]/MAX(INDIRECT("B21:B" &amp; ROW()))-1,E169)</f>
        <v>-5.3585500394010888E-2</v>
      </c>
      <c r="F170" s="110">
        <f>表2_36716262930389121314151819[[#This Row],[累计净值]]-0.144</f>
        <v>1.1920000000000002</v>
      </c>
      <c r="G170" s="20">
        <f>IF(表2_36716262930389121314151819[[#This Row],[单位净值]]&gt;1.088,0.8*(表2_36716262930389121314151819[[#This Row],[单位净值]]-1.088)/1.088,(表2_36716262930389121314151819[[#This Row],[单位净值]]-1.088)/1.088)</f>
        <v>7.6470588235294179E-2</v>
      </c>
    </row>
    <row r="171" spans="1:7" x14ac:dyDescent="0.2">
      <c r="A171" s="15">
        <v>44204</v>
      </c>
      <c r="B171" s="112">
        <v>1.347</v>
      </c>
      <c r="C171" s="108">
        <f t="shared" si="46"/>
        <v>1.0999999999999899E-2</v>
      </c>
      <c r="D171" s="109" t="str">
        <f t="shared" si="47"/>
        <v>/</v>
      </c>
      <c r="E171" s="109">
        <f ca="1">IF(表2_36716262930389121314151819[[#This Row],[累计净值]]/MAX(INDIRECT("B21:B" &amp; ROW()))-1&lt;E170,表2_36716262930389121314151819[[#This Row],[累计净值]]/MAX(INDIRECT("B21:B" &amp; ROW()))-1,E170)</f>
        <v>-5.3585500394010888E-2</v>
      </c>
      <c r="F171" s="110">
        <f>表2_36716262930389121314151819[[#This Row],[累计净值]]-0.144</f>
        <v>1.2030000000000001</v>
      </c>
      <c r="G171" s="20">
        <f>IF(表2_36716262930389121314151819[[#This Row],[单位净值]]&gt;1.088,0.8*(表2_36716262930389121314151819[[#This Row],[单位净值]]-1.088)/1.088,(表2_36716262930389121314151819[[#This Row],[单位净值]]-1.088)/1.088)</f>
        <v>8.4558823529411756E-2</v>
      </c>
    </row>
    <row r="172" spans="1:7" x14ac:dyDescent="0.2">
      <c r="A172" s="15">
        <v>44207</v>
      </c>
      <c r="B172" s="112">
        <v>1.3560000000000001</v>
      </c>
      <c r="C172" s="108">
        <f t="shared" si="46"/>
        <v>9.000000000000119E-3</v>
      </c>
      <c r="D172" s="109" t="str">
        <f t="shared" si="47"/>
        <v>/</v>
      </c>
      <c r="E172" s="109">
        <f ca="1">IF(表2_36716262930389121314151819[[#This Row],[累计净值]]/MAX(INDIRECT("B21:B" &amp; ROW()))-1&lt;E171,表2_36716262930389121314151819[[#This Row],[累计净值]]/MAX(INDIRECT("B21:B" &amp; ROW()))-1,E171)</f>
        <v>-5.3585500394010888E-2</v>
      </c>
      <c r="F172" s="110">
        <f>表2_36716262930389121314151819[[#This Row],[累计净值]]-0.144</f>
        <v>1.2120000000000002</v>
      </c>
      <c r="G172" s="20">
        <f>IF(表2_36716262930389121314151819[[#This Row],[单位净值]]&gt;1.088,0.8*(表2_36716262930389121314151819[[#This Row],[单位净值]]-1.088)/1.088,(表2_36716262930389121314151819[[#This Row],[单位净值]]-1.088)/1.088)</f>
        <v>9.1176470588235373E-2</v>
      </c>
    </row>
    <row r="173" spans="1:7" x14ac:dyDescent="0.2">
      <c r="A173" s="15">
        <v>44208</v>
      </c>
      <c r="B173" s="112">
        <v>1.3779999999999999</v>
      </c>
      <c r="C173" s="108">
        <f t="shared" si="46"/>
        <v>2.1999999999999797E-2</v>
      </c>
      <c r="D173" s="109" t="str">
        <f t="shared" si="47"/>
        <v>/</v>
      </c>
      <c r="E173" s="109">
        <f ca="1">IF(表2_36716262930389121314151819[[#This Row],[累计净值]]/MAX(INDIRECT("B21:B" &amp; ROW()))-1&lt;E172,表2_36716262930389121314151819[[#This Row],[累计净值]]/MAX(INDIRECT("B21:B" &amp; ROW()))-1,E172)</f>
        <v>-5.3585500394010888E-2</v>
      </c>
      <c r="F173" s="110">
        <f>表2_36716262930389121314151819[[#This Row],[累计净值]]-0.144</f>
        <v>1.234</v>
      </c>
      <c r="G173" s="20">
        <f>IF(表2_36716262930389121314151819[[#This Row],[单位净值]]&gt;1.088,0.8*(表2_36716262930389121314151819[[#This Row],[单位净值]]-1.088)/1.088,(表2_36716262930389121314151819[[#This Row],[单位净值]]-1.088)/1.088)</f>
        <v>0.10735294117647051</v>
      </c>
    </row>
    <row r="174" spans="1:7" x14ac:dyDescent="0.2">
      <c r="A174" s="15">
        <v>44209</v>
      </c>
      <c r="B174" s="112">
        <v>1.37</v>
      </c>
      <c r="C174" s="108">
        <f t="shared" ref="C174:C179" si="48">IFERROR(B174-B173,0)</f>
        <v>-7.9999999999997851E-3</v>
      </c>
      <c r="D174" s="109">
        <f t="shared" ref="D174:D179" si="49">IF(C174&lt;0,C174,"/")</f>
        <v>-7.9999999999997851E-3</v>
      </c>
      <c r="E174" s="109">
        <f ca="1">IF(表2_36716262930389121314151819[[#This Row],[累计净值]]/MAX(INDIRECT("B21:B" &amp; ROW()))-1&lt;E173,表2_36716262930389121314151819[[#This Row],[累计净值]]/MAX(INDIRECT("B21:B" &amp; ROW()))-1,E173)</f>
        <v>-5.3585500394010888E-2</v>
      </c>
      <c r="F174" s="110">
        <f>表2_36716262930389121314151819[[#This Row],[累计净值]]-0.144</f>
        <v>1.2260000000000002</v>
      </c>
      <c r="G174" s="20">
        <f>IF(表2_36716262930389121314151819[[#This Row],[单位净值]]&gt;1.088,0.8*(表2_36716262930389121314151819[[#This Row],[单位净值]]-1.088)/1.088,(表2_36716262930389121314151819[[#This Row],[单位净值]]-1.088)/1.088)</f>
        <v>0.10147058823529422</v>
      </c>
    </row>
    <row r="175" spans="1:7" x14ac:dyDescent="0.2">
      <c r="A175" s="15">
        <v>44210</v>
      </c>
      <c r="B175" s="112">
        <v>1.3620000000000001</v>
      </c>
      <c r="C175" s="108">
        <f t="shared" si="48"/>
        <v>-8.0000000000000071E-3</v>
      </c>
      <c r="D175" s="109">
        <f t="shared" si="49"/>
        <v>-8.0000000000000071E-3</v>
      </c>
      <c r="E175" s="109">
        <f ca="1">IF(表2_36716262930389121314151819[[#This Row],[累计净值]]/MAX(INDIRECT("B21:B" &amp; ROW()))-1&lt;E174,表2_36716262930389121314151819[[#This Row],[累计净值]]/MAX(INDIRECT("B21:B" &amp; ROW()))-1,E174)</f>
        <v>-5.3585500394010888E-2</v>
      </c>
      <c r="F175" s="110">
        <f>表2_36716262930389121314151819[[#This Row],[累计净值]]-0.144</f>
        <v>1.2180000000000002</v>
      </c>
      <c r="G175" s="20">
        <f>IF(表2_36716262930389121314151819[[#This Row],[单位净值]]&gt;1.088,0.8*(表2_36716262930389121314151819[[#This Row],[单位净值]]-1.088)/1.088,(表2_36716262930389121314151819[[#This Row],[单位净值]]-1.088)/1.088)</f>
        <v>9.5588235294117724E-2</v>
      </c>
    </row>
    <row r="176" spans="1:7" x14ac:dyDescent="0.2">
      <c r="A176" s="15">
        <v>44211</v>
      </c>
      <c r="B176" s="112">
        <v>1.341</v>
      </c>
      <c r="C176" s="108">
        <f t="shared" si="48"/>
        <v>-2.100000000000013E-2</v>
      </c>
      <c r="D176" s="109">
        <f t="shared" si="49"/>
        <v>-2.100000000000013E-2</v>
      </c>
      <c r="E176" s="109">
        <f ca="1">IF(表2_36716262930389121314151819[[#This Row],[累计净值]]/MAX(INDIRECT("B21:B" &amp; ROW()))-1&lt;E175,表2_36716262930389121314151819[[#This Row],[累计净值]]/MAX(INDIRECT("B21:B" &amp; ROW()))-1,E175)</f>
        <v>-5.3585500394010888E-2</v>
      </c>
      <c r="F176" s="110">
        <f>表2_36716262930389121314151819[[#This Row],[累计净值]]-0.144</f>
        <v>1.1970000000000001</v>
      </c>
      <c r="G176" s="20">
        <f>IF(表2_36716262930389121314151819[[#This Row],[单位净值]]&gt;1.088,0.8*(表2_36716262930389121314151819[[#This Row],[单位净值]]-1.088)/1.088,(表2_36716262930389121314151819[[#This Row],[单位净值]]-1.088)/1.088)</f>
        <v>8.0147058823529405E-2</v>
      </c>
    </row>
    <row r="177" spans="1:7" x14ac:dyDescent="0.2">
      <c r="A177" s="15">
        <v>44214</v>
      </c>
      <c r="B177" s="112">
        <v>1.339</v>
      </c>
      <c r="C177" s="108">
        <f t="shared" si="48"/>
        <v>-2.0000000000000018E-3</v>
      </c>
      <c r="D177" s="109">
        <f t="shared" si="49"/>
        <v>-2.0000000000000018E-3</v>
      </c>
      <c r="E177" s="109">
        <f ca="1">IF(表2_36716262930389121314151819[[#This Row],[累计净值]]/MAX(INDIRECT("B21:B" &amp; ROW()))-1&lt;E176,表2_36716262930389121314151819[[#This Row],[累计净值]]/MAX(INDIRECT("B21:B" &amp; ROW()))-1,E176)</f>
        <v>-5.3585500394010888E-2</v>
      </c>
      <c r="F177" s="110">
        <f>表2_36716262930389121314151819[[#This Row],[累计净值]]-0.144</f>
        <v>1.1950000000000001</v>
      </c>
      <c r="G177" s="20">
        <f>IF(表2_36716262930389121314151819[[#This Row],[单位净值]]&gt;1.088,0.8*(表2_36716262930389121314151819[[#This Row],[单位净值]]-1.088)/1.088,(表2_36716262930389121314151819[[#This Row],[单位净值]]-1.088)/1.088)</f>
        <v>7.8676470588235278E-2</v>
      </c>
    </row>
    <row r="178" spans="1:7" x14ac:dyDescent="0.2">
      <c r="A178" s="15">
        <v>44215</v>
      </c>
      <c r="B178" s="112">
        <v>1.3380000000000001</v>
      </c>
      <c r="C178" s="108">
        <f t="shared" si="48"/>
        <v>-9.9999999999988987E-4</v>
      </c>
      <c r="D178" s="109">
        <f t="shared" si="49"/>
        <v>-9.9999999999988987E-4</v>
      </c>
      <c r="E178" s="109">
        <f ca="1">IF(表2_36716262930389121314151819[[#This Row],[累计净值]]/MAX(INDIRECT("B21:B" &amp; ROW()))-1&lt;E177,表2_36716262930389121314151819[[#This Row],[累计净值]]/MAX(INDIRECT("B21:B" &amp; ROW()))-1,E177)</f>
        <v>-5.3585500394010888E-2</v>
      </c>
      <c r="F178" s="110">
        <f>表2_36716262930389121314151819[[#This Row],[累计净值]]-0.144</f>
        <v>1.1940000000000002</v>
      </c>
      <c r="G178" s="20">
        <f>IF(表2_36716262930389121314151819[[#This Row],[单位净值]]&gt;1.088,0.8*(表2_36716262930389121314151819[[#This Row],[单位净值]]-1.088)/1.088,(表2_36716262930389121314151819[[#This Row],[单位净值]]-1.088)/1.088)</f>
        <v>7.7941176470588305E-2</v>
      </c>
    </row>
    <row r="179" spans="1:7" x14ac:dyDescent="0.2">
      <c r="A179" s="15">
        <v>44216</v>
      </c>
      <c r="B179" s="112">
        <v>1.329</v>
      </c>
      <c r="C179" s="108">
        <f t="shared" si="48"/>
        <v>-9.000000000000119E-3</v>
      </c>
      <c r="D179" s="109">
        <f t="shared" si="49"/>
        <v>-9.000000000000119E-3</v>
      </c>
      <c r="E179" s="109">
        <f ca="1">IF(表2_36716262930389121314151819[[#This Row],[累计净值]]/MAX(INDIRECT("B21:B" &amp; ROW()))-1&lt;E178,表2_36716262930389121314151819[[#This Row],[累计净值]]/MAX(INDIRECT("B21:B" &amp; ROW()))-1,E178)</f>
        <v>-5.3585500394010888E-2</v>
      </c>
      <c r="F179" s="110">
        <f>表2_36716262930389121314151819[[#This Row],[累计净值]]-0.144</f>
        <v>1.1850000000000001</v>
      </c>
      <c r="G179" s="20">
        <f>IF(表2_36716262930389121314151819[[#This Row],[单位净值]]&gt;1.088,0.8*(表2_36716262930389121314151819[[#This Row],[单位净值]]-1.088)/1.088,(表2_36716262930389121314151819[[#This Row],[单位净值]]-1.088)/1.088)</f>
        <v>7.1323529411764688E-2</v>
      </c>
    </row>
    <row r="180" spans="1:7" x14ac:dyDescent="0.2">
      <c r="A180" s="15">
        <v>44217</v>
      </c>
      <c r="B180" s="112">
        <v>1.3109999999999999</v>
      </c>
      <c r="C180" s="108">
        <f t="shared" ref="C180:C185" si="50">IFERROR(B180-B179,0)</f>
        <v>-1.8000000000000016E-2</v>
      </c>
      <c r="D180" s="109">
        <f t="shared" ref="D180:D185" si="51">IF(C180&lt;0,C180,"/")</f>
        <v>-1.8000000000000016E-2</v>
      </c>
      <c r="E180" s="109">
        <f ca="1">IF(表2_36716262930389121314151819[[#This Row],[累计净值]]/MAX(INDIRECT("B21:B" &amp; ROW()))-1&lt;E179,表2_36716262930389121314151819[[#This Row],[累计净值]]/MAX(INDIRECT("B21:B" &amp; ROW()))-1,E179)</f>
        <v>-6.021505376344094E-2</v>
      </c>
      <c r="F180" s="110">
        <f>表2_36716262930389121314151819[[#This Row],[累计净值]]-0.144</f>
        <v>1.167</v>
      </c>
      <c r="G180" s="20">
        <f>IF(表2_36716262930389121314151819[[#This Row],[单位净值]]&gt;1.088,0.8*(表2_36716262930389121314151819[[#This Row],[单位净值]]-1.088)/1.088,(表2_36716262930389121314151819[[#This Row],[单位净值]]-1.088)/1.088)</f>
        <v>5.8088235294117607E-2</v>
      </c>
    </row>
    <row r="181" spans="1:7" x14ac:dyDescent="0.2">
      <c r="A181" s="15">
        <v>44218</v>
      </c>
      <c r="B181" s="112">
        <v>1.3169999999999999</v>
      </c>
      <c r="C181" s="108">
        <f t="shared" si="50"/>
        <v>6.0000000000000053E-3</v>
      </c>
      <c r="D181" s="109" t="str">
        <f t="shared" si="51"/>
        <v>/</v>
      </c>
      <c r="E181" s="109">
        <f ca="1">IF(表2_36716262930389121314151819[[#This Row],[累计净值]]/MAX(INDIRECT("B21:B" &amp; ROW()))-1&lt;E180,表2_36716262930389121314151819[[#This Row],[累计净值]]/MAX(INDIRECT("B21:B" &amp; ROW()))-1,E180)</f>
        <v>-6.021505376344094E-2</v>
      </c>
      <c r="F181" s="110">
        <f>表2_36716262930389121314151819[[#This Row],[累计净值]]-0.144</f>
        <v>1.173</v>
      </c>
      <c r="G181" s="20">
        <f>IF(表2_36716262930389121314151819[[#This Row],[单位净值]]&gt;1.088,0.8*(表2_36716262930389121314151819[[#This Row],[单位净值]]-1.088)/1.088,(表2_36716262930389121314151819[[#This Row],[单位净值]]-1.088)/1.088)</f>
        <v>6.2499999999999972E-2</v>
      </c>
    </row>
    <row r="182" spans="1:7" x14ac:dyDescent="0.2">
      <c r="A182" s="15">
        <v>44221</v>
      </c>
      <c r="B182" s="112">
        <v>1.32</v>
      </c>
      <c r="C182" s="108">
        <f t="shared" si="50"/>
        <v>3.0000000000001137E-3</v>
      </c>
      <c r="D182" s="109" t="str">
        <f t="shared" si="51"/>
        <v>/</v>
      </c>
      <c r="E182" s="109">
        <f ca="1">IF(表2_36716262930389121314151819[[#This Row],[累计净值]]/MAX(INDIRECT("B21:B" &amp; ROW()))-1&lt;E181,表2_36716262930389121314151819[[#This Row],[累计净值]]/MAX(INDIRECT("B21:B" &amp; ROW()))-1,E181)</f>
        <v>-6.021505376344094E-2</v>
      </c>
      <c r="F182" s="110">
        <f>表2_36716262930389121314151819[[#This Row],[累计净值]]-0.144</f>
        <v>1.1760000000000002</v>
      </c>
      <c r="G182" s="20">
        <f>IF(表2_36716262930389121314151819[[#This Row],[单位净值]]&gt;1.088,0.8*(表2_36716262930389121314151819[[#This Row],[单位净值]]-1.088)/1.088,(表2_36716262930389121314151819[[#This Row],[单位净值]]-1.088)/1.088)</f>
        <v>6.4705882352941224E-2</v>
      </c>
    </row>
    <row r="183" spans="1:7" x14ac:dyDescent="0.2">
      <c r="A183" s="15">
        <v>44222</v>
      </c>
      <c r="B183" s="112">
        <v>1.3169999999999999</v>
      </c>
      <c r="C183" s="108">
        <f t="shared" si="50"/>
        <v>-3.0000000000001137E-3</v>
      </c>
      <c r="D183" s="109">
        <f t="shared" si="51"/>
        <v>-3.0000000000001137E-3</v>
      </c>
      <c r="E183" s="109">
        <f ca="1">IF(表2_36716262930389121314151819[[#This Row],[累计净值]]/MAX(INDIRECT("B21:B" &amp; ROW()))-1&lt;E182,表2_36716262930389121314151819[[#This Row],[累计净值]]/MAX(INDIRECT("B21:B" &amp; ROW()))-1,E182)</f>
        <v>-6.021505376344094E-2</v>
      </c>
      <c r="F183" s="110">
        <f>表2_36716262930389121314151819[[#This Row],[累计净值]]-0.144</f>
        <v>1.173</v>
      </c>
      <c r="G183" s="20">
        <f>IF(表2_36716262930389121314151819[[#This Row],[单位净值]]&gt;1.088,0.8*(表2_36716262930389121314151819[[#This Row],[单位净值]]-1.088)/1.088,(表2_36716262930389121314151819[[#This Row],[单位净值]]-1.088)/1.088)</f>
        <v>6.2499999999999972E-2</v>
      </c>
    </row>
    <row r="184" spans="1:7" x14ac:dyDescent="0.2">
      <c r="A184" s="15">
        <v>44223</v>
      </c>
      <c r="B184" s="112">
        <v>1.3160000000000001</v>
      </c>
      <c r="C184" s="108">
        <f t="shared" si="50"/>
        <v>-9.9999999999988987E-4</v>
      </c>
      <c r="D184" s="109">
        <f t="shared" si="51"/>
        <v>-9.9999999999988987E-4</v>
      </c>
      <c r="E184" s="109">
        <f ca="1">IF(表2_36716262930389121314151819[[#This Row],[累计净值]]/MAX(INDIRECT("B21:B" &amp; ROW()))-1&lt;E183,表2_36716262930389121314151819[[#This Row],[累计净值]]/MAX(INDIRECT("B21:B" &amp; ROW()))-1,E183)</f>
        <v>-6.021505376344094E-2</v>
      </c>
      <c r="F184" s="110">
        <f>表2_36716262930389121314151819[[#This Row],[累计净值]]-0.144</f>
        <v>1.1720000000000002</v>
      </c>
      <c r="G184" s="20">
        <f>IF(表2_36716262930389121314151819[[#This Row],[单位净值]]&gt;1.088,0.8*(表2_36716262930389121314151819[[#This Row],[单位净值]]-1.088)/1.088,(表2_36716262930389121314151819[[#This Row],[单位净值]]-1.088)/1.088)</f>
        <v>6.1764705882352999E-2</v>
      </c>
    </row>
    <row r="185" spans="1:7" x14ac:dyDescent="0.2">
      <c r="A185" s="15">
        <v>44224</v>
      </c>
      <c r="B185" s="112">
        <v>1.3129999999999999</v>
      </c>
      <c r="C185" s="108">
        <f t="shared" si="50"/>
        <v>-3.0000000000001137E-3</v>
      </c>
      <c r="D185" s="109">
        <f t="shared" si="51"/>
        <v>-3.0000000000001137E-3</v>
      </c>
      <c r="E185" s="109">
        <f ca="1">IF(表2_36716262930389121314151819[[#This Row],[累计净值]]/MAX(INDIRECT("B21:B" &amp; ROW()))-1&lt;E184,表2_36716262930389121314151819[[#This Row],[累计净值]]/MAX(INDIRECT("B21:B" &amp; ROW()))-1,E184)</f>
        <v>-6.021505376344094E-2</v>
      </c>
      <c r="F185" s="110">
        <f>表2_36716262930389121314151819[[#This Row],[累计净值]]-0.144</f>
        <v>1.169</v>
      </c>
      <c r="G185" s="20">
        <f>IF(表2_36716262930389121314151819[[#This Row],[单位净值]]&gt;1.088,0.8*(表2_36716262930389121314151819[[#This Row],[单位净值]]-1.088)/1.088,(表2_36716262930389121314151819[[#This Row],[单位净值]]-1.088)/1.088)</f>
        <v>5.9558823529411734E-2</v>
      </c>
    </row>
    <row r="186" spans="1:7" x14ac:dyDescent="0.2">
      <c r="A186" s="15">
        <v>44225</v>
      </c>
      <c r="B186" s="112">
        <v>1.31</v>
      </c>
      <c r="C186" s="108">
        <f t="shared" ref="C186:C191" si="52">IFERROR(B186-B185,0)</f>
        <v>-2.9999999999998916E-3</v>
      </c>
      <c r="D186" s="109">
        <f t="shared" ref="D186:D191" si="53">IF(C186&lt;0,C186,"/")</f>
        <v>-2.9999999999998916E-3</v>
      </c>
      <c r="E186" s="109">
        <f ca="1">IF(表2_36716262930389121314151819[[#This Row],[累计净值]]/MAX(INDIRECT("B21:B" &amp; ROW()))-1&lt;E185,表2_36716262930389121314151819[[#This Row],[累计净值]]/MAX(INDIRECT("B21:B" &amp; ROW()))-1,E185)</f>
        <v>-6.0931899641577081E-2</v>
      </c>
      <c r="F186" s="110">
        <f>表2_36716262930389121314151819[[#This Row],[累计净值]]-0.144</f>
        <v>1.1660000000000001</v>
      </c>
      <c r="G186" s="20">
        <f>IF(表2_36716262930389121314151819[[#This Row],[单位净值]]&gt;1.088,0.8*(表2_36716262930389121314151819[[#This Row],[单位净值]]-1.088)/1.088,(表2_36716262930389121314151819[[#This Row],[单位净值]]-1.088)/1.088)</f>
        <v>5.7352941176470641E-2</v>
      </c>
    </row>
    <row r="187" spans="1:7" x14ac:dyDescent="0.2">
      <c r="A187" s="15">
        <v>44228</v>
      </c>
      <c r="B187" s="112">
        <v>1.2989999999999999</v>
      </c>
      <c r="C187" s="108">
        <f t="shared" si="52"/>
        <v>-1.1000000000000121E-2</v>
      </c>
      <c r="D187" s="109">
        <f t="shared" si="53"/>
        <v>-1.1000000000000121E-2</v>
      </c>
      <c r="E187" s="109">
        <f ca="1">IF(表2_36716262930389121314151819[[#This Row],[累计净值]]/MAX(INDIRECT("B21:B" &amp; ROW()))-1&lt;E186,表2_36716262930389121314151819[[#This Row],[累计净值]]/MAX(INDIRECT("B21:B" &amp; ROW()))-1,E186)</f>
        <v>-6.8817204301075297E-2</v>
      </c>
      <c r="F187" s="110">
        <f>表2_36716262930389121314151819[[#This Row],[累计净值]]-0.144</f>
        <v>1.155</v>
      </c>
      <c r="G187" s="20">
        <f>IF(表2_36716262930389121314151819[[#This Row],[单位净值]]&gt;1.088,0.8*(表2_36716262930389121314151819[[#This Row],[单位净值]]-1.088)/1.088,(表2_36716262930389121314151819[[#This Row],[单位净值]]-1.088)/1.088)</f>
        <v>4.9264705882352898E-2</v>
      </c>
    </row>
    <row r="188" spans="1:7" x14ac:dyDescent="0.2">
      <c r="A188" s="15">
        <v>44229</v>
      </c>
      <c r="B188" s="112">
        <v>1.3089999999999999</v>
      </c>
      <c r="C188" s="108">
        <f t="shared" si="52"/>
        <v>1.0000000000000009E-2</v>
      </c>
      <c r="D188" s="109" t="str">
        <f t="shared" si="53"/>
        <v>/</v>
      </c>
      <c r="E188" s="109">
        <f ca="1">IF(表2_36716262930389121314151819[[#This Row],[累计净值]]/MAX(INDIRECT("B21:B" &amp; ROW()))-1&lt;E187,表2_36716262930389121314151819[[#This Row],[累计净值]]/MAX(INDIRECT("B21:B" &amp; ROW()))-1,E187)</f>
        <v>-6.8817204301075297E-2</v>
      </c>
      <c r="F188" s="110">
        <f>表2_36716262930389121314151819[[#This Row],[累计净值]]-0.144</f>
        <v>1.165</v>
      </c>
      <c r="G188" s="20">
        <f>IF(表2_36716262930389121314151819[[#This Row],[单位净值]]&gt;1.088,0.8*(表2_36716262930389121314151819[[#This Row],[单位净值]]-1.088)/1.088,(表2_36716262930389121314151819[[#This Row],[单位净值]]-1.088)/1.088)</f>
        <v>5.6617647058823495E-2</v>
      </c>
    </row>
    <row r="189" spans="1:7" x14ac:dyDescent="0.2">
      <c r="A189" s="15">
        <v>44230</v>
      </c>
      <c r="B189" s="112">
        <v>1.3089999999999999</v>
      </c>
      <c r="C189" s="108">
        <f t="shared" si="52"/>
        <v>0</v>
      </c>
      <c r="D189" s="109" t="str">
        <f t="shared" si="53"/>
        <v>/</v>
      </c>
      <c r="E189" s="109">
        <f ca="1">IF(表2_36716262930389121314151819[[#This Row],[累计净值]]/MAX(INDIRECT("B21:B" &amp; ROW()))-1&lt;E188,表2_36716262930389121314151819[[#This Row],[累计净值]]/MAX(INDIRECT("B21:B" &amp; ROW()))-1,E188)</f>
        <v>-6.8817204301075297E-2</v>
      </c>
      <c r="F189" s="110">
        <f>表2_36716262930389121314151819[[#This Row],[累计净值]]-0.144</f>
        <v>1.165</v>
      </c>
      <c r="G189" s="20">
        <f>IF(表2_36716262930389121314151819[[#This Row],[单位净值]]&gt;1.088,0.8*(表2_36716262930389121314151819[[#This Row],[单位净值]]-1.088)/1.088,(表2_36716262930389121314151819[[#This Row],[单位净值]]-1.088)/1.088)</f>
        <v>5.6617647058823495E-2</v>
      </c>
    </row>
    <row r="190" spans="1:7" x14ac:dyDescent="0.2">
      <c r="A190" s="15">
        <v>44231</v>
      </c>
      <c r="B190" s="112">
        <v>1.3</v>
      </c>
      <c r="C190" s="108">
        <f t="shared" si="52"/>
        <v>-8.999999999999897E-3</v>
      </c>
      <c r="D190" s="109">
        <f t="shared" si="53"/>
        <v>-8.999999999999897E-3</v>
      </c>
      <c r="E190" s="109">
        <f ca="1">IF(表2_36716262930389121314151819[[#This Row],[累计净值]]/MAX(INDIRECT("B21:B" &amp; ROW()))-1&lt;E189,表2_36716262930389121314151819[[#This Row],[累计净值]]/MAX(INDIRECT("B21:B" &amp; ROW()))-1,E189)</f>
        <v>-6.8817204301075297E-2</v>
      </c>
      <c r="F190" s="110">
        <f>表2_36716262930389121314151819[[#This Row],[累计净值]]-0.144</f>
        <v>1.1560000000000001</v>
      </c>
      <c r="G190" s="20">
        <f>IF(表2_36716262930389121314151819[[#This Row],[单位净值]]&gt;1.088,0.8*(表2_36716262930389121314151819[[#This Row],[单位净值]]-1.088)/1.088,(表2_36716262930389121314151819[[#This Row],[单位净值]]-1.088)/1.088)</f>
        <v>5.0000000000000044E-2</v>
      </c>
    </row>
    <row r="191" spans="1:7" x14ac:dyDescent="0.2">
      <c r="A191" s="15">
        <v>44232</v>
      </c>
      <c r="B191" s="112">
        <v>1.3160000000000001</v>
      </c>
      <c r="C191" s="108">
        <f t="shared" si="52"/>
        <v>1.6000000000000014E-2</v>
      </c>
      <c r="D191" s="109" t="str">
        <f t="shared" si="53"/>
        <v>/</v>
      </c>
      <c r="E191" s="109">
        <f ca="1">IF(表2_36716262930389121314151819[[#This Row],[累计净值]]/MAX(INDIRECT("B21:B" &amp; ROW()))-1&lt;E190,表2_36716262930389121314151819[[#This Row],[累计净值]]/MAX(INDIRECT("B21:B" &amp; ROW()))-1,E190)</f>
        <v>-6.8817204301075297E-2</v>
      </c>
      <c r="F191" s="110">
        <f>表2_36716262930389121314151819[[#This Row],[累计净值]]-0.144</f>
        <v>1.1720000000000002</v>
      </c>
      <c r="G191" s="20">
        <f>IF(表2_36716262930389121314151819[[#This Row],[单位净值]]&gt;1.088,0.8*(表2_36716262930389121314151819[[#This Row],[单位净值]]-1.088)/1.088,(表2_36716262930389121314151819[[#This Row],[单位净值]]-1.088)/1.088)</f>
        <v>6.1764705882352999E-2</v>
      </c>
    </row>
    <row r="192" spans="1:7" x14ac:dyDescent="0.2">
      <c r="A192" s="15">
        <v>44235</v>
      </c>
      <c r="B192" s="112">
        <v>1.323</v>
      </c>
      <c r="C192" s="108">
        <f>IFERROR(B192-B191,0)</f>
        <v>6.9999999999998952E-3</v>
      </c>
      <c r="D192" s="109" t="str">
        <f>IF(C192&lt;0,C192,"/")</f>
        <v>/</v>
      </c>
      <c r="E192" s="109">
        <f ca="1">IF(表2_36716262930389121314151819[[#This Row],[累计净值]]/MAX(INDIRECT("B21:B" &amp; ROW()))-1&lt;E191,表2_36716262930389121314151819[[#This Row],[累计净值]]/MAX(INDIRECT("B21:B" &amp; ROW()))-1,E191)</f>
        <v>-6.8817204301075297E-2</v>
      </c>
      <c r="F192" s="110">
        <f>表2_36716262930389121314151819[[#This Row],[累计净值]]-0.144</f>
        <v>1.179</v>
      </c>
      <c r="G192" s="20">
        <f>IF(表2_36716262930389121314151819[[#This Row],[单位净值]]&gt;1.088,0.8*(表2_36716262930389121314151819[[#This Row],[单位净值]]-1.088)/1.088,(表2_36716262930389121314151819[[#This Row],[单位净值]]-1.088)/1.088)</f>
        <v>6.6911764705882323E-2</v>
      </c>
    </row>
    <row r="193" spans="1:7" x14ac:dyDescent="0.2">
      <c r="A193" s="15">
        <v>44236</v>
      </c>
      <c r="B193" s="112">
        <v>1.3320000000000001</v>
      </c>
      <c r="C193" s="108">
        <f t="shared" ref="C193:C195" si="54">IFERROR(B193-B192,0)</f>
        <v>9.000000000000119E-3</v>
      </c>
      <c r="D193" s="109" t="str">
        <f t="shared" ref="D193:D195" si="55">IF(C193&lt;0,C193,"/")</f>
        <v>/</v>
      </c>
      <c r="E193" s="109">
        <f ca="1">IF(表2_36716262930389121314151819[[#This Row],[累计净值]]/MAX(INDIRECT("B21:B" &amp; ROW()))-1&lt;E192,表2_36716262930389121314151819[[#This Row],[累计净值]]/MAX(INDIRECT("B21:B" &amp; ROW()))-1,E192)</f>
        <v>-6.8817204301075297E-2</v>
      </c>
      <c r="F193" s="110">
        <f>表2_36716262930389121314151819[[#This Row],[累计净值]]-0.144</f>
        <v>1.1880000000000002</v>
      </c>
      <c r="G193" s="20">
        <f>IF(表2_36716262930389121314151819[[#This Row],[单位净值]]&gt;1.088,0.8*(表2_36716262930389121314151819[[#This Row],[单位净值]]-1.088)/1.088,(表2_36716262930389121314151819[[#This Row],[单位净值]]-1.088)/1.088)</f>
        <v>7.352941176470594E-2</v>
      </c>
    </row>
    <row r="194" spans="1:7" x14ac:dyDescent="0.2">
      <c r="A194" s="15">
        <v>44237</v>
      </c>
      <c r="B194" s="112">
        <v>1.337</v>
      </c>
      <c r="C194" s="108">
        <f t="shared" si="54"/>
        <v>4.9999999999998934E-3</v>
      </c>
      <c r="D194" s="109" t="str">
        <f t="shared" si="55"/>
        <v>/</v>
      </c>
      <c r="E194" s="109">
        <f ca="1">IF(表2_36716262930389121314151819[[#This Row],[累计净值]]/MAX(INDIRECT("B21:B" &amp; ROW()))-1&lt;E193,表2_36716262930389121314151819[[#This Row],[累计净值]]/MAX(INDIRECT("B21:B" &amp; ROW()))-1,E193)</f>
        <v>-6.8817204301075297E-2</v>
      </c>
      <c r="F194" s="110">
        <f>表2_36716262930389121314151819[[#This Row],[累计净值]]-0.144</f>
        <v>1.1930000000000001</v>
      </c>
      <c r="G194" s="20">
        <f>IF(表2_36716262930389121314151819[[#This Row],[单位净值]]&gt;1.088,0.8*(表2_36716262930389121314151819[[#This Row],[单位净值]]-1.088)/1.088,(表2_36716262930389121314151819[[#This Row],[单位净值]]-1.088)/1.088)</f>
        <v>7.7205882352941166E-2</v>
      </c>
    </row>
    <row r="195" spans="1:7" x14ac:dyDescent="0.2">
      <c r="A195" s="15">
        <v>44245</v>
      </c>
      <c r="B195" s="112">
        <v>1.347</v>
      </c>
      <c r="C195" s="108">
        <f t="shared" si="54"/>
        <v>1.0000000000000009E-2</v>
      </c>
      <c r="D195" s="109" t="str">
        <f t="shared" si="55"/>
        <v>/</v>
      </c>
      <c r="E195" s="109">
        <f ca="1">IF(表2_36716262930389121314151819[[#This Row],[累计净值]]/MAX(INDIRECT("B21:B" &amp; ROW()))-1&lt;E194,表2_36716262930389121314151819[[#This Row],[累计净值]]/MAX(INDIRECT("B21:B" &amp; ROW()))-1,E194)</f>
        <v>-6.8817204301075297E-2</v>
      </c>
      <c r="F195" s="110">
        <f>表2_36716262930389121314151819[[#This Row],[累计净值]]-0.144</f>
        <v>1.2030000000000001</v>
      </c>
      <c r="G195" s="20">
        <f>IF(表2_36716262930389121314151819[[#This Row],[单位净值]]&gt;1.088,0.8*(表2_36716262930389121314151819[[#This Row],[单位净值]]-1.088)/1.088,(表2_36716262930389121314151819[[#This Row],[单位净值]]-1.088)/1.088)</f>
        <v>8.4558823529411756E-2</v>
      </c>
    </row>
    <row r="196" spans="1:7" x14ac:dyDescent="0.2">
      <c r="A196" s="15">
        <v>44246</v>
      </c>
      <c r="B196" s="112">
        <v>1.3420000000000001</v>
      </c>
      <c r="C196" s="108">
        <f t="shared" ref="C196:C201" si="56">IFERROR(B196-B195,0)</f>
        <v>-4.9999999999998934E-3</v>
      </c>
      <c r="D196" s="109">
        <f t="shared" ref="D196:D201" si="57">IF(C196&lt;0,C196,"/")</f>
        <v>-4.9999999999998934E-3</v>
      </c>
      <c r="E196" s="109">
        <f ca="1">IF(表2_36716262930389121314151819[[#This Row],[累计净值]]/MAX(INDIRECT("B21:B" &amp; ROW()))-1&lt;E195,表2_36716262930389121314151819[[#This Row],[累计净值]]/MAX(INDIRECT("B21:B" &amp; ROW()))-1,E195)</f>
        <v>-6.8817204301075297E-2</v>
      </c>
      <c r="F196" s="110">
        <f>表2_36716262930389121314151819[[#This Row],[累计净值]]-0.144</f>
        <v>1.1980000000000002</v>
      </c>
      <c r="G196" s="20">
        <f>IF(表2_36716262930389121314151819[[#This Row],[单位净值]]&gt;1.088,0.8*(表2_36716262930389121314151819[[#This Row],[单位净值]]-1.088)/1.088,(表2_36716262930389121314151819[[#This Row],[单位净值]]-1.088)/1.088)</f>
        <v>8.088235294117653E-2</v>
      </c>
    </row>
    <row r="197" spans="1:7" x14ac:dyDescent="0.2">
      <c r="A197" s="15">
        <v>44249</v>
      </c>
      <c r="B197" s="112">
        <v>1.36</v>
      </c>
      <c r="C197" s="108">
        <f t="shared" si="56"/>
        <v>1.8000000000000016E-2</v>
      </c>
      <c r="D197" s="109" t="str">
        <f t="shared" si="57"/>
        <v>/</v>
      </c>
      <c r="E197" s="109">
        <f ca="1">IF(表2_36716262930389121314151819[[#This Row],[累计净值]]/MAX(INDIRECT("B21:B" &amp; ROW()))-1&lt;E196,表2_36716262930389121314151819[[#This Row],[累计净值]]/MAX(INDIRECT("B21:B" &amp; ROW()))-1,E196)</f>
        <v>-6.8817204301075297E-2</v>
      </c>
      <c r="F197" s="110">
        <f>表2_36716262930389121314151819[[#This Row],[累计净值]]-0.144</f>
        <v>1.2160000000000002</v>
      </c>
      <c r="G197" s="20">
        <f>IF(表2_36716262930389121314151819[[#This Row],[单位净值]]&gt;1.088,0.8*(表2_36716262930389121314151819[[#This Row],[单位净值]]-1.088)/1.088,(表2_36716262930389121314151819[[#This Row],[单位净值]]-1.088)/1.088)</f>
        <v>9.4117647058823611E-2</v>
      </c>
    </row>
    <row r="198" spans="1:7" x14ac:dyDescent="0.2">
      <c r="A198" s="15">
        <v>44250</v>
      </c>
      <c r="B198" s="112">
        <v>1.367</v>
      </c>
      <c r="C198" s="108">
        <f t="shared" si="56"/>
        <v>6.9999999999998952E-3</v>
      </c>
      <c r="D198" s="109" t="str">
        <f t="shared" si="57"/>
        <v>/</v>
      </c>
      <c r="E198" s="109">
        <f ca="1">IF(表2_36716262930389121314151819[[#This Row],[累计净值]]/MAX(INDIRECT("B21:B" &amp; ROW()))-1&lt;E197,表2_36716262930389121314151819[[#This Row],[累计净值]]/MAX(INDIRECT("B21:B" &amp; ROW()))-1,E197)</f>
        <v>-6.8817204301075297E-2</v>
      </c>
      <c r="F198" s="110">
        <f>表2_36716262930389121314151819[[#This Row],[累计净值]]-0.144</f>
        <v>1.2230000000000001</v>
      </c>
      <c r="G198" s="20">
        <f>IF(表2_36716262930389121314151819[[#This Row],[单位净值]]&gt;1.088,0.8*(表2_36716262930389121314151819[[#This Row],[单位净值]]-1.088)/1.088,(表2_36716262930389121314151819[[#This Row],[单位净值]]-1.088)/1.088)</f>
        <v>9.9264705882352949E-2</v>
      </c>
    </row>
    <row r="199" spans="1:7" x14ac:dyDescent="0.2">
      <c r="A199" s="15">
        <v>44251</v>
      </c>
      <c r="B199" s="112">
        <v>1.367</v>
      </c>
      <c r="C199" s="108">
        <f t="shared" si="56"/>
        <v>0</v>
      </c>
      <c r="D199" s="109" t="str">
        <f t="shared" si="57"/>
        <v>/</v>
      </c>
      <c r="E199" s="109">
        <f ca="1">IF(表2_36716262930389121314151819[[#This Row],[累计净值]]/MAX(INDIRECT("B21:B" &amp; ROW()))-1&lt;E198,表2_36716262930389121314151819[[#This Row],[累计净值]]/MAX(INDIRECT("B21:B" &amp; ROW()))-1,E198)</f>
        <v>-6.8817204301075297E-2</v>
      </c>
      <c r="F199" s="110">
        <f>表2_36716262930389121314151819[[#This Row],[累计净值]]-0.144</f>
        <v>1.2230000000000001</v>
      </c>
      <c r="G199" s="20">
        <f>IF(表2_36716262930389121314151819[[#This Row],[单位净值]]&gt;1.088,0.8*(表2_36716262930389121314151819[[#This Row],[单位净值]]-1.088)/1.088,(表2_36716262930389121314151819[[#This Row],[单位净值]]-1.088)/1.088)</f>
        <v>9.9264705882352949E-2</v>
      </c>
    </row>
    <row r="200" spans="1:7" x14ac:dyDescent="0.2">
      <c r="A200" s="15">
        <v>44252</v>
      </c>
      <c r="B200" s="112">
        <v>1.38</v>
      </c>
      <c r="C200" s="108">
        <f t="shared" si="56"/>
        <v>1.2999999999999901E-2</v>
      </c>
      <c r="D200" s="109" t="str">
        <f t="shared" si="57"/>
        <v>/</v>
      </c>
      <c r="E200" s="109">
        <f ca="1">IF(表2_36716262930389121314151819[[#This Row],[累计净值]]/MAX(INDIRECT("B21:B" &amp; ROW()))-1&lt;E199,表2_36716262930389121314151819[[#This Row],[累计净值]]/MAX(INDIRECT("B21:B" &amp; ROW()))-1,E199)</f>
        <v>-6.8817204301075297E-2</v>
      </c>
      <c r="F200" s="110">
        <f>表2_36716262930389121314151819[[#This Row],[累计净值]]-0.144</f>
        <v>1.236</v>
      </c>
      <c r="G200" s="20">
        <f>IF(表2_36716262930389121314151819[[#This Row],[单位净值]]&gt;1.088,0.8*(表2_36716262930389121314151819[[#This Row],[单位净值]]-1.088)/1.088,(表2_36716262930389121314151819[[#This Row],[单位净值]]-1.088)/1.088)</f>
        <v>0.10882352941176464</v>
      </c>
    </row>
    <row r="201" spans="1:7" x14ac:dyDescent="0.2">
      <c r="A201" s="15">
        <v>44253</v>
      </c>
      <c r="B201" s="112">
        <v>1.379</v>
      </c>
      <c r="C201" s="108">
        <f t="shared" si="56"/>
        <v>-9.9999999999988987E-4</v>
      </c>
      <c r="D201" s="109">
        <f t="shared" si="57"/>
        <v>-9.9999999999988987E-4</v>
      </c>
      <c r="E201" s="109">
        <f ca="1">IF(表2_36716262930389121314151819[[#This Row],[累计净值]]/MAX(INDIRECT("B21:B" &amp; ROW()))-1&lt;E200,表2_36716262930389121314151819[[#This Row],[累计净值]]/MAX(INDIRECT("B21:B" &amp; ROW()))-1,E200)</f>
        <v>-6.8817204301075297E-2</v>
      </c>
      <c r="F201" s="110">
        <f>表2_36716262930389121314151819[[#This Row],[累计净值]]-0.144</f>
        <v>1.2350000000000001</v>
      </c>
      <c r="G201" s="20">
        <f>IF(表2_36716262930389121314151819[[#This Row],[单位净值]]&gt;1.088,0.8*(表2_36716262930389121314151819[[#This Row],[单位净值]]-1.088)/1.088,(表2_36716262930389121314151819[[#This Row],[单位净值]]-1.088)/1.088)</f>
        <v>0.10808823529411767</v>
      </c>
    </row>
    <row r="202" spans="1:7" x14ac:dyDescent="0.2">
      <c r="A202" s="15">
        <v>44256</v>
      </c>
      <c r="B202" s="112">
        <v>1.3819999999999999</v>
      </c>
      <c r="C202" s="108">
        <f t="shared" ref="C202:C203" si="58">IFERROR(B202-B201,0)</f>
        <v>2.9999999999998916E-3</v>
      </c>
      <c r="D202" s="109" t="str">
        <f t="shared" ref="D202:D203" si="59">IF(C202&lt;0,C202,"/")</f>
        <v>/</v>
      </c>
      <c r="E202" s="109">
        <f ca="1">IF(表2_36716262930389121314151819[[#This Row],[累计净值]]/MAX(INDIRECT("B21:B" &amp; ROW()))-1&lt;E201,表2_36716262930389121314151819[[#This Row],[累计净值]]/MAX(INDIRECT("B21:B" &amp; ROW()))-1,E201)</f>
        <v>-6.8817204301075297E-2</v>
      </c>
      <c r="F202" s="110">
        <f>表2_36716262930389121314151819[[#This Row],[累计净值]]-0.144</f>
        <v>1.238</v>
      </c>
      <c r="G202" s="20">
        <f>IF(表2_36716262930389121314151819[[#This Row],[单位净值]]&gt;1.088,0.8*(表2_36716262930389121314151819[[#This Row],[单位净值]]-1.088)/1.088,(表2_36716262930389121314151819[[#This Row],[单位净值]]-1.088)/1.088)</f>
        <v>0.11029411764705876</v>
      </c>
    </row>
    <row r="203" spans="1:7" x14ac:dyDescent="0.2">
      <c r="A203" s="15">
        <v>44257</v>
      </c>
      <c r="B203" s="112">
        <v>1.3720000000000001</v>
      </c>
      <c r="C203" s="108">
        <f t="shared" si="58"/>
        <v>-9.9999999999997868E-3</v>
      </c>
      <c r="D203" s="109">
        <f t="shared" si="59"/>
        <v>-9.9999999999997868E-3</v>
      </c>
      <c r="E203" s="109">
        <f ca="1">IF(表2_36716262930389121314151819[[#This Row],[累计净值]]/MAX(INDIRECT("B21:B" &amp; ROW()))-1&lt;E202,表2_36716262930389121314151819[[#This Row],[累计净值]]/MAX(INDIRECT("B21:B" &amp; ROW()))-1,E202)</f>
        <v>-6.8817204301075297E-2</v>
      </c>
      <c r="F203" s="110">
        <f>表2_36716262930389121314151819[[#This Row],[累计净值]]-0.144</f>
        <v>1.2280000000000002</v>
      </c>
      <c r="G203" s="20">
        <f>IF(表2_36716262930389121314151819[[#This Row],[单位净值]]&gt;1.088,0.8*(表2_36716262930389121314151819[[#This Row],[单位净值]]-1.088)/1.088,(表2_36716262930389121314151819[[#This Row],[单位净值]]-1.088)/1.088)</f>
        <v>0.10294117647058831</v>
      </c>
    </row>
    <row r="204" spans="1:7" x14ac:dyDescent="0.2">
      <c r="A204" s="15">
        <v>44258</v>
      </c>
      <c r="B204" s="112">
        <v>1.3620000000000001</v>
      </c>
      <c r="C204" s="108">
        <f t="shared" ref="C204" si="60">IFERROR(B204-B203,0)</f>
        <v>-1.0000000000000009E-2</v>
      </c>
      <c r="D204" s="109">
        <f t="shared" ref="D204" si="61">IF(C204&lt;0,C204,"/")</f>
        <v>-1.0000000000000009E-2</v>
      </c>
      <c r="E204" s="109">
        <f ca="1">IF(表2_36716262930389121314151819[[#This Row],[累计净值]]/MAX(INDIRECT("B21:B" &amp; ROW()))-1&lt;E203,表2_36716262930389121314151819[[#This Row],[累计净值]]/MAX(INDIRECT("B21:B" &amp; ROW()))-1,E203)</f>
        <v>-6.8817204301075297E-2</v>
      </c>
      <c r="F204" s="110">
        <f>表2_36716262930389121314151819[[#This Row],[累计净值]]-0.144</f>
        <v>1.2180000000000002</v>
      </c>
      <c r="G204" s="20">
        <f>IF(表2_36716262930389121314151819[[#This Row],[单位净值]]&gt;1.088,0.8*(表2_36716262930389121314151819[[#This Row],[单位净值]]-1.088)/1.088,(表2_36716262930389121314151819[[#This Row],[单位净值]]-1.088)/1.088)</f>
        <v>9.5588235294117724E-2</v>
      </c>
    </row>
    <row r="205" spans="1:7" x14ac:dyDescent="0.2">
      <c r="A205" s="15">
        <v>44259</v>
      </c>
      <c r="B205" s="112">
        <v>1.357</v>
      </c>
      <c r="C205" s="108">
        <f t="shared" ref="C205:C210" si="62">IFERROR(B205-B204,0)</f>
        <v>-5.0000000000001155E-3</v>
      </c>
      <c r="D205" s="109">
        <f t="shared" ref="D205:D210" si="63">IF(C205&lt;0,C205,"/")</f>
        <v>-5.0000000000001155E-3</v>
      </c>
      <c r="E205" s="109">
        <f ca="1">IF(表2_36716262930389121314151819[[#This Row],[累计净值]]/MAX(INDIRECT("B21:B" &amp; ROW()))-1&lt;E204,表2_36716262930389121314151819[[#This Row],[累计净值]]/MAX(INDIRECT("B21:B" &amp; ROW()))-1,E204)</f>
        <v>-6.8817204301075297E-2</v>
      </c>
      <c r="F205" s="110">
        <f>表2_36716262930389121314151819[[#This Row],[累计净值]]-0.144</f>
        <v>1.2130000000000001</v>
      </c>
      <c r="G205" s="20">
        <f>IF(表2_36716262930389121314151819[[#This Row],[单位净值]]&gt;1.088,0.8*(表2_36716262930389121314151819[[#This Row],[单位净值]]-1.088)/1.088,(表2_36716262930389121314151819[[#This Row],[单位净值]]-1.088)/1.088)</f>
        <v>9.1911764705882346E-2</v>
      </c>
    </row>
    <row r="206" spans="1:7" x14ac:dyDescent="0.2">
      <c r="A206" s="15">
        <v>44260</v>
      </c>
      <c r="B206" s="112">
        <v>1.371</v>
      </c>
      <c r="C206" s="108">
        <f t="shared" si="62"/>
        <v>1.4000000000000012E-2</v>
      </c>
      <c r="D206" s="109" t="str">
        <f t="shared" si="63"/>
        <v>/</v>
      </c>
      <c r="E206" s="109">
        <f ca="1">IF(表2_36716262930389121314151819[[#This Row],[累计净值]]/MAX(INDIRECT("B21:B" &amp; ROW()))-1&lt;E205,表2_36716262930389121314151819[[#This Row],[累计净值]]/MAX(INDIRECT("B21:B" &amp; ROW()))-1,E205)</f>
        <v>-6.8817204301075297E-2</v>
      </c>
      <c r="F206" s="110">
        <f>表2_36716262930389121314151819[[#This Row],[累计净值]]-0.144</f>
        <v>1.2270000000000001</v>
      </c>
      <c r="G206" s="20">
        <f>IF(表2_36716262930389121314151819[[#This Row],[单位净值]]&gt;1.088,0.8*(表2_36716262930389121314151819[[#This Row],[单位净值]]-1.088)/1.088,(表2_36716262930389121314151819[[#This Row],[单位净值]]-1.088)/1.088)</f>
        <v>0.10220588235294119</v>
      </c>
    </row>
    <row r="207" spans="1:7" x14ac:dyDescent="0.2">
      <c r="A207" s="15">
        <v>44263</v>
      </c>
      <c r="B207" s="112">
        <v>1.391</v>
      </c>
      <c r="C207" s="108">
        <f t="shared" si="62"/>
        <v>2.0000000000000018E-2</v>
      </c>
      <c r="D207" s="109" t="str">
        <f t="shared" si="63"/>
        <v>/</v>
      </c>
      <c r="E207" s="109">
        <f ca="1">IF(表2_36716262930389121314151819[[#This Row],[累计净值]]/MAX(INDIRECT("B21:B" &amp; ROW()))-1&lt;E206,表2_36716262930389121314151819[[#This Row],[累计净值]]/MAX(INDIRECT("B21:B" &amp; ROW()))-1,E206)</f>
        <v>-6.8817204301075297E-2</v>
      </c>
      <c r="F207" s="110">
        <f>表2_36716262930389121314151819[[#This Row],[累计净值]]-0.144</f>
        <v>1.2470000000000001</v>
      </c>
      <c r="G207" s="20">
        <f>IF(表2_36716262930389121314151819[[#This Row],[单位净值]]&gt;1.088,0.8*(表2_36716262930389121314151819[[#This Row],[单位净值]]-1.088)/1.088,(表2_36716262930389121314151819[[#This Row],[单位净值]]-1.088)/1.088)</f>
        <v>0.11691176470588238</v>
      </c>
    </row>
    <row r="208" spans="1:7" x14ac:dyDescent="0.2">
      <c r="A208" s="15">
        <v>44264</v>
      </c>
      <c r="B208" s="112">
        <v>1.367</v>
      </c>
      <c r="C208" s="108">
        <f t="shared" si="62"/>
        <v>-2.4000000000000021E-2</v>
      </c>
      <c r="D208" s="109">
        <f t="shared" si="63"/>
        <v>-2.4000000000000021E-2</v>
      </c>
      <c r="E208" s="109">
        <f ca="1">IF(表2_36716262930389121314151819[[#This Row],[累计净值]]/MAX(INDIRECT("B21:B" &amp; ROW()))-1&lt;E207,表2_36716262930389121314151819[[#This Row],[累计净值]]/MAX(INDIRECT("B21:B" &amp; ROW()))-1,E207)</f>
        <v>-6.8817204301075297E-2</v>
      </c>
      <c r="F208" s="110">
        <f>表2_36716262930389121314151819[[#This Row],[累计净值]]-0.144</f>
        <v>1.2230000000000001</v>
      </c>
      <c r="G208" s="20">
        <f>IF(表2_36716262930389121314151819[[#This Row],[单位净值]]&gt;1.088,0.8*(表2_36716262930389121314151819[[#This Row],[单位净值]]-1.088)/1.088,(表2_36716262930389121314151819[[#This Row],[单位净值]]-1.088)/1.088)</f>
        <v>9.9264705882352949E-2</v>
      </c>
    </row>
    <row r="209" spans="1:7" x14ac:dyDescent="0.2">
      <c r="A209" s="15">
        <v>44265</v>
      </c>
      <c r="B209" s="112">
        <v>1.3660000000000001</v>
      </c>
      <c r="C209" s="108">
        <f t="shared" si="62"/>
        <v>-9.9999999999988987E-4</v>
      </c>
      <c r="D209" s="109">
        <f t="shared" si="63"/>
        <v>-9.9999999999988987E-4</v>
      </c>
      <c r="E209" s="109">
        <f ca="1">IF(表2_36716262930389121314151819[[#This Row],[累计净值]]/MAX(INDIRECT("B21:B" &amp; ROW()))-1&lt;E208,表2_36716262930389121314151819[[#This Row],[累计净值]]/MAX(INDIRECT("B21:B" &amp; ROW()))-1,E208)</f>
        <v>-6.8817204301075297E-2</v>
      </c>
      <c r="F209" s="110">
        <f>表2_36716262930389121314151819[[#This Row],[累计净值]]-0.144</f>
        <v>1.2220000000000002</v>
      </c>
      <c r="G209" s="20">
        <f>IF(表2_36716262930389121314151819[[#This Row],[单位净值]]&gt;1.088,0.8*(表2_36716262930389121314151819[[#This Row],[单位净值]]-1.088)/1.088,(表2_36716262930389121314151819[[#This Row],[单位净值]]-1.088)/1.088)</f>
        <v>9.8529411764705963E-2</v>
      </c>
    </row>
    <row r="210" spans="1:7" x14ac:dyDescent="0.2">
      <c r="A210" s="15">
        <v>44266</v>
      </c>
      <c r="B210" s="112">
        <v>1.3580000000000001</v>
      </c>
      <c r="C210" s="108">
        <f t="shared" si="62"/>
        <v>-8.0000000000000071E-3</v>
      </c>
      <c r="D210" s="109">
        <f t="shared" si="63"/>
        <v>-8.0000000000000071E-3</v>
      </c>
      <c r="E210" s="109">
        <f ca="1">IF(表2_36716262930389121314151819[[#This Row],[累计净值]]/MAX(INDIRECT("B21:B" &amp; ROW()))-1&lt;E209,表2_36716262930389121314151819[[#This Row],[累计净值]]/MAX(INDIRECT("B21:B" &amp; ROW()))-1,E209)</f>
        <v>-6.8817204301075297E-2</v>
      </c>
      <c r="F210" s="110">
        <f>表2_36716262930389121314151819[[#This Row],[累计净值]]-0.144</f>
        <v>1.2140000000000002</v>
      </c>
      <c r="G210" s="20">
        <f>IF(表2_36716262930389121314151819[[#This Row],[单位净值]]&gt;1.088,0.8*(表2_36716262930389121314151819[[#This Row],[单位净值]]-1.088)/1.088,(表2_36716262930389121314151819[[#This Row],[单位净值]]-1.088)/1.088)</f>
        <v>9.2647058823529499E-2</v>
      </c>
    </row>
    <row r="211" spans="1:7" x14ac:dyDescent="0.2">
      <c r="A211" s="15">
        <v>44267</v>
      </c>
      <c r="B211" s="112">
        <v>1.355</v>
      </c>
      <c r="C211" s="108">
        <f>IFERROR(B211-B210,0)</f>
        <v>-3.0000000000001137E-3</v>
      </c>
      <c r="D211" s="109">
        <f>IF(C211&lt;0,C211,"/")</f>
        <v>-3.0000000000001137E-3</v>
      </c>
      <c r="E211" s="109">
        <f ca="1">IF(表2_36716262930389121314151819[[#This Row],[累计净值]]/MAX(INDIRECT("B21:B" &amp; ROW()))-1&lt;E210,表2_36716262930389121314151819[[#This Row],[累计净值]]/MAX(INDIRECT("B21:B" &amp; ROW()))-1,E210)</f>
        <v>-6.8817204301075297E-2</v>
      </c>
      <c r="F211" s="110">
        <f>表2_36716262930389121314151819[[#This Row],[累计净值]]-0.144</f>
        <v>1.2110000000000001</v>
      </c>
      <c r="G211" s="20">
        <f>IF(表2_36716262930389121314151819[[#This Row],[单位净值]]&gt;1.088,0.8*(表2_36716262930389121314151819[[#This Row],[单位净值]]-1.088)/1.088,(表2_36716262930389121314151819[[#This Row],[单位净值]]-1.088)/1.088)</f>
        <v>9.0441176470588233E-2</v>
      </c>
    </row>
    <row r="212" spans="1:7" x14ac:dyDescent="0.2">
      <c r="A212" s="15">
        <v>44270</v>
      </c>
      <c r="B212" s="112">
        <v>1.345</v>
      </c>
      <c r="C212" s="108">
        <f>IFERROR(B212-B211,0)</f>
        <v>-1.0000000000000009E-2</v>
      </c>
      <c r="D212" s="109">
        <f>IF(C212&lt;0,C212,"/")</f>
        <v>-1.0000000000000009E-2</v>
      </c>
      <c r="E212" s="109">
        <f ca="1">IF(表2_36716262930389121314151819[[#This Row],[累计净值]]/MAX(INDIRECT("B21:B" &amp; ROW()))-1&lt;E211,表2_36716262930389121314151819[[#This Row],[累计净值]]/MAX(INDIRECT("B21:B" &amp; ROW()))-1,E211)</f>
        <v>-6.8817204301075297E-2</v>
      </c>
      <c r="F212" s="110">
        <f>表2_36716262930389121314151819[[#This Row],[累计净值]]-0.144</f>
        <v>1.2010000000000001</v>
      </c>
      <c r="G212" s="20">
        <f>IF(表2_36716262930389121314151819[[#This Row],[单位净值]]&gt;1.088,0.8*(表2_36716262930389121314151819[[#This Row],[单位净值]]-1.088)/1.088,(表2_36716262930389121314151819[[#This Row],[单位净值]]-1.088)/1.088)</f>
        <v>8.3088235294117629E-2</v>
      </c>
    </row>
    <row r="213" spans="1:7" x14ac:dyDescent="0.2">
      <c r="A213" s="15">
        <v>44271</v>
      </c>
      <c r="B213" s="112">
        <v>1.3420000000000001</v>
      </c>
      <c r="C213" s="108">
        <f>IFERROR(B213-B212,0)</f>
        <v>-2.9999999999998916E-3</v>
      </c>
      <c r="D213" s="109">
        <f>IF(C213&lt;0,C213,"/")</f>
        <v>-2.9999999999998916E-3</v>
      </c>
      <c r="E213" s="109">
        <f ca="1">IF(表2_36716262930389121314151819[[#This Row],[累计净值]]/MAX(INDIRECT("B21:B" &amp; ROW()))-1&lt;E212,表2_36716262930389121314151819[[#This Row],[累计净值]]/MAX(INDIRECT("B21:B" &amp; ROW()))-1,E212)</f>
        <v>-6.8817204301075297E-2</v>
      </c>
      <c r="F213" s="110">
        <f>表2_36716262930389121314151819[[#This Row],[累计净值]]-0.144</f>
        <v>1.1980000000000002</v>
      </c>
      <c r="G213" s="20">
        <f>IF(表2_36716262930389121314151819[[#This Row],[单位净值]]&gt;1.088,0.8*(表2_36716262930389121314151819[[#This Row],[单位净值]]-1.088)/1.088,(表2_36716262930389121314151819[[#This Row],[单位净值]]-1.088)/1.088)</f>
        <v>8.088235294117653E-2</v>
      </c>
    </row>
  </sheetData>
  <mergeCells count="1">
    <mergeCell ref="G2:G3"/>
  </mergeCells>
  <phoneticPr fontId="24" type="noConversion"/>
  <pageMargins left="0.7" right="0.7" top="0.75" bottom="0.75" header="0.3" footer="0.3"/>
  <pageSetup paperSize="9" orientation="portrait" horizontalDpi="200" verticalDpi="200" r:id="rId1"/>
  <drawing r:id="rId2"/>
  <tableParts count="1">
    <tablePart r:id="rId3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1"/>
  </sheetPr>
  <dimension ref="A1:G55"/>
  <sheetViews>
    <sheetView workbookViewId="0">
      <pane xSplit="1" ySplit="20" topLeftCell="B51" activePane="bottomRight" state="frozen"/>
      <selection pane="topRight" activeCell="B1" sqref="B1"/>
      <selection pane="bottomLeft" activeCell="A21" sqref="A21"/>
      <selection pane="bottomRight" activeCell="I46" sqref="I46"/>
    </sheetView>
  </sheetViews>
  <sheetFormatPr defaultColWidth="9" defaultRowHeight="14.25" x14ac:dyDescent="0.2"/>
  <cols>
    <col min="1" max="1" width="11.625" style="1" bestFit="1" customWidth="1"/>
    <col min="2" max="2" width="13" style="1" customWidth="1"/>
    <col min="3" max="4" width="13.5" style="1" bestFit="1" customWidth="1"/>
    <col min="5" max="5" width="10.75" style="1" customWidth="1"/>
    <col min="6" max="6" width="11.125" style="1" customWidth="1"/>
    <col min="7" max="7" width="18.875" style="2" customWidth="1"/>
    <col min="8" max="8" width="14.25" style="1" customWidth="1"/>
    <col min="9" max="9" width="12" style="1" bestFit="1" customWidth="1"/>
    <col min="10" max="16384" width="9" style="1"/>
  </cols>
  <sheetData>
    <row r="1" spans="1:7" ht="15" thickBot="1" x14ac:dyDescent="0.25"/>
    <row r="2" spans="1:7" ht="15" thickBot="1" x14ac:dyDescent="0.25">
      <c r="A2" s="23" t="s">
        <v>0</v>
      </c>
      <c r="B2" s="24">
        <f>COUNT(表2_3671626293038912131415232425262728313233[每日盈亏])</f>
        <v>35</v>
      </c>
      <c r="C2" s="27"/>
      <c r="D2" s="3" t="s">
        <v>1</v>
      </c>
      <c r="E2" s="28"/>
      <c r="F2" s="1" t="s">
        <v>2</v>
      </c>
      <c r="G2" s="394" t="s">
        <v>3</v>
      </c>
    </row>
    <row r="3" spans="1:7" x14ac:dyDescent="0.2">
      <c r="A3" s="25" t="s">
        <v>4</v>
      </c>
      <c r="B3" s="26">
        <f>COUNTIF(表2_3671626293038912131415232425262728313233[每日盈亏],"&gt;0")</f>
        <v>9</v>
      </c>
      <c r="C3" s="29"/>
      <c r="D3" s="30" t="s">
        <v>5</v>
      </c>
      <c r="E3" s="31">
        <f>245^0.5*(B10-0.025/365)/E10</f>
        <v>-1.6118826844176481</v>
      </c>
      <c r="G3" s="394"/>
    </row>
    <row r="4" spans="1:7" x14ac:dyDescent="0.2">
      <c r="A4" s="25" t="s">
        <v>6</v>
      </c>
      <c r="B4" s="26">
        <f>COUNTIF(表2_3671626293038912131415232425262728313233[每日盈亏],"&lt;0")</f>
        <v>22</v>
      </c>
      <c r="C4" s="29"/>
      <c r="D4" s="32" t="s">
        <v>7</v>
      </c>
      <c r="E4" s="31">
        <f ca="1">-B9/E8</f>
        <v>-3.3183183183183464</v>
      </c>
      <c r="G4" s="2">
        <f>LOOKUP(999^10,表2_3671626293038912131415232425262728313233[累计净值])</f>
        <v>1.0189999999999999</v>
      </c>
    </row>
    <row r="5" spans="1:7" x14ac:dyDescent="0.2">
      <c r="A5" s="25" t="s">
        <v>8</v>
      </c>
      <c r="B5" s="26">
        <f>B2-B3-B4</f>
        <v>4</v>
      </c>
      <c r="C5" s="29"/>
      <c r="D5" s="33" t="s">
        <v>9</v>
      </c>
      <c r="E5" s="4">
        <f>245^0.5*(B10-0.025/365)/E9</f>
        <v>-4.3094659801009918</v>
      </c>
    </row>
    <row r="6" spans="1:7" ht="15" thickBot="1" x14ac:dyDescent="0.25">
      <c r="A6" s="34"/>
      <c r="B6" s="35"/>
      <c r="C6" s="35"/>
      <c r="D6" s="35"/>
      <c r="E6" s="36"/>
    </row>
    <row r="7" spans="1:7" ht="15" thickBot="1" x14ac:dyDescent="0.25">
      <c r="A7" s="5" t="s">
        <v>10</v>
      </c>
      <c r="B7" s="35"/>
      <c r="C7" s="35"/>
      <c r="D7" s="3" t="s">
        <v>11</v>
      </c>
      <c r="E7" s="37"/>
    </row>
    <row r="8" spans="1:7" x14ac:dyDescent="0.2">
      <c r="A8" s="38" t="s">
        <v>12</v>
      </c>
      <c r="B8" s="39">
        <f>LOOKUP(999^10,表2_3671626293038912131415232425262728313233[累计净值])/$B$21-1</f>
        <v>-1.6409266409266543E-2</v>
      </c>
      <c r="C8" s="40"/>
      <c r="D8" s="30" t="s">
        <v>13</v>
      </c>
      <c r="E8" s="41">
        <f ca="1">MIN(表2_3671626293038912131415232425262728313233[最大回撤])</f>
        <v>-3.4615384615384603E-2</v>
      </c>
    </row>
    <row r="9" spans="1:7" x14ac:dyDescent="0.2">
      <c r="A9" s="25" t="s">
        <v>14</v>
      </c>
      <c r="B9" s="32">
        <f>B8*245/B2</f>
        <v>-0.1148648648648658</v>
      </c>
      <c r="C9" s="40"/>
      <c r="D9" s="33" t="s">
        <v>15</v>
      </c>
      <c r="E9" s="6">
        <f>STDEV(表2_3671626293038912131415232425262728313233[下跌幅度])</f>
        <v>2.0129451189607843E-3</v>
      </c>
    </row>
    <row r="10" spans="1:7" x14ac:dyDescent="0.2">
      <c r="A10" s="42" t="s">
        <v>16</v>
      </c>
      <c r="B10" s="43">
        <f>AVERAGE(表2_3671626293038912131415232425262728313233[每日盈亏])</f>
        <v>-4.857142857142893E-4</v>
      </c>
      <c r="C10" s="44"/>
      <c r="D10" s="33" t="s">
        <v>17</v>
      </c>
      <c r="E10" s="6">
        <f>STDEV(表2_3671626293038912131415232425262728313233[每日盈亏])</f>
        <v>5.381730689107753E-3</v>
      </c>
    </row>
    <row r="11" spans="1:7" x14ac:dyDescent="0.2">
      <c r="A11" s="7" t="s">
        <v>18</v>
      </c>
      <c r="B11" s="32">
        <f>B3/B2</f>
        <v>0.25714285714285712</v>
      </c>
      <c r="C11" s="40"/>
      <c r="D11" s="32" t="s">
        <v>19</v>
      </c>
      <c r="E11" s="41">
        <f>245^0.5*E10</f>
        <v>8.423740960209207E-2</v>
      </c>
    </row>
    <row r="12" spans="1:7" ht="15" thickBot="1" x14ac:dyDescent="0.25">
      <c r="A12" s="45" t="s">
        <v>20</v>
      </c>
      <c r="B12" s="46">
        <f>-(SUMIF(表2_3671626293038912131415232425262728313233[每日盈亏],"&gt;=0")/B3)/(SUMIF(表2_3671626293038912131415232425262728313233[每日盈亏],"&lt;0")/B4)</f>
        <v>1.8828828828828825</v>
      </c>
      <c r="C12" s="47"/>
      <c r="D12" s="48"/>
      <c r="E12" s="49"/>
    </row>
    <row r="14" spans="1:7" ht="28.5" x14ac:dyDescent="0.2">
      <c r="A14" s="50" t="s">
        <v>21</v>
      </c>
      <c r="B14" s="50" t="s">
        <v>14</v>
      </c>
      <c r="C14" s="51" t="s">
        <v>19</v>
      </c>
      <c r="D14" s="51" t="s">
        <v>13</v>
      </c>
      <c r="E14" s="51" t="s">
        <v>5</v>
      </c>
      <c r="F14" s="51" t="s">
        <v>7</v>
      </c>
    </row>
    <row r="15" spans="1:7" x14ac:dyDescent="0.2">
      <c r="A15" s="78">
        <f>B2</f>
        <v>35</v>
      </c>
      <c r="B15" s="53">
        <f>B9</f>
        <v>-0.1148648648648658</v>
      </c>
      <c r="C15" s="53">
        <f>E11</f>
        <v>8.423740960209207E-2</v>
      </c>
      <c r="D15" s="53">
        <f ca="1">E8</f>
        <v>-3.4615384615384603E-2</v>
      </c>
      <c r="E15" s="54">
        <f>E3</f>
        <v>-1.6118826844176481</v>
      </c>
      <c r="F15" s="54">
        <f ca="1">E4</f>
        <v>-3.3183183183183464</v>
      </c>
    </row>
    <row r="19" spans="1:7" x14ac:dyDescent="0.2">
      <c r="A19" s="8"/>
      <c r="B19" s="1" t="s">
        <v>22</v>
      </c>
    </row>
    <row r="20" spans="1:7" ht="15.75" x14ac:dyDescent="0.2">
      <c r="A20" s="22" t="s">
        <v>23</v>
      </c>
      <c r="B20" s="22" t="s">
        <v>24</v>
      </c>
      <c r="C20" s="22" t="s">
        <v>25</v>
      </c>
      <c r="D20" s="22" t="s">
        <v>26</v>
      </c>
      <c r="E20" s="22" t="s">
        <v>27</v>
      </c>
      <c r="F20" s="22" t="s">
        <v>28</v>
      </c>
      <c r="G20" s="22" t="s">
        <v>29</v>
      </c>
    </row>
    <row r="21" spans="1:7" x14ac:dyDescent="0.2">
      <c r="A21" s="15">
        <v>44155</v>
      </c>
      <c r="B21" s="112">
        <v>1.036</v>
      </c>
      <c r="C21" s="11">
        <f t="shared" ref="C21:C22" si="0">IFERROR(B21-B20,0)</f>
        <v>0</v>
      </c>
      <c r="D21" s="12" t="str">
        <f t="shared" ref="D21:D26" si="1">IF(C21&lt;0,C21,"/")</f>
        <v>/</v>
      </c>
      <c r="E21" s="12">
        <f ca="1">IF(表2_3671626293038912131415232425262728313233[[#This Row],[累计净值]]/MAX(INDIRECT("B21:B" &amp; ROW()))-1&lt;E20,表2_3671626293038912131415232425262728313233[[#This Row],[累计净值]]/MAX(INDIRECT("B21:B" &amp; ROW()))-1,E20)</f>
        <v>0</v>
      </c>
      <c r="F21" s="13">
        <f>表2_3671626293038912131415232425262728313233[[#This Row],[累计净值]]</f>
        <v>1.036</v>
      </c>
      <c r="G21" s="194" t="s">
        <v>30</v>
      </c>
    </row>
    <row r="22" spans="1:7" x14ac:dyDescent="0.2">
      <c r="A22" s="15">
        <v>44158</v>
      </c>
      <c r="B22" s="112">
        <v>1.0329999999999999</v>
      </c>
      <c r="C22" s="17">
        <f t="shared" si="0"/>
        <v>-3.0000000000001137E-3</v>
      </c>
      <c r="D22" s="18">
        <f t="shared" si="1"/>
        <v>-3.0000000000001137E-3</v>
      </c>
      <c r="E22" s="18">
        <f ca="1">IF(表2_3671626293038912131415232425262728313233[[#This Row],[累计净值]]/MAX(INDIRECT("B21:B" &amp; ROW()))-1&lt;E21,表2_3671626293038912131415232425262728313233[[#This Row],[累计净值]]/MAX(INDIRECT("B21:B" &amp; ROW()))-1,E21)</f>
        <v>-2.8957528957530565E-3</v>
      </c>
      <c r="F22" s="19">
        <f>表2_3671626293038912131415232425262728313233[[#This Row],[累计净值]]</f>
        <v>1.0329999999999999</v>
      </c>
      <c r="G22" s="20">
        <f>表2_3671626293038912131415232425262728313233[[#This Row],[累计净值]]/$B$21-1</f>
        <v>-2.8957528957530565E-3</v>
      </c>
    </row>
    <row r="23" spans="1:7" x14ac:dyDescent="0.2">
      <c r="A23" s="15">
        <v>44159</v>
      </c>
      <c r="B23" s="112">
        <v>1.032</v>
      </c>
      <c r="C23" s="108">
        <f t="shared" ref="C23:C28" si="2">IFERROR(B23-B22,0)</f>
        <v>-9.9999999999988987E-4</v>
      </c>
      <c r="D23" s="109">
        <f t="shared" si="1"/>
        <v>-9.9999999999988987E-4</v>
      </c>
      <c r="E23" s="109">
        <f ca="1">IF(表2_3671626293038912131415232425262728313233[[#This Row],[累计净值]]/MAX(INDIRECT("B21:B" &amp; ROW()))-1&lt;E22,表2_3671626293038912131415232425262728313233[[#This Row],[累计净值]]/MAX(INDIRECT("B21:B" &amp; ROW()))-1,E22)</f>
        <v>-3.8610038610038533E-3</v>
      </c>
      <c r="F23" s="110">
        <f>表2_3671626293038912131415232425262728313233[[#This Row],[累计净值]]</f>
        <v>1.032</v>
      </c>
      <c r="G23" s="20">
        <f>表2_3671626293038912131415232425262728313233[[#This Row],[累计净值]]/$B$21-1</f>
        <v>-3.8610038610038533E-3</v>
      </c>
    </row>
    <row r="24" spans="1:7" x14ac:dyDescent="0.2">
      <c r="A24" s="15">
        <v>44160</v>
      </c>
      <c r="B24" s="112">
        <v>1.03</v>
      </c>
      <c r="C24" s="108">
        <f t="shared" si="2"/>
        <v>-2.0000000000000018E-3</v>
      </c>
      <c r="D24" s="109">
        <f t="shared" si="1"/>
        <v>-2.0000000000000018E-3</v>
      </c>
      <c r="E24" s="109">
        <f ca="1">IF(表2_3671626293038912131415232425262728313233[[#This Row],[累计净值]]/MAX(INDIRECT("B21:B" &amp; ROW()))-1&lt;E23,表2_3671626293038912131415232425262728313233[[#This Row],[累计净值]]/MAX(INDIRECT("B21:B" &amp; ROW()))-1,E23)</f>
        <v>-5.7915057915057799E-3</v>
      </c>
      <c r="F24" s="110">
        <f>表2_3671626293038912131415232425262728313233[[#This Row],[累计净值]]</f>
        <v>1.03</v>
      </c>
      <c r="G24" s="20">
        <f>表2_3671626293038912131415232425262728313233[[#This Row],[累计净值]]/$B$21-1</f>
        <v>-5.7915057915057799E-3</v>
      </c>
    </row>
    <row r="25" spans="1:7" x14ac:dyDescent="0.2">
      <c r="A25" s="15">
        <v>44161</v>
      </c>
      <c r="B25" s="112">
        <v>1.0289999999999999</v>
      </c>
      <c r="C25" s="108">
        <f t="shared" si="2"/>
        <v>-1.0000000000001119E-3</v>
      </c>
      <c r="D25" s="109">
        <f t="shared" si="1"/>
        <v>-1.0000000000001119E-3</v>
      </c>
      <c r="E25" s="109">
        <f ca="1">IF(表2_3671626293038912131415232425262728313233[[#This Row],[累计净值]]/MAX(INDIRECT("B21:B" &amp; ROW()))-1&lt;E24,表2_3671626293038912131415232425262728313233[[#This Row],[累计净值]]/MAX(INDIRECT("B21:B" &amp; ROW()))-1,E24)</f>
        <v>-6.7567567567569098E-3</v>
      </c>
      <c r="F25" s="110">
        <f>表2_3671626293038912131415232425262728313233[[#This Row],[累计净值]]</f>
        <v>1.0289999999999999</v>
      </c>
      <c r="G25" s="20">
        <f>表2_3671626293038912131415232425262728313233[[#This Row],[累计净值]]/$B$21-1</f>
        <v>-6.7567567567569098E-3</v>
      </c>
    </row>
    <row r="26" spans="1:7" x14ac:dyDescent="0.2">
      <c r="A26" s="15">
        <v>44162</v>
      </c>
      <c r="B26" s="112">
        <v>1.0309999999999999</v>
      </c>
      <c r="C26" s="108">
        <f t="shared" si="2"/>
        <v>2.0000000000000018E-3</v>
      </c>
      <c r="D26" s="109" t="str">
        <f t="shared" si="1"/>
        <v>/</v>
      </c>
      <c r="E26" s="109">
        <f ca="1">IF(表2_3671626293038912131415232425262728313233[[#This Row],[累计净值]]/MAX(INDIRECT("B21:B" &amp; ROW()))-1&lt;E25,表2_3671626293038912131415232425262728313233[[#This Row],[累计净值]]/MAX(INDIRECT("B21:B" &amp; ROW()))-1,E25)</f>
        <v>-6.7567567567569098E-3</v>
      </c>
      <c r="F26" s="110">
        <f>表2_3671626293038912131415232425262728313233[[#This Row],[累计净值]]</f>
        <v>1.0309999999999999</v>
      </c>
      <c r="G26" s="20">
        <f>表2_3671626293038912131415232425262728313233[[#This Row],[累计净值]]/$B$21-1</f>
        <v>-4.8262548262549831E-3</v>
      </c>
    </row>
    <row r="27" spans="1:7" x14ac:dyDescent="0.2">
      <c r="A27" s="15">
        <v>44165</v>
      </c>
      <c r="B27" s="112">
        <v>1.0269999999999999</v>
      </c>
      <c r="C27" s="108">
        <f t="shared" si="2"/>
        <v>-4.0000000000000036E-3</v>
      </c>
      <c r="D27" s="109">
        <f t="shared" ref="D27:D32" si="3">IF(C27&lt;0,C27,"/")</f>
        <v>-4.0000000000000036E-3</v>
      </c>
      <c r="E27" s="109">
        <f ca="1">IF(表2_3671626293038912131415232425262728313233[[#This Row],[累计净值]]/MAX(INDIRECT("B21:B" &amp; ROW()))-1&lt;E26,表2_3671626293038912131415232425262728313233[[#This Row],[累计净值]]/MAX(INDIRECT("B21:B" &amp; ROW()))-1,E26)</f>
        <v>-8.6872586872588364E-3</v>
      </c>
      <c r="F27" s="110">
        <f>表2_3671626293038912131415232425262728313233[[#This Row],[累计净值]]</f>
        <v>1.0269999999999999</v>
      </c>
      <c r="G27" s="20">
        <f>表2_3671626293038912131415232425262728313233[[#This Row],[累计净值]]/$B$21-1</f>
        <v>-8.6872586872588364E-3</v>
      </c>
    </row>
    <row r="28" spans="1:7" x14ac:dyDescent="0.2">
      <c r="A28" s="15">
        <v>44166</v>
      </c>
      <c r="B28" s="112">
        <v>1.04</v>
      </c>
      <c r="C28" s="108">
        <f t="shared" si="2"/>
        <v>1.3000000000000123E-2</v>
      </c>
      <c r="D28" s="109" t="str">
        <f t="shared" si="3"/>
        <v>/</v>
      </c>
      <c r="E28" s="109">
        <f ca="1">IF(表2_3671626293038912131415232425262728313233[[#This Row],[累计净值]]/MAX(INDIRECT("B21:B" &amp; ROW()))-1&lt;E27,表2_3671626293038912131415232425262728313233[[#This Row],[累计净值]]/MAX(INDIRECT("B21:B" &amp; ROW()))-1,E27)</f>
        <v>-8.6872586872588364E-3</v>
      </c>
      <c r="F28" s="110">
        <f>表2_3671626293038912131415232425262728313233[[#This Row],[累计净值]]</f>
        <v>1.04</v>
      </c>
      <c r="G28" s="20">
        <f>表2_3671626293038912131415232425262728313233[[#This Row],[累计净值]]/$B$21-1</f>
        <v>3.8610038610038533E-3</v>
      </c>
    </row>
    <row r="29" spans="1:7" x14ac:dyDescent="0.2">
      <c r="A29" s="15">
        <v>44167</v>
      </c>
      <c r="B29" s="112">
        <v>1.0389999999999999</v>
      </c>
      <c r="C29" s="108">
        <f t="shared" ref="C29:C34" si="4">IFERROR(B29-B28,0)</f>
        <v>-1.0000000000001119E-3</v>
      </c>
      <c r="D29" s="109">
        <f t="shared" si="3"/>
        <v>-1.0000000000001119E-3</v>
      </c>
      <c r="E29" s="109">
        <f ca="1">IF(表2_3671626293038912131415232425262728313233[[#This Row],[累计净值]]/MAX(INDIRECT("B21:B" &amp; ROW()))-1&lt;E28,表2_3671626293038912131415232425262728313233[[#This Row],[累计净值]]/MAX(INDIRECT("B21:B" &amp; ROW()))-1,E28)</f>
        <v>-8.6872586872588364E-3</v>
      </c>
      <c r="F29" s="110">
        <f>表2_3671626293038912131415232425262728313233[[#This Row],[累计净值]]</f>
        <v>1.0389999999999999</v>
      </c>
      <c r="G29" s="20">
        <f>表2_3671626293038912131415232425262728313233[[#This Row],[累计净值]]/$B$21-1</f>
        <v>2.8957528957527234E-3</v>
      </c>
    </row>
    <row r="30" spans="1:7" x14ac:dyDescent="0.2">
      <c r="A30" s="15">
        <v>44168</v>
      </c>
      <c r="B30" s="112">
        <v>1.036</v>
      </c>
      <c r="C30" s="108">
        <f t="shared" si="4"/>
        <v>-2.9999999999998916E-3</v>
      </c>
      <c r="D30" s="109">
        <f t="shared" si="3"/>
        <v>-2.9999999999998916E-3</v>
      </c>
      <c r="E30" s="109">
        <f ca="1">IF(表2_3671626293038912131415232425262728313233[[#This Row],[累计净值]]/MAX(INDIRECT("B21:B" &amp; ROW()))-1&lt;E29,表2_3671626293038912131415232425262728313233[[#This Row],[累计净值]]/MAX(INDIRECT("B21:B" &amp; ROW()))-1,E29)</f>
        <v>-8.6872586872588364E-3</v>
      </c>
      <c r="F30" s="110">
        <f>表2_3671626293038912131415232425262728313233[[#This Row],[累计净值]]</f>
        <v>1.036</v>
      </c>
      <c r="G30" s="20">
        <f>表2_3671626293038912131415232425262728313233[[#This Row],[累计净值]]/$B$21-1</f>
        <v>0</v>
      </c>
    </row>
    <row r="31" spans="1:7" x14ac:dyDescent="0.2">
      <c r="A31" s="15">
        <v>44169</v>
      </c>
      <c r="B31" s="112">
        <v>1.0329999999999999</v>
      </c>
      <c r="C31" s="108">
        <f t="shared" si="4"/>
        <v>-3.0000000000001137E-3</v>
      </c>
      <c r="D31" s="109">
        <f t="shared" si="3"/>
        <v>-3.0000000000001137E-3</v>
      </c>
      <c r="E31" s="109">
        <f ca="1">IF(表2_3671626293038912131415232425262728313233[[#This Row],[累计净值]]/MAX(INDIRECT("B21:B" &amp; ROW()))-1&lt;E30,表2_3671626293038912131415232425262728313233[[#This Row],[累计净值]]/MAX(INDIRECT("B21:B" &amp; ROW()))-1,E30)</f>
        <v>-8.6872586872588364E-3</v>
      </c>
      <c r="F31" s="110">
        <f>表2_3671626293038912131415232425262728313233[[#This Row],[累计净值]]</f>
        <v>1.0329999999999999</v>
      </c>
      <c r="G31" s="20">
        <f>表2_3671626293038912131415232425262728313233[[#This Row],[累计净值]]/$B$21-1</f>
        <v>-2.8957528957530565E-3</v>
      </c>
    </row>
    <row r="32" spans="1:7" x14ac:dyDescent="0.2">
      <c r="A32" s="15">
        <v>44172</v>
      </c>
      <c r="B32" s="112">
        <v>1.0309999999999999</v>
      </c>
      <c r="C32" s="108">
        <f t="shared" si="4"/>
        <v>-2.0000000000000018E-3</v>
      </c>
      <c r="D32" s="109">
        <f t="shared" si="3"/>
        <v>-2.0000000000000018E-3</v>
      </c>
      <c r="E32" s="109">
        <f ca="1">IF(表2_3671626293038912131415232425262728313233[[#This Row],[累计净值]]/MAX(INDIRECT("B21:B" &amp; ROW()))-1&lt;E31,表2_3671626293038912131415232425262728313233[[#This Row],[累计净值]]/MAX(INDIRECT("B21:B" &amp; ROW()))-1,E31)</f>
        <v>-8.6872586872588364E-3</v>
      </c>
      <c r="F32" s="110">
        <f>表2_3671626293038912131415232425262728313233[[#This Row],[累计净值]]</f>
        <v>1.0309999999999999</v>
      </c>
      <c r="G32" s="20">
        <f>表2_3671626293038912131415232425262728313233[[#This Row],[累计净值]]/$B$21-1</f>
        <v>-4.8262548262549831E-3</v>
      </c>
    </row>
    <row r="33" spans="1:7" x14ac:dyDescent="0.2">
      <c r="A33" s="15">
        <v>44173</v>
      </c>
      <c r="B33" s="112">
        <v>1.0309999999999999</v>
      </c>
      <c r="C33" s="108">
        <f t="shared" si="4"/>
        <v>0</v>
      </c>
      <c r="D33" s="109" t="str">
        <f t="shared" ref="D33:D38" si="5">IF(C33&lt;0,C33,"/")</f>
        <v>/</v>
      </c>
      <c r="E33" s="109">
        <f ca="1">IF(表2_3671626293038912131415232425262728313233[[#This Row],[累计净值]]/MAX(INDIRECT("B21:B" &amp; ROW()))-1&lt;E32,表2_3671626293038912131415232425262728313233[[#This Row],[累计净值]]/MAX(INDIRECT("B21:B" &amp; ROW()))-1,E32)</f>
        <v>-8.6872586872588364E-3</v>
      </c>
      <c r="F33" s="110">
        <f>表2_3671626293038912131415232425262728313233[[#This Row],[累计净值]]</f>
        <v>1.0309999999999999</v>
      </c>
      <c r="G33" s="20">
        <f>表2_3671626293038912131415232425262728313233[[#This Row],[累计净值]]/$B$21-1</f>
        <v>-4.8262548262549831E-3</v>
      </c>
    </row>
    <row r="34" spans="1:7" x14ac:dyDescent="0.2">
      <c r="A34" s="15">
        <v>44174</v>
      </c>
      <c r="B34" s="112">
        <v>1.0309999999999999</v>
      </c>
      <c r="C34" s="108">
        <f t="shared" si="4"/>
        <v>0</v>
      </c>
      <c r="D34" s="109" t="str">
        <f t="shared" si="5"/>
        <v>/</v>
      </c>
      <c r="E34" s="109">
        <f ca="1">IF(表2_3671626293038912131415232425262728313233[[#This Row],[累计净值]]/MAX(INDIRECT("B21:B" &amp; ROW()))-1&lt;E33,表2_3671626293038912131415232425262728313233[[#This Row],[累计净值]]/MAX(INDIRECT("B21:B" &amp; ROW()))-1,E33)</f>
        <v>-8.6872586872588364E-3</v>
      </c>
      <c r="F34" s="110">
        <f>表2_3671626293038912131415232425262728313233[[#This Row],[累计净值]]</f>
        <v>1.0309999999999999</v>
      </c>
      <c r="G34" s="20">
        <f>表2_3671626293038912131415232425262728313233[[#This Row],[累计净值]]/$B$21-1</f>
        <v>-4.8262548262549831E-3</v>
      </c>
    </row>
    <row r="35" spans="1:7" x14ac:dyDescent="0.2">
      <c r="A35" s="15">
        <v>44175</v>
      </c>
      <c r="B35" s="112">
        <v>1.03</v>
      </c>
      <c r="C35" s="108">
        <f t="shared" ref="C35:C40" si="6">IFERROR(B35-B34,0)</f>
        <v>-9.9999999999988987E-4</v>
      </c>
      <c r="D35" s="109">
        <f t="shared" si="5"/>
        <v>-9.9999999999988987E-4</v>
      </c>
      <c r="E35" s="109">
        <f ca="1">IF(表2_3671626293038912131415232425262728313233[[#This Row],[累计净值]]/MAX(INDIRECT("B21:B" &amp; ROW()))-1&lt;E34,表2_3671626293038912131415232425262728313233[[#This Row],[累计净值]]/MAX(INDIRECT("B21:B" &amp; ROW()))-1,E34)</f>
        <v>-9.6153846153845812E-3</v>
      </c>
      <c r="F35" s="110">
        <v>0.999</v>
      </c>
      <c r="G35" s="20">
        <f>表2_3671626293038912131415232425262728313233[[#This Row],[累计净值]]/$B$21-1</f>
        <v>-5.7915057915057799E-3</v>
      </c>
    </row>
    <row r="36" spans="1:7" x14ac:dyDescent="0.2">
      <c r="A36" s="15">
        <v>44176</v>
      </c>
      <c r="B36" s="112">
        <v>1.0249999999999999</v>
      </c>
      <c r="C36" s="108">
        <f t="shared" si="6"/>
        <v>-5.0000000000001155E-3</v>
      </c>
      <c r="D36" s="109">
        <f t="shared" si="5"/>
        <v>-5.0000000000001155E-3</v>
      </c>
      <c r="E36" s="109">
        <f ca="1">IF(表2_3671626293038912131415232425262728313233[[#This Row],[累计净值]]/MAX(INDIRECT("B21:B" &amp; ROW()))-1&lt;E35,表2_3671626293038912131415232425262728313233[[#This Row],[累计净值]]/MAX(INDIRECT("B21:B" &amp; ROW()))-1,E35)</f>
        <v>-1.4423076923077094E-2</v>
      </c>
      <c r="F36" s="110">
        <v>0.99399999999999999</v>
      </c>
      <c r="G36" s="20">
        <f>表2_3671626293038912131415232425262728313233[[#This Row],[累计净值]]/$B$21-1</f>
        <v>-1.0617760617760763E-2</v>
      </c>
    </row>
    <row r="37" spans="1:7" x14ac:dyDescent="0.2">
      <c r="A37" s="15">
        <v>44179</v>
      </c>
      <c r="B37" s="112">
        <v>1.03</v>
      </c>
      <c r="C37" s="108">
        <f t="shared" si="6"/>
        <v>5.0000000000001155E-3</v>
      </c>
      <c r="D37" s="109" t="str">
        <f t="shared" si="5"/>
        <v>/</v>
      </c>
      <c r="E37" s="109">
        <f ca="1">IF(表2_3671626293038912131415232425262728313233[[#This Row],[累计净值]]/MAX(INDIRECT("B21:B" &amp; ROW()))-1&lt;E36,表2_3671626293038912131415232425262728313233[[#This Row],[累计净值]]/MAX(INDIRECT("B21:B" &amp; ROW()))-1,E36)</f>
        <v>-1.4423076923077094E-2</v>
      </c>
      <c r="F37" s="110">
        <v>0.999</v>
      </c>
      <c r="G37" s="20">
        <f>表2_3671626293038912131415232425262728313233[[#This Row],[累计净值]]/$B$21-1</f>
        <v>-5.7915057915057799E-3</v>
      </c>
    </row>
    <row r="38" spans="1:7" x14ac:dyDescent="0.2">
      <c r="A38" s="15">
        <v>44180</v>
      </c>
      <c r="B38" s="112">
        <v>1.03</v>
      </c>
      <c r="C38" s="108">
        <f t="shared" si="6"/>
        <v>0</v>
      </c>
      <c r="D38" s="109" t="str">
        <f t="shared" si="5"/>
        <v>/</v>
      </c>
      <c r="E38" s="109">
        <f ca="1">IF(表2_3671626293038912131415232425262728313233[[#This Row],[累计净值]]/MAX(INDIRECT("B21:B" &amp; ROW()))-1&lt;E37,表2_3671626293038912131415232425262728313233[[#This Row],[累计净值]]/MAX(INDIRECT("B21:B" &amp; ROW()))-1,E37)</f>
        <v>-1.4423076923077094E-2</v>
      </c>
      <c r="F38" s="110">
        <f>表2_3671626293038912131415232425262728313233[[#This Row],[累计净值]]-0.031</f>
        <v>0.999</v>
      </c>
      <c r="G38" s="20">
        <f>表2_3671626293038912131415232425262728313233[[#This Row],[累计净值]]/$B$21-1</f>
        <v>-5.7915057915057799E-3</v>
      </c>
    </row>
    <row r="39" spans="1:7" x14ac:dyDescent="0.2">
      <c r="A39" s="15">
        <v>44181</v>
      </c>
      <c r="B39" s="112">
        <v>1.0309999999999999</v>
      </c>
      <c r="C39" s="108">
        <f t="shared" si="6"/>
        <v>9.9999999999988987E-4</v>
      </c>
      <c r="D39" s="109" t="str">
        <f t="shared" ref="D39:D44" si="7">IF(C39&lt;0,C39,"/")</f>
        <v>/</v>
      </c>
      <c r="E39" s="109">
        <f ca="1">IF(表2_3671626293038912131415232425262728313233[[#This Row],[累计净值]]/MAX(INDIRECT("B21:B" &amp; ROW()))-1&lt;E38,表2_3671626293038912131415232425262728313233[[#This Row],[累计净值]]/MAX(INDIRECT("B21:B" &amp; ROW()))-1,E38)</f>
        <v>-1.4423076923077094E-2</v>
      </c>
      <c r="F39" s="110">
        <f>表2_3671626293038912131415232425262728313233[[#This Row],[累计净值]]-0.031</f>
        <v>0.99999999999999989</v>
      </c>
      <c r="G39" s="20">
        <f>表2_3671626293038912131415232425262728313233[[#This Row],[累计净值]]/$B$21-1</f>
        <v>-4.8262548262549831E-3</v>
      </c>
    </row>
    <row r="40" spans="1:7" x14ac:dyDescent="0.2">
      <c r="A40" s="15">
        <v>44182</v>
      </c>
      <c r="B40" s="112">
        <v>1.036</v>
      </c>
      <c r="C40" s="108">
        <f t="shared" si="6"/>
        <v>5.0000000000001155E-3</v>
      </c>
      <c r="D40" s="109" t="str">
        <f t="shared" si="7"/>
        <v>/</v>
      </c>
      <c r="E40" s="109">
        <f ca="1">IF(表2_3671626293038912131415232425262728313233[[#This Row],[累计净值]]/MAX(INDIRECT("B21:B" &amp; ROW()))-1&lt;E39,表2_3671626293038912131415232425262728313233[[#This Row],[累计净值]]/MAX(INDIRECT("B21:B" &amp; ROW()))-1,E39)</f>
        <v>-1.4423076923077094E-2</v>
      </c>
      <c r="F40" s="110">
        <f>表2_3671626293038912131415232425262728313233[[#This Row],[累计净值]]-0.031</f>
        <v>1.0050000000000001</v>
      </c>
      <c r="G40" s="20">
        <f>表2_3671626293038912131415232425262728313233[[#This Row],[累计净值]]/$B$21-1</f>
        <v>0</v>
      </c>
    </row>
    <row r="41" spans="1:7" x14ac:dyDescent="0.2">
      <c r="A41" s="15">
        <v>44183</v>
      </c>
      <c r="B41" s="112">
        <v>1.032</v>
      </c>
      <c r="C41" s="108">
        <f>IFERROR(B41-B40,0)</f>
        <v>-4.0000000000000036E-3</v>
      </c>
      <c r="D41" s="109">
        <f t="shared" si="7"/>
        <v>-4.0000000000000036E-3</v>
      </c>
      <c r="E41" s="109">
        <f ca="1">IF(表2_3671626293038912131415232425262728313233[[#This Row],[累计净值]]/MAX(INDIRECT("B21:B" &amp; ROW()))-1&lt;E40,表2_3671626293038912131415232425262728313233[[#This Row],[累计净值]]/MAX(INDIRECT("B21:B" &amp; ROW()))-1,E40)</f>
        <v>-1.4423076923077094E-2</v>
      </c>
      <c r="F41" s="110">
        <f>表2_3671626293038912131415232425262728313233[[#This Row],[累计净值]]-0.031</f>
        <v>1.0010000000000001</v>
      </c>
      <c r="G41" s="20">
        <f>表2_3671626293038912131415232425262728313233[[#This Row],[累计净值]]/$B$21-1</f>
        <v>-3.8610038610038533E-3</v>
      </c>
    </row>
    <row r="42" spans="1:7" x14ac:dyDescent="0.2">
      <c r="A42" s="15">
        <v>44186</v>
      </c>
      <c r="B42" s="112">
        <v>1.0309999999999999</v>
      </c>
      <c r="C42" s="108">
        <f>IFERROR(B42-B41,0)</f>
        <v>-1.0000000000001119E-3</v>
      </c>
      <c r="D42" s="109">
        <f t="shared" si="7"/>
        <v>-1.0000000000001119E-3</v>
      </c>
      <c r="E42" s="109">
        <f ca="1">IF(表2_3671626293038912131415232425262728313233[[#This Row],[累计净值]]/MAX(INDIRECT("B21:B" &amp; ROW()))-1&lt;E41,表2_3671626293038912131415232425262728313233[[#This Row],[累计净值]]/MAX(INDIRECT("B21:B" &amp; ROW()))-1,E41)</f>
        <v>-1.4423076923077094E-2</v>
      </c>
      <c r="F42" s="110">
        <f>表2_3671626293038912131415232425262728313233[[#This Row],[累计净值]]-0.031</f>
        <v>0.99999999999999989</v>
      </c>
      <c r="G42" s="20">
        <f>表2_3671626293038912131415232425262728313233[[#This Row],[累计净值]]/$B$21-1</f>
        <v>-4.8262548262549831E-3</v>
      </c>
    </row>
    <row r="43" spans="1:7" x14ac:dyDescent="0.2">
      <c r="A43" s="15">
        <v>44187</v>
      </c>
      <c r="B43" s="112">
        <v>1.026</v>
      </c>
      <c r="C43" s="108">
        <f>IFERROR(B43-B42,0)</f>
        <v>-4.9999999999998934E-3</v>
      </c>
      <c r="D43" s="109">
        <f t="shared" si="7"/>
        <v>-4.9999999999998934E-3</v>
      </c>
      <c r="E43" s="109">
        <f ca="1">IF(表2_3671626293038912131415232425262728313233[[#This Row],[累计净值]]/MAX(INDIRECT("B21:B" &amp; ROW()))-1&lt;E42,表2_3671626293038912131415232425262728313233[[#This Row],[累计净值]]/MAX(INDIRECT("B21:B" &amp; ROW()))-1,E42)</f>
        <v>-1.4423076923077094E-2</v>
      </c>
      <c r="F43" s="110">
        <f>表2_3671626293038912131415232425262728313233[[#This Row],[累计净值]]-0.031</f>
        <v>0.995</v>
      </c>
      <c r="G43" s="20">
        <f>表2_3671626293038912131415232425262728313233[[#This Row],[累计净值]]/$B$21-1</f>
        <v>-9.6525096525096332E-3</v>
      </c>
    </row>
    <row r="44" spans="1:7" x14ac:dyDescent="0.2">
      <c r="A44" s="15">
        <v>44188</v>
      </c>
      <c r="B44" s="112">
        <v>1.0229999999999999</v>
      </c>
      <c r="C44" s="108">
        <f>IFERROR(B44-B43,0)</f>
        <v>-3.0000000000001137E-3</v>
      </c>
      <c r="D44" s="109">
        <f t="shared" si="7"/>
        <v>-3.0000000000001137E-3</v>
      </c>
      <c r="E44" s="109">
        <f ca="1">IF(表2_3671626293038912131415232425262728313233[[#This Row],[累计净值]]/MAX(INDIRECT("B21:B" &amp; ROW()))-1&lt;E43,表2_3671626293038912131415232425262728313233[[#This Row],[累计净值]]/MAX(INDIRECT("B21:B" &amp; ROW()))-1,E43)</f>
        <v>-1.634615384615401E-2</v>
      </c>
      <c r="F44" s="110">
        <f>表2_3671626293038912131415232425262728313233[[#This Row],[累计净值]]-0.031</f>
        <v>0.99199999999999988</v>
      </c>
      <c r="G44" s="20">
        <f>表2_3671626293038912131415232425262728313233[[#This Row],[累计净值]]/$B$21-1</f>
        <v>-1.254826254826269E-2</v>
      </c>
    </row>
    <row r="45" spans="1:7" x14ac:dyDescent="0.2">
      <c r="A45" s="15">
        <v>44189</v>
      </c>
      <c r="B45" s="112">
        <v>1.0169999999999999</v>
      </c>
      <c r="C45" s="108">
        <f t="shared" ref="C45:C46" si="8">IFERROR(B45-B44,0)</f>
        <v>-6.0000000000000053E-3</v>
      </c>
      <c r="D45" s="109">
        <f t="shared" ref="D45:D46" si="9">IF(C45&lt;0,C45,"/")</f>
        <v>-6.0000000000000053E-3</v>
      </c>
      <c r="E45" s="109">
        <f ca="1">IF(表2_3671626293038912131415232425262728313233[[#This Row],[累计净值]]/MAX(INDIRECT("B21:B" &amp; ROW()))-1&lt;E44,表2_3671626293038912131415232425262728313233[[#This Row],[累计净值]]/MAX(INDIRECT("B21:B" &amp; ROW()))-1,E44)</f>
        <v>-2.2115384615384759E-2</v>
      </c>
      <c r="F45" s="110">
        <f>表2_3671626293038912131415232425262728313233[[#This Row],[累计净值]]-0.031</f>
        <v>0.98599999999999988</v>
      </c>
      <c r="G45" s="20">
        <f>表2_3671626293038912131415232425262728313233[[#This Row],[累计净值]]/$B$21-1</f>
        <v>-1.833976833976847E-2</v>
      </c>
    </row>
    <row r="46" spans="1:7" x14ac:dyDescent="0.2">
      <c r="A46" s="15">
        <v>44190</v>
      </c>
      <c r="B46" s="112">
        <v>1.02</v>
      </c>
      <c r="C46" s="108">
        <f t="shared" si="8"/>
        <v>3.0000000000001137E-3</v>
      </c>
      <c r="D46" s="109" t="str">
        <f t="shared" si="9"/>
        <v>/</v>
      </c>
      <c r="E46" s="109">
        <f ca="1">IF(表2_3671626293038912131415232425262728313233[[#This Row],[累计净值]]/MAX(INDIRECT("B21:B" &amp; ROW()))-1&lt;E45,表2_3671626293038912131415232425262728313233[[#This Row],[累计净值]]/MAX(INDIRECT("B21:B" &amp; ROW()))-1,E45)</f>
        <v>-2.2115384615384759E-2</v>
      </c>
      <c r="F46" s="110">
        <f>表2_3671626293038912131415232425262728313233[[#This Row],[累计净值]]-0.031</f>
        <v>0.98899999999999999</v>
      </c>
      <c r="G46" s="20">
        <f>表2_3671626293038912131415232425262728313233[[#This Row],[累计净值]]/$B$21-1</f>
        <v>-1.5444015444015413E-2</v>
      </c>
    </row>
    <row r="47" spans="1:7" x14ac:dyDescent="0.2">
      <c r="A47" s="15">
        <v>44193</v>
      </c>
      <c r="B47" s="112">
        <v>1.0129999999999999</v>
      </c>
      <c r="C47" s="108">
        <f>IFERROR(B47-B46,0)</f>
        <v>-7.0000000000001172E-3</v>
      </c>
      <c r="D47" s="109">
        <f>IF(C47&lt;0,C47,"/")</f>
        <v>-7.0000000000001172E-3</v>
      </c>
      <c r="E47" s="109">
        <f ca="1">IF(表2_3671626293038912131415232425262728313233[[#This Row],[累计净值]]/MAX(INDIRECT("B21:B" &amp; ROW()))-1&lt;E46,表2_3671626293038912131415232425262728313233[[#This Row],[累计净值]]/MAX(INDIRECT("B21:B" &amp; ROW()))-1,E46)</f>
        <v>-2.5961538461538591E-2</v>
      </c>
      <c r="F47" s="110">
        <f>表2_3671626293038912131415232425262728313233[[#This Row],[累计净值]]-0.031</f>
        <v>0.98199999999999987</v>
      </c>
      <c r="G47" s="20">
        <f>表2_3671626293038912131415232425262728313233[[#This Row],[累计净值]]/$B$21-1</f>
        <v>-2.2200772200772323E-2</v>
      </c>
    </row>
    <row r="48" spans="1:7" x14ac:dyDescent="0.2">
      <c r="A48" s="15">
        <v>44194</v>
      </c>
      <c r="B48" s="112">
        <v>1.008</v>
      </c>
      <c r="C48" s="108">
        <f>IFERROR(B48-B47,0)</f>
        <v>-4.9999999999998934E-3</v>
      </c>
      <c r="D48" s="109">
        <f>IF(C48&lt;0,C48,"/")</f>
        <v>-4.9999999999998934E-3</v>
      </c>
      <c r="E48" s="109">
        <f ca="1">IF(表2_3671626293038912131415232425262728313233[[#This Row],[累计净值]]/MAX(INDIRECT("B21:B" &amp; ROW()))-1&lt;E47,表2_3671626293038912131415232425262728313233[[#This Row],[累计净值]]/MAX(INDIRECT("B21:B" &amp; ROW()))-1,E47)</f>
        <v>-3.0769230769230771E-2</v>
      </c>
      <c r="F48" s="110">
        <f>表2_3671626293038912131415232425262728313233[[#This Row],[累计净值]]-0.031</f>
        <v>0.97699999999999998</v>
      </c>
      <c r="G48" s="20">
        <f>表2_3671626293038912131415232425262728313233[[#This Row],[累计净值]]/$B$21-1</f>
        <v>-2.7027027027027084E-2</v>
      </c>
    </row>
    <row r="49" spans="1:7" x14ac:dyDescent="0.2">
      <c r="A49" s="15">
        <v>44195</v>
      </c>
      <c r="B49" s="112">
        <v>1.004</v>
      </c>
      <c r="C49" s="108">
        <f t="shared" ref="C49:C50" si="10">IFERROR(B49-B48,0)</f>
        <v>-4.0000000000000036E-3</v>
      </c>
      <c r="D49" s="109">
        <f t="shared" ref="D49:D50" si="11">IF(C49&lt;0,C49,"/")</f>
        <v>-4.0000000000000036E-3</v>
      </c>
      <c r="E49" s="109">
        <f ca="1">IF(表2_3671626293038912131415232425262728313233[[#This Row],[累计净值]]/MAX(INDIRECT("B21:B" &amp; ROW()))-1&lt;E48,表2_3671626293038912131415232425262728313233[[#This Row],[累计净值]]/MAX(INDIRECT("B21:B" &amp; ROW()))-1,E48)</f>
        <v>-3.4615384615384603E-2</v>
      </c>
      <c r="F49" s="110">
        <f>表2_3671626293038912131415232425262728313233[[#This Row],[累计净值]]-0.031</f>
        <v>0.97299999999999998</v>
      </c>
      <c r="G49" s="20">
        <f>表2_3671626293038912131415232425262728313233[[#This Row],[累计净值]]/$B$21-1</f>
        <v>-3.0888030888030937E-2</v>
      </c>
    </row>
    <row r="50" spans="1:7" x14ac:dyDescent="0.2">
      <c r="A50" s="15">
        <v>44196</v>
      </c>
      <c r="B50" s="112">
        <v>1.012</v>
      </c>
      <c r="C50" s="108">
        <f t="shared" si="10"/>
        <v>8.0000000000000071E-3</v>
      </c>
      <c r="D50" s="109" t="str">
        <f t="shared" si="11"/>
        <v>/</v>
      </c>
      <c r="E50" s="109">
        <f ca="1">IF(表2_3671626293038912131415232425262728313233[[#This Row],[累计净值]]/MAX(INDIRECT("B21:B" &amp; ROW()))-1&lt;E49,表2_3671626293038912131415232425262728313233[[#This Row],[累计净值]]/MAX(INDIRECT("B21:B" &amp; ROW()))-1,E49)</f>
        <v>-3.4615384615384603E-2</v>
      </c>
      <c r="F50" s="110">
        <f>表2_3671626293038912131415232425262728313233[[#This Row],[累计净值]]-0.031</f>
        <v>0.98099999999999998</v>
      </c>
      <c r="G50" s="20">
        <f>表2_3671626293038912131415232425262728313233[[#This Row],[累计净值]]/$B$21-1</f>
        <v>-2.3166023166023231E-2</v>
      </c>
    </row>
    <row r="51" spans="1:7" x14ac:dyDescent="0.2">
      <c r="A51" s="15">
        <v>44200</v>
      </c>
      <c r="B51" s="112">
        <v>1.0309999999999999</v>
      </c>
      <c r="C51" s="108">
        <f>IFERROR(B51-B50,0)</f>
        <v>1.8999999999999906E-2</v>
      </c>
      <c r="D51" s="109" t="str">
        <f>IF(C51&lt;0,C51,"/")</f>
        <v>/</v>
      </c>
      <c r="E51" s="109">
        <f ca="1">IF(表2_3671626293038912131415232425262728313233[[#This Row],[累计净值]]/MAX(INDIRECT("B21:B" &amp; ROW()))-1&lt;E50,表2_3671626293038912131415232425262728313233[[#This Row],[累计净值]]/MAX(INDIRECT("B21:B" &amp; ROW()))-1,E50)</f>
        <v>-3.4615384615384603E-2</v>
      </c>
      <c r="F51" s="110">
        <f>表2_3671626293038912131415232425262728313233[[#This Row],[累计净值]]-0.031</f>
        <v>0.99999999999999989</v>
      </c>
      <c r="G51" s="20">
        <f>表2_3671626293038912131415232425262728313233[[#This Row],[累计净值]]/$B$21-1</f>
        <v>-4.8262548262549831E-3</v>
      </c>
    </row>
    <row r="52" spans="1:7" x14ac:dyDescent="0.2">
      <c r="A52" s="15">
        <v>44201</v>
      </c>
      <c r="B52" s="112">
        <v>1.0229999999999999</v>
      </c>
      <c r="C52" s="108">
        <f>IFERROR(B52-B51,0)</f>
        <v>-8.0000000000000071E-3</v>
      </c>
      <c r="D52" s="109">
        <f>IF(C52&lt;0,C52,"/")</f>
        <v>-8.0000000000000071E-3</v>
      </c>
      <c r="E52" s="109">
        <f ca="1">IF(表2_3671626293038912131415232425262728313233[[#This Row],[累计净值]]/MAX(INDIRECT("B21:B" &amp; ROW()))-1&lt;E51,表2_3671626293038912131415232425262728313233[[#This Row],[累计净值]]/MAX(INDIRECT("B21:B" &amp; ROW()))-1,E51)</f>
        <v>-3.4615384615384603E-2</v>
      </c>
      <c r="F52" s="110">
        <f>表2_3671626293038912131415232425262728313233[[#This Row],[累计净值]]-0.031</f>
        <v>0.99199999999999988</v>
      </c>
      <c r="G52" s="20">
        <f>表2_3671626293038912131415232425262728313233[[#This Row],[累计净值]]/$B$21-1</f>
        <v>-1.254826254826269E-2</v>
      </c>
    </row>
    <row r="53" spans="1:7" x14ac:dyDescent="0.2">
      <c r="A53" s="15">
        <v>44202</v>
      </c>
      <c r="B53" s="112">
        <v>1.0209999999999999</v>
      </c>
      <c r="C53" s="108">
        <f>IFERROR(B53-B52,0)</f>
        <v>-2.0000000000000018E-3</v>
      </c>
      <c r="D53" s="109">
        <f>IF(C53&lt;0,C53,"/")</f>
        <v>-2.0000000000000018E-3</v>
      </c>
      <c r="E53" s="109">
        <f ca="1">IF(表2_3671626293038912131415232425262728313233[[#This Row],[累计净值]]/MAX(INDIRECT("B21:B" &amp; ROW()))-1&lt;E52,表2_3671626293038912131415232425262728313233[[#This Row],[累计净值]]/MAX(INDIRECT("B21:B" &amp; ROW()))-1,E52)</f>
        <v>-3.4615384615384603E-2</v>
      </c>
      <c r="F53" s="110">
        <f>表2_3671626293038912131415232425262728313233[[#This Row],[累计净值]]-0.031</f>
        <v>0.98999999999999988</v>
      </c>
      <c r="G53" s="20">
        <f>表2_3671626293038912131415232425262728313233[[#This Row],[累计净值]]/$B$21-1</f>
        <v>-1.4478764478764616E-2</v>
      </c>
    </row>
    <row r="54" spans="1:7" x14ac:dyDescent="0.2">
      <c r="A54" s="15">
        <v>44203</v>
      </c>
      <c r="B54" s="112">
        <v>1.022</v>
      </c>
      <c r="C54" s="108">
        <f t="shared" ref="C54:C55" si="12">IFERROR(B54-B53,0)</f>
        <v>1.0000000000001119E-3</v>
      </c>
      <c r="D54" s="109" t="str">
        <f t="shared" ref="D54:D55" si="13">IF(C54&lt;0,C54,"/")</f>
        <v>/</v>
      </c>
      <c r="E54" s="109">
        <f ca="1">IF(表2_3671626293038912131415232425262728313233[[#This Row],[累计净值]]/MAX(INDIRECT("B21:B" &amp; ROW()))-1&lt;E53,表2_3671626293038912131415232425262728313233[[#This Row],[累计净值]]/MAX(INDIRECT("B21:B" &amp; ROW()))-1,E53)</f>
        <v>-3.4615384615384603E-2</v>
      </c>
      <c r="F54" s="110">
        <f>表2_3671626293038912131415232425262728313233[[#This Row],[累计净值]]-0.031</f>
        <v>0.99099999999999999</v>
      </c>
      <c r="G54" s="20">
        <f>表2_3671626293038912131415232425262728313233[[#This Row],[累计净值]]/$B$21-1</f>
        <v>-1.3513513513513487E-2</v>
      </c>
    </row>
    <row r="55" spans="1:7" x14ac:dyDescent="0.2">
      <c r="A55" s="15">
        <v>44204</v>
      </c>
      <c r="B55" s="112">
        <v>1.0189999999999999</v>
      </c>
      <c r="C55" s="108">
        <f t="shared" si="12"/>
        <v>-3.0000000000001137E-3</v>
      </c>
      <c r="D55" s="109">
        <f t="shared" si="13"/>
        <v>-3.0000000000001137E-3</v>
      </c>
      <c r="E55" s="109">
        <f ca="1">IF(表2_3671626293038912131415232425262728313233[[#This Row],[累计净值]]/MAX(INDIRECT("B21:B" &amp; ROW()))-1&lt;E54,表2_3671626293038912131415232425262728313233[[#This Row],[累计净值]]/MAX(INDIRECT("B21:B" &amp; ROW()))-1,E54)</f>
        <v>-3.4615384615384603E-2</v>
      </c>
      <c r="F55" s="110">
        <f>表2_3671626293038912131415232425262728313233[[#This Row],[累计净值]]-0.031</f>
        <v>0.98799999999999988</v>
      </c>
      <c r="G55" s="20">
        <f>表2_3671626293038912131415232425262728313233[[#This Row],[累计净值]]/$B$21-1</f>
        <v>-1.6409266409266543E-2</v>
      </c>
    </row>
  </sheetData>
  <mergeCells count="1">
    <mergeCell ref="G2:G3"/>
  </mergeCells>
  <phoneticPr fontId="24" type="noConversion"/>
  <pageMargins left="0.7" right="0.7" top="0.75" bottom="0.75" header="0.3" footer="0.3"/>
  <pageSetup paperSize="9" orientation="portrait" horizontalDpi="200" verticalDpi="200" r:id="rId1"/>
  <drawing r:id="rId2"/>
  <tableParts count="1">
    <tablePart r:id="rId3"/>
  </tableParts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>
    <tabColor theme="1"/>
  </sheetPr>
  <dimension ref="A1:J298"/>
  <sheetViews>
    <sheetView workbookViewId="0">
      <pane xSplit="1" ySplit="20" topLeftCell="B292" activePane="bottomRight" state="frozen"/>
      <selection pane="topRight" activeCell="B1" sqref="B1"/>
      <selection pane="bottomLeft" activeCell="A21" sqref="A21"/>
      <selection pane="bottomRight" activeCell="K296" sqref="K296"/>
    </sheetView>
  </sheetViews>
  <sheetFormatPr defaultColWidth="9" defaultRowHeight="14.25" x14ac:dyDescent="0.2"/>
  <cols>
    <col min="1" max="1" width="11.625" style="1" bestFit="1" customWidth="1"/>
    <col min="2" max="2" width="13" style="1" customWidth="1"/>
    <col min="3" max="4" width="13.5" style="1" bestFit="1" customWidth="1"/>
    <col min="5" max="5" width="10.25" style="1" customWidth="1"/>
    <col min="6" max="6" width="11.125" style="1" customWidth="1"/>
    <col min="7" max="7" width="18.875" style="2" customWidth="1"/>
    <col min="8" max="8" width="9" style="1"/>
    <col min="9" max="9" width="14.25" style="1" customWidth="1"/>
    <col min="10" max="10" width="12" style="1" bestFit="1" customWidth="1"/>
    <col min="11" max="16384" width="9" style="1"/>
  </cols>
  <sheetData>
    <row r="1" spans="1:7" ht="15" thickBot="1" x14ac:dyDescent="0.25"/>
    <row r="2" spans="1:7" ht="15" thickBot="1" x14ac:dyDescent="0.25">
      <c r="A2" s="23" t="s">
        <v>0</v>
      </c>
      <c r="B2" s="24">
        <f>COUNT(表2_367162629303456[每日盈亏])</f>
        <v>278</v>
      </c>
      <c r="C2" s="27"/>
      <c r="D2" s="3" t="s">
        <v>1</v>
      </c>
      <c r="E2" s="28"/>
      <c r="F2" s="35" t="s">
        <v>2</v>
      </c>
      <c r="G2" s="394" t="s">
        <v>3</v>
      </c>
    </row>
    <row r="3" spans="1:7" x14ac:dyDescent="0.2">
      <c r="A3" s="25" t="s">
        <v>4</v>
      </c>
      <c r="B3" s="26">
        <f>COUNTIF(表2_367162629303456[每日盈亏],"&gt;0")</f>
        <v>158</v>
      </c>
      <c r="C3" s="29"/>
      <c r="D3" s="30" t="s">
        <v>5</v>
      </c>
      <c r="E3" s="31">
        <f>245^0.5*(B10-0.025/365)/E10</f>
        <v>1.8880900631371205</v>
      </c>
      <c r="F3" s="35"/>
      <c r="G3" s="394"/>
    </row>
    <row r="4" spans="1:7" x14ac:dyDescent="0.2">
      <c r="A4" s="25" t="s">
        <v>6</v>
      </c>
      <c r="B4" s="26">
        <f>COUNTIF(表2_367162629303456[每日盈亏],"&lt;0")</f>
        <v>111</v>
      </c>
      <c r="C4" s="29"/>
      <c r="D4" s="32" t="s">
        <v>7</v>
      </c>
      <c r="E4" s="31">
        <f ca="1">-B9/E8</f>
        <v>3.6481784268843023</v>
      </c>
      <c r="F4" s="35"/>
      <c r="G4" s="2">
        <f>LOOKUP(999^10,表2_367162629303456[累计净值])</f>
        <v>1.2459</v>
      </c>
    </row>
    <row r="5" spans="1:7" x14ac:dyDescent="0.2">
      <c r="A5" s="25" t="s">
        <v>8</v>
      </c>
      <c r="B5" s="26">
        <f>B2-B3-B4</f>
        <v>9</v>
      </c>
      <c r="C5" s="29"/>
      <c r="D5" s="33" t="s">
        <v>9</v>
      </c>
      <c r="E5" s="4">
        <f>245^0.5*(B10-0.025/365)/E9</f>
        <v>2.1563211571144945</v>
      </c>
      <c r="F5" s="35"/>
    </row>
    <row r="6" spans="1:7" ht="15" thickBot="1" x14ac:dyDescent="0.25">
      <c r="A6" s="34"/>
      <c r="B6" s="35"/>
      <c r="C6" s="35"/>
      <c r="D6" s="35"/>
      <c r="E6" s="36"/>
      <c r="F6" s="35"/>
    </row>
    <row r="7" spans="1:7" ht="15" thickBot="1" x14ac:dyDescent="0.25">
      <c r="A7" s="5" t="s">
        <v>10</v>
      </c>
      <c r="B7" s="35"/>
      <c r="C7" s="35"/>
      <c r="D7" s="3" t="s">
        <v>11</v>
      </c>
      <c r="E7" s="37"/>
      <c r="F7" s="35"/>
    </row>
    <row r="8" spans="1:7" x14ac:dyDescent="0.2">
      <c r="A8" s="38" t="s">
        <v>12</v>
      </c>
      <c r="B8" s="39">
        <f>LOOKUP(999^10,表2_367162629303456[累计净值])/$B$21-1</f>
        <v>0.10756511689927994</v>
      </c>
      <c r="C8" s="40"/>
      <c r="D8" s="30" t="s">
        <v>13</v>
      </c>
      <c r="E8" s="41">
        <f ca="1">MIN(表2_367162629303456[最大回撤])</f>
        <v>-2.5984638012747197E-2</v>
      </c>
      <c r="F8" s="35"/>
    </row>
    <row r="9" spans="1:7" x14ac:dyDescent="0.2">
      <c r="A9" s="25" t="s">
        <v>14</v>
      </c>
      <c r="B9" s="32">
        <f>B8*245/B2</f>
        <v>9.4796595828502112E-2</v>
      </c>
      <c r="C9" s="40"/>
      <c r="D9" s="33" t="s">
        <v>15</v>
      </c>
      <c r="E9" s="6">
        <f>STDEV(表2_367162629303456[下跌幅度])</f>
        <v>2.6622568985001788E-3</v>
      </c>
      <c r="F9" s="35"/>
    </row>
    <row r="10" spans="1:7" x14ac:dyDescent="0.2">
      <c r="A10" s="42" t="s">
        <v>16</v>
      </c>
      <c r="B10" s="43">
        <f>AVERAGE(表2_367162629303456[每日盈亏])</f>
        <v>4.3525179856115107E-4</v>
      </c>
      <c r="C10" s="44"/>
      <c r="D10" s="33" t="s">
        <v>17</v>
      </c>
      <c r="E10" s="6">
        <f>STDEV(表2_367162629303456[每日盈亏])</f>
        <v>3.0404698313869784E-3</v>
      </c>
      <c r="F10" s="35"/>
    </row>
    <row r="11" spans="1:7" x14ac:dyDescent="0.2">
      <c r="A11" s="7" t="s">
        <v>18</v>
      </c>
      <c r="B11" s="32">
        <f>B3/B2</f>
        <v>0.56834532374100721</v>
      </c>
      <c r="C11" s="40"/>
      <c r="D11" s="32" t="s">
        <v>19</v>
      </c>
      <c r="E11" s="41">
        <f>245^0.5*E10</f>
        <v>4.7590880585630255E-2</v>
      </c>
      <c r="F11" s="35"/>
    </row>
    <row r="12" spans="1:7" ht="15" thickBot="1" x14ac:dyDescent="0.25">
      <c r="A12" s="45" t="s">
        <v>20</v>
      </c>
      <c r="B12" s="46">
        <f>-(SUMIF(表2_367162629303456[每日盈亏],"&gt;=0")/B3)/(SUMIF(表2_367162629303456[每日盈亏],"&lt;0")/B4)</f>
        <v>1.0758576407998537</v>
      </c>
      <c r="C12" s="47"/>
      <c r="D12" s="48"/>
      <c r="E12" s="49"/>
      <c r="F12" s="35"/>
    </row>
    <row r="13" spans="1:7" x14ac:dyDescent="0.2">
      <c r="A13" s="35"/>
      <c r="B13" s="35"/>
      <c r="C13" s="35"/>
      <c r="D13" s="35"/>
      <c r="E13" s="35"/>
      <c r="F13" s="35"/>
    </row>
    <row r="14" spans="1:7" ht="28.5" x14ac:dyDescent="0.2">
      <c r="A14" s="50" t="s">
        <v>21</v>
      </c>
      <c r="B14" s="50" t="s">
        <v>14</v>
      </c>
      <c r="C14" s="51" t="s">
        <v>19</v>
      </c>
      <c r="D14" s="51" t="s">
        <v>13</v>
      </c>
      <c r="E14" s="51" t="s">
        <v>5</v>
      </c>
      <c r="F14" s="51" t="s">
        <v>7</v>
      </c>
    </row>
    <row r="15" spans="1:7" x14ac:dyDescent="0.2">
      <c r="A15" s="52">
        <f>B2</f>
        <v>278</v>
      </c>
      <c r="B15" s="53">
        <f>B9</f>
        <v>9.4796595828502112E-2</v>
      </c>
      <c r="C15" s="53">
        <f>E11</f>
        <v>4.7590880585630255E-2</v>
      </c>
      <c r="D15" s="53">
        <f ca="1">E8</f>
        <v>-2.5984638012747197E-2</v>
      </c>
      <c r="E15" s="54">
        <f>E3</f>
        <v>1.8880900631371205</v>
      </c>
      <c r="F15" s="54">
        <f ca="1">E4</f>
        <v>3.6481784268843023</v>
      </c>
    </row>
    <row r="19" spans="1:10" x14ac:dyDescent="0.2">
      <c r="A19" s="8"/>
      <c r="B19" s="1" t="s">
        <v>22</v>
      </c>
    </row>
    <row r="20" spans="1:10" ht="15.75" x14ac:dyDescent="0.2">
      <c r="A20" s="22" t="s">
        <v>23</v>
      </c>
      <c r="B20" s="22" t="s">
        <v>24</v>
      </c>
      <c r="C20" s="22" t="s">
        <v>25</v>
      </c>
      <c r="D20" s="22" t="s">
        <v>26</v>
      </c>
      <c r="E20" s="22" t="s">
        <v>27</v>
      </c>
      <c r="F20" s="22" t="s">
        <v>28</v>
      </c>
      <c r="G20" s="22" t="s">
        <v>29</v>
      </c>
    </row>
    <row r="21" spans="1:10" x14ac:dyDescent="0.2">
      <c r="A21" s="9">
        <v>43699</v>
      </c>
      <c r="B21" s="10">
        <v>1.1249</v>
      </c>
      <c r="C21" s="11">
        <f t="shared" ref="C21:C27" si="0">IFERROR(B21-B20,0)</f>
        <v>0</v>
      </c>
      <c r="D21" s="12" t="str">
        <f t="shared" ref="D21:D27" si="1">IF(C21&lt;0,C21,"/")</f>
        <v>/</v>
      </c>
      <c r="E21" s="12">
        <f ca="1">IF(表2_367162629303456[[#This Row],[累计净值]]/MAX(INDIRECT("B21:B" &amp; ROW()))-1&lt;E20,表2_367162629303456[[#This Row],[累计净值]]/MAX(INDIRECT("B21:B" &amp; ROW()))-1,E20)</f>
        <v>0</v>
      </c>
      <c r="F21" s="13">
        <v>1.0492999999999999</v>
      </c>
      <c r="G21" s="14" t="s">
        <v>30</v>
      </c>
    </row>
    <row r="22" spans="1:10" x14ac:dyDescent="0.2">
      <c r="A22" s="55">
        <v>43700</v>
      </c>
      <c r="B22" s="56">
        <v>1.1247</v>
      </c>
      <c r="C22" s="57">
        <f t="shared" si="0"/>
        <v>-1.9999999999997797E-4</v>
      </c>
      <c r="D22" s="58">
        <f t="shared" si="1"/>
        <v>-1.9999999999997797E-4</v>
      </c>
      <c r="E22" s="58">
        <f ca="1">IF(表2_367162629303456[[#This Row],[累计净值]]/MAX(INDIRECT("B21:B" &amp; ROW()))-1&lt;E21,表2_367162629303456[[#This Row],[累计净值]]/MAX(INDIRECT("B21:B" &amp; ROW()))-1,E21)</f>
        <v>-1.7779358165170844E-4</v>
      </c>
      <c r="F22" s="21">
        <v>1.0490999999999999</v>
      </c>
      <c r="G22" s="20">
        <f>表2_367162629303456[[#This Row],[累计净值]]/$B$21-1</f>
        <v>-1.7779358165170844E-4</v>
      </c>
    </row>
    <row r="23" spans="1:10" x14ac:dyDescent="0.2">
      <c r="A23" s="55">
        <v>43703</v>
      </c>
      <c r="B23" s="16">
        <v>1.1259999999999999</v>
      </c>
      <c r="C23" s="17">
        <f t="shared" si="0"/>
        <v>1.2999999999998568E-3</v>
      </c>
      <c r="D23" s="18" t="str">
        <f t="shared" si="1"/>
        <v>/</v>
      </c>
      <c r="E23" s="18">
        <f ca="1">IF(表2_367162629303456[[#This Row],[累计净值]]/MAX(INDIRECT("B21:B" &amp; ROW()))-1&lt;E22,表2_367162629303456[[#This Row],[累计净值]]/MAX(INDIRECT("B21:B" &amp; ROW()))-1,E22)</f>
        <v>-1.7779358165170844E-4</v>
      </c>
      <c r="F23" s="19">
        <v>1.0504</v>
      </c>
      <c r="G23" s="20">
        <f>表2_367162629303456[[#This Row],[累计净值]]/$B$21-1</f>
        <v>9.7786469908434093E-4</v>
      </c>
    </row>
    <row r="24" spans="1:10" x14ac:dyDescent="0.2">
      <c r="A24" s="55">
        <v>43704</v>
      </c>
      <c r="B24" s="16">
        <v>1.1251</v>
      </c>
      <c r="C24" s="17">
        <f t="shared" si="0"/>
        <v>-8.9999999999990088E-4</v>
      </c>
      <c r="D24" s="18">
        <f t="shared" si="1"/>
        <v>-8.9999999999990088E-4</v>
      </c>
      <c r="E24" s="18">
        <f ca="1">IF(表2_367162629303456[[#This Row],[累计净值]]/MAX(INDIRECT("B21:B" &amp; ROW()))-1&lt;E23,表2_367162629303456[[#This Row],[累计净值]]/MAX(INDIRECT("B21:B" &amp; ROW()))-1,E23)</f>
        <v>-7.9928952042618295E-4</v>
      </c>
      <c r="F24" s="19">
        <v>1.0290999999999999</v>
      </c>
      <c r="G24" s="20">
        <f>表2_367162629303456[[#This Row],[累计净值]]/$B$21-1</f>
        <v>1.7779358165159742E-4</v>
      </c>
    </row>
    <row r="25" spans="1:10" x14ac:dyDescent="0.2">
      <c r="A25" s="55">
        <v>43705</v>
      </c>
      <c r="B25" s="16">
        <v>1.1248</v>
      </c>
      <c r="C25" s="17">
        <f t="shared" si="0"/>
        <v>-2.9999999999996696E-4</v>
      </c>
      <c r="D25" s="18">
        <f t="shared" si="1"/>
        <v>-2.9999999999996696E-4</v>
      </c>
      <c r="E25" s="18">
        <f ca="1">IF(表2_367162629303456[[#This Row],[累计净值]]/MAX(INDIRECT("B21:B" &amp; ROW()))-1&lt;E24,表2_367162629303456[[#This Row],[累计净值]]/MAX(INDIRECT("B21:B" &amp; ROW()))-1,E24)</f>
        <v>-1.065719360568318E-3</v>
      </c>
      <c r="F25" s="19">
        <v>1.0287999999999999</v>
      </c>
      <c r="G25" s="20">
        <f>表2_367162629303456[[#This Row],[累计净值]]/$B$21-1</f>
        <v>-8.8896790825798711E-5</v>
      </c>
    </row>
    <row r="26" spans="1:10" x14ac:dyDescent="0.2">
      <c r="A26" s="55">
        <v>43706</v>
      </c>
      <c r="B26" s="16">
        <v>1.1269</v>
      </c>
      <c r="C26" s="17">
        <f t="shared" si="0"/>
        <v>2.0999999999999908E-3</v>
      </c>
      <c r="D26" s="18" t="str">
        <f t="shared" si="1"/>
        <v>/</v>
      </c>
      <c r="E26" s="18">
        <f ca="1">IF(表2_367162629303456[[#This Row],[累计净值]]/MAX(INDIRECT("B21:B" &amp; ROW()))-1&lt;E25,表2_367162629303456[[#This Row],[累计净值]]/MAX(INDIRECT("B21:B" &amp; ROW()))-1,E25)</f>
        <v>-1.065719360568318E-3</v>
      </c>
      <c r="F26" s="19">
        <v>1.0308999999999999</v>
      </c>
      <c r="G26" s="20">
        <f>表2_367162629303456[[#This Row],[累计净值]]/$B$21-1</f>
        <v>1.7779358165170844E-3</v>
      </c>
    </row>
    <row r="27" spans="1:10" x14ac:dyDescent="0.2">
      <c r="A27" s="55">
        <v>43707</v>
      </c>
      <c r="B27" s="19">
        <v>1.1287</v>
      </c>
      <c r="C27" s="17">
        <f t="shared" si="0"/>
        <v>1.8000000000000238E-3</v>
      </c>
      <c r="D27" s="18" t="str">
        <f t="shared" si="1"/>
        <v>/</v>
      </c>
      <c r="E27" s="18">
        <f ca="1">IF(表2_367162629303456[[#This Row],[累计净值]]/MAX(INDIRECT("B21:B" &amp; ROW()))-1&lt;E26,表2_367162629303456[[#This Row],[累计净值]]/MAX(INDIRECT("B21:B" &amp; ROW()))-1,E26)</f>
        <v>-1.065719360568318E-3</v>
      </c>
      <c r="F27" s="21">
        <v>1.0327</v>
      </c>
      <c r="G27" s="20">
        <f>表2_367162629303456[[#This Row],[累计净值]]/$B$21-1</f>
        <v>3.3780780513823494E-3</v>
      </c>
    </row>
    <row r="28" spans="1:10" x14ac:dyDescent="0.2">
      <c r="A28" s="55">
        <v>43710</v>
      </c>
      <c r="B28" s="63">
        <v>1.1258999999999999</v>
      </c>
      <c r="C28" s="64">
        <f t="shared" ref="C28:C33" si="2">IFERROR(B28-B27,0)</f>
        <v>-2.8000000000001357E-3</v>
      </c>
      <c r="D28" s="65">
        <f t="shared" ref="D28:D33" si="3">IF(C28&lt;0,C28,"/")</f>
        <v>-2.8000000000001357E-3</v>
      </c>
      <c r="E28" s="65">
        <f ca="1">IF(表2_367162629303456[[#This Row],[累计净值]]/MAX(INDIRECT("B21:B" &amp; ROW()))-1&lt;E27,表2_367162629303456[[#This Row],[累计净值]]/MAX(INDIRECT("B21:B" &amp; ROW()))-1,E27)</f>
        <v>-2.480730043412871E-3</v>
      </c>
      <c r="F28" s="66">
        <v>1.0299</v>
      </c>
      <c r="G28" s="20">
        <f>表2_367162629303456[[#This Row],[累计净值]]/$B$21-1</f>
        <v>8.8896790825843119E-4</v>
      </c>
    </row>
    <row r="29" spans="1:10" x14ac:dyDescent="0.2">
      <c r="A29" s="55">
        <v>43711</v>
      </c>
      <c r="B29" s="16">
        <v>1.1292</v>
      </c>
      <c r="C29" s="73">
        <f t="shared" si="2"/>
        <v>3.3000000000000806E-3</v>
      </c>
      <c r="D29" s="18" t="str">
        <f t="shared" si="3"/>
        <v>/</v>
      </c>
      <c r="E29" s="18">
        <f ca="1">IF(表2_367162629303456[[#This Row],[累计净值]]/MAX(INDIRECT("B21:B" &amp; ROW()))-1&lt;E28,表2_367162629303456[[#This Row],[累计净值]]/MAX(INDIRECT("B21:B" &amp; ROW()))-1,E28)</f>
        <v>-2.480730043412871E-3</v>
      </c>
      <c r="F29" s="62">
        <v>1.0331999999999999</v>
      </c>
      <c r="G29" s="20">
        <f>表2_367162629303456[[#This Row],[累计净值]]/$B$21-1</f>
        <v>3.822562005511676E-3</v>
      </c>
    </row>
    <row r="30" spans="1:10" x14ac:dyDescent="0.2">
      <c r="A30" s="55">
        <v>43712</v>
      </c>
      <c r="B30" s="16">
        <v>1.1292</v>
      </c>
      <c r="C30" s="73">
        <f t="shared" si="2"/>
        <v>0</v>
      </c>
      <c r="D30" s="18" t="str">
        <f t="shared" si="3"/>
        <v>/</v>
      </c>
      <c r="E30" s="18">
        <f ca="1">IF(表2_367162629303456[[#This Row],[累计净值]]/MAX(INDIRECT("B21:B" &amp; ROW()))-1&lt;E29,表2_367162629303456[[#This Row],[累计净值]]/MAX(INDIRECT("B21:B" &amp; ROW()))-1,E29)</f>
        <v>-2.480730043412871E-3</v>
      </c>
      <c r="F30" s="62">
        <v>1.0331999999999999</v>
      </c>
      <c r="G30" s="20">
        <f>表2_367162629303456[[#This Row],[累计净值]]/$B$21-1</f>
        <v>3.822562005511676E-3</v>
      </c>
    </row>
    <row r="31" spans="1:10" x14ac:dyDescent="0.2">
      <c r="A31" s="55">
        <v>43713</v>
      </c>
      <c r="B31" s="16">
        <v>1.1236999999999999</v>
      </c>
      <c r="C31" s="73">
        <f t="shared" si="2"/>
        <v>-5.5000000000000604E-3</v>
      </c>
      <c r="D31" s="18">
        <f t="shared" si="3"/>
        <v>-5.5000000000000604E-3</v>
      </c>
      <c r="E31" s="18">
        <f ca="1">IF(表2_367162629303456[[#This Row],[累计净值]]/MAX(INDIRECT("B21:B" &amp; ROW()))-1&lt;E30,表2_367162629303456[[#This Row],[累计净值]]/MAX(INDIRECT("B21:B" &amp; ROW()))-1,E30)</f>
        <v>-4.8707049238398969E-3</v>
      </c>
      <c r="F31" s="62">
        <v>1.0277000000000001</v>
      </c>
      <c r="G31" s="20">
        <f>表2_367162629303456[[#This Row],[累计净值]]/$B$21-1</f>
        <v>-1.0667614899102507E-3</v>
      </c>
      <c r="J31" s="60"/>
    </row>
    <row r="32" spans="1:10" x14ac:dyDescent="0.2">
      <c r="A32" s="55">
        <v>43714</v>
      </c>
      <c r="B32" s="16">
        <v>1.1251</v>
      </c>
      <c r="C32" s="73">
        <f t="shared" si="2"/>
        <v>1.4000000000000679E-3</v>
      </c>
      <c r="D32" s="18" t="str">
        <f t="shared" si="3"/>
        <v>/</v>
      </c>
      <c r="E32" s="18">
        <f ca="1">IF(表2_367162629303456[[#This Row],[累计净值]]/MAX(INDIRECT("B21:B" &amp; ROW()))-1&lt;E31,表2_367162629303456[[#This Row],[累计净值]]/MAX(INDIRECT("B21:B" &amp; ROW()))-1,E31)</f>
        <v>-4.8707049238398969E-3</v>
      </c>
      <c r="F32" s="62">
        <v>1.0290999999999999</v>
      </c>
      <c r="G32" s="20">
        <f>表2_367162629303456[[#This Row],[累计净值]]/$B$21-1</f>
        <v>1.7779358165159742E-4</v>
      </c>
      <c r="J32" s="60"/>
    </row>
    <row r="33" spans="1:10" x14ac:dyDescent="0.2">
      <c r="A33" s="55">
        <v>43717</v>
      </c>
      <c r="B33" s="16">
        <v>1.127</v>
      </c>
      <c r="C33" s="73">
        <f t="shared" si="2"/>
        <v>1.9000000000000128E-3</v>
      </c>
      <c r="D33" s="18" t="str">
        <f t="shared" si="3"/>
        <v>/</v>
      </c>
      <c r="E33" s="18">
        <f ca="1">IF(表2_367162629303456[[#This Row],[累计净值]]/MAX(INDIRECT("B21:B" &amp; ROW()))-1&lt;E32,表2_367162629303456[[#This Row],[累计净值]]/MAX(INDIRECT("B21:B" &amp; ROW()))-1,E32)</f>
        <v>-4.8707049238398969E-3</v>
      </c>
      <c r="F33" s="62">
        <v>1.0309999999999999</v>
      </c>
      <c r="G33" s="20">
        <f>表2_367162629303456[[#This Row],[累计净值]]/$B$21-1</f>
        <v>1.8668326073427721E-3</v>
      </c>
      <c r="J33" s="60"/>
    </row>
    <row r="34" spans="1:10" x14ac:dyDescent="0.2">
      <c r="A34" s="55">
        <v>43718</v>
      </c>
      <c r="B34" s="16">
        <v>1.1253</v>
      </c>
      <c r="C34" s="73">
        <f t="shared" ref="C34:C41" si="4">IFERROR(B34-B33,0)</f>
        <v>-1.7000000000000348E-3</v>
      </c>
      <c r="D34" s="18">
        <f t="shared" ref="D34:D41" si="5">IF(C34&lt;0,C34,"/")</f>
        <v>-1.7000000000000348E-3</v>
      </c>
      <c r="E34" s="18">
        <f ca="1">IF(表2_367162629303456[[#This Row],[累计净值]]/MAX(INDIRECT("B21:B" &amp; ROW()))-1&lt;E33,表2_367162629303456[[#This Row],[累计净值]]/MAX(INDIRECT("B21:B" &amp; ROW()))-1,E33)</f>
        <v>-4.8707049238398969E-3</v>
      </c>
      <c r="F34" s="62">
        <v>1.0293000000000001</v>
      </c>
      <c r="G34" s="20">
        <f>表2_367162629303456[[#This Row],[累计净值]]/$B$21-1</f>
        <v>3.5558716330341689E-4</v>
      </c>
    </row>
    <row r="35" spans="1:10" x14ac:dyDescent="0.2">
      <c r="A35" s="55">
        <v>43719</v>
      </c>
      <c r="B35" s="16">
        <v>1.1247</v>
      </c>
      <c r="C35" s="73">
        <f t="shared" si="4"/>
        <v>-5.9999999999993392E-4</v>
      </c>
      <c r="D35" s="18">
        <f t="shared" si="5"/>
        <v>-5.9999999999993392E-4</v>
      </c>
      <c r="E35" s="18">
        <f ca="1">IF(表2_367162629303456[[#This Row],[累计净值]]/MAX(INDIRECT("B21:B" &amp; ROW()))-1&lt;E34,表2_367162629303456[[#This Row],[累计净值]]/MAX(INDIRECT("B21:B" &amp; ROW()))-1,E34)</f>
        <v>-4.8707049238398969E-3</v>
      </c>
      <c r="F35" s="62">
        <v>1.0286999999999999</v>
      </c>
      <c r="G35" s="20">
        <f>表2_367162629303456[[#This Row],[累计净值]]/$B$21-1</f>
        <v>-1.7779358165170844E-4</v>
      </c>
    </row>
    <row r="36" spans="1:10" x14ac:dyDescent="0.2">
      <c r="A36" s="55">
        <v>43720</v>
      </c>
      <c r="B36" s="16">
        <v>1.1242000000000001</v>
      </c>
      <c r="C36" s="73">
        <f t="shared" si="4"/>
        <v>-4.9999999999994493E-4</v>
      </c>
      <c r="D36" s="18">
        <f t="shared" si="5"/>
        <v>-4.9999999999994493E-4</v>
      </c>
      <c r="E36" s="18">
        <f ca="1">IF(表2_367162629303456[[#This Row],[累计净值]]/MAX(INDIRECT("B21:B" &amp; ROW()))-1&lt;E35,表2_367162629303456[[#This Row],[累计净值]]/MAX(INDIRECT("B21:B" &amp; ROW()))-1,E35)</f>
        <v>-4.8707049238398969E-3</v>
      </c>
      <c r="F36" s="62">
        <v>1.0282</v>
      </c>
      <c r="G36" s="20">
        <f>表2_367162629303456[[#This Row],[累计净值]]/$B$21-1</f>
        <v>-6.2227753578092404E-4</v>
      </c>
    </row>
    <row r="37" spans="1:10" x14ac:dyDescent="0.2">
      <c r="A37" s="55">
        <v>43724</v>
      </c>
      <c r="B37" s="16">
        <v>1.1261000000000001</v>
      </c>
      <c r="C37" s="73">
        <f t="shared" si="4"/>
        <v>1.9000000000000128E-3</v>
      </c>
      <c r="D37" s="18" t="str">
        <f t="shared" si="5"/>
        <v>/</v>
      </c>
      <c r="E37" s="18">
        <f ca="1">IF(表2_367162629303456[[#This Row],[累计净值]]/MAX(INDIRECT("B21:B" &amp; ROW()))-1&lt;E36,表2_367162629303456[[#This Row],[累计净值]]/MAX(INDIRECT("B21:B" &amp; ROW()))-1,E36)</f>
        <v>-4.8707049238398969E-3</v>
      </c>
      <c r="F37" s="62">
        <v>1.0301</v>
      </c>
      <c r="G37" s="20">
        <f>表2_367162629303456[[#This Row],[累计净值]]/$B$21-1</f>
        <v>1.0667614899102507E-3</v>
      </c>
    </row>
    <row r="38" spans="1:10" x14ac:dyDescent="0.2">
      <c r="A38" s="55">
        <v>43725</v>
      </c>
      <c r="B38" s="16">
        <v>1.1274999999999999</v>
      </c>
      <c r="C38" s="73">
        <f t="shared" si="4"/>
        <v>1.3999999999998458E-3</v>
      </c>
      <c r="D38" s="18" t="str">
        <f t="shared" si="5"/>
        <v>/</v>
      </c>
      <c r="E38" s="18">
        <f ca="1">IF(表2_367162629303456[[#This Row],[累计净值]]/MAX(INDIRECT("B21:B" &amp; ROW()))-1&lt;E37,表2_367162629303456[[#This Row],[累计净值]]/MAX(INDIRECT("B21:B" &amp; ROW()))-1,E37)</f>
        <v>-4.8707049238398969E-3</v>
      </c>
      <c r="F38" s="62">
        <v>1.0315000000000001</v>
      </c>
      <c r="G38" s="20">
        <f>表2_367162629303456[[#This Row],[累计净值]]/$B$21-1</f>
        <v>2.3113165614720987E-3</v>
      </c>
    </row>
    <row r="39" spans="1:10" x14ac:dyDescent="0.2">
      <c r="A39" s="55">
        <v>43726</v>
      </c>
      <c r="B39" s="16">
        <v>1.1275999999999999</v>
      </c>
      <c r="C39" s="73">
        <f t="shared" si="4"/>
        <v>9.9999999999988987E-5</v>
      </c>
      <c r="D39" s="18" t="str">
        <f t="shared" si="5"/>
        <v>/</v>
      </c>
      <c r="E39" s="18">
        <f ca="1">IF(表2_367162629303456[[#This Row],[累计净值]]/MAX(INDIRECT("B21:B" &amp; ROW()))-1&lt;E38,表2_367162629303456[[#This Row],[累计净值]]/MAX(INDIRECT("B21:B" &amp; ROW()))-1,E38)</f>
        <v>-4.8707049238398969E-3</v>
      </c>
      <c r="F39" s="62">
        <v>1.0316000000000001</v>
      </c>
      <c r="G39" s="20">
        <f>表2_367162629303456[[#This Row],[累计净值]]/$B$21-1</f>
        <v>2.4002133522980085E-3</v>
      </c>
    </row>
    <row r="40" spans="1:10" x14ac:dyDescent="0.2">
      <c r="A40" s="55">
        <v>43727</v>
      </c>
      <c r="B40" s="16">
        <v>1.1291</v>
      </c>
      <c r="C40" s="73">
        <f t="shared" si="4"/>
        <v>1.5000000000000568E-3</v>
      </c>
      <c r="D40" s="18" t="str">
        <f t="shared" si="5"/>
        <v>/</v>
      </c>
      <c r="E40" s="18">
        <f ca="1">IF(表2_367162629303456[[#This Row],[累计净值]]/MAX(INDIRECT("B21:B" &amp; ROW()))-1&lt;E39,表2_367162629303456[[#This Row],[累计净值]]/MAX(INDIRECT("B21:B" &amp; ROW()))-1,E39)</f>
        <v>-4.8707049238398969E-3</v>
      </c>
      <c r="F40" s="62">
        <v>1.0330999999999999</v>
      </c>
      <c r="G40" s="20">
        <f>表2_367162629303456[[#This Row],[累计净值]]/$B$21-1</f>
        <v>3.7336652146857663E-3</v>
      </c>
    </row>
    <row r="41" spans="1:10" x14ac:dyDescent="0.2">
      <c r="A41" s="55">
        <v>43728</v>
      </c>
      <c r="B41" s="16">
        <v>1.1295999999999999</v>
      </c>
      <c r="C41" s="73">
        <f t="shared" si="4"/>
        <v>4.9999999999994493E-4</v>
      </c>
      <c r="D41" s="18" t="str">
        <f t="shared" si="5"/>
        <v>/</v>
      </c>
      <c r="E41" s="18">
        <f ca="1">IF(表2_367162629303456[[#This Row],[累计净值]]/MAX(INDIRECT("B21:B" &amp; ROW()))-1&lt;E40,表2_367162629303456[[#This Row],[累计净值]]/MAX(INDIRECT("B21:B" &amp; ROW()))-1,E40)</f>
        <v>-4.8707049238398969E-3</v>
      </c>
      <c r="F41" s="62">
        <v>1.0336000000000001</v>
      </c>
      <c r="G41" s="20">
        <f>表2_367162629303456[[#This Row],[累计净值]]/$B$21-1</f>
        <v>4.1781491688148709E-3</v>
      </c>
    </row>
    <row r="42" spans="1:10" x14ac:dyDescent="0.2">
      <c r="A42" s="55">
        <v>43731</v>
      </c>
      <c r="B42" s="16">
        <v>1.1292</v>
      </c>
      <c r="C42" s="73">
        <f t="shared" ref="C42:C47" si="6">IFERROR(B42-B41,0)</f>
        <v>-3.9999999999995595E-4</v>
      </c>
      <c r="D42" s="18">
        <f t="shared" ref="D42:D47" si="7">IF(C42&lt;0,C42,"/")</f>
        <v>-3.9999999999995595E-4</v>
      </c>
      <c r="E42" s="18">
        <f ca="1">IF(表2_367162629303456[[#This Row],[累计净值]]/MAX(INDIRECT("B21:B" &amp; ROW()))-1&lt;E41,表2_367162629303456[[#This Row],[累计净值]]/MAX(INDIRECT("B21:B" &amp; ROW()))-1,E41)</f>
        <v>-4.8707049238398969E-3</v>
      </c>
      <c r="F42" s="62">
        <v>1.0331999999999999</v>
      </c>
      <c r="G42" s="20">
        <f>表2_367162629303456[[#This Row],[累计净值]]/$B$21-1</f>
        <v>3.822562005511676E-3</v>
      </c>
    </row>
    <row r="43" spans="1:10" x14ac:dyDescent="0.2">
      <c r="A43" s="55">
        <v>43732</v>
      </c>
      <c r="B43" s="16">
        <v>1.1286</v>
      </c>
      <c r="C43" s="73">
        <f t="shared" si="6"/>
        <v>-5.9999999999993392E-4</v>
      </c>
      <c r="D43" s="18">
        <f t="shared" si="7"/>
        <v>-5.9999999999993392E-4</v>
      </c>
      <c r="E43" s="18">
        <f ca="1">IF(表2_367162629303456[[#This Row],[累计净值]]/MAX(INDIRECT("B21:B" &amp; ROW()))-1&lt;E42,表2_367162629303456[[#This Row],[累计净值]]/MAX(INDIRECT("B21:B" &amp; ROW()))-1,E42)</f>
        <v>-4.8707049238398969E-3</v>
      </c>
      <c r="F43" s="62">
        <v>1.0326</v>
      </c>
      <c r="G43" s="20">
        <f>表2_367162629303456[[#This Row],[累计净值]]/$B$21-1</f>
        <v>3.2891812605564397E-3</v>
      </c>
    </row>
    <row r="44" spans="1:10" x14ac:dyDescent="0.2">
      <c r="A44" s="55">
        <v>43733</v>
      </c>
      <c r="B44" s="16">
        <v>1.1262000000000001</v>
      </c>
      <c r="C44" s="73">
        <f t="shared" si="6"/>
        <v>-2.3999999999999577E-3</v>
      </c>
      <c r="D44" s="18">
        <f t="shared" si="7"/>
        <v>-2.3999999999999577E-3</v>
      </c>
      <c r="E44" s="18">
        <f ca="1">IF(表2_367162629303456[[#This Row],[累计净值]]/MAX(INDIRECT("B21:B" &amp; ROW()))-1&lt;E43,表2_367162629303456[[#This Row],[累计净值]]/MAX(INDIRECT("B21:B" &amp; ROW()))-1,E43)</f>
        <v>-4.8707049238398969E-3</v>
      </c>
      <c r="F44" s="62">
        <v>1.0302</v>
      </c>
      <c r="G44" s="20">
        <f>表2_367162629303456[[#This Row],[累计净值]]/$B$21-1</f>
        <v>1.1556582807361604E-3</v>
      </c>
    </row>
    <row r="45" spans="1:10" x14ac:dyDescent="0.2">
      <c r="A45" s="55">
        <v>43734</v>
      </c>
      <c r="B45" s="16">
        <v>1.1258999999999999</v>
      </c>
      <c r="C45" s="73">
        <f t="shared" si="6"/>
        <v>-3.00000000000189E-4</v>
      </c>
      <c r="D45" s="18">
        <f t="shared" si="7"/>
        <v>-3.00000000000189E-4</v>
      </c>
      <c r="E45" s="18">
        <f ca="1">IF(表2_367162629303456[[#This Row],[累计净值]]/MAX(INDIRECT("B21:B" &amp; ROW()))-1&lt;E44,表2_367162629303456[[#This Row],[累计净值]]/MAX(INDIRECT("B21:B" &amp; ROW()))-1,E44)</f>
        <v>-4.8707049238398969E-3</v>
      </c>
      <c r="F45" s="62">
        <v>1.0299</v>
      </c>
      <c r="G45" s="20">
        <f>表2_367162629303456[[#This Row],[累计净值]]/$B$21-1</f>
        <v>8.8896790825843119E-4</v>
      </c>
    </row>
    <row r="46" spans="1:10" x14ac:dyDescent="0.2">
      <c r="A46" s="55">
        <v>43735</v>
      </c>
      <c r="B46" s="16">
        <v>1.1271</v>
      </c>
      <c r="C46" s="73">
        <f t="shared" si="6"/>
        <v>1.2000000000000899E-3</v>
      </c>
      <c r="D46" s="18" t="str">
        <f t="shared" si="7"/>
        <v>/</v>
      </c>
      <c r="E46" s="18">
        <f ca="1">IF(表2_367162629303456[[#This Row],[累计净值]]/MAX(INDIRECT("B21:B" &amp; ROW()))-1&lt;E45,表2_367162629303456[[#This Row],[累计净值]]/MAX(INDIRECT("B21:B" &amp; ROW()))-1,E45)</f>
        <v>-4.8707049238398969E-3</v>
      </c>
      <c r="F46" s="62">
        <v>1.0310999999999999</v>
      </c>
      <c r="G46" s="20">
        <f>表2_367162629303456[[#This Row],[累计净值]]/$B$21-1</f>
        <v>1.9557293981686819E-3</v>
      </c>
    </row>
    <row r="47" spans="1:10" x14ac:dyDescent="0.2">
      <c r="A47" s="55">
        <v>43738</v>
      </c>
      <c r="B47" s="16">
        <v>1.1273</v>
      </c>
      <c r="C47" s="73">
        <f t="shared" si="6"/>
        <v>1.9999999999997797E-4</v>
      </c>
      <c r="D47" s="18" t="str">
        <f t="shared" si="7"/>
        <v>/</v>
      </c>
      <c r="E47" s="18">
        <f ca="1">IF(表2_367162629303456[[#This Row],[累计净值]]/MAX(INDIRECT("B21:B" &amp; ROW()))-1&lt;E46,表2_367162629303456[[#This Row],[累计净值]]/MAX(INDIRECT("B21:B" &amp; ROW()))-1,E46)</f>
        <v>-4.8707049238398969E-3</v>
      </c>
      <c r="F47" s="62">
        <v>1.0313000000000001</v>
      </c>
      <c r="G47" s="20">
        <f>表2_367162629303456[[#This Row],[累计净值]]/$B$21-1</f>
        <v>2.1335229798205013E-3</v>
      </c>
    </row>
    <row r="48" spans="1:10" x14ac:dyDescent="0.2">
      <c r="A48" s="55">
        <v>43746</v>
      </c>
      <c r="B48" s="16">
        <v>1.1293</v>
      </c>
      <c r="C48" s="73">
        <f t="shared" ref="C48:C53" si="8">IFERROR(B48-B47,0)</f>
        <v>2.0000000000000018E-3</v>
      </c>
      <c r="D48" s="18" t="str">
        <f t="shared" ref="D48:D53" si="9">IF(C48&lt;0,C48,"/")</f>
        <v>/</v>
      </c>
      <c r="E48" s="18">
        <f ca="1">IF(表2_367162629303456[[#This Row],[累计净值]]/MAX(INDIRECT("B21:B" &amp; ROW()))-1&lt;E47,表2_367162629303456[[#This Row],[累计净值]]/MAX(INDIRECT("B21:B" &amp; ROW()))-1,E47)</f>
        <v>-4.8707049238398969E-3</v>
      </c>
      <c r="F48" s="62">
        <v>1.0333000000000001</v>
      </c>
      <c r="G48" s="20">
        <f>表2_367162629303456[[#This Row],[累计净值]]/$B$21-1</f>
        <v>3.9114587963373637E-3</v>
      </c>
    </row>
    <row r="49" spans="1:7" x14ac:dyDescent="0.2">
      <c r="A49" s="55">
        <v>43747</v>
      </c>
      <c r="B49" s="16">
        <v>1.1315</v>
      </c>
      <c r="C49" s="73">
        <f t="shared" si="8"/>
        <v>2.1999999999999797E-3</v>
      </c>
      <c r="D49" s="18" t="str">
        <f t="shared" si="9"/>
        <v>/</v>
      </c>
      <c r="E49" s="18">
        <f ca="1">IF(表2_367162629303456[[#This Row],[累计净值]]/MAX(INDIRECT("B21:B" &amp; ROW()))-1&lt;E48,表2_367162629303456[[#This Row],[累计净值]]/MAX(INDIRECT("B21:B" &amp; ROW()))-1,E48)</f>
        <v>-4.8707049238398969E-3</v>
      </c>
      <c r="F49" s="62">
        <v>1.0355000000000001</v>
      </c>
      <c r="G49" s="20">
        <f>表2_367162629303456[[#This Row],[累计净值]]/$B$21-1</f>
        <v>5.8671881945060456E-3</v>
      </c>
    </row>
    <row r="50" spans="1:7" x14ac:dyDescent="0.2">
      <c r="A50" s="55">
        <v>43748</v>
      </c>
      <c r="B50" s="16">
        <v>1.1327</v>
      </c>
      <c r="C50" s="73">
        <f t="shared" si="8"/>
        <v>1.2000000000000899E-3</v>
      </c>
      <c r="D50" s="18" t="str">
        <f t="shared" si="9"/>
        <v>/</v>
      </c>
      <c r="E50" s="18">
        <f ca="1">IF(表2_367162629303456[[#This Row],[累计净值]]/MAX(INDIRECT("B21:B" &amp; ROW()))-1&lt;E49,表2_367162629303456[[#This Row],[累计净值]]/MAX(INDIRECT("B21:B" &amp; ROW()))-1,E49)</f>
        <v>-4.8707049238398969E-3</v>
      </c>
      <c r="F50" s="62">
        <v>1.0367</v>
      </c>
      <c r="G50" s="20">
        <f>表2_367162629303456[[#This Row],[累计净值]]/$B$21-1</f>
        <v>6.9339496844165183E-3</v>
      </c>
    </row>
    <row r="51" spans="1:7" x14ac:dyDescent="0.2">
      <c r="A51" s="55">
        <v>43749</v>
      </c>
      <c r="B51" s="16">
        <v>1.1308</v>
      </c>
      <c r="C51" s="73">
        <f t="shared" si="8"/>
        <v>-1.9000000000000128E-3</v>
      </c>
      <c r="D51" s="18">
        <f t="shared" si="9"/>
        <v>-1.9000000000000128E-3</v>
      </c>
      <c r="E51" s="18">
        <f ca="1">IF(表2_367162629303456[[#This Row],[累计净值]]/MAX(INDIRECT("B21:B" &amp; ROW()))-1&lt;E50,表2_367162629303456[[#This Row],[累计净值]]/MAX(INDIRECT("B21:B" &amp; ROW()))-1,E50)</f>
        <v>-4.8707049238398969E-3</v>
      </c>
      <c r="F51" s="62">
        <v>1.0347999999999999</v>
      </c>
      <c r="G51" s="20">
        <f>表2_367162629303456[[#This Row],[累计净值]]/$B$21-1</f>
        <v>5.2449106587253436E-3</v>
      </c>
    </row>
    <row r="52" spans="1:7" x14ac:dyDescent="0.2">
      <c r="A52" s="55">
        <v>43752</v>
      </c>
      <c r="B52" s="16">
        <v>1.1312</v>
      </c>
      <c r="C52" s="73">
        <f t="shared" si="8"/>
        <v>3.9999999999995595E-4</v>
      </c>
      <c r="D52" s="18" t="str">
        <f t="shared" si="9"/>
        <v>/</v>
      </c>
      <c r="E52" s="18">
        <f ca="1">IF(表2_367162629303456[[#This Row],[累计净值]]/MAX(INDIRECT("B21:B" &amp; ROW()))-1&lt;E51,表2_367162629303456[[#This Row],[累计净值]]/MAX(INDIRECT("B21:B" &amp; ROW()))-1,E51)</f>
        <v>-4.8707049238398969E-3</v>
      </c>
      <c r="F52" s="62">
        <v>1.0351999999999999</v>
      </c>
      <c r="G52" s="20">
        <f>表2_367162629303456[[#This Row],[累计净值]]/$B$21-1</f>
        <v>5.6004978220285384E-3</v>
      </c>
    </row>
    <row r="53" spans="1:7" x14ac:dyDescent="0.2">
      <c r="A53" s="55">
        <v>43753</v>
      </c>
      <c r="B53" s="16">
        <v>1.1302000000000001</v>
      </c>
      <c r="C53" s="73">
        <f t="shared" si="8"/>
        <v>-9.9999999999988987E-4</v>
      </c>
      <c r="D53" s="18">
        <f t="shared" si="9"/>
        <v>-9.9999999999988987E-4</v>
      </c>
      <c r="E53" s="18">
        <f ca="1">IF(表2_367162629303456[[#This Row],[累计净值]]/MAX(INDIRECT("B21:B" &amp; ROW()))-1&lt;E52,表2_367162629303456[[#This Row],[累计净值]]/MAX(INDIRECT("B21:B" &amp; ROW()))-1,E52)</f>
        <v>-4.8707049238398969E-3</v>
      </c>
      <c r="F53" s="62">
        <v>1.0342</v>
      </c>
      <c r="G53" s="20">
        <f>表2_367162629303456[[#This Row],[累计净值]]/$B$21-1</f>
        <v>4.7115299137701072E-3</v>
      </c>
    </row>
    <row r="54" spans="1:7" x14ac:dyDescent="0.2">
      <c r="A54" s="55">
        <v>43754</v>
      </c>
      <c r="B54" s="16">
        <v>1.1328</v>
      </c>
      <c r="C54" s="73">
        <f t="shared" ref="C54:C59" si="10">IFERROR(B54-B53,0)</f>
        <v>2.5999999999999357E-3</v>
      </c>
      <c r="D54" s="18" t="str">
        <f t="shared" ref="D54:D59" si="11">IF(C54&lt;0,C54,"/")</f>
        <v>/</v>
      </c>
      <c r="E54" s="18">
        <f ca="1">IF(表2_367162629303456[[#This Row],[累计净值]]/MAX(INDIRECT("B21:B" &amp; ROW()))-1&lt;E53,表2_367162629303456[[#This Row],[累计净值]]/MAX(INDIRECT("B21:B" &amp; ROW()))-1,E53)</f>
        <v>-4.8707049238398969E-3</v>
      </c>
      <c r="F54" s="62">
        <v>1.0367999999999999</v>
      </c>
      <c r="G54" s="20">
        <f>表2_367162629303456[[#This Row],[累计净值]]/$B$21-1</f>
        <v>7.022846475242206E-3</v>
      </c>
    </row>
    <row r="55" spans="1:7" x14ac:dyDescent="0.2">
      <c r="A55" s="55">
        <v>43755</v>
      </c>
      <c r="B55" s="16">
        <v>1.1341000000000001</v>
      </c>
      <c r="C55" s="73">
        <f t="shared" si="10"/>
        <v>1.3000000000000789E-3</v>
      </c>
      <c r="D55" s="18" t="str">
        <f t="shared" si="11"/>
        <v>/</v>
      </c>
      <c r="E55" s="18">
        <f ca="1">IF(表2_367162629303456[[#This Row],[累计净值]]/MAX(INDIRECT("B21:B" &amp; ROW()))-1&lt;E54,表2_367162629303456[[#This Row],[累计净值]]/MAX(INDIRECT("B21:B" &amp; ROW()))-1,E54)</f>
        <v>-4.8707049238398969E-3</v>
      </c>
      <c r="F55" s="62">
        <v>1.0381</v>
      </c>
      <c r="G55" s="20">
        <f>表2_367162629303456[[#This Row],[累计净值]]/$B$21-1</f>
        <v>8.1785047559783663E-3</v>
      </c>
    </row>
    <row r="56" spans="1:7" x14ac:dyDescent="0.2">
      <c r="A56" s="55">
        <v>43756</v>
      </c>
      <c r="B56" s="16">
        <v>1.1356999999999999</v>
      </c>
      <c r="C56" s="73">
        <f t="shared" si="10"/>
        <v>1.5999999999998238E-3</v>
      </c>
      <c r="D56" s="18" t="str">
        <f t="shared" si="11"/>
        <v>/</v>
      </c>
      <c r="E56" s="18">
        <f ca="1">IF(表2_367162629303456[[#This Row],[累计净值]]/MAX(INDIRECT("B21:B" &amp; ROW()))-1&lt;E55,表2_367162629303456[[#This Row],[累计净值]]/MAX(INDIRECT("B21:B" &amp; ROW()))-1,E55)</f>
        <v>-4.8707049238398969E-3</v>
      </c>
      <c r="F56" s="62">
        <v>1.0397000000000001</v>
      </c>
      <c r="G56" s="20">
        <f>表2_367162629303456[[#This Row],[累计净值]]/$B$21-1</f>
        <v>9.6008534091918118E-3</v>
      </c>
    </row>
    <row r="57" spans="1:7" x14ac:dyDescent="0.2">
      <c r="A57" s="77">
        <v>43759</v>
      </c>
      <c r="B57" s="76">
        <v>1.1375999999999999</v>
      </c>
      <c r="C57" s="73">
        <f t="shared" si="10"/>
        <v>1.9000000000000128E-3</v>
      </c>
      <c r="D57" s="18" t="str">
        <f t="shared" si="11"/>
        <v>/</v>
      </c>
      <c r="E57" s="18">
        <f ca="1">IF(表2_367162629303456[[#This Row],[累计净值]]/MAX(INDIRECT("B21:B" &amp; ROW()))-1&lt;E56,表2_367162629303456[[#This Row],[累计净值]]/MAX(INDIRECT("B21:B" &amp; ROW()))-1,E56)</f>
        <v>-4.8707049238398969E-3</v>
      </c>
      <c r="F57" s="62">
        <v>1.0416000000000001</v>
      </c>
      <c r="G57" s="20">
        <f>表2_367162629303456[[#This Row],[累计净值]]/$B$21-1</f>
        <v>1.1289892434882987E-2</v>
      </c>
    </row>
    <row r="58" spans="1:7" x14ac:dyDescent="0.2">
      <c r="A58" s="55">
        <v>43760</v>
      </c>
      <c r="B58" s="16">
        <v>1.1375</v>
      </c>
      <c r="C58" s="73">
        <f t="shared" si="10"/>
        <v>-9.9999999999988987E-5</v>
      </c>
      <c r="D58" s="18">
        <f t="shared" si="11"/>
        <v>-9.9999999999988987E-5</v>
      </c>
      <c r="E58" s="18">
        <f ca="1">IF(表2_367162629303456[[#This Row],[累计净值]]/MAX(INDIRECT("B21:B" &amp; ROW()))-1&lt;E57,表2_367162629303456[[#This Row],[累计净值]]/MAX(INDIRECT("B21:B" &amp; ROW()))-1,E57)</f>
        <v>-4.8707049238398969E-3</v>
      </c>
      <c r="F58" s="62">
        <v>1.0415000000000001</v>
      </c>
      <c r="G58" s="20">
        <f>表2_367162629303456[[#This Row],[累计净值]]/$B$21-1</f>
        <v>1.1200995644057299E-2</v>
      </c>
    </row>
    <row r="59" spans="1:7" x14ac:dyDescent="0.2">
      <c r="A59" s="55">
        <v>43761</v>
      </c>
      <c r="B59" s="16">
        <v>1.1369</v>
      </c>
      <c r="C59" s="73">
        <f t="shared" si="10"/>
        <v>-5.9999999999993392E-4</v>
      </c>
      <c r="D59" s="18">
        <f t="shared" si="11"/>
        <v>-5.9999999999993392E-4</v>
      </c>
      <c r="E59" s="18">
        <f ca="1">IF(表2_367162629303456[[#This Row],[累计净值]]/MAX(INDIRECT("B21:B" &amp; ROW()))-1&lt;E58,表2_367162629303456[[#This Row],[累计净值]]/MAX(INDIRECT("B21:B" &amp; ROW()))-1,E58)</f>
        <v>-4.8707049238398969E-3</v>
      </c>
      <c r="F59" s="62">
        <v>1.0408999999999999</v>
      </c>
      <c r="G59" s="20">
        <f>表2_367162629303456[[#This Row],[累计净值]]/$B$21-1</f>
        <v>1.0667614899102063E-2</v>
      </c>
    </row>
    <row r="60" spans="1:7" x14ac:dyDescent="0.2">
      <c r="A60" s="55">
        <v>43762</v>
      </c>
      <c r="B60" s="16">
        <v>1.135</v>
      </c>
      <c r="C60" s="73">
        <f t="shared" ref="C60:C66" si="12">IFERROR(B60-B59,0)</f>
        <v>-1.9000000000000128E-3</v>
      </c>
      <c r="D60" s="18">
        <f t="shared" ref="D60:D66" si="13">IF(C60&lt;0,C60,"/")</f>
        <v>-1.9000000000000128E-3</v>
      </c>
      <c r="E60" s="18">
        <f ca="1">IF(表2_367162629303456[[#This Row],[累计净值]]/MAX(INDIRECT("B21:B" &amp; ROW()))-1&lt;E59,表2_367162629303456[[#This Row],[累计净值]]/MAX(INDIRECT("B21:B" &amp; ROW()))-1,E59)</f>
        <v>-4.8707049238398969E-3</v>
      </c>
      <c r="F60" s="62">
        <v>1.0389999999999999</v>
      </c>
      <c r="G60" s="20">
        <f>表2_367162629303456[[#This Row],[累计净值]]/$B$21-1</f>
        <v>8.9785758734108878E-3</v>
      </c>
    </row>
    <row r="61" spans="1:7" x14ac:dyDescent="0.2">
      <c r="A61" s="55">
        <v>43763</v>
      </c>
      <c r="B61" s="16">
        <v>1.1349</v>
      </c>
      <c r="C61" s="73">
        <f t="shared" si="12"/>
        <v>-9.9999999999988987E-5</v>
      </c>
      <c r="D61" s="18">
        <f t="shared" si="13"/>
        <v>-9.9999999999988987E-5</v>
      </c>
      <c r="E61" s="18">
        <f ca="1">IF(表2_367162629303456[[#This Row],[累计净值]]/MAX(INDIRECT("B21:B" &amp; ROW()))-1&lt;E60,表2_367162629303456[[#This Row],[累计净值]]/MAX(INDIRECT("B21:B" &amp; ROW()))-1,E60)</f>
        <v>-4.8707049238398969E-3</v>
      </c>
      <c r="F61" s="62">
        <v>1.0388999999999999</v>
      </c>
      <c r="G61" s="20">
        <f>表2_367162629303456[[#This Row],[累计净值]]/$B$21-1</f>
        <v>8.8896790825852001E-3</v>
      </c>
    </row>
    <row r="62" spans="1:7" x14ac:dyDescent="0.2">
      <c r="A62" s="55">
        <v>43766</v>
      </c>
      <c r="B62" s="16">
        <v>1.1355999999999999</v>
      </c>
      <c r="C62" s="73">
        <f t="shared" si="12"/>
        <v>6.9999999999992291E-4</v>
      </c>
      <c r="D62" s="18" t="str">
        <f t="shared" si="13"/>
        <v>/</v>
      </c>
      <c r="E62" s="18">
        <f ca="1">IF(表2_367162629303456[[#This Row],[累计净值]]/MAX(INDIRECT("B21:B" &amp; ROW()))-1&lt;E61,表2_367162629303456[[#This Row],[累计净值]]/MAX(INDIRECT("B21:B" &amp; ROW()))-1,E61)</f>
        <v>-4.8707049238398969E-3</v>
      </c>
      <c r="F62" s="62">
        <v>1.0396000000000001</v>
      </c>
      <c r="G62" s="20">
        <f>表2_367162629303456[[#This Row],[累计净值]]/$B$21-1</f>
        <v>9.5119566183661242E-3</v>
      </c>
    </row>
    <row r="63" spans="1:7" x14ac:dyDescent="0.2">
      <c r="A63" s="55">
        <v>43767</v>
      </c>
      <c r="B63" s="16">
        <v>1.1335999999999999</v>
      </c>
      <c r="C63" s="73">
        <f t="shared" si="12"/>
        <v>-2.0000000000000018E-3</v>
      </c>
      <c r="D63" s="18">
        <f t="shared" si="13"/>
        <v>-2.0000000000000018E-3</v>
      </c>
      <c r="E63" s="18">
        <f ca="1">IF(表2_367162629303456[[#This Row],[累计净值]]/MAX(INDIRECT("B21:B" &amp; ROW()))-1&lt;E62,表2_367162629303456[[#This Row],[累计净值]]/MAX(INDIRECT("B21:B" &amp; ROW()))-1,E62)</f>
        <v>-4.8707049238398969E-3</v>
      </c>
      <c r="F63" s="62">
        <v>1.0376000000000001</v>
      </c>
      <c r="G63" s="20">
        <f>表2_367162629303456[[#This Row],[累计净值]]/$B$21-1</f>
        <v>7.7340208018490397E-3</v>
      </c>
    </row>
    <row r="64" spans="1:7" x14ac:dyDescent="0.2">
      <c r="A64" s="55">
        <v>43768</v>
      </c>
      <c r="B64" s="16">
        <v>1.1366000000000001</v>
      </c>
      <c r="C64" s="73">
        <f t="shared" si="12"/>
        <v>3.0000000000001137E-3</v>
      </c>
      <c r="D64" s="18" t="str">
        <f t="shared" si="13"/>
        <v>/</v>
      </c>
      <c r="E64" s="18">
        <f ca="1">IF(表2_367162629303456[[#This Row],[累计净值]]/MAX(INDIRECT("B21:B" &amp; ROW()))-1&lt;E63,表2_367162629303456[[#This Row],[累计净值]]/MAX(INDIRECT("B21:B" &amp; ROW()))-1,E63)</f>
        <v>-4.8707049238398969E-3</v>
      </c>
      <c r="F64" s="62">
        <v>1.0406</v>
      </c>
      <c r="G64" s="20">
        <f>表2_367162629303456[[#This Row],[累计净值]]/$B$21-1</f>
        <v>1.0400924526624555E-2</v>
      </c>
    </row>
    <row r="65" spans="1:7" x14ac:dyDescent="0.2">
      <c r="A65" s="55">
        <v>43769</v>
      </c>
      <c r="B65" s="16">
        <v>1.1366000000000001</v>
      </c>
      <c r="C65" s="73">
        <f t="shared" si="12"/>
        <v>0</v>
      </c>
      <c r="D65" s="18" t="str">
        <f t="shared" si="13"/>
        <v>/</v>
      </c>
      <c r="E65" s="18">
        <f ca="1">IF(表2_367162629303456[[#This Row],[累计净值]]/MAX(INDIRECT("B21:B" &amp; ROW()))-1&lt;E64,表2_367162629303456[[#This Row],[累计净值]]/MAX(INDIRECT("B21:B" &amp; ROW()))-1,E64)</f>
        <v>-4.8707049238398969E-3</v>
      </c>
      <c r="F65" s="62">
        <v>1.0406</v>
      </c>
      <c r="G65" s="20">
        <f>表2_367162629303456[[#This Row],[累计净值]]/$B$21-1</f>
        <v>1.0400924526624555E-2</v>
      </c>
    </row>
    <row r="66" spans="1:7" x14ac:dyDescent="0.2">
      <c r="A66" s="55">
        <v>43770</v>
      </c>
      <c r="B66" s="16">
        <v>1.1348</v>
      </c>
      <c r="C66" s="73">
        <f t="shared" si="12"/>
        <v>-1.8000000000000238E-3</v>
      </c>
      <c r="D66" s="18">
        <f t="shared" si="13"/>
        <v>-1.8000000000000238E-3</v>
      </c>
      <c r="E66" s="18">
        <f ca="1">IF(表2_367162629303456[[#This Row],[累计净值]]/MAX(INDIRECT("B21:B" &amp; ROW()))-1&lt;E65,表2_367162629303456[[#This Row],[累计净值]]/MAX(INDIRECT("B21:B" &amp; ROW()))-1,E65)</f>
        <v>-4.8707049238398969E-3</v>
      </c>
      <c r="F66" s="62">
        <v>1.0387999999999999</v>
      </c>
      <c r="G66" s="20">
        <f>表2_367162629303456[[#This Row],[累计净值]]/$B$21-1</f>
        <v>8.8007822917592904E-3</v>
      </c>
    </row>
    <row r="67" spans="1:7" x14ac:dyDescent="0.2">
      <c r="A67" s="55">
        <v>43773</v>
      </c>
      <c r="B67" s="16">
        <v>1.1356999999999999</v>
      </c>
      <c r="C67" s="73">
        <f t="shared" ref="C67:C72" si="14">IFERROR(B67-B66,0)</f>
        <v>8.9999999999990088E-4</v>
      </c>
      <c r="D67" s="18" t="str">
        <f t="shared" ref="D67:D72" si="15">IF(C67&lt;0,C67,"/")</f>
        <v>/</v>
      </c>
      <c r="E67" s="18">
        <f ca="1">IF(表2_367162629303456[[#This Row],[累计净值]]/MAX(INDIRECT("B21:B" &amp; ROW()))-1&lt;E66,表2_367162629303456[[#This Row],[累计净值]]/MAX(INDIRECT("B21:B" &amp; ROW()))-1,E66)</f>
        <v>-4.8707049238398969E-3</v>
      </c>
      <c r="F67" s="62">
        <v>1.0397000000000001</v>
      </c>
      <c r="G67" s="20">
        <f>表2_367162629303456[[#This Row],[累计净值]]/$B$21-1</f>
        <v>9.6008534091918118E-3</v>
      </c>
    </row>
    <row r="68" spans="1:7" x14ac:dyDescent="0.2">
      <c r="A68" s="55">
        <v>43774</v>
      </c>
      <c r="B68" s="16">
        <v>1.1358999999999999</v>
      </c>
      <c r="C68" s="73">
        <f t="shared" si="14"/>
        <v>1.9999999999997797E-4</v>
      </c>
      <c r="D68" s="18" t="str">
        <f t="shared" si="15"/>
        <v>/</v>
      </c>
      <c r="E68" s="18">
        <f ca="1">IF(表2_367162629303456[[#This Row],[累计净值]]/MAX(INDIRECT("B21:B" &amp; ROW()))-1&lt;E67,表2_367162629303456[[#This Row],[累计净值]]/MAX(INDIRECT("B21:B" &amp; ROW()))-1,E67)</f>
        <v>-4.8707049238398969E-3</v>
      </c>
      <c r="F68" s="62">
        <v>1.0399</v>
      </c>
      <c r="G68" s="20">
        <f>表2_367162629303456[[#This Row],[累计净值]]/$B$21-1</f>
        <v>9.7786469908436313E-3</v>
      </c>
    </row>
    <row r="69" spans="1:7" x14ac:dyDescent="0.2">
      <c r="A69" s="55">
        <v>43775</v>
      </c>
      <c r="B69" s="16">
        <v>1.1372</v>
      </c>
      <c r="C69" s="73">
        <f t="shared" si="14"/>
        <v>1.3000000000000789E-3</v>
      </c>
      <c r="D69" s="18" t="str">
        <f t="shared" si="15"/>
        <v>/</v>
      </c>
      <c r="E69" s="18">
        <f ca="1">IF(表2_367162629303456[[#This Row],[累计净值]]/MAX(INDIRECT("B21:B" &amp; ROW()))-1&lt;E68,表2_367162629303456[[#This Row],[累计净值]]/MAX(INDIRECT("B21:B" &amp; ROW()))-1,E68)</f>
        <v>-4.8707049238398969E-3</v>
      </c>
      <c r="F69" s="62">
        <v>1.0411999999999999</v>
      </c>
      <c r="G69" s="20">
        <f>表2_367162629303456[[#This Row],[累计净值]]/$B$21-1</f>
        <v>1.093430527157957E-2</v>
      </c>
    </row>
    <row r="70" spans="1:7" x14ac:dyDescent="0.2">
      <c r="A70" s="55">
        <v>43776</v>
      </c>
      <c r="B70" s="16">
        <v>1.1369</v>
      </c>
      <c r="C70" s="73">
        <f t="shared" si="14"/>
        <v>-2.9999999999996696E-4</v>
      </c>
      <c r="D70" s="18">
        <f t="shared" si="15"/>
        <v>-2.9999999999996696E-4</v>
      </c>
      <c r="E70" s="18">
        <f ca="1">IF(表2_367162629303456[[#This Row],[累计净值]]/MAX(INDIRECT("B21:B" &amp; ROW()))-1&lt;E69,表2_367162629303456[[#This Row],[累计净值]]/MAX(INDIRECT("B21:B" &amp; ROW()))-1,E69)</f>
        <v>-4.8707049238398969E-3</v>
      </c>
      <c r="F70" s="62">
        <v>1.0408999999999999</v>
      </c>
      <c r="G70" s="20">
        <f>表2_367162629303456[[#This Row],[累计净值]]/$B$21-1</f>
        <v>1.0667614899102063E-2</v>
      </c>
    </row>
    <row r="71" spans="1:7" x14ac:dyDescent="0.2">
      <c r="A71" s="55">
        <v>43777</v>
      </c>
      <c r="B71" s="16">
        <v>1.1355</v>
      </c>
      <c r="C71" s="73">
        <f t="shared" si="14"/>
        <v>-1.4000000000000679E-3</v>
      </c>
      <c r="D71" s="18">
        <f t="shared" si="15"/>
        <v>-1.4000000000000679E-3</v>
      </c>
      <c r="E71" s="18">
        <f ca="1">IF(表2_367162629303456[[#This Row],[累计净值]]/MAX(INDIRECT("B21:B" &amp; ROW()))-1&lt;E70,表2_367162629303456[[#This Row],[累计净值]]/MAX(INDIRECT("B21:B" &amp; ROW()))-1,E70)</f>
        <v>-4.8707049238398969E-3</v>
      </c>
      <c r="F71" s="62">
        <v>1.0395000000000001</v>
      </c>
      <c r="G71" s="20">
        <f>表2_367162629303456[[#This Row],[累计净值]]/$B$21-1</f>
        <v>9.4230598275402144E-3</v>
      </c>
    </row>
    <row r="72" spans="1:7" x14ac:dyDescent="0.2">
      <c r="A72" s="55">
        <v>43780</v>
      </c>
      <c r="B72" s="16">
        <v>1.135</v>
      </c>
      <c r="C72" s="73">
        <f t="shared" si="14"/>
        <v>-4.9999999999994493E-4</v>
      </c>
      <c r="D72" s="18">
        <f t="shared" si="15"/>
        <v>-4.9999999999994493E-4</v>
      </c>
      <c r="E72" s="18">
        <f ca="1">IF(表2_367162629303456[[#This Row],[累计净值]]/MAX(INDIRECT("B21:B" &amp; ROW()))-1&lt;E71,表2_367162629303456[[#This Row],[累计净值]]/MAX(INDIRECT("B21:B" &amp; ROW()))-1,E71)</f>
        <v>-4.8707049238398969E-3</v>
      </c>
      <c r="F72" s="62">
        <v>1.0389999999999999</v>
      </c>
      <c r="G72" s="20">
        <f>表2_367162629303456[[#This Row],[累计净值]]/$B$21-1</f>
        <v>8.9785758734108878E-3</v>
      </c>
    </row>
    <row r="73" spans="1:7" x14ac:dyDescent="0.2">
      <c r="A73" s="55">
        <v>43781</v>
      </c>
      <c r="B73" s="76">
        <v>1.1388</v>
      </c>
      <c r="C73" s="73">
        <f t="shared" ref="C73:C78" si="16">IFERROR(B73-B72,0)</f>
        <v>3.8000000000000256E-3</v>
      </c>
      <c r="D73" s="18" t="str">
        <f t="shared" ref="D73:D78" si="17">IF(C73&lt;0,C73,"/")</f>
        <v>/</v>
      </c>
      <c r="E73" s="18">
        <f ca="1">IF(表2_367162629303456[[#This Row],[累计净值]]/MAX(INDIRECT("B21:B" &amp; ROW()))-1&lt;E72,表2_367162629303456[[#This Row],[累计净值]]/MAX(INDIRECT("B21:B" &amp; ROW()))-1,E72)</f>
        <v>-4.8707049238398969E-3</v>
      </c>
      <c r="F73" s="62">
        <v>1.0427999999999999</v>
      </c>
      <c r="G73" s="20">
        <f>表2_367162629303456[[#This Row],[累计净值]]/$B$21-1</f>
        <v>1.2356653924793237E-2</v>
      </c>
    </row>
    <row r="74" spans="1:7" x14ac:dyDescent="0.2">
      <c r="A74" s="55">
        <v>43782</v>
      </c>
      <c r="B74" s="16">
        <v>1.1388</v>
      </c>
      <c r="C74" s="73">
        <f t="shared" si="16"/>
        <v>0</v>
      </c>
      <c r="D74" s="18" t="str">
        <f t="shared" si="17"/>
        <v>/</v>
      </c>
      <c r="E74" s="18">
        <f ca="1">IF(表2_367162629303456[[#This Row],[累计净值]]/MAX(INDIRECT("B21:B" &amp; ROW()))-1&lt;E73,表2_367162629303456[[#This Row],[累计净值]]/MAX(INDIRECT("B21:B" &amp; ROW()))-1,E73)</f>
        <v>-4.8707049238398969E-3</v>
      </c>
      <c r="F74" s="62">
        <v>1.0427999999999999</v>
      </c>
      <c r="G74" s="20">
        <f>表2_367162629303456[[#This Row],[累计净值]]/$B$21-1</f>
        <v>1.2356653924793237E-2</v>
      </c>
    </row>
    <row r="75" spans="1:7" x14ac:dyDescent="0.2">
      <c r="A75" s="55">
        <v>43783</v>
      </c>
      <c r="B75" s="16">
        <v>1.1380999999999999</v>
      </c>
      <c r="C75" s="73">
        <f t="shared" si="16"/>
        <v>-7.0000000000014495E-4</v>
      </c>
      <c r="D75" s="18">
        <f t="shared" si="17"/>
        <v>-7.0000000000014495E-4</v>
      </c>
      <c r="E75" s="18">
        <f ca="1">IF(表2_367162629303456[[#This Row],[累计净值]]/MAX(INDIRECT("B21:B" &amp; ROW()))-1&lt;E74,表2_367162629303456[[#This Row],[累计净值]]/MAX(INDIRECT("B21:B" &amp; ROW()))-1,E74)</f>
        <v>-4.8707049238398969E-3</v>
      </c>
      <c r="F75" s="62">
        <v>1.0421</v>
      </c>
      <c r="G75" s="20">
        <f>表2_367162629303456[[#This Row],[累计净值]]/$B$21-1</f>
        <v>1.1734376389012313E-2</v>
      </c>
    </row>
    <row r="76" spans="1:7" x14ac:dyDescent="0.2">
      <c r="A76" s="55">
        <v>43784</v>
      </c>
      <c r="B76" s="16">
        <v>1.1358999999999999</v>
      </c>
      <c r="C76" s="73">
        <f t="shared" si="16"/>
        <v>-2.1999999999999797E-3</v>
      </c>
      <c r="D76" s="18">
        <f t="shared" si="17"/>
        <v>-2.1999999999999797E-3</v>
      </c>
      <c r="E76" s="18">
        <f ca="1">IF(表2_367162629303456[[#This Row],[累计净值]]/MAX(INDIRECT("B21:B" &amp; ROW()))-1&lt;E75,表2_367162629303456[[#This Row],[累计净值]]/MAX(INDIRECT("B21:B" &amp; ROW()))-1,E75)</f>
        <v>-4.8707049238398969E-3</v>
      </c>
      <c r="F76" s="62">
        <v>1.0399</v>
      </c>
      <c r="G76" s="20">
        <f>表2_367162629303456[[#This Row],[累计净值]]/$B$21-1</f>
        <v>9.7786469908436313E-3</v>
      </c>
    </row>
    <row r="77" spans="1:7" x14ac:dyDescent="0.2">
      <c r="A77" s="55">
        <v>43787</v>
      </c>
      <c r="B77" s="16">
        <v>1.1369</v>
      </c>
      <c r="C77" s="73">
        <f t="shared" si="16"/>
        <v>1.0000000000001119E-3</v>
      </c>
      <c r="D77" s="18" t="str">
        <f t="shared" si="17"/>
        <v>/</v>
      </c>
      <c r="E77" s="18">
        <f ca="1">IF(表2_367162629303456[[#This Row],[累计净值]]/MAX(INDIRECT("B21:B" &amp; ROW()))-1&lt;E76,表2_367162629303456[[#This Row],[累计净值]]/MAX(INDIRECT("B21:B" &amp; ROW()))-1,E76)</f>
        <v>-4.8707049238398969E-3</v>
      </c>
      <c r="F77" s="62">
        <v>1.0408999999999999</v>
      </c>
      <c r="G77" s="20">
        <f>表2_367162629303456[[#This Row],[累计净值]]/$B$21-1</f>
        <v>1.0667614899102063E-2</v>
      </c>
    </row>
    <row r="78" spans="1:7" x14ac:dyDescent="0.2">
      <c r="A78" s="55">
        <v>43788</v>
      </c>
      <c r="B78" s="16">
        <v>1.1378999999999999</v>
      </c>
      <c r="C78" s="73">
        <f t="shared" si="16"/>
        <v>9.9999999999988987E-4</v>
      </c>
      <c r="D78" s="18" t="str">
        <f t="shared" si="17"/>
        <v>/</v>
      </c>
      <c r="E78" s="18">
        <f ca="1">IF(表2_367162629303456[[#This Row],[累计净值]]/MAX(INDIRECT("B21:B" &amp; ROW()))-1&lt;E77,表2_367162629303456[[#This Row],[累计净值]]/MAX(INDIRECT("B21:B" &amp; ROW()))-1,E77)</f>
        <v>-4.8707049238398969E-3</v>
      </c>
      <c r="F78" s="62">
        <v>1.0419</v>
      </c>
      <c r="G78" s="20">
        <f>表2_367162629303456[[#This Row],[累计净值]]/$B$21-1</f>
        <v>1.1556582807360494E-2</v>
      </c>
    </row>
    <row r="79" spans="1:7" x14ac:dyDescent="0.2">
      <c r="A79" s="55">
        <v>43789</v>
      </c>
      <c r="B79" s="16">
        <v>1.1375999999999999</v>
      </c>
      <c r="C79" s="73">
        <f>IFERROR(B79-B78,0)</f>
        <v>-2.9999999999996696E-4</v>
      </c>
      <c r="D79" s="18">
        <f>IF(C79&lt;0,C79,"/")</f>
        <v>-2.9999999999996696E-4</v>
      </c>
      <c r="E79" s="18">
        <f ca="1">IF(表2_367162629303456[[#This Row],[累计净值]]/MAX(INDIRECT("B21:B" &amp; ROW()))-1&lt;E78,表2_367162629303456[[#This Row],[累计净值]]/MAX(INDIRECT("B21:B" &amp; ROW()))-1,E78)</f>
        <v>-4.8707049238398969E-3</v>
      </c>
      <c r="F79" s="62">
        <v>1.0416000000000001</v>
      </c>
      <c r="G79" s="20">
        <f>表2_367162629303456[[#This Row],[累计净值]]/$B$21-1</f>
        <v>1.1289892434882987E-2</v>
      </c>
    </row>
    <row r="80" spans="1:7" x14ac:dyDescent="0.2">
      <c r="A80" s="55">
        <v>43790</v>
      </c>
      <c r="B80" s="16">
        <v>1.1375999999999999</v>
      </c>
      <c r="C80" s="73">
        <f>IFERROR(B80-B79,0)</f>
        <v>0</v>
      </c>
      <c r="D80" s="18" t="str">
        <f>IF(C80&lt;0,C80,"/")</f>
        <v>/</v>
      </c>
      <c r="E80" s="18">
        <f ca="1">IF(表2_367162629303456[[#This Row],[累计净值]]/MAX(INDIRECT("B21:B" &amp; ROW()))-1&lt;E79,表2_367162629303456[[#This Row],[累计净值]]/MAX(INDIRECT("B21:B" &amp; ROW()))-1,E79)</f>
        <v>-4.8707049238398969E-3</v>
      </c>
      <c r="F80" s="62">
        <v>1.0416000000000001</v>
      </c>
      <c r="G80" s="20">
        <f>表2_367162629303456[[#This Row],[累计净值]]/$B$21-1</f>
        <v>1.1289892434882987E-2</v>
      </c>
    </row>
    <row r="81" spans="1:9" x14ac:dyDescent="0.2">
      <c r="A81" s="55">
        <v>43791</v>
      </c>
      <c r="B81" s="16">
        <v>1.1399999999999999</v>
      </c>
      <c r="C81" s="73">
        <f>IFERROR(B81-B80,0)</f>
        <v>2.3999999999999577E-3</v>
      </c>
      <c r="D81" s="18" t="str">
        <f>IF(C81&lt;0,C81,"/")</f>
        <v>/</v>
      </c>
      <c r="E81" s="18">
        <f ca="1">IF(表2_367162629303456[[#This Row],[累计净值]]/MAX(INDIRECT("B21:B" &amp; ROW()))-1&lt;E80,表2_367162629303456[[#This Row],[累计净值]]/MAX(INDIRECT("B21:B" &amp; ROW()))-1,E80)</f>
        <v>-4.8707049238398969E-3</v>
      </c>
      <c r="F81" s="62">
        <f>表2_367162629303456[[#This Row],[累计净值]]-0.096</f>
        <v>1.0439999999999998</v>
      </c>
      <c r="G81" s="20">
        <f>表2_367162629303456[[#This Row],[累计净值]]/$B$21-1</f>
        <v>1.3423415414703488E-2</v>
      </c>
      <c r="I81" s="60"/>
    </row>
    <row r="82" spans="1:9" x14ac:dyDescent="0.2">
      <c r="A82" s="55">
        <v>43794</v>
      </c>
      <c r="B82" s="16">
        <v>1.1403000000000001</v>
      </c>
      <c r="C82" s="73">
        <f t="shared" ref="C82:C87" si="18">IFERROR(B82-B81,0)</f>
        <v>3.00000000000189E-4</v>
      </c>
      <c r="D82" s="18" t="str">
        <f t="shared" ref="D82:D87" si="19">IF(C82&lt;0,C82,"/")</f>
        <v>/</v>
      </c>
      <c r="E82" s="18">
        <f ca="1">IF(表2_367162629303456[[#This Row],[累计净值]]/MAX(INDIRECT("B21:B" &amp; ROW()))-1&lt;E81,表2_367162629303456[[#This Row],[累计净值]]/MAX(INDIRECT("B21:B" &amp; ROW()))-1,E81)</f>
        <v>-4.8707049238398969E-3</v>
      </c>
      <c r="F82" s="62">
        <f>表2_367162629303456[[#This Row],[累计净值]]-0.096</f>
        <v>1.0443</v>
      </c>
      <c r="G82" s="20">
        <f>表2_367162629303456[[#This Row],[累计净值]]/$B$21-1</f>
        <v>1.3690105787181217E-2</v>
      </c>
    </row>
    <row r="83" spans="1:9" x14ac:dyDescent="0.2">
      <c r="A83" s="55">
        <v>43795</v>
      </c>
      <c r="B83" s="76">
        <v>1.1412</v>
      </c>
      <c r="C83" s="73">
        <f t="shared" si="18"/>
        <v>8.9999999999990088E-4</v>
      </c>
      <c r="D83" s="18" t="str">
        <f t="shared" si="19"/>
        <v>/</v>
      </c>
      <c r="E83" s="18">
        <f ca="1">IF(表2_367162629303456[[#This Row],[累计净值]]/MAX(INDIRECT("B21:B" &amp; ROW()))-1&lt;E82,表2_367162629303456[[#This Row],[累计净值]]/MAX(INDIRECT("B21:B" &amp; ROW()))-1,E82)</f>
        <v>-4.8707049238398969E-3</v>
      </c>
      <c r="F83" s="62">
        <f>表2_367162629303456[[#This Row],[累计净值]]-0.096</f>
        <v>1.0451999999999999</v>
      </c>
      <c r="G83" s="20">
        <f>表2_367162629303456[[#This Row],[累计净值]]/$B$21-1</f>
        <v>1.4490176904613739E-2</v>
      </c>
    </row>
    <row r="84" spans="1:9" x14ac:dyDescent="0.2">
      <c r="A84" s="55">
        <v>43796</v>
      </c>
      <c r="B84" s="16">
        <v>1.1393</v>
      </c>
      <c r="C84" s="73">
        <f t="shared" si="18"/>
        <v>-1.9000000000000128E-3</v>
      </c>
      <c r="D84" s="18">
        <f t="shared" si="19"/>
        <v>-1.9000000000000128E-3</v>
      </c>
      <c r="E84" s="18">
        <f ca="1">IF(表2_367162629303456[[#This Row],[累计净值]]/MAX(INDIRECT("B21:B" &amp; ROW()))-1&lt;E83,表2_367162629303456[[#This Row],[累计净值]]/MAX(INDIRECT("B21:B" &amp; ROW()))-1,E83)</f>
        <v>-4.8707049238398969E-3</v>
      </c>
      <c r="F84" s="62">
        <f>表2_367162629303456[[#This Row],[累计净值]]-0.096</f>
        <v>1.0432999999999999</v>
      </c>
      <c r="G84" s="20">
        <f>表2_367162629303456[[#This Row],[累计净值]]/$B$21-1</f>
        <v>1.2801137878922564E-2</v>
      </c>
    </row>
    <row r="85" spans="1:9" x14ac:dyDescent="0.2">
      <c r="A85" s="55">
        <v>43797</v>
      </c>
      <c r="B85" s="16">
        <v>1.1385000000000001</v>
      </c>
      <c r="C85" s="73">
        <f t="shared" si="18"/>
        <v>-7.9999999999991189E-4</v>
      </c>
      <c r="D85" s="18">
        <f t="shared" si="19"/>
        <v>-7.9999999999991189E-4</v>
      </c>
      <c r="E85" s="18">
        <f ca="1">IF(表2_367162629303456[[#This Row],[累计净值]]/MAX(INDIRECT("B21:B" &amp; ROW()))-1&lt;E84,表2_367162629303456[[#This Row],[累计净值]]/MAX(INDIRECT("B21:B" &amp; ROW()))-1,E84)</f>
        <v>-4.8707049238398969E-3</v>
      </c>
      <c r="F85" s="62">
        <f>表2_367162629303456[[#This Row],[累计净值]]-0.096</f>
        <v>1.0425</v>
      </c>
      <c r="G85" s="20">
        <f>表2_367162629303456[[#This Row],[累计净值]]/$B$21-1</f>
        <v>1.208996355231573E-2</v>
      </c>
    </row>
    <row r="86" spans="1:9" x14ac:dyDescent="0.2">
      <c r="A86" s="55">
        <v>43798</v>
      </c>
      <c r="B86" s="16">
        <v>1.1389</v>
      </c>
      <c r="C86" s="73">
        <f t="shared" si="18"/>
        <v>3.9999999999995595E-4</v>
      </c>
      <c r="D86" s="18" t="str">
        <f t="shared" si="19"/>
        <v>/</v>
      </c>
      <c r="E86" s="18">
        <f ca="1">IF(表2_367162629303456[[#This Row],[累计净值]]/MAX(INDIRECT("B21:B" &amp; ROW()))-1&lt;E85,表2_367162629303456[[#This Row],[累计净值]]/MAX(INDIRECT("B21:B" &amp; ROW()))-1,E85)</f>
        <v>-4.8707049238398969E-3</v>
      </c>
      <c r="F86" s="62">
        <f>表2_367162629303456[[#This Row],[累计净值]]-0.096</f>
        <v>1.0428999999999999</v>
      </c>
      <c r="G86" s="20">
        <f>表2_367162629303456[[#This Row],[累计净值]]/$B$21-1</f>
        <v>1.2445550715619147E-2</v>
      </c>
    </row>
    <row r="87" spans="1:9" x14ac:dyDescent="0.2">
      <c r="A87" s="55">
        <v>43801</v>
      </c>
      <c r="B87" s="16">
        <v>1.1392</v>
      </c>
      <c r="C87" s="73">
        <f t="shared" si="18"/>
        <v>2.9999999999996696E-4</v>
      </c>
      <c r="D87" s="18" t="str">
        <f t="shared" si="19"/>
        <v>/</v>
      </c>
      <c r="E87" s="18">
        <f ca="1">IF(表2_367162629303456[[#This Row],[累计净值]]/MAX(INDIRECT("B21:B" &amp; ROW()))-1&lt;E86,表2_367162629303456[[#This Row],[累计净值]]/MAX(INDIRECT("B21:B" &amp; ROW()))-1,E86)</f>
        <v>-4.8707049238398969E-3</v>
      </c>
      <c r="F87" s="62">
        <f>表2_367162629303456[[#This Row],[累计净值]]-0.096</f>
        <v>1.0431999999999999</v>
      </c>
      <c r="G87" s="20">
        <f>表2_367162629303456[[#This Row],[累计净值]]/$B$21-1</f>
        <v>1.2712241088096654E-2</v>
      </c>
    </row>
    <row r="88" spans="1:9" x14ac:dyDescent="0.2">
      <c r="A88" s="55">
        <v>43802</v>
      </c>
      <c r="B88" s="16">
        <v>1.1398999999999999</v>
      </c>
      <c r="C88" s="73">
        <f t="shared" ref="C88:C94" si="20">IFERROR(B88-B87,0)</f>
        <v>6.9999999999992291E-4</v>
      </c>
      <c r="D88" s="18" t="str">
        <f t="shared" ref="D88:D94" si="21">IF(C88&lt;0,C88,"/")</f>
        <v>/</v>
      </c>
      <c r="E88" s="18">
        <f ca="1">IF(表2_367162629303456[[#This Row],[累计净值]]/MAX(INDIRECT("B21:B" &amp; ROW()))-1&lt;E87,表2_367162629303456[[#This Row],[累计净值]]/MAX(INDIRECT("B21:B" &amp; ROW()))-1,E87)</f>
        <v>-4.8707049238398969E-3</v>
      </c>
      <c r="F88" s="62">
        <f>表2_367162629303456[[#This Row],[累计净值]]-0.096</f>
        <v>1.0438999999999998</v>
      </c>
      <c r="G88" s="20">
        <f>表2_367162629303456[[#This Row],[累计净值]]/$B$21-1</f>
        <v>1.3334518623877578E-2</v>
      </c>
    </row>
    <row r="89" spans="1:9" x14ac:dyDescent="0.2">
      <c r="A89" s="55">
        <v>43803</v>
      </c>
      <c r="B89" s="16">
        <v>1.1395999999999999</v>
      </c>
      <c r="C89" s="73">
        <f t="shared" si="20"/>
        <v>-2.9999999999996696E-4</v>
      </c>
      <c r="D89" s="18">
        <f t="shared" si="21"/>
        <v>-2.9999999999996696E-4</v>
      </c>
      <c r="E89" s="18">
        <f ca="1">IF(表2_367162629303456[[#This Row],[累计净值]]/MAX(INDIRECT("B21:B" &amp; ROW()))-1&lt;E88,表2_367162629303456[[#This Row],[累计净值]]/MAX(INDIRECT("B21:B" &amp; ROW()))-1,E88)</f>
        <v>-4.8707049238398969E-3</v>
      </c>
      <c r="F89" s="62">
        <f>表2_367162629303456[[#This Row],[累计净值]]-0.096</f>
        <v>1.0435999999999999</v>
      </c>
      <c r="G89" s="20">
        <f>表2_367162629303456[[#This Row],[累计净值]]/$B$21-1</f>
        <v>1.3067828251400071E-2</v>
      </c>
    </row>
    <row r="90" spans="1:9" x14ac:dyDescent="0.2">
      <c r="A90" s="55">
        <v>43804</v>
      </c>
      <c r="B90" s="16">
        <v>1.1382000000000001</v>
      </c>
      <c r="C90" s="73">
        <f t="shared" si="20"/>
        <v>-1.3999999999998458E-3</v>
      </c>
      <c r="D90" s="18">
        <f t="shared" si="21"/>
        <v>-1.3999999999998458E-3</v>
      </c>
      <c r="E90" s="18">
        <f ca="1">IF(表2_367162629303456[[#This Row],[累计净值]]/MAX(INDIRECT("B21:B" &amp; ROW()))-1&lt;E89,表2_367162629303456[[#This Row],[累计净值]]/MAX(INDIRECT("B21:B" &amp; ROW()))-1,E89)</f>
        <v>-4.8707049238398969E-3</v>
      </c>
      <c r="F90" s="62">
        <f>表2_367162629303456[[#This Row],[累计净值]]-0.096</f>
        <v>1.0422</v>
      </c>
      <c r="G90" s="20">
        <f>表2_367162629303456[[#This Row],[累计净值]]/$B$21-1</f>
        <v>1.1823273179838223E-2</v>
      </c>
    </row>
    <row r="91" spans="1:9" x14ac:dyDescent="0.2">
      <c r="A91" s="55">
        <v>43805</v>
      </c>
      <c r="B91" s="16">
        <v>1.1393</v>
      </c>
      <c r="C91" s="73">
        <f t="shared" si="20"/>
        <v>1.0999999999998789E-3</v>
      </c>
      <c r="D91" s="18" t="str">
        <f t="shared" si="21"/>
        <v>/</v>
      </c>
      <c r="E91" s="18">
        <f ca="1">IF(表2_367162629303456[[#This Row],[累计净值]]/MAX(INDIRECT("B21:B" &amp; ROW()))-1&lt;E90,表2_367162629303456[[#This Row],[累计净值]]/MAX(INDIRECT("B21:B" &amp; ROW()))-1,E90)</f>
        <v>-4.8707049238398969E-3</v>
      </c>
      <c r="F91" s="62">
        <f>表2_367162629303456[[#This Row],[累计净值]]-0.096</f>
        <v>1.0432999999999999</v>
      </c>
      <c r="G91" s="20">
        <f>表2_367162629303456[[#This Row],[累计净值]]/$B$21-1</f>
        <v>1.2801137878922564E-2</v>
      </c>
    </row>
    <row r="92" spans="1:9" x14ac:dyDescent="0.2">
      <c r="A92" s="55">
        <v>43808</v>
      </c>
      <c r="B92" s="16">
        <v>1.1378999999999999</v>
      </c>
      <c r="C92" s="73">
        <f t="shared" si="20"/>
        <v>-1.4000000000000679E-3</v>
      </c>
      <c r="D92" s="18">
        <f t="shared" si="21"/>
        <v>-1.4000000000000679E-3</v>
      </c>
      <c r="E92" s="18">
        <f ca="1">IF(表2_367162629303456[[#This Row],[累计净值]]/MAX(INDIRECT("B21:B" &amp; ROW()))-1&lt;E91,表2_367162629303456[[#This Row],[累计净值]]/MAX(INDIRECT("B21:B" &amp; ROW()))-1,E91)</f>
        <v>-4.8707049238398969E-3</v>
      </c>
      <c r="F92" s="62">
        <f>表2_367162629303456[[#This Row],[累计净值]]-0.096</f>
        <v>1.0418999999999998</v>
      </c>
      <c r="G92" s="20">
        <f>表2_367162629303456[[#This Row],[累计净值]]/$B$21-1</f>
        <v>1.1556582807360494E-2</v>
      </c>
    </row>
    <row r="93" spans="1:9" x14ac:dyDescent="0.2">
      <c r="A93" s="55">
        <v>43809</v>
      </c>
      <c r="B93" s="16">
        <v>1.1375999999999999</v>
      </c>
      <c r="C93" s="73">
        <f t="shared" si="20"/>
        <v>-2.9999999999996696E-4</v>
      </c>
      <c r="D93" s="18">
        <f t="shared" si="21"/>
        <v>-2.9999999999996696E-4</v>
      </c>
      <c r="E93" s="18">
        <f ca="1">IF(表2_367162629303456[[#This Row],[累计净值]]/MAX(INDIRECT("B21:B" &amp; ROW()))-1&lt;E92,表2_367162629303456[[#This Row],[累计净值]]/MAX(INDIRECT("B21:B" &amp; ROW()))-1,E92)</f>
        <v>-4.8707049238398969E-3</v>
      </c>
      <c r="F93" s="62">
        <f>表2_367162629303456[[#This Row],[累计净值]]-0.096</f>
        <v>1.0415999999999999</v>
      </c>
      <c r="G93" s="20">
        <f>表2_367162629303456[[#This Row],[累计净值]]/$B$21-1</f>
        <v>1.1289892434882987E-2</v>
      </c>
    </row>
    <row r="94" spans="1:9" x14ac:dyDescent="0.2">
      <c r="A94" s="55">
        <v>43810</v>
      </c>
      <c r="B94" s="16">
        <v>1.1384000000000001</v>
      </c>
      <c r="C94" s="73">
        <f t="shared" si="20"/>
        <v>8.0000000000013394E-4</v>
      </c>
      <c r="D94" s="18" t="str">
        <f t="shared" si="21"/>
        <v>/</v>
      </c>
      <c r="E94" s="18">
        <f ca="1">IF(表2_367162629303456[[#This Row],[累计净值]]/MAX(INDIRECT("B21:B" &amp; ROW()))-1&lt;E93,表2_367162629303456[[#This Row],[累计净值]]/MAX(INDIRECT("B21:B" &amp; ROW()))-1,E93)</f>
        <v>-4.8707049238398969E-3</v>
      </c>
      <c r="F94" s="62">
        <f>表2_367162629303456[[#This Row],[累计净值]]-0.096</f>
        <v>1.0424</v>
      </c>
      <c r="G94" s="20">
        <f>表2_367162629303456[[#This Row],[累计净值]]/$B$21-1</f>
        <v>1.2001066761490042E-2</v>
      </c>
    </row>
    <row r="95" spans="1:9" x14ac:dyDescent="0.2">
      <c r="A95" s="55">
        <v>43811</v>
      </c>
      <c r="B95" s="16">
        <v>1.1377999999999999</v>
      </c>
      <c r="C95" s="73">
        <f t="shared" ref="C95:C101" si="22">IFERROR(B95-B94,0)</f>
        <v>-6.0000000000015596E-4</v>
      </c>
      <c r="D95" s="18">
        <f t="shared" ref="D95:D101" si="23">IF(C95&lt;0,C95,"/")</f>
        <v>-6.0000000000015596E-4</v>
      </c>
      <c r="E95" s="18">
        <f ca="1">IF(表2_367162629303456[[#This Row],[累计净值]]/MAX(INDIRECT("B21:B" &amp; ROW()))-1&lt;E94,表2_367162629303456[[#This Row],[累计净值]]/MAX(INDIRECT("B21:B" &amp; ROW()))-1,E94)</f>
        <v>-4.8707049238398969E-3</v>
      </c>
      <c r="F95" s="62">
        <f>表2_367162629303456[[#This Row],[累计净值]]-0.096</f>
        <v>1.0417999999999998</v>
      </c>
      <c r="G95" s="20">
        <f>表2_367162629303456[[#This Row],[累计净值]]/$B$21-1</f>
        <v>1.1467686016534806E-2</v>
      </c>
    </row>
    <row r="96" spans="1:9" x14ac:dyDescent="0.2">
      <c r="A96" s="55">
        <v>43812</v>
      </c>
      <c r="B96" s="16">
        <v>1.1386000000000001</v>
      </c>
      <c r="C96" s="73">
        <f t="shared" si="22"/>
        <v>8.0000000000013394E-4</v>
      </c>
      <c r="D96" s="18" t="str">
        <f t="shared" si="23"/>
        <v>/</v>
      </c>
      <c r="E96" s="18">
        <f ca="1">IF(表2_367162629303456[[#This Row],[累计净值]]/MAX(INDIRECT("B21:B" &amp; ROW()))-1&lt;E95,表2_367162629303456[[#This Row],[累计净值]]/MAX(INDIRECT("B21:B" &amp; ROW()))-1,E95)</f>
        <v>-4.8707049238398969E-3</v>
      </c>
      <c r="F96" s="62">
        <f>表2_367162629303456[[#This Row],[累计净值]]-0.096</f>
        <v>1.0426</v>
      </c>
      <c r="G96" s="20">
        <f>表2_367162629303456[[#This Row],[累计净值]]/$B$21-1</f>
        <v>1.217886034314164E-2</v>
      </c>
    </row>
    <row r="97" spans="1:7" x14ac:dyDescent="0.2">
      <c r="A97" s="55">
        <v>43815</v>
      </c>
      <c r="B97" s="16">
        <v>1.1397999999999999</v>
      </c>
      <c r="C97" s="73">
        <f t="shared" si="22"/>
        <v>1.1999999999998678E-3</v>
      </c>
      <c r="D97" s="18" t="str">
        <f t="shared" si="23"/>
        <v>/</v>
      </c>
      <c r="E97" s="18">
        <f ca="1">IF(表2_367162629303456[[#This Row],[累计净值]]/MAX(INDIRECT("B21:B" &amp; ROW()))-1&lt;E96,表2_367162629303456[[#This Row],[累计净值]]/MAX(INDIRECT("B21:B" &amp; ROW()))-1,E96)</f>
        <v>-4.8707049238398969E-3</v>
      </c>
      <c r="F97" s="62">
        <f>表2_367162629303456[[#This Row],[累计净值]]-0.096</f>
        <v>1.0437999999999998</v>
      </c>
      <c r="G97" s="20">
        <f>表2_367162629303456[[#This Row],[累计净值]]/$B$21-1</f>
        <v>1.3245621833051668E-2</v>
      </c>
    </row>
    <row r="98" spans="1:7" x14ac:dyDescent="0.2">
      <c r="A98" s="55">
        <v>43816</v>
      </c>
      <c r="B98" s="16">
        <v>1.1345000000000001</v>
      </c>
      <c r="C98" s="73">
        <f t="shared" si="22"/>
        <v>-5.2999999999998604E-3</v>
      </c>
      <c r="D98" s="18">
        <f t="shared" si="23"/>
        <v>-5.2999999999998604E-3</v>
      </c>
      <c r="E98" s="18">
        <f ca="1">IF(表2_367162629303456[[#This Row],[累计净值]]/MAX(INDIRECT("B21:B" &amp; ROW()))-1&lt;E97,表2_367162629303456[[#This Row],[累计净值]]/MAX(INDIRECT("B21:B" &amp; ROW()))-1,E97)</f>
        <v>-5.8710129688046564E-3</v>
      </c>
      <c r="F98" s="62">
        <f>表2_367162629303456[[#This Row],[累计净值]]-0.096</f>
        <v>1.0385</v>
      </c>
      <c r="G98" s="20">
        <f>表2_367162629303456[[#This Row],[累计净值]]/$B$21-1</f>
        <v>8.5340919192817832E-3</v>
      </c>
    </row>
    <row r="99" spans="1:7" x14ac:dyDescent="0.2">
      <c r="A99" s="55">
        <v>43817</v>
      </c>
      <c r="B99" s="16">
        <v>1.1355</v>
      </c>
      <c r="C99" s="73">
        <f t="shared" si="22"/>
        <v>9.9999999999988987E-4</v>
      </c>
      <c r="D99" s="18" t="str">
        <f t="shared" si="23"/>
        <v>/</v>
      </c>
      <c r="E99" s="18">
        <f ca="1">IF(表2_367162629303456[[#This Row],[累计净值]]/MAX(INDIRECT("B21:B" &amp; ROW()))-1&lt;E98,表2_367162629303456[[#This Row],[累计净值]]/MAX(INDIRECT("B21:B" &amp; ROW()))-1,E98)</f>
        <v>-5.8710129688046564E-3</v>
      </c>
      <c r="F99" s="62">
        <f>表2_367162629303456[[#This Row],[累计净值]]-0.096</f>
        <v>1.0394999999999999</v>
      </c>
      <c r="G99" s="20">
        <f>表2_367162629303456[[#This Row],[累计净值]]/$B$21-1</f>
        <v>9.4230598275402144E-3</v>
      </c>
    </row>
    <row r="100" spans="1:7" x14ac:dyDescent="0.2">
      <c r="A100" s="55">
        <v>43818</v>
      </c>
      <c r="B100" s="16">
        <v>1.1349</v>
      </c>
      <c r="C100" s="73">
        <f t="shared" si="22"/>
        <v>-5.9999999999993392E-4</v>
      </c>
      <c r="D100" s="18">
        <f t="shared" si="23"/>
        <v>-5.9999999999993392E-4</v>
      </c>
      <c r="E100" s="18">
        <f ca="1">IF(表2_367162629303456[[#This Row],[累计净值]]/MAX(INDIRECT("B21:B" &amp; ROW()))-1&lt;E99,表2_367162629303456[[#This Row],[累计净值]]/MAX(INDIRECT("B21:B" &amp; ROW()))-1,E99)</f>
        <v>-5.8710129688046564E-3</v>
      </c>
      <c r="F100" s="62">
        <f>表2_367162629303456[[#This Row],[累计净值]]-0.096</f>
        <v>1.0388999999999999</v>
      </c>
      <c r="G100" s="20">
        <f>表2_367162629303456[[#This Row],[累计净值]]/$B$21-1</f>
        <v>8.8896790825852001E-3</v>
      </c>
    </row>
    <row r="101" spans="1:7" x14ac:dyDescent="0.2">
      <c r="A101" s="55">
        <v>43819</v>
      </c>
      <c r="B101" s="16">
        <v>1.1337999999999999</v>
      </c>
      <c r="C101" s="73">
        <f t="shared" si="22"/>
        <v>-1.1000000000001009E-3</v>
      </c>
      <c r="D101" s="18">
        <f t="shared" si="23"/>
        <v>-1.1000000000001009E-3</v>
      </c>
      <c r="E101" s="18">
        <f ca="1">IF(表2_367162629303456[[#This Row],[累计净值]]/MAX(INDIRECT("B21:B" &amp; ROW()))-1&lt;E100,表2_367162629303456[[#This Row],[累计净值]]/MAX(INDIRECT("B21:B" &amp; ROW()))-1,E100)</f>
        <v>-6.4844023834560449E-3</v>
      </c>
      <c r="F101" s="62">
        <f>表2_367162629303456[[#This Row],[累计净值]]-0.096</f>
        <v>1.0377999999999998</v>
      </c>
      <c r="G101" s="20">
        <f>表2_367162629303456[[#This Row],[累计净值]]/$B$21-1</f>
        <v>7.9118143835006371E-3</v>
      </c>
    </row>
    <row r="102" spans="1:7" x14ac:dyDescent="0.2">
      <c r="A102" s="55">
        <v>43822</v>
      </c>
      <c r="B102" s="16">
        <v>1.1356999999999999</v>
      </c>
      <c r="C102" s="73">
        <f t="shared" ref="C102:C107" si="24">IFERROR(B102-B101,0)</f>
        <v>1.9000000000000128E-3</v>
      </c>
      <c r="D102" s="18" t="str">
        <f t="shared" ref="D102:D107" si="25">IF(C102&lt;0,C102,"/")</f>
        <v>/</v>
      </c>
      <c r="E102" s="18">
        <f ca="1">IF(表2_367162629303456[[#This Row],[累计净值]]/MAX(INDIRECT("B21:B" &amp; ROW()))-1&lt;E101,表2_367162629303456[[#This Row],[累计净值]]/MAX(INDIRECT("B21:B" &amp; ROW()))-1,E101)</f>
        <v>-6.4844023834560449E-3</v>
      </c>
      <c r="F102" s="62">
        <f>表2_367162629303456[[#This Row],[累计净值]]-0.096</f>
        <v>1.0396999999999998</v>
      </c>
      <c r="G102" s="20">
        <f>表2_367162629303456[[#This Row],[累计净值]]/$B$21-1</f>
        <v>9.6008534091918118E-3</v>
      </c>
    </row>
    <row r="103" spans="1:7" x14ac:dyDescent="0.2">
      <c r="A103" s="55">
        <v>43823</v>
      </c>
      <c r="B103" s="16">
        <v>1.1389</v>
      </c>
      <c r="C103" s="73">
        <f t="shared" si="24"/>
        <v>3.2000000000000917E-3</v>
      </c>
      <c r="D103" s="18" t="str">
        <f t="shared" si="25"/>
        <v>/</v>
      </c>
      <c r="E103" s="18">
        <f ca="1">IF(表2_367162629303456[[#This Row],[累计净值]]/MAX(INDIRECT("B21:B" &amp; ROW()))-1&lt;E102,表2_367162629303456[[#This Row],[累计净值]]/MAX(INDIRECT("B21:B" &amp; ROW()))-1,E102)</f>
        <v>-6.4844023834560449E-3</v>
      </c>
      <c r="F103" s="62">
        <f>表2_367162629303456[[#This Row],[累计净值]]-0.096</f>
        <v>1.0428999999999999</v>
      </c>
      <c r="G103" s="20">
        <f>表2_367162629303456[[#This Row],[累计净值]]/$B$21-1</f>
        <v>1.2445550715619147E-2</v>
      </c>
    </row>
    <row r="104" spans="1:7" x14ac:dyDescent="0.2">
      <c r="A104" s="55">
        <v>43824</v>
      </c>
      <c r="B104" s="16">
        <v>1.1403000000000001</v>
      </c>
      <c r="C104" s="73">
        <f t="shared" si="24"/>
        <v>1.4000000000000679E-3</v>
      </c>
      <c r="D104" s="18" t="str">
        <f t="shared" si="25"/>
        <v>/</v>
      </c>
      <c r="E104" s="18">
        <f ca="1">IF(表2_367162629303456[[#This Row],[累计净值]]/MAX(INDIRECT("B21:B" &amp; ROW()))-1&lt;E103,表2_367162629303456[[#This Row],[累计净值]]/MAX(INDIRECT("B21:B" &amp; ROW()))-1,E103)</f>
        <v>-6.4844023834560449E-3</v>
      </c>
      <c r="F104" s="62">
        <f>表2_367162629303456[[#This Row],[累计净值]]-0.096</f>
        <v>1.0443</v>
      </c>
      <c r="G104" s="20">
        <f>表2_367162629303456[[#This Row],[累计净值]]/$B$21-1</f>
        <v>1.3690105787181217E-2</v>
      </c>
    </row>
    <row r="105" spans="1:7" x14ac:dyDescent="0.2">
      <c r="A105" s="55">
        <v>43825</v>
      </c>
      <c r="B105" s="76">
        <v>1.1413</v>
      </c>
      <c r="C105" s="73">
        <f t="shared" si="24"/>
        <v>9.9999999999988987E-4</v>
      </c>
      <c r="D105" s="18" t="str">
        <f t="shared" si="25"/>
        <v>/</v>
      </c>
      <c r="E105" s="18">
        <f ca="1">IF(表2_367162629303456[[#This Row],[累计净值]]/MAX(INDIRECT("B21:B" &amp; ROW()))-1&lt;E104,表2_367162629303456[[#This Row],[累计净值]]/MAX(INDIRECT("B21:B" &amp; ROW()))-1,E104)</f>
        <v>-6.4844023834560449E-3</v>
      </c>
      <c r="F105" s="62">
        <f>表2_367162629303456[[#This Row],[累计净值]]-0.096</f>
        <v>1.0452999999999999</v>
      </c>
      <c r="G105" s="20">
        <f>表2_367162629303456[[#This Row],[累计净值]]/$B$21-1</f>
        <v>1.4579073695439648E-2</v>
      </c>
    </row>
    <row r="106" spans="1:7" x14ac:dyDescent="0.2">
      <c r="A106" s="55">
        <v>43826</v>
      </c>
      <c r="B106" s="16">
        <v>1.1375999999999999</v>
      </c>
      <c r="C106" s="73">
        <f t="shared" si="24"/>
        <v>-3.7000000000000366E-3</v>
      </c>
      <c r="D106" s="18">
        <f t="shared" si="25"/>
        <v>-3.7000000000000366E-3</v>
      </c>
      <c r="E106" s="18">
        <f ca="1">IF(表2_367162629303456[[#This Row],[累计净值]]/MAX(INDIRECT("B21:B" &amp; ROW()))-1&lt;E105,表2_367162629303456[[#This Row],[累计净值]]/MAX(INDIRECT("B21:B" &amp; ROW()))-1,E105)</f>
        <v>-6.4844023834560449E-3</v>
      </c>
      <c r="F106" s="62">
        <f>表2_367162629303456[[#This Row],[累计净值]]-0.096</f>
        <v>1.0415999999999999</v>
      </c>
      <c r="G106" s="20">
        <f>表2_367162629303456[[#This Row],[累计净值]]/$B$21-1</f>
        <v>1.1289892434882987E-2</v>
      </c>
    </row>
    <row r="107" spans="1:7" x14ac:dyDescent="0.2">
      <c r="A107" s="55">
        <v>43829</v>
      </c>
      <c r="B107" s="16">
        <v>1.1397999999999999</v>
      </c>
      <c r="C107" s="73">
        <f t="shared" si="24"/>
        <v>2.1999999999999797E-3</v>
      </c>
      <c r="D107" s="18" t="str">
        <f t="shared" si="25"/>
        <v>/</v>
      </c>
      <c r="E107" s="18">
        <f ca="1">IF(表2_367162629303456[[#This Row],[累计净值]]/MAX(INDIRECT("B21:B" &amp; ROW()))-1&lt;E106,表2_367162629303456[[#This Row],[累计净值]]/MAX(INDIRECT("B21:B" &amp; ROW()))-1,E106)</f>
        <v>-6.4844023834560449E-3</v>
      </c>
      <c r="F107" s="62">
        <f>表2_367162629303456[[#This Row],[累计净值]]-0.096</f>
        <v>1.0437999999999998</v>
      </c>
      <c r="G107" s="20">
        <f>表2_367162629303456[[#This Row],[累计净值]]/$B$21-1</f>
        <v>1.3245621833051668E-2</v>
      </c>
    </row>
    <row r="108" spans="1:7" x14ac:dyDescent="0.2">
      <c r="A108" s="55">
        <v>43830</v>
      </c>
      <c r="B108" s="16">
        <v>1.1403000000000001</v>
      </c>
      <c r="C108" s="73">
        <f t="shared" ref="C108:C113" si="26">IFERROR(B108-B107,0)</f>
        <v>5.0000000000016698E-4</v>
      </c>
      <c r="D108" s="18" t="str">
        <f t="shared" ref="D108:D113" si="27">IF(C108&lt;0,C108,"/")</f>
        <v>/</v>
      </c>
      <c r="E108" s="18">
        <f ca="1">IF(表2_367162629303456[[#This Row],[累计净值]]/MAX(INDIRECT("B21:B" &amp; ROW()))-1&lt;E107,表2_367162629303456[[#This Row],[累计净值]]/MAX(INDIRECT("B21:B" &amp; ROW()))-1,E107)</f>
        <v>-6.4844023834560449E-3</v>
      </c>
      <c r="F108" s="62">
        <f>表2_367162629303456[[#This Row],[累计净值]]-0.096</f>
        <v>1.0443</v>
      </c>
      <c r="G108" s="20">
        <f>表2_367162629303456[[#This Row],[累计净值]]/$B$21-1</f>
        <v>1.3690105787181217E-2</v>
      </c>
    </row>
    <row r="109" spans="1:7" x14ac:dyDescent="0.2">
      <c r="A109" s="55">
        <v>43832</v>
      </c>
      <c r="B109" s="16">
        <v>1.1394</v>
      </c>
      <c r="C109" s="73">
        <f t="shared" si="26"/>
        <v>-9.0000000000012292E-4</v>
      </c>
      <c r="D109" s="18">
        <f t="shared" si="27"/>
        <v>-9.0000000000012292E-4</v>
      </c>
      <c r="E109" s="18">
        <f ca="1">IF(表2_367162629303456[[#This Row],[累计净值]]/MAX(INDIRECT("B21:B" &amp; ROW()))-1&lt;E108,表2_367162629303456[[#This Row],[累计净值]]/MAX(INDIRECT("B21:B" &amp; ROW()))-1,E108)</f>
        <v>-6.4844023834560449E-3</v>
      </c>
      <c r="F109" s="62">
        <f>表2_367162629303456[[#This Row],[累计净值]]-0.096</f>
        <v>1.0433999999999999</v>
      </c>
      <c r="G109" s="20">
        <f>表2_367162629303456[[#This Row],[累计净值]]/$B$21-1</f>
        <v>1.2890034669748474E-2</v>
      </c>
    </row>
    <row r="110" spans="1:7" x14ac:dyDescent="0.2">
      <c r="A110" s="55">
        <v>43833</v>
      </c>
      <c r="B110" s="16">
        <v>1.1413</v>
      </c>
      <c r="C110" s="73">
        <f t="shared" si="26"/>
        <v>1.9000000000000128E-3</v>
      </c>
      <c r="D110" s="18" t="str">
        <f t="shared" si="27"/>
        <v>/</v>
      </c>
      <c r="E110" s="18">
        <f ca="1">IF(表2_367162629303456[[#This Row],[累计净值]]/MAX(INDIRECT("B21:B" &amp; ROW()))-1&lt;E109,表2_367162629303456[[#This Row],[累计净值]]/MAX(INDIRECT("B21:B" &amp; ROW()))-1,E109)</f>
        <v>-6.4844023834560449E-3</v>
      </c>
      <c r="F110" s="62">
        <f>表2_367162629303456[[#This Row],[累计净值]]-0.096</f>
        <v>1.0452999999999999</v>
      </c>
      <c r="G110" s="20">
        <f>表2_367162629303456[[#This Row],[累计净值]]/$B$21-1</f>
        <v>1.4579073695439648E-2</v>
      </c>
    </row>
    <row r="111" spans="1:7" x14ac:dyDescent="0.2">
      <c r="A111" s="55">
        <v>43836</v>
      </c>
      <c r="B111" s="16">
        <v>1.1437999999999999</v>
      </c>
      <c r="C111" s="73">
        <f t="shared" si="26"/>
        <v>2.4999999999999467E-3</v>
      </c>
      <c r="D111" s="18" t="str">
        <f t="shared" si="27"/>
        <v>/</v>
      </c>
      <c r="E111" s="18">
        <f ca="1">IF(表2_367162629303456[[#This Row],[累计净值]]/MAX(INDIRECT("B21:B" &amp; ROW()))-1&lt;E110,表2_367162629303456[[#This Row],[累计净值]]/MAX(INDIRECT("B21:B" &amp; ROW()))-1,E110)</f>
        <v>-6.4844023834560449E-3</v>
      </c>
      <c r="F111" s="62">
        <f>表2_367162629303456[[#This Row],[累计净值]]-0.096</f>
        <v>1.0477999999999998</v>
      </c>
      <c r="G111" s="20">
        <f>表2_367162629303456[[#This Row],[累计净值]]/$B$21-1</f>
        <v>1.6801493466085837E-2</v>
      </c>
    </row>
    <row r="112" spans="1:7" x14ac:dyDescent="0.2">
      <c r="A112" s="55">
        <v>43837</v>
      </c>
      <c r="B112" s="16">
        <v>1.1446000000000001</v>
      </c>
      <c r="C112" s="73">
        <f t="shared" si="26"/>
        <v>8.0000000000013394E-4</v>
      </c>
      <c r="D112" s="18" t="str">
        <f t="shared" si="27"/>
        <v>/</v>
      </c>
      <c r="E112" s="18">
        <f ca="1">IF(表2_367162629303456[[#This Row],[累计净值]]/MAX(INDIRECT("B21:B" &amp; ROW()))-1&lt;E111,表2_367162629303456[[#This Row],[累计净值]]/MAX(INDIRECT("B21:B" &amp; ROW()))-1,E111)</f>
        <v>-6.4844023834560449E-3</v>
      </c>
      <c r="F112" s="62">
        <f>表2_367162629303456[[#This Row],[累计净值]]-0.096</f>
        <v>1.0486</v>
      </c>
      <c r="G112" s="20">
        <f>表2_367162629303456[[#This Row],[累计净值]]/$B$21-1</f>
        <v>1.7512667792692671E-2</v>
      </c>
    </row>
    <row r="113" spans="1:7" x14ac:dyDescent="0.2">
      <c r="A113" s="55">
        <v>43838</v>
      </c>
      <c r="B113" s="16">
        <v>1.1439999999999999</v>
      </c>
      <c r="C113" s="73">
        <f t="shared" si="26"/>
        <v>-6.0000000000015596E-4</v>
      </c>
      <c r="D113" s="18">
        <f t="shared" si="27"/>
        <v>-6.0000000000015596E-4</v>
      </c>
      <c r="E113" s="18">
        <f ca="1">IF(表2_367162629303456[[#This Row],[累计净值]]/MAX(INDIRECT("B21:B" &amp; ROW()))-1&lt;E112,表2_367162629303456[[#This Row],[累计净值]]/MAX(INDIRECT("B21:B" &amp; ROW()))-1,E112)</f>
        <v>-6.4844023834560449E-3</v>
      </c>
      <c r="F113" s="62">
        <f>表2_367162629303456[[#This Row],[累计净值]]-0.096</f>
        <v>1.0479999999999998</v>
      </c>
      <c r="G113" s="20">
        <f>表2_367162629303456[[#This Row],[累计净值]]/$B$21-1</f>
        <v>1.6979287047737435E-2</v>
      </c>
    </row>
    <row r="114" spans="1:7" x14ac:dyDescent="0.2">
      <c r="A114" s="55">
        <v>43839</v>
      </c>
      <c r="B114" s="16">
        <v>1.1476</v>
      </c>
      <c r="C114" s="73">
        <f t="shared" ref="C114:C119" si="28">IFERROR(B114-B113,0)</f>
        <v>3.6000000000000476E-3</v>
      </c>
      <c r="D114" s="18" t="str">
        <f t="shared" ref="D114:D119" si="29">IF(C114&lt;0,C114,"/")</f>
        <v>/</v>
      </c>
      <c r="E114" s="18">
        <f ca="1">IF(表2_367162629303456[[#This Row],[累计净值]]/MAX(INDIRECT("B21:B" &amp; ROW()))-1&lt;E113,表2_367162629303456[[#This Row],[累计净值]]/MAX(INDIRECT("B21:B" &amp; ROW()))-1,E113)</f>
        <v>-6.4844023834560449E-3</v>
      </c>
      <c r="F114" s="62">
        <f>表2_367162629303456[[#This Row],[累计净值]]-0.096</f>
        <v>1.0515999999999999</v>
      </c>
      <c r="G114" s="20">
        <f>表2_367162629303456[[#This Row],[累计净值]]/$B$21-1</f>
        <v>2.0179571517468187E-2</v>
      </c>
    </row>
    <row r="115" spans="1:7" x14ac:dyDescent="0.2">
      <c r="A115" s="83">
        <v>43840</v>
      </c>
      <c r="B115" s="84">
        <v>1.147</v>
      </c>
      <c r="C115" s="85">
        <f t="shared" si="28"/>
        <v>-5.9999999999993392E-4</v>
      </c>
      <c r="D115" s="86">
        <f t="shared" si="29"/>
        <v>-5.9999999999993392E-4</v>
      </c>
      <c r="E115" s="86">
        <f ca="1">IF(表2_367162629303456[[#This Row],[累计净值]]/MAX(INDIRECT("B21:B" &amp; ROW()))-1&lt;E114,表2_367162629303456[[#This Row],[累计净值]]/MAX(INDIRECT("B21:B" &amp; ROW()))-1,E114)</f>
        <v>-6.4844023834560449E-3</v>
      </c>
      <c r="F115" s="87">
        <f>表2_367162629303456[[#This Row],[累计净值]]-0.096</f>
        <v>1.0509999999999999</v>
      </c>
      <c r="G115" s="88">
        <f>表2_367162629303456[[#This Row],[累计净值]]/$B$21-1</f>
        <v>1.9646190772513172E-2</v>
      </c>
    </row>
    <row r="116" spans="1:7" x14ac:dyDescent="0.2">
      <c r="A116" s="55">
        <v>43843</v>
      </c>
      <c r="B116" s="79">
        <v>1.1497999999999999</v>
      </c>
      <c r="C116" s="73">
        <f t="shared" si="28"/>
        <v>2.7999999999999137E-3</v>
      </c>
      <c r="D116" s="18" t="str">
        <f t="shared" si="29"/>
        <v>/</v>
      </c>
      <c r="E116" s="18">
        <f ca="1">IF(表2_367162629303456[[#This Row],[累计净值]]/MAX(INDIRECT("B21:B" &amp; ROW()))-1&lt;E115,表2_367162629303456[[#This Row],[累计净值]]/MAX(INDIRECT("B21:B" &amp; ROW()))-1,E115)</f>
        <v>-6.4844023834560449E-3</v>
      </c>
      <c r="F116" s="62">
        <f>表2_367162629303456[[#This Row],[累计净值]]-0.096</f>
        <v>1.0537999999999998</v>
      </c>
      <c r="G116" s="20">
        <f>表2_367162629303456[[#This Row],[累计净值]]/$B$21-1</f>
        <v>2.2135300915636869E-2</v>
      </c>
    </row>
    <row r="117" spans="1:7" x14ac:dyDescent="0.2">
      <c r="A117" s="55">
        <v>43844</v>
      </c>
      <c r="B117" s="16">
        <v>1.1455</v>
      </c>
      <c r="C117" s="73">
        <f t="shared" si="28"/>
        <v>-4.2999999999999705E-3</v>
      </c>
      <c r="D117" s="18">
        <f t="shared" si="29"/>
        <v>-4.2999999999999705E-3</v>
      </c>
      <c r="E117" s="18">
        <f ca="1">IF(表2_367162629303456[[#This Row],[累计净值]]/MAX(INDIRECT("B21:B" &amp; ROW()))-1&lt;E116,表2_367162629303456[[#This Row],[累计净值]]/MAX(INDIRECT("B21:B" &amp; ROW()))-1,E116)</f>
        <v>-6.4844023834560449E-3</v>
      </c>
      <c r="F117" s="62">
        <f>表2_367162629303456[[#This Row],[累计净值]]-0.096</f>
        <v>1.0494999999999999</v>
      </c>
      <c r="G117" s="20">
        <f>表2_367162629303456[[#This Row],[累计净值]]/$B$21-1</f>
        <v>1.8312738910125193E-2</v>
      </c>
    </row>
    <row r="118" spans="1:7" x14ac:dyDescent="0.2">
      <c r="A118" s="55">
        <v>43845</v>
      </c>
      <c r="B118" s="16">
        <v>1.1471</v>
      </c>
      <c r="C118" s="73">
        <f t="shared" si="28"/>
        <v>1.6000000000000458E-3</v>
      </c>
      <c r="D118" s="18" t="str">
        <f t="shared" si="29"/>
        <v>/</v>
      </c>
      <c r="E118" s="18">
        <f ca="1">IF(表2_367162629303456[[#This Row],[累计净值]]/MAX(INDIRECT("B21:B" &amp; ROW()))-1&lt;E117,表2_367162629303456[[#This Row],[累计净值]]/MAX(INDIRECT("B21:B" &amp; ROW()))-1,E117)</f>
        <v>-6.4844023834560449E-3</v>
      </c>
      <c r="F118" s="62">
        <f>表2_367162629303456[[#This Row],[累计净值]]-0.096</f>
        <v>1.0510999999999999</v>
      </c>
      <c r="G118" s="20">
        <f>表2_367162629303456[[#This Row],[累计净值]]/$B$21-1</f>
        <v>1.973508756333886E-2</v>
      </c>
    </row>
    <row r="119" spans="1:7" x14ac:dyDescent="0.2">
      <c r="A119" s="55">
        <v>43846</v>
      </c>
      <c r="B119" s="16">
        <v>1.1477999999999999</v>
      </c>
      <c r="C119" s="73">
        <f t="shared" si="28"/>
        <v>6.9999999999992291E-4</v>
      </c>
      <c r="D119" s="18" t="str">
        <f t="shared" si="29"/>
        <v>/</v>
      </c>
      <c r="E119" s="18">
        <f ca="1">IF(表2_367162629303456[[#This Row],[累计净值]]/MAX(INDIRECT("B21:B" &amp; ROW()))-1&lt;E118,表2_367162629303456[[#This Row],[累计净值]]/MAX(INDIRECT("B21:B" &amp; ROW()))-1,E118)</f>
        <v>-6.4844023834560449E-3</v>
      </c>
      <c r="F119" s="62">
        <f>表2_367162629303456[[#This Row],[累计净值]]-0.096</f>
        <v>1.0517999999999998</v>
      </c>
      <c r="G119" s="20">
        <f>表2_367162629303456[[#This Row],[累计净值]]/$B$21-1</f>
        <v>2.0357365099119784E-2</v>
      </c>
    </row>
    <row r="120" spans="1:7" x14ac:dyDescent="0.2">
      <c r="A120" s="55">
        <v>43847</v>
      </c>
      <c r="B120" s="16">
        <v>1.1474</v>
      </c>
      <c r="C120" s="73">
        <f t="shared" ref="C120:C125" si="30">IFERROR(B120-B119,0)</f>
        <v>-3.9999999999995595E-4</v>
      </c>
      <c r="D120" s="18">
        <f t="shared" ref="D120:D125" si="31">IF(C120&lt;0,C120,"/")</f>
        <v>-3.9999999999995595E-4</v>
      </c>
      <c r="E120" s="18">
        <f ca="1">IF(表2_367162629303456[[#This Row],[累计净值]]/MAX(INDIRECT("B21:B" &amp; ROW()))-1&lt;E119,表2_367162629303456[[#This Row],[累计净值]]/MAX(INDIRECT("B21:B" &amp; ROW()))-1,E119)</f>
        <v>-6.4844023834560449E-3</v>
      </c>
      <c r="F120" s="62">
        <f>表2_367162629303456[[#This Row],[累计净值]]-0.096</f>
        <v>1.0513999999999999</v>
      </c>
      <c r="G120" s="20">
        <f>表2_367162629303456[[#This Row],[累计净值]]/$B$21-1</f>
        <v>2.0001777935816589E-2</v>
      </c>
    </row>
    <row r="121" spans="1:7" x14ac:dyDescent="0.2">
      <c r="A121" s="55">
        <v>43850</v>
      </c>
      <c r="B121" s="16">
        <v>1.1494</v>
      </c>
      <c r="C121" s="73">
        <f t="shared" si="30"/>
        <v>2.0000000000000018E-3</v>
      </c>
      <c r="D121" s="18" t="str">
        <f t="shared" si="31"/>
        <v>/</v>
      </c>
      <c r="E121" s="18">
        <f ca="1">IF(表2_367162629303456[[#This Row],[累计净值]]/MAX(INDIRECT("B21:B" &amp; ROW()))-1&lt;E120,表2_367162629303456[[#This Row],[累计净值]]/MAX(INDIRECT("B21:B" &amp; ROW()))-1,E120)</f>
        <v>-6.4844023834560449E-3</v>
      </c>
      <c r="F121" s="62">
        <f>表2_367162629303456[[#This Row],[累计净值]]-0.096</f>
        <v>1.0533999999999999</v>
      </c>
      <c r="G121" s="20">
        <f>表2_367162629303456[[#This Row],[累计净值]]/$B$21-1</f>
        <v>2.1779713752333452E-2</v>
      </c>
    </row>
    <row r="122" spans="1:7" x14ac:dyDescent="0.2">
      <c r="A122" s="55">
        <v>43851</v>
      </c>
      <c r="B122" s="16">
        <v>1.1496999999999999</v>
      </c>
      <c r="C122" s="73">
        <f t="shared" si="30"/>
        <v>2.9999999999996696E-4</v>
      </c>
      <c r="D122" s="18" t="str">
        <f t="shared" si="31"/>
        <v>/</v>
      </c>
      <c r="E122" s="18">
        <f ca="1">IF(表2_367162629303456[[#This Row],[累计净值]]/MAX(INDIRECT("B21:B" &amp; ROW()))-1&lt;E121,表2_367162629303456[[#This Row],[累计净值]]/MAX(INDIRECT("B21:B" &amp; ROW()))-1,E121)</f>
        <v>-6.4844023834560449E-3</v>
      </c>
      <c r="F122" s="62">
        <f>表2_367162629303456[[#This Row],[累计净值]]-0.096</f>
        <v>1.0536999999999999</v>
      </c>
      <c r="G122" s="20">
        <f>表2_367162629303456[[#This Row],[累计净值]]/$B$21-1</f>
        <v>2.2046404124810959E-2</v>
      </c>
    </row>
    <row r="123" spans="1:7" x14ac:dyDescent="0.2">
      <c r="A123" s="55">
        <v>43852</v>
      </c>
      <c r="B123" s="16">
        <v>1.1517999999999999</v>
      </c>
      <c r="C123" s="73">
        <f t="shared" si="30"/>
        <v>2.0999999999999908E-3</v>
      </c>
      <c r="D123" s="18" t="str">
        <f t="shared" si="31"/>
        <v>/</v>
      </c>
      <c r="E123" s="18">
        <f ca="1">IF(表2_367162629303456[[#This Row],[累计净值]]/MAX(INDIRECT("B21:B" &amp; ROW()))-1&lt;E122,表2_367162629303456[[#This Row],[累计净值]]/MAX(INDIRECT("B21:B" &amp; ROW()))-1,E122)</f>
        <v>-6.4844023834560449E-3</v>
      </c>
      <c r="F123" s="62">
        <f>表2_367162629303456[[#This Row],[累计净值]]-0.096</f>
        <v>1.0557999999999998</v>
      </c>
      <c r="G123" s="20">
        <f>表2_367162629303456[[#This Row],[累计净值]]/$B$21-1</f>
        <v>2.3913236732153953E-2</v>
      </c>
    </row>
    <row r="124" spans="1:7" x14ac:dyDescent="0.2">
      <c r="A124" s="55">
        <v>43853</v>
      </c>
      <c r="B124" s="16">
        <v>1.1584000000000001</v>
      </c>
      <c r="C124" s="73">
        <f t="shared" si="30"/>
        <v>6.6000000000001613E-3</v>
      </c>
      <c r="D124" s="18" t="str">
        <f t="shared" si="31"/>
        <v>/</v>
      </c>
      <c r="E124" s="18">
        <f ca="1">IF(表2_367162629303456[[#This Row],[累计净值]]/MAX(INDIRECT("B21:B" &amp; ROW()))-1&lt;E123,表2_367162629303456[[#This Row],[累计净值]]/MAX(INDIRECT("B21:B" &amp; ROW()))-1,E123)</f>
        <v>-6.4844023834560449E-3</v>
      </c>
      <c r="F124" s="62">
        <f>表2_367162629303456[[#This Row],[累计净值]]-0.096</f>
        <v>1.0624</v>
      </c>
      <c r="G124" s="20">
        <f>表2_367162629303456[[#This Row],[累计净值]]/$B$21-1</f>
        <v>2.9780424926660221E-2</v>
      </c>
    </row>
    <row r="125" spans="1:7" x14ac:dyDescent="0.2">
      <c r="A125" s="55">
        <v>43864</v>
      </c>
      <c r="B125" s="79">
        <v>1.1698999999999999</v>
      </c>
      <c r="C125" s="73">
        <f t="shared" si="30"/>
        <v>1.1499999999999844E-2</v>
      </c>
      <c r="D125" s="18" t="str">
        <f t="shared" si="31"/>
        <v>/</v>
      </c>
      <c r="E125" s="18">
        <f ca="1">IF(表2_367162629303456[[#This Row],[累计净值]]/MAX(INDIRECT("B21:B" &amp; ROW()))-1&lt;E124,表2_367162629303456[[#This Row],[累计净值]]/MAX(INDIRECT("B21:B" &amp; ROW()))-1,E124)</f>
        <v>-6.4844023834560449E-3</v>
      </c>
      <c r="F125" s="62">
        <f>表2_367162629303456[[#This Row],[累计净值]]-0.096</f>
        <v>1.0738999999999999</v>
      </c>
      <c r="G125" s="20">
        <f>表2_367162629303456[[#This Row],[累计净值]]/$B$21-1</f>
        <v>4.0003555871632956E-2</v>
      </c>
    </row>
    <row r="126" spans="1:7" x14ac:dyDescent="0.2">
      <c r="A126" s="55">
        <v>43865</v>
      </c>
      <c r="B126" s="16">
        <v>1.161</v>
      </c>
      <c r="C126" s="73">
        <f t="shared" ref="C126:C131" si="32">IFERROR(B126-B125,0)</f>
        <v>-8.899999999999908E-3</v>
      </c>
      <c r="D126" s="18">
        <f t="shared" ref="D126:D131" si="33">IF(C126&lt;0,C126,"/")</f>
        <v>-8.899999999999908E-3</v>
      </c>
      <c r="E126" s="18">
        <f ca="1">IF(表2_367162629303456[[#This Row],[累计净值]]/MAX(INDIRECT("B21:B" &amp; ROW()))-1&lt;E125,表2_367162629303456[[#This Row],[累计净值]]/MAX(INDIRECT("B21:B" &amp; ROW()))-1,E125)</f>
        <v>-7.6074878194716256E-3</v>
      </c>
      <c r="F126" s="62">
        <f>表2_367162629303456[[#This Row],[累计净值]]-0.096</f>
        <v>1.0649999999999999</v>
      </c>
      <c r="G126" s="20">
        <f>表2_367162629303456[[#This Row],[累计净值]]/$B$21-1</f>
        <v>3.2091741488132319E-2</v>
      </c>
    </row>
    <row r="127" spans="1:7" x14ac:dyDescent="0.2">
      <c r="A127" s="55">
        <v>43866</v>
      </c>
      <c r="B127" s="16">
        <v>1.1638999999999999</v>
      </c>
      <c r="C127" s="73">
        <f t="shared" si="32"/>
        <v>2.8999999999999027E-3</v>
      </c>
      <c r="D127" s="18" t="str">
        <f t="shared" si="33"/>
        <v>/</v>
      </c>
      <c r="E127" s="18">
        <f ca="1">IF(表2_367162629303456[[#This Row],[累计净值]]/MAX(INDIRECT("B21:B" &amp; ROW()))-1&lt;E126,表2_367162629303456[[#This Row],[累计净值]]/MAX(INDIRECT("B21:B" &amp; ROW()))-1,E126)</f>
        <v>-7.6074878194716256E-3</v>
      </c>
      <c r="F127" s="62">
        <f>表2_367162629303456[[#This Row],[累计净值]]-0.096</f>
        <v>1.0678999999999998</v>
      </c>
      <c r="G127" s="20">
        <f>表2_367162629303456[[#This Row],[累计净值]]/$B$21-1</f>
        <v>3.4669748422081925E-2</v>
      </c>
    </row>
    <row r="128" spans="1:7" x14ac:dyDescent="0.2">
      <c r="A128" s="55">
        <v>43867</v>
      </c>
      <c r="B128" s="16">
        <v>1.1609</v>
      </c>
      <c r="C128" s="73">
        <f t="shared" si="32"/>
        <v>-2.9999999999998916E-3</v>
      </c>
      <c r="D128" s="18">
        <f t="shared" si="33"/>
        <v>-2.9999999999998916E-3</v>
      </c>
      <c r="E128" s="18">
        <f ca="1">IF(表2_367162629303456[[#This Row],[累计净值]]/MAX(INDIRECT("B21:B" &amp; ROW()))-1&lt;E127,表2_367162629303456[[#This Row],[累计净值]]/MAX(INDIRECT("B21:B" &amp; ROW()))-1,E127)</f>
        <v>-7.6929652107017299E-3</v>
      </c>
      <c r="F128" s="62">
        <f>表2_367162629303456[[#This Row],[累计净值]]-0.096</f>
        <v>1.0649</v>
      </c>
      <c r="G128" s="20">
        <f>表2_367162629303456[[#This Row],[累计净值]]/$B$21-1</f>
        <v>3.200284469730641E-2</v>
      </c>
    </row>
    <row r="129" spans="1:7" x14ac:dyDescent="0.2">
      <c r="A129" s="55">
        <v>43868</v>
      </c>
      <c r="B129" s="16">
        <v>1.1631</v>
      </c>
      <c r="C129" s="73">
        <f t="shared" si="32"/>
        <v>2.1999999999999797E-3</v>
      </c>
      <c r="D129" s="18" t="str">
        <f t="shared" si="33"/>
        <v>/</v>
      </c>
      <c r="E129" s="18">
        <f ca="1">IF(表2_367162629303456[[#This Row],[累计净值]]/MAX(INDIRECT("B21:B" &amp; ROW()))-1&lt;E128,表2_367162629303456[[#This Row],[累计净值]]/MAX(INDIRECT("B21:B" &amp; ROW()))-1,E128)</f>
        <v>-7.6929652107017299E-3</v>
      </c>
      <c r="F129" s="62">
        <f>表2_367162629303456[[#This Row],[累计净值]]-0.096</f>
        <v>1.0670999999999999</v>
      </c>
      <c r="G129" s="20">
        <f>表2_367162629303456[[#This Row],[累计净值]]/$B$21-1</f>
        <v>3.3958574095475091E-2</v>
      </c>
    </row>
    <row r="130" spans="1:7" x14ac:dyDescent="0.2">
      <c r="A130" s="55">
        <v>43871</v>
      </c>
      <c r="B130" s="16">
        <v>1.1651</v>
      </c>
      <c r="C130" s="73">
        <f t="shared" si="32"/>
        <v>2.0000000000000018E-3</v>
      </c>
      <c r="D130" s="18" t="str">
        <f t="shared" si="33"/>
        <v>/</v>
      </c>
      <c r="E130" s="18">
        <f ca="1">IF(表2_367162629303456[[#This Row],[累计净值]]/MAX(INDIRECT("B21:B" &amp; ROW()))-1&lt;E129,表2_367162629303456[[#This Row],[累计净值]]/MAX(INDIRECT("B21:B" &amp; ROW()))-1,E129)</f>
        <v>-7.6929652107017299E-3</v>
      </c>
      <c r="F130" s="62">
        <f>表2_367162629303456[[#This Row],[累计净值]]-0.096</f>
        <v>1.0690999999999999</v>
      </c>
      <c r="G130" s="20">
        <f>表2_367162629303456[[#This Row],[累计净值]]/$B$21-1</f>
        <v>3.5736509911992176E-2</v>
      </c>
    </row>
    <row r="131" spans="1:7" x14ac:dyDescent="0.2">
      <c r="A131" s="55">
        <v>43872</v>
      </c>
      <c r="B131" s="16">
        <v>1.1649</v>
      </c>
      <c r="C131" s="73">
        <f t="shared" si="32"/>
        <v>-1.9999999999997797E-4</v>
      </c>
      <c r="D131" s="18">
        <f t="shared" si="33"/>
        <v>-1.9999999999997797E-4</v>
      </c>
      <c r="E131" s="18">
        <f ca="1">IF(表2_367162629303456[[#This Row],[累计净值]]/MAX(INDIRECT("B21:B" &amp; ROW()))-1&lt;E130,表2_367162629303456[[#This Row],[累计净值]]/MAX(INDIRECT("B21:B" &amp; ROW()))-1,E130)</f>
        <v>-7.6929652107017299E-3</v>
      </c>
      <c r="F131" s="62">
        <f>表2_367162629303456[[#This Row],[累计净值]]-0.096</f>
        <v>1.0689</v>
      </c>
      <c r="G131" s="20">
        <f>表2_367162629303456[[#This Row],[累计净值]]/$B$21-1</f>
        <v>3.5558716330340578E-2</v>
      </c>
    </row>
    <row r="132" spans="1:7" x14ac:dyDescent="0.2">
      <c r="A132" s="55">
        <v>43873</v>
      </c>
      <c r="B132" s="16">
        <v>1.1687000000000001</v>
      </c>
      <c r="C132" s="73">
        <f t="shared" ref="C132:C137" si="34">IFERROR(B132-B131,0)</f>
        <v>3.8000000000000256E-3</v>
      </c>
      <c r="D132" s="18" t="str">
        <f t="shared" ref="D132:D137" si="35">IF(C132&lt;0,C132,"/")</f>
        <v>/</v>
      </c>
      <c r="E132" s="18">
        <f ca="1">IF(表2_367162629303456[[#This Row],[累计净值]]/MAX(INDIRECT("B21:B" &amp; ROW()))-1&lt;E131,表2_367162629303456[[#This Row],[累计净值]]/MAX(INDIRECT("B21:B" &amp; ROW()))-1,E131)</f>
        <v>-7.6929652107017299E-3</v>
      </c>
      <c r="F132" s="62">
        <f>表2_367162629303456[[#This Row],[累计净值]]-0.096</f>
        <v>1.0727</v>
      </c>
      <c r="G132" s="20">
        <f>表2_367162629303456[[#This Row],[累计净值]]/$B$21-1</f>
        <v>3.8936794381722928E-2</v>
      </c>
    </row>
    <row r="133" spans="1:7" x14ac:dyDescent="0.2">
      <c r="A133" s="55">
        <v>43874</v>
      </c>
      <c r="B133" s="89">
        <v>1.1662999999999999</v>
      </c>
      <c r="C133" s="73">
        <f t="shared" si="34"/>
        <v>-2.4000000000001798E-3</v>
      </c>
      <c r="D133" s="18">
        <f t="shared" si="35"/>
        <v>-2.4000000000001798E-3</v>
      </c>
      <c r="E133" s="18">
        <f ca="1">IF(表2_367162629303456[[#This Row],[累计净值]]/MAX(INDIRECT("B21:B" &amp; ROW()))-1&lt;E132,表2_367162629303456[[#This Row],[累计净值]]/MAX(INDIRECT("B21:B" &amp; ROW()))-1,E132)</f>
        <v>-7.6929652107017299E-3</v>
      </c>
      <c r="F133" s="62">
        <f>表2_367162629303456[[#This Row],[累计净值]]-0.096</f>
        <v>1.0702999999999998</v>
      </c>
      <c r="G133" s="20">
        <f>表2_367162629303456[[#This Row],[累计净值]]/$B$21-1</f>
        <v>3.6803271401902204E-2</v>
      </c>
    </row>
    <row r="134" spans="1:7" x14ac:dyDescent="0.2">
      <c r="A134" s="55">
        <v>43875</v>
      </c>
      <c r="B134" s="89">
        <v>1.1685000000000001</v>
      </c>
      <c r="C134" s="73">
        <f t="shared" si="34"/>
        <v>2.2000000000002018E-3</v>
      </c>
      <c r="D134" s="18" t="str">
        <f t="shared" si="35"/>
        <v>/</v>
      </c>
      <c r="E134" s="18">
        <f ca="1">IF(表2_367162629303456[[#This Row],[累计净值]]/MAX(INDIRECT("B21:B" &amp; ROW()))-1&lt;E133,表2_367162629303456[[#This Row],[累计净值]]/MAX(INDIRECT("B21:B" &amp; ROW()))-1,E133)</f>
        <v>-7.6929652107017299E-3</v>
      </c>
      <c r="F134" s="62">
        <f>表2_367162629303456[[#This Row],[累计净值]]-0.096</f>
        <v>1.0725</v>
      </c>
      <c r="G134" s="20">
        <f>表2_367162629303456[[#This Row],[累计净值]]/$B$21-1</f>
        <v>3.8759000800071108E-2</v>
      </c>
    </row>
    <row r="135" spans="1:7" x14ac:dyDescent="0.2">
      <c r="A135" s="55">
        <v>43878</v>
      </c>
      <c r="B135" s="89">
        <v>1.1654</v>
      </c>
      <c r="C135" s="73">
        <f t="shared" si="34"/>
        <v>-3.1000000000001027E-3</v>
      </c>
      <c r="D135" s="18">
        <f t="shared" si="35"/>
        <v>-3.1000000000001027E-3</v>
      </c>
      <c r="E135" s="18">
        <f ca="1">IF(表2_367162629303456[[#This Row],[累计净值]]/MAX(INDIRECT("B21:B" &amp; ROW()))-1&lt;E134,表2_367162629303456[[#This Row],[累计净值]]/MAX(INDIRECT("B21:B" &amp; ROW()))-1,E134)</f>
        <v>-7.6929652107017299E-3</v>
      </c>
      <c r="F135" s="62">
        <f>表2_367162629303456[[#This Row],[累计净值]]-0.096</f>
        <v>1.0693999999999999</v>
      </c>
      <c r="G135" s="20">
        <f>表2_367162629303456[[#This Row],[累计净值]]/$B$21-1</f>
        <v>3.6003200284469683E-2</v>
      </c>
    </row>
    <row r="136" spans="1:7" x14ac:dyDescent="0.2">
      <c r="A136" s="55">
        <v>43879</v>
      </c>
      <c r="B136" s="89">
        <v>1.1688000000000001</v>
      </c>
      <c r="C136" s="73">
        <f t="shared" si="34"/>
        <v>3.4000000000000696E-3</v>
      </c>
      <c r="D136" s="18" t="str">
        <f t="shared" si="35"/>
        <v>/</v>
      </c>
      <c r="E136" s="18">
        <f ca="1">IF(表2_367162629303456[[#This Row],[累计净值]]/MAX(INDIRECT("B21:B" &amp; ROW()))-1&lt;E135,表2_367162629303456[[#This Row],[累计净值]]/MAX(INDIRECT("B21:B" &amp; ROW()))-1,E135)</f>
        <v>-7.6929652107017299E-3</v>
      </c>
      <c r="F136" s="62">
        <f>表2_367162629303456[[#This Row],[累计净值]]-0.096</f>
        <v>1.0728</v>
      </c>
      <c r="G136" s="20">
        <f>表2_367162629303456[[#This Row],[累计净值]]/$B$21-1</f>
        <v>3.9025691172548616E-2</v>
      </c>
    </row>
    <row r="137" spans="1:7" x14ac:dyDescent="0.2">
      <c r="A137" s="55">
        <v>43880</v>
      </c>
      <c r="B137" s="89">
        <v>1.1688000000000001</v>
      </c>
      <c r="C137" s="73">
        <f t="shared" si="34"/>
        <v>0</v>
      </c>
      <c r="D137" s="18" t="str">
        <f t="shared" si="35"/>
        <v>/</v>
      </c>
      <c r="E137" s="18">
        <f ca="1">IF(表2_367162629303456[[#This Row],[累计净值]]/MAX(INDIRECT("B21:B" &amp; ROW()))-1&lt;E136,表2_367162629303456[[#This Row],[累计净值]]/MAX(INDIRECT("B21:B" &amp; ROW()))-1,E136)</f>
        <v>-7.6929652107017299E-3</v>
      </c>
      <c r="F137" s="62">
        <f>表2_367162629303456[[#This Row],[累计净值]]-0.096</f>
        <v>1.0728</v>
      </c>
      <c r="G137" s="20">
        <f>表2_367162629303456[[#This Row],[累计净值]]/$B$21-1</f>
        <v>3.9025691172548616E-2</v>
      </c>
    </row>
    <row r="138" spans="1:7" x14ac:dyDescent="0.2">
      <c r="A138" s="55">
        <v>43881</v>
      </c>
      <c r="B138" s="79">
        <v>1.1718999999999999</v>
      </c>
      <c r="C138" s="73">
        <f t="shared" ref="C138:C143" si="36">IFERROR(B138-B137,0)</f>
        <v>3.0999999999998806E-3</v>
      </c>
      <c r="D138" s="18" t="str">
        <f t="shared" ref="D138:D143" si="37">IF(C138&lt;0,C138,"/")</f>
        <v>/</v>
      </c>
      <c r="E138" s="18">
        <f ca="1">IF(表2_367162629303456[[#This Row],[累计净值]]/MAX(INDIRECT("B21:B" &amp; ROW()))-1&lt;E137,表2_367162629303456[[#This Row],[累计净值]]/MAX(INDIRECT("B21:B" &amp; ROW()))-1,E137)</f>
        <v>-7.6929652107017299E-3</v>
      </c>
      <c r="F138" s="62">
        <f>表2_367162629303456[[#This Row],[累计净值]]-0.096</f>
        <v>1.0758999999999999</v>
      </c>
      <c r="G138" s="20">
        <f>表2_367162629303456[[#This Row],[累计净值]]/$B$21-1</f>
        <v>4.1781491688150041E-2</v>
      </c>
    </row>
    <row r="139" spans="1:7" x14ac:dyDescent="0.2">
      <c r="A139" s="55">
        <v>43882</v>
      </c>
      <c r="B139" s="89">
        <v>1.1702999999999999</v>
      </c>
      <c r="C139" s="73">
        <f t="shared" si="36"/>
        <v>-1.6000000000000458E-3</v>
      </c>
      <c r="D139" s="18">
        <f t="shared" si="37"/>
        <v>-1.6000000000000458E-3</v>
      </c>
      <c r="E139" s="18">
        <f ca="1">IF(表2_367162629303456[[#This Row],[累计净值]]/MAX(INDIRECT("B21:B" &amp; ROW()))-1&lt;E138,表2_367162629303456[[#This Row],[累计净值]]/MAX(INDIRECT("B21:B" &amp; ROW()))-1,E138)</f>
        <v>-7.6929652107017299E-3</v>
      </c>
      <c r="F139" s="62">
        <f>表2_367162629303456[[#This Row],[累计净值]]-0.096</f>
        <v>1.0742999999999998</v>
      </c>
      <c r="G139" s="20">
        <f>表2_367162629303456[[#This Row],[累计净值]]/$B$21-1</f>
        <v>4.0359143034936373E-2</v>
      </c>
    </row>
    <row r="140" spans="1:7" x14ac:dyDescent="0.2">
      <c r="A140" s="55">
        <v>43885</v>
      </c>
      <c r="B140" s="89">
        <v>1.1719999999999999</v>
      </c>
      <c r="C140" s="73">
        <f t="shared" si="36"/>
        <v>1.7000000000000348E-3</v>
      </c>
      <c r="D140" s="18" t="str">
        <f t="shared" si="37"/>
        <v>/</v>
      </c>
      <c r="E140" s="18">
        <f ca="1">IF(表2_367162629303456[[#This Row],[累计净值]]/MAX(INDIRECT("B21:B" &amp; ROW()))-1&lt;E139,表2_367162629303456[[#This Row],[累计净值]]/MAX(INDIRECT("B21:B" &amp; ROW()))-1,E139)</f>
        <v>-7.6929652107017299E-3</v>
      </c>
      <c r="F140" s="62">
        <f>表2_367162629303456[[#This Row],[累计净值]]-0.096</f>
        <v>1.0759999999999998</v>
      </c>
      <c r="G140" s="20">
        <f>表2_367162629303456[[#This Row],[累计净值]]/$B$21-1</f>
        <v>4.1870388478975729E-2</v>
      </c>
    </row>
    <row r="141" spans="1:7" x14ac:dyDescent="0.2">
      <c r="A141" s="55">
        <v>43886</v>
      </c>
      <c r="B141" s="89">
        <v>1.1755</v>
      </c>
      <c r="C141" s="73">
        <f t="shared" si="36"/>
        <v>3.5000000000000586E-3</v>
      </c>
      <c r="D141" s="18" t="str">
        <f t="shared" si="37"/>
        <v>/</v>
      </c>
      <c r="E141" s="18">
        <f ca="1">IF(表2_367162629303456[[#This Row],[累计净值]]/MAX(INDIRECT("B21:B" &amp; ROW()))-1&lt;E140,表2_367162629303456[[#This Row],[累计净值]]/MAX(INDIRECT("B21:B" &amp; ROW()))-1,E140)</f>
        <v>-7.6929652107017299E-3</v>
      </c>
      <c r="F141" s="62">
        <f>表2_367162629303456[[#This Row],[累计净值]]-0.096</f>
        <v>1.0794999999999999</v>
      </c>
      <c r="G141" s="20">
        <f>表2_367162629303456[[#This Row],[累计净值]]/$B$21-1</f>
        <v>4.4981776157880571E-2</v>
      </c>
    </row>
    <row r="142" spans="1:7" x14ac:dyDescent="0.2">
      <c r="A142" s="55">
        <v>43887</v>
      </c>
      <c r="B142" s="89">
        <v>1.1712</v>
      </c>
      <c r="C142" s="73">
        <f t="shared" si="36"/>
        <v>-4.2999999999999705E-3</v>
      </c>
      <c r="D142" s="18">
        <f t="shared" si="37"/>
        <v>-4.2999999999999705E-3</v>
      </c>
      <c r="E142" s="18">
        <f ca="1">IF(表2_367162629303456[[#This Row],[累计净值]]/MAX(INDIRECT("B21:B" &amp; ROW()))-1&lt;E141,表2_367162629303456[[#This Row],[累计净值]]/MAX(INDIRECT("B21:B" &amp; ROW()))-1,E141)</f>
        <v>-7.6929652107017299E-3</v>
      </c>
      <c r="F142" s="62">
        <f>表2_367162629303456[[#This Row],[累计净值]]-0.096</f>
        <v>1.0751999999999999</v>
      </c>
      <c r="G142" s="20">
        <f>表2_367162629303456[[#This Row],[累计净值]]/$B$21-1</f>
        <v>4.1159214152369117E-2</v>
      </c>
    </row>
    <row r="143" spans="1:7" x14ac:dyDescent="0.2">
      <c r="A143" s="55">
        <v>43888</v>
      </c>
      <c r="B143" s="89">
        <v>1.1738</v>
      </c>
      <c r="C143" s="73">
        <f t="shared" si="36"/>
        <v>2.5999999999999357E-3</v>
      </c>
      <c r="D143" s="18" t="str">
        <f t="shared" si="37"/>
        <v>/</v>
      </c>
      <c r="E143" s="18">
        <f ca="1">IF(表2_367162629303456[[#This Row],[累计净值]]/MAX(INDIRECT("B21:B" &amp; ROW()))-1&lt;E142,表2_367162629303456[[#This Row],[累计净值]]/MAX(INDIRECT("B21:B" &amp; ROW()))-1,E142)</f>
        <v>-7.6929652107017299E-3</v>
      </c>
      <c r="F143" s="62">
        <f>表2_367162629303456[[#This Row],[累计净值]]-0.096</f>
        <v>1.0777999999999999</v>
      </c>
      <c r="G143" s="20">
        <f>表2_367162629303456[[#This Row],[累计净值]]/$B$21-1</f>
        <v>4.3470530713841216E-2</v>
      </c>
    </row>
    <row r="144" spans="1:7" x14ac:dyDescent="0.2">
      <c r="A144" s="55">
        <v>43889</v>
      </c>
      <c r="B144" s="89">
        <v>1.1759999999999999</v>
      </c>
      <c r="C144" s="73">
        <f t="shared" ref="C144:C149" si="38">IFERROR(B144-B143,0)</f>
        <v>2.1999999999999797E-3</v>
      </c>
      <c r="D144" s="18" t="str">
        <f t="shared" ref="D144:D149" si="39">IF(C144&lt;0,C144,"/")</f>
        <v>/</v>
      </c>
      <c r="E144" s="18">
        <f ca="1">IF(表2_367162629303456[[#This Row],[累计净值]]/MAX(INDIRECT("B21:B" &amp; ROW()))-1&lt;E143,表2_367162629303456[[#This Row],[累计净值]]/MAX(INDIRECT("B21:B" &amp; ROW()))-1,E143)</f>
        <v>-7.6929652107017299E-3</v>
      </c>
      <c r="F144" s="62">
        <f>表2_367162629303456[[#This Row],[累计净值]]-0.096</f>
        <v>1.0799999999999998</v>
      </c>
      <c r="G144" s="20">
        <f>表2_367162629303456[[#This Row],[累计净值]]/$B$21-1</f>
        <v>4.5426260112009897E-2</v>
      </c>
    </row>
    <row r="145" spans="1:9" x14ac:dyDescent="0.2">
      <c r="A145" s="55">
        <v>43892</v>
      </c>
      <c r="B145" s="89">
        <v>1.1749000000000001</v>
      </c>
      <c r="C145" s="73">
        <f t="shared" si="38"/>
        <v>-1.0999999999998789E-3</v>
      </c>
      <c r="D145" s="18">
        <f t="shared" si="39"/>
        <v>-1.0999999999998789E-3</v>
      </c>
      <c r="E145" s="18">
        <f ca="1">IF(表2_367162629303456[[#This Row],[累计净值]]/MAX(INDIRECT("B21:B" &amp; ROW()))-1&lt;E144,表2_367162629303456[[#This Row],[累计净值]]/MAX(INDIRECT("B21:B" &amp; ROW()))-1,E144)</f>
        <v>-7.6929652107017299E-3</v>
      </c>
      <c r="F145" s="62">
        <v>1.0288999999999999</v>
      </c>
      <c r="G145" s="20">
        <f>表2_367162629303456[[#This Row],[累计净值]]/$B$21-1</f>
        <v>4.4448395412925557E-2</v>
      </c>
      <c r="I145" s="60">
        <f>表2_367162629303456[[#This Row],[累计净值]]-表2_367162629303456[[#This Row],[单位净值]]</f>
        <v>0.14600000000000013</v>
      </c>
    </row>
    <row r="146" spans="1:9" x14ac:dyDescent="0.2">
      <c r="A146" s="55">
        <v>43893</v>
      </c>
      <c r="B146" s="89">
        <v>1.1795</v>
      </c>
      <c r="C146" s="73">
        <f t="shared" si="38"/>
        <v>4.5999999999999375E-3</v>
      </c>
      <c r="D146" s="18" t="str">
        <f t="shared" si="39"/>
        <v>/</v>
      </c>
      <c r="E146" s="18">
        <f ca="1">IF(表2_367162629303456[[#This Row],[累计净值]]/MAX(INDIRECT("B21:B" &amp; ROW()))-1&lt;E145,表2_367162629303456[[#This Row],[累计净值]]/MAX(INDIRECT("B21:B" &amp; ROW()))-1,E145)</f>
        <v>-7.6929652107017299E-3</v>
      </c>
      <c r="F146" s="62">
        <f>表2_367162629303456[[#This Row],[累计净值]]-0.146</f>
        <v>1.0335000000000001</v>
      </c>
      <c r="G146" s="20">
        <f>表2_367162629303456[[#This Row],[累计净值]]/$B$21-1</f>
        <v>4.853764779091474E-2</v>
      </c>
    </row>
    <row r="147" spans="1:9" x14ac:dyDescent="0.2">
      <c r="A147" s="55">
        <v>43894</v>
      </c>
      <c r="B147" s="76">
        <v>1.1821999999999999</v>
      </c>
      <c r="C147" s="73">
        <f t="shared" si="38"/>
        <v>2.6999999999999247E-3</v>
      </c>
      <c r="D147" s="18" t="str">
        <f t="shared" si="39"/>
        <v>/</v>
      </c>
      <c r="E147" s="18">
        <f ca="1">IF(表2_367162629303456[[#This Row],[累计净值]]/MAX(INDIRECT("B21:B" &amp; ROW()))-1&lt;E146,表2_367162629303456[[#This Row],[累计净值]]/MAX(INDIRECT("B21:B" &amp; ROW()))-1,E146)</f>
        <v>-7.6929652107017299E-3</v>
      </c>
      <c r="F147" s="62">
        <f>表2_367162629303456[[#This Row],[累计净值]]-0.146</f>
        <v>1.0362</v>
      </c>
      <c r="G147" s="20">
        <f>表2_367162629303456[[#This Row],[累计净值]]/$B$21-1</f>
        <v>5.0937861143212748E-2</v>
      </c>
    </row>
    <row r="148" spans="1:9" x14ac:dyDescent="0.2">
      <c r="A148" s="55">
        <v>43895</v>
      </c>
      <c r="B148" s="89">
        <v>1.1806000000000001</v>
      </c>
      <c r="C148" s="73">
        <f t="shared" si="38"/>
        <v>-1.5999999999998238E-3</v>
      </c>
      <c r="D148" s="18">
        <f t="shared" si="39"/>
        <v>-1.5999999999998238E-3</v>
      </c>
      <c r="E148" s="18">
        <f ca="1">IF(表2_367162629303456[[#This Row],[累计净值]]/MAX(INDIRECT("B21:B" &amp; ROW()))-1&lt;E147,表2_367162629303456[[#This Row],[累计净值]]/MAX(INDIRECT("B21:B" &amp; ROW()))-1,E147)</f>
        <v>-7.6929652107017299E-3</v>
      </c>
      <c r="F148" s="62">
        <f>表2_367162629303456[[#This Row],[累计净值]]-0.146</f>
        <v>1.0346000000000002</v>
      </c>
      <c r="G148" s="20">
        <f>表2_367162629303456[[#This Row],[累计净值]]/$B$21-1</f>
        <v>4.9515512489999081E-2</v>
      </c>
    </row>
    <row r="149" spans="1:9" x14ac:dyDescent="0.2">
      <c r="A149" s="55">
        <v>43896</v>
      </c>
      <c r="B149" s="89">
        <v>1.1806000000000001</v>
      </c>
      <c r="C149" s="73">
        <f t="shared" si="38"/>
        <v>0</v>
      </c>
      <c r="D149" s="18" t="str">
        <f t="shared" si="39"/>
        <v>/</v>
      </c>
      <c r="E149" s="18">
        <f ca="1">IF(表2_367162629303456[[#This Row],[累计净值]]/MAX(INDIRECT("B21:B" &amp; ROW()))-1&lt;E148,表2_367162629303456[[#This Row],[累计净值]]/MAX(INDIRECT("B21:B" &amp; ROW()))-1,E148)</f>
        <v>-7.6929652107017299E-3</v>
      </c>
      <c r="F149" s="62">
        <f>表2_367162629303456[[#This Row],[累计净值]]-0.146</f>
        <v>1.0346000000000002</v>
      </c>
      <c r="G149" s="20">
        <f>表2_367162629303456[[#This Row],[累计净值]]/$B$21-1</f>
        <v>4.9515512489999081E-2</v>
      </c>
    </row>
    <row r="150" spans="1:9" x14ac:dyDescent="0.2">
      <c r="A150" s="55">
        <v>43899</v>
      </c>
      <c r="B150" s="89">
        <v>1.1825000000000001</v>
      </c>
      <c r="C150" s="73">
        <f t="shared" ref="C150:C155" si="40">IFERROR(B150-B149,0)</f>
        <v>1.9000000000000128E-3</v>
      </c>
      <c r="D150" s="18" t="str">
        <f t="shared" ref="D150:D155" si="41">IF(C150&lt;0,C150,"/")</f>
        <v>/</v>
      </c>
      <c r="E150" s="18">
        <f ca="1">IF(表2_367162629303456[[#This Row],[累计净值]]/MAX(INDIRECT("B21:B" &amp; ROW()))-1&lt;E149,表2_367162629303456[[#This Row],[累计净值]]/MAX(INDIRECT("B21:B" &amp; ROW()))-1,E149)</f>
        <v>-7.6929652107017299E-3</v>
      </c>
      <c r="F150" s="62">
        <f>表2_367162629303456[[#This Row],[累计净值]]-0.146</f>
        <v>1.0365000000000002</v>
      </c>
      <c r="G150" s="20">
        <f>表2_367162629303456[[#This Row],[累计净值]]/$B$21-1</f>
        <v>5.1204551515690477E-2</v>
      </c>
    </row>
    <row r="151" spans="1:9" x14ac:dyDescent="0.2">
      <c r="A151" s="55">
        <v>43900</v>
      </c>
      <c r="B151" s="89">
        <v>1.1849000000000001</v>
      </c>
      <c r="C151" s="73">
        <f t="shared" si="40"/>
        <v>2.3999999999999577E-3</v>
      </c>
      <c r="D151" s="18" t="str">
        <f t="shared" si="41"/>
        <v>/</v>
      </c>
      <c r="E151" s="18">
        <f ca="1">IF(表2_367162629303456[[#This Row],[累计净值]]/MAX(INDIRECT("B21:B" &amp; ROW()))-1&lt;E150,表2_367162629303456[[#This Row],[累计净值]]/MAX(INDIRECT("B21:B" &amp; ROW()))-1,E150)</f>
        <v>-7.6929652107017299E-3</v>
      </c>
      <c r="F151" s="62">
        <f>表2_367162629303456[[#This Row],[累计净值]]-0.146</f>
        <v>1.0389000000000002</v>
      </c>
      <c r="G151" s="20">
        <f>表2_367162629303456[[#This Row],[累计净值]]/$B$21-1</f>
        <v>5.3338074495510757E-2</v>
      </c>
    </row>
    <row r="152" spans="1:9" x14ac:dyDescent="0.2">
      <c r="A152" s="55">
        <v>43901</v>
      </c>
      <c r="B152" s="89">
        <v>1.1855</v>
      </c>
      <c r="C152" s="73">
        <f t="shared" si="40"/>
        <v>5.9999999999993392E-4</v>
      </c>
      <c r="D152" s="18" t="str">
        <f t="shared" si="41"/>
        <v>/</v>
      </c>
      <c r="E152" s="18">
        <f ca="1">IF(表2_367162629303456[[#This Row],[累计净值]]/MAX(INDIRECT("B21:B" &amp; ROW()))-1&lt;E151,表2_367162629303456[[#This Row],[累计净值]]/MAX(INDIRECT("B21:B" &amp; ROW()))-1,E151)</f>
        <v>-7.6929652107017299E-3</v>
      </c>
      <c r="F152" s="62">
        <f>表2_367162629303456[[#This Row],[累计净值]]-0.146</f>
        <v>1.0395000000000001</v>
      </c>
      <c r="G152" s="20">
        <f>表2_367162629303456[[#This Row],[累计净值]]/$B$21-1</f>
        <v>5.3871455240465771E-2</v>
      </c>
    </row>
    <row r="153" spans="1:9" x14ac:dyDescent="0.2">
      <c r="A153" s="55">
        <v>43902</v>
      </c>
      <c r="B153" s="89">
        <v>1.1896</v>
      </c>
      <c r="C153" s="73">
        <f t="shared" si="40"/>
        <v>4.0999999999999925E-3</v>
      </c>
      <c r="D153" s="18" t="str">
        <f t="shared" si="41"/>
        <v>/</v>
      </c>
      <c r="E153" s="18">
        <f ca="1">IF(表2_367162629303456[[#This Row],[累计净值]]/MAX(INDIRECT("B21:B" &amp; ROW()))-1&lt;E152,表2_367162629303456[[#This Row],[累计净值]]/MAX(INDIRECT("B21:B" &amp; ROW()))-1,E152)</f>
        <v>-7.6929652107017299E-3</v>
      </c>
      <c r="F153" s="62">
        <f>表2_367162629303456[[#This Row],[累计净值]]-0.146</f>
        <v>1.0436000000000001</v>
      </c>
      <c r="G153" s="20">
        <f>表2_367162629303456[[#This Row],[累计净值]]/$B$21-1</f>
        <v>5.7516223664325627E-2</v>
      </c>
    </row>
    <row r="154" spans="1:9" x14ac:dyDescent="0.2">
      <c r="A154" s="55">
        <v>43903</v>
      </c>
      <c r="B154" s="89">
        <v>1.1927000000000001</v>
      </c>
      <c r="C154" s="73">
        <f t="shared" si="40"/>
        <v>3.1000000000001027E-3</v>
      </c>
      <c r="D154" s="18" t="str">
        <f t="shared" si="41"/>
        <v>/</v>
      </c>
      <c r="E154" s="18">
        <f ca="1">IF(表2_367162629303456[[#This Row],[累计净值]]/MAX(INDIRECT("B21:B" &amp; ROW()))-1&lt;E153,表2_367162629303456[[#This Row],[累计净值]]/MAX(INDIRECT("B21:B" &amp; ROW()))-1,E153)</f>
        <v>-7.6929652107017299E-3</v>
      </c>
      <c r="F154" s="62">
        <f>表2_367162629303456[[#This Row],[累计净值]]-0.146</f>
        <v>1.0467000000000002</v>
      </c>
      <c r="G154" s="20">
        <f>表2_367162629303456[[#This Row],[累计净值]]/$B$21-1</f>
        <v>6.0272024179927275E-2</v>
      </c>
    </row>
    <row r="155" spans="1:9" x14ac:dyDescent="0.2">
      <c r="A155" s="55">
        <v>43906</v>
      </c>
      <c r="B155" s="89">
        <v>1.1931</v>
      </c>
      <c r="C155" s="73">
        <f t="shared" si="40"/>
        <v>3.9999999999995595E-4</v>
      </c>
      <c r="D155" s="18" t="str">
        <f t="shared" si="41"/>
        <v>/</v>
      </c>
      <c r="E155" s="18">
        <f ca="1">IF(表2_367162629303456[[#This Row],[累计净值]]/MAX(INDIRECT("B21:B" &amp; ROW()))-1&lt;E154,表2_367162629303456[[#This Row],[累计净值]]/MAX(INDIRECT("B21:B" &amp; ROW()))-1,E154)</f>
        <v>-7.6929652107017299E-3</v>
      </c>
      <c r="F155" s="62">
        <f>表2_367162629303456[[#This Row],[累计净值]]-0.146</f>
        <v>1.0471000000000001</v>
      </c>
      <c r="G155" s="20">
        <f>表2_367162629303456[[#This Row],[累计净值]]/$B$21-1</f>
        <v>6.062761134323047E-2</v>
      </c>
    </row>
    <row r="156" spans="1:9" x14ac:dyDescent="0.2">
      <c r="A156" s="55">
        <v>43907</v>
      </c>
      <c r="B156" s="89">
        <v>1.1977</v>
      </c>
      <c r="C156" s="73">
        <f t="shared" ref="C156:C161" si="42">IFERROR(B156-B155,0)</f>
        <v>4.5999999999999375E-3</v>
      </c>
      <c r="D156" s="18" t="str">
        <f t="shared" ref="D156:D161" si="43">IF(C156&lt;0,C156,"/")</f>
        <v>/</v>
      </c>
      <c r="E156" s="18">
        <f ca="1">IF(表2_367162629303456[[#This Row],[累计净值]]/MAX(INDIRECT("B21:B" &amp; ROW()))-1&lt;E155,表2_367162629303456[[#This Row],[累计净值]]/MAX(INDIRECT("B21:B" &amp; ROW()))-1,E155)</f>
        <v>-7.6929652107017299E-3</v>
      </c>
      <c r="F156" s="62">
        <f>表2_367162629303456[[#This Row],[累计净值]]-0.146</f>
        <v>1.0517000000000001</v>
      </c>
      <c r="G156" s="20">
        <f>表2_367162629303456[[#This Row],[累计净值]]/$B$21-1</f>
        <v>6.4716863721219653E-2</v>
      </c>
    </row>
    <row r="157" spans="1:9" x14ac:dyDescent="0.2">
      <c r="A157" s="55">
        <v>43908</v>
      </c>
      <c r="B157" s="89">
        <v>1.1980999999999999</v>
      </c>
      <c r="C157" s="73">
        <f t="shared" si="42"/>
        <v>3.9999999999995595E-4</v>
      </c>
      <c r="D157" s="18" t="str">
        <f t="shared" si="43"/>
        <v>/</v>
      </c>
      <c r="E157" s="18">
        <f ca="1">IF(表2_367162629303456[[#This Row],[累计净值]]/MAX(INDIRECT("B21:B" &amp; ROW()))-1&lt;E156,表2_367162629303456[[#This Row],[累计净值]]/MAX(INDIRECT("B21:B" &amp; ROW()))-1,E156)</f>
        <v>-7.6929652107017299E-3</v>
      </c>
      <c r="F157" s="62">
        <f>表2_367162629303456[[#This Row],[累计净值]]-0.146</f>
        <v>1.0521</v>
      </c>
      <c r="G157" s="20">
        <f>表2_367162629303456[[#This Row],[累计净值]]/$B$21-1</f>
        <v>6.507245088452307E-2</v>
      </c>
    </row>
    <row r="158" spans="1:9" x14ac:dyDescent="0.2">
      <c r="A158" s="55">
        <v>43909</v>
      </c>
      <c r="B158" s="89">
        <v>1.2017</v>
      </c>
      <c r="C158" s="73">
        <f t="shared" si="42"/>
        <v>3.6000000000000476E-3</v>
      </c>
      <c r="D158" s="18" t="str">
        <f t="shared" si="43"/>
        <v>/</v>
      </c>
      <c r="E158" s="18">
        <f ca="1">IF(表2_367162629303456[[#This Row],[累计净值]]/MAX(INDIRECT("B21:B" &amp; ROW()))-1&lt;E157,表2_367162629303456[[#This Row],[累计净值]]/MAX(INDIRECT("B21:B" &amp; ROW()))-1,E157)</f>
        <v>-7.6929652107017299E-3</v>
      </c>
      <c r="F158" s="62">
        <f>表2_367162629303456[[#This Row],[累计净值]]-0.146</f>
        <v>1.0557000000000001</v>
      </c>
      <c r="G158" s="20">
        <f>表2_367162629303456[[#This Row],[累计净值]]/$B$21-1</f>
        <v>6.82727353542536E-2</v>
      </c>
    </row>
    <row r="159" spans="1:9" x14ac:dyDescent="0.2">
      <c r="A159" s="55">
        <v>43910</v>
      </c>
      <c r="B159" s="76">
        <v>1.2022999999999999</v>
      </c>
      <c r="C159" s="73">
        <f t="shared" si="42"/>
        <v>5.9999999999993392E-4</v>
      </c>
      <c r="D159" s="18" t="str">
        <f t="shared" si="43"/>
        <v>/</v>
      </c>
      <c r="E159" s="18">
        <f ca="1">IF(表2_367162629303456[[#This Row],[累计净值]]/MAX(INDIRECT("B21:B" &amp; ROW()))-1&lt;E158,表2_367162629303456[[#This Row],[累计净值]]/MAX(INDIRECT("B21:B" &amp; ROW()))-1,E158)</f>
        <v>-7.6929652107017299E-3</v>
      </c>
      <c r="F159" s="62">
        <f>表2_367162629303456[[#This Row],[累计净值]]-0.146</f>
        <v>1.0563</v>
      </c>
      <c r="G159" s="20">
        <f>表2_367162629303456[[#This Row],[累计净值]]/$B$21-1</f>
        <v>6.8806116099208836E-2</v>
      </c>
    </row>
    <row r="160" spans="1:9" x14ac:dyDescent="0.2">
      <c r="A160" s="55">
        <v>43913</v>
      </c>
      <c r="B160" s="89">
        <v>1.1979</v>
      </c>
      <c r="C160" s="73">
        <f t="shared" si="42"/>
        <v>-4.3999999999999595E-3</v>
      </c>
      <c r="D160" s="18">
        <f t="shared" si="43"/>
        <v>-4.3999999999999595E-3</v>
      </c>
      <c r="E160" s="18">
        <f ca="1">IF(表2_367162629303456[[#This Row],[累计净值]]/MAX(INDIRECT("B21:B" &amp; ROW()))-1&lt;E159,表2_367162629303456[[#This Row],[累计净值]]/MAX(INDIRECT("B21:B" &amp; ROW()))-1,E159)</f>
        <v>-7.6929652107017299E-3</v>
      </c>
      <c r="F160" s="62">
        <f>表2_367162629303456[[#This Row],[累计净值]]-0.146</f>
        <v>1.0519000000000001</v>
      </c>
      <c r="G160" s="20">
        <f>表2_367162629303456[[#This Row],[累计净值]]/$B$21-1</f>
        <v>6.489465730287125E-2</v>
      </c>
    </row>
    <row r="161" spans="1:7" x14ac:dyDescent="0.2">
      <c r="A161" s="55">
        <v>43914</v>
      </c>
      <c r="B161" s="89">
        <v>1.2004999999999999</v>
      </c>
      <c r="C161" s="73">
        <f t="shared" si="42"/>
        <v>2.5999999999999357E-3</v>
      </c>
      <c r="D161" s="18" t="str">
        <f t="shared" si="43"/>
        <v>/</v>
      </c>
      <c r="E161" s="18">
        <f ca="1">IF(表2_367162629303456[[#This Row],[累计净值]]/MAX(INDIRECT("B21:B" &amp; ROW()))-1&lt;E160,表2_367162629303456[[#This Row],[累计净值]]/MAX(INDIRECT("B21:B" &amp; ROW()))-1,E160)</f>
        <v>-7.6929652107017299E-3</v>
      </c>
      <c r="F161" s="62">
        <f>表2_367162629303456[[#This Row],[累计净值]]-0.146</f>
        <v>1.0545</v>
      </c>
      <c r="G161" s="20">
        <f>表2_367162629303456[[#This Row],[累计净值]]/$B$21-1</f>
        <v>6.7205973864343349E-2</v>
      </c>
    </row>
    <row r="162" spans="1:7" x14ac:dyDescent="0.2">
      <c r="A162" s="55">
        <v>43915</v>
      </c>
      <c r="B162" s="89">
        <v>1.2009000000000001</v>
      </c>
      <c r="C162" s="73">
        <f t="shared" ref="C162:C167" si="44">IFERROR(B162-B161,0)</f>
        <v>4.0000000000017799E-4</v>
      </c>
      <c r="D162" s="18" t="str">
        <f t="shared" ref="D162:D167" si="45">IF(C162&lt;0,C162,"/")</f>
        <v>/</v>
      </c>
      <c r="E162" s="18">
        <f ca="1">IF(表2_367162629303456[[#This Row],[累计净值]]/MAX(INDIRECT("B21:B" &amp; ROW()))-1&lt;E161,表2_367162629303456[[#This Row],[累计净值]]/MAX(INDIRECT("B21:B" &amp; ROW()))-1,E161)</f>
        <v>-7.6929652107017299E-3</v>
      </c>
      <c r="F162" s="62">
        <f>表2_367162629303456[[#This Row],[累计净值]]-0.146</f>
        <v>1.0549000000000002</v>
      </c>
      <c r="G162" s="20">
        <f>表2_367162629303456[[#This Row],[累计净值]]/$B$21-1</f>
        <v>6.7561561027646988E-2</v>
      </c>
    </row>
    <row r="163" spans="1:7" x14ac:dyDescent="0.2">
      <c r="A163" s="55">
        <v>43916</v>
      </c>
      <c r="B163" s="76">
        <v>1.2029000000000001</v>
      </c>
      <c r="C163" s="73">
        <f t="shared" si="44"/>
        <v>2.0000000000000018E-3</v>
      </c>
      <c r="D163" s="18" t="str">
        <f t="shared" si="45"/>
        <v>/</v>
      </c>
      <c r="E163" s="18">
        <f ca="1">IF(表2_367162629303456[[#This Row],[累计净值]]/MAX(INDIRECT("B21:B" &amp; ROW()))-1&lt;E162,表2_367162629303456[[#This Row],[累计净值]]/MAX(INDIRECT("B21:B" &amp; ROW()))-1,E162)</f>
        <v>-7.6929652107017299E-3</v>
      </c>
      <c r="F163" s="62">
        <f>表2_367162629303456[[#This Row],[累计净值]]-0.146</f>
        <v>1.0569000000000002</v>
      </c>
      <c r="G163" s="20">
        <f>表2_367162629303456[[#This Row],[累计净值]]/$B$21-1</f>
        <v>6.9339496844164072E-2</v>
      </c>
    </row>
    <row r="164" spans="1:7" x14ac:dyDescent="0.2">
      <c r="A164" s="55">
        <v>43917</v>
      </c>
      <c r="B164" s="89">
        <v>1.2018</v>
      </c>
      <c r="C164" s="73">
        <f t="shared" si="44"/>
        <v>-1.1000000000001009E-3</v>
      </c>
      <c r="D164" s="18">
        <f t="shared" si="45"/>
        <v>-1.1000000000001009E-3</v>
      </c>
      <c r="E164" s="18">
        <f ca="1">IF(表2_367162629303456[[#This Row],[累计净值]]/MAX(INDIRECT("B21:B" &amp; ROW()))-1&lt;E163,表2_367162629303456[[#This Row],[累计净值]]/MAX(INDIRECT("B21:B" &amp; ROW()))-1,E163)</f>
        <v>-7.6929652107017299E-3</v>
      </c>
      <c r="F164" s="62">
        <f>表2_367162629303456[[#This Row],[累计净值]]-0.146</f>
        <v>1.0558000000000001</v>
      </c>
      <c r="G164" s="20">
        <f>表2_367162629303456[[#This Row],[累计净值]]/$B$21-1</f>
        <v>6.8361632145079509E-2</v>
      </c>
    </row>
    <row r="165" spans="1:7" x14ac:dyDescent="0.2">
      <c r="A165" s="55">
        <v>43920</v>
      </c>
      <c r="B165" s="89">
        <v>1.2032</v>
      </c>
      <c r="C165" s="73">
        <f t="shared" si="44"/>
        <v>1.4000000000000679E-3</v>
      </c>
      <c r="D165" s="18" t="str">
        <f t="shared" si="45"/>
        <v>/</v>
      </c>
      <c r="E165" s="18">
        <f ca="1">IF(表2_367162629303456[[#This Row],[累计净值]]/MAX(INDIRECT("B21:B" &amp; ROW()))-1&lt;E164,表2_367162629303456[[#This Row],[累计净值]]/MAX(INDIRECT("B21:B" &amp; ROW()))-1,E164)</f>
        <v>-7.6929652107017299E-3</v>
      </c>
      <c r="F165" s="62">
        <f>表2_367162629303456[[#This Row],[累计净值]]-0.146</f>
        <v>1.0572000000000001</v>
      </c>
      <c r="G165" s="20">
        <f>表2_367162629303456[[#This Row],[累计净值]]/$B$21-1</f>
        <v>6.960618721664158E-2</v>
      </c>
    </row>
    <row r="166" spans="1:7" x14ac:dyDescent="0.2">
      <c r="A166" s="55">
        <v>43921</v>
      </c>
      <c r="B166" s="89">
        <v>1.2045999999999999</v>
      </c>
      <c r="C166" s="73">
        <f t="shared" si="44"/>
        <v>1.3999999999998458E-3</v>
      </c>
      <c r="D166" s="18" t="str">
        <f t="shared" si="45"/>
        <v>/</v>
      </c>
      <c r="E166" s="18">
        <f ca="1">IF(表2_367162629303456[[#This Row],[累计净值]]/MAX(INDIRECT("B21:B" &amp; ROW()))-1&lt;E165,表2_367162629303456[[#This Row],[累计净值]]/MAX(INDIRECT("B21:B" &amp; ROW()))-1,E165)</f>
        <v>-7.6929652107017299E-3</v>
      </c>
      <c r="F166" s="62">
        <f>表2_367162629303456[[#This Row],[累计净值]]-0.146</f>
        <v>1.0586</v>
      </c>
      <c r="G166" s="20">
        <f>表2_367162629303456[[#This Row],[累计净值]]/$B$21-1</f>
        <v>7.0850742288203206E-2</v>
      </c>
    </row>
    <row r="167" spans="1:7" x14ac:dyDescent="0.2">
      <c r="A167" s="55">
        <v>43922</v>
      </c>
      <c r="B167" s="89">
        <v>1.2050000000000001</v>
      </c>
      <c r="C167" s="73">
        <f t="shared" si="44"/>
        <v>4.0000000000017799E-4</v>
      </c>
      <c r="D167" s="18" t="str">
        <f t="shared" si="45"/>
        <v>/</v>
      </c>
      <c r="E167" s="18">
        <f ca="1">IF(表2_367162629303456[[#This Row],[累计净值]]/MAX(INDIRECT("B21:B" &amp; ROW()))-1&lt;E166,表2_367162629303456[[#This Row],[累计净值]]/MAX(INDIRECT("B21:B" &amp; ROW()))-1,E166)</f>
        <v>-7.6929652107017299E-3</v>
      </c>
      <c r="F167" s="62">
        <f>表2_367162629303456[[#This Row],[累计净值]]-0.146</f>
        <v>1.0590000000000002</v>
      </c>
      <c r="G167" s="20">
        <f>表2_367162629303456[[#This Row],[累计净值]]/$B$21-1</f>
        <v>7.1206329451506845E-2</v>
      </c>
    </row>
    <row r="168" spans="1:7" x14ac:dyDescent="0.2">
      <c r="A168" s="55">
        <v>43923</v>
      </c>
      <c r="B168" s="76">
        <v>1.2074</v>
      </c>
      <c r="C168" s="73">
        <f t="shared" ref="C168:C173" si="46">IFERROR(B168-B167,0)</f>
        <v>2.3999999999999577E-3</v>
      </c>
      <c r="D168" s="18" t="str">
        <f t="shared" ref="D168:D173" si="47">IF(C168&lt;0,C168,"/")</f>
        <v>/</v>
      </c>
      <c r="E168" s="18">
        <f ca="1">IF(表2_367162629303456[[#This Row],[累计净值]]/MAX(INDIRECT("B21:B" &amp; ROW()))-1&lt;E167,表2_367162629303456[[#This Row],[累计净值]]/MAX(INDIRECT("B21:B" &amp; ROW()))-1,E167)</f>
        <v>-7.6929652107017299E-3</v>
      </c>
      <c r="F168" s="62">
        <f>表2_367162629303456[[#This Row],[累计净值]]-0.146</f>
        <v>1.0614000000000001</v>
      </c>
      <c r="G168" s="20">
        <f>表2_367162629303456[[#This Row],[累计净值]]/$B$21-1</f>
        <v>7.3339852431327346E-2</v>
      </c>
    </row>
    <row r="169" spans="1:7" x14ac:dyDescent="0.2">
      <c r="A169" s="55">
        <v>43924</v>
      </c>
      <c r="B169" s="89">
        <v>1.2051000000000001</v>
      </c>
      <c r="C169" s="73">
        <f t="shared" si="46"/>
        <v>-2.2999999999999687E-3</v>
      </c>
      <c r="D169" s="18">
        <f t="shared" si="47"/>
        <v>-2.2999999999999687E-3</v>
      </c>
      <c r="E169" s="18">
        <f ca="1">IF(表2_367162629303456[[#This Row],[累计净值]]/MAX(INDIRECT("B21:B" &amp; ROW()))-1&lt;E168,表2_367162629303456[[#This Row],[累计净值]]/MAX(INDIRECT("B21:B" &amp; ROW()))-1,E168)</f>
        <v>-7.6929652107017299E-3</v>
      </c>
      <c r="F169" s="62">
        <f>表2_367162629303456[[#This Row],[累计净值]]-0.146</f>
        <v>1.0591000000000002</v>
      </c>
      <c r="G169" s="20">
        <f>表2_367162629303456[[#This Row],[累计净值]]/$B$21-1</f>
        <v>7.1295226242332754E-2</v>
      </c>
    </row>
    <row r="170" spans="1:7" x14ac:dyDescent="0.2">
      <c r="A170" s="55">
        <v>43928</v>
      </c>
      <c r="B170" s="89">
        <v>1.2040999999999999</v>
      </c>
      <c r="C170" s="73">
        <f t="shared" si="46"/>
        <v>-1.0000000000001119E-3</v>
      </c>
      <c r="D170" s="18">
        <f t="shared" si="47"/>
        <v>-1.0000000000001119E-3</v>
      </c>
      <c r="E170" s="18">
        <f ca="1">IF(表2_367162629303456[[#This Row],[累计净值]]/MAX(INDIRECT("B21:B" &amp; ROW()))-1&lt;E169,表2_367162629303456[[#This Row],[累计净值]]/MAX(INDIRECT("B21:B" &amp; ROW()))-1,E169)</f>
        <v>-7.6929652107017299E-3</v>
      </c>
      <c r="F170" s="62">
        <f>表2_367162629303456[[#This Row],[累计净值]]-0.146</f>
        <v>1.0581</v>
      </c>
      <c r="G170" s="20">
        <f>表2_367162629303456[[#This Row],[累计净值]]/$B$21-1</f>
        <v>7.0406258334074101E-2</v>
      </c>
    </row>
    <row r="171" spans="1:7" x14ac:dyDescent="0.2">
      <c r="A171" s="55">
        <v>43929</v>
      </c>
      <c r="B171" s="89">
        <v>1.2055</v>
      </c>
      <c r="C171" s="73">
        <f t="shared" si="46"/>
        <v>1.4000000000000679E-3</v>
      </c>
      <c r="D171" s="18" t="str">
        <f t="shared" si="47"/>
        <v>/</v>
      </c>
      <c r="E171" s="18">
        <f ca="1">IF(表2_367162629303456[[#This Row],[累计净值]]/MAX(INDIRECT("B21:B" &amp; ROW()))-1&lt;E170,表2_367162629303456[[#This Row],[累计净值]]/MAX(INDIRECT("B21:B" &amp; ROW()))-1,E170)</f>
        <v>-7.6929652107017299E-3</v>
      </c>
      <c r="F171" s="62">
        <f>表2_367162629303456[[#This Row],[累计净值]]-0.146</f>
        <v>1.0595000000000001</v>
      </c>
      <c r="G171" s="20">
        <f>表2_367162629303456[[#This Row],[累计净值]]/$B$21-1</f>
        <v>7.1650813405636171E-2</v>
      </c>
    </row>
    <row r="172" spans="1:7" x14ac:dyDescent="0.2">
      <c r="A172" s="55">
        <v>43930</v>
      </c>
      <c r="B172" s="89">
        <v>1.2055</v>
      </c>
      <c r="C172" s="73">
        <f t="shared" si="46"/>
        <v>0</v>
      </c>
      <c r="D172" s="18" t="str">
        <f t="shared" si="47"/>
        <v>/</v>
      </c>
      <c r="E172" s="18">
        <f ca="1">IF(表2_367162629303456[[#This Row],[累计净值]]/MAX(INDIRECT("B21:B" &amp; ROW()))-1&lt;E171,表2_367162629303456[[#This Row],[累计净值]]/MAX(INDIRECT("B21:B" &amp; ROW()))-1,E171)</f>
        <v>-7.6929652107017299E-3</v>
      </c>
      <c r="F172" s="62">
        <f>表2_367162629303456[[#This Row],[累计净值]]-0.146</f>
        <v>1.0595000000000001</v>
      </c>
      <c r="G172" s="20">
        <f>表2_367162629303456[[#This Row],[累计净值]]/$B$21-1</f>
        <v>7.1650813405636171E-2</v>
      </c>
    </row>
    <row r="173" spans="1:7" x14ac:dyDescent="0.2">
      <c r="A173" s="55">
        <v>43931</v>
      </c>
      <c r="B173" s="89">
        <v>1.2056</v>
      </c>
      <c r="C173" s="73">
        <f t="shared" si="46"/>
        <v>9.9999999999988987E-5</v>
      </c>
      <c r="D173" s="18" t="str">
        <f t="shared" si="47"/>
        <v>/</v>
      </c>
      <c r="E173" s="18">
        <f ca="1">IF(表2_367162629303456[[#This Row],[累计净值]]/MAX(INDIRECT("B21:B" &amp; ROW()))-1&lt;E172,表2_367162629303456[[#This Row],[累计净值]]/MAX(INDIRECT("B21:B" &amp; ROW()))-1,E172)</f>
        <v>-7.6929652107017299E-3</v>
      </c>
      <c r="F173" s="62">
        <f>表2_367162629303456[[#This Row],[累计净值]]-0.146</f>
        <v>1.0596000000000001</v>
      </c>
      <c r="G173" s="20">
        <f>表2_367162629303456[[#This Row],[累计净值]]/$B$21-1</f>
        <v>7.1739710196461859E-2</v>
      </c>
    </row>
    <row r="174" spans="1:7" x14ac:dyDescent="0.2">
      <c r="A174" s="55">
        <v>43934</v>
      </c>
      <c r="B174" s="89">
        <v>1.2060999999999999</v>
      </c>
      <c r="C174" s="73">
        <f t="shared" ref="C174:C179" si="48">IFERROR(B174-B173,0)</f>
        <v>4.9999999999994493E-4</v>
      </c>
      <c r="D174" s="18" t="str">
        <f t="shared" ref="D174:D179" si="49">IF(C174&lt;0,C174,"/")</f>
        <v>/</v>
      </c>
      <c r="E174" s="18">
        <f ca="1">IF(表2_367162629303456[[#This Row],[累计净值]]/MAX(INDIRECT("B21:B" &amp; ROW()))-1&lt;E173,表2_367162629303456[[#This Row],[累计净值]]/MAX(INDIRECT("B21:B" &amp; ROW()))-1,E173)</f>
        <v>-7.6929652107017299E-3</v>
      </c>
      <c r="F174" s="62">
        <f>表2_367162629303456[[#This Row],[累计净值]]-0.146</f>
        <v>1.0601</v>
      </c>
      <c r="G174" s="20">
        <f>表2_367162629303456[[#This Row],[累计净值]]/$B$21-1</f>
        <v>7.2184194150591185E-2</v>
      </c>
    </row>
    <row r="175" spans="1:7" x14ac:dyDescent="0.2">
      <c r="A175" s="55">
        <v>43935</v>
      </c>
      <c r="B175" s="76">
        <v>1.212</v>
      </c>
      <c r="C175" s="73">
        <f t="shared" si="48"/>
        <v>5.9000000000000163E-3</v>
      </c>
      <c r="D175" s="18" t="str">
        <f t="shared" si="49"/>
        <v>/</v>
      </c>
      <c r="E175" s="18">
        <f ca="1">IF(表2_367162629303456[[#This Row],[累计净值]]/MAX(INDIRECT("B21:B" &amp; ROW()))-1&lt;E174,表2_367162629303456[[#This Row],[累计净值]]/MAX(INDIRECT("B21:B" &amp; ROW()))-1,E174)</f>
        <v>-7.6929652107017299E-3</v>
      </c>
      <c r="F175" s="62">
        <f>表2_367162629303456[[#This Row],[累计净值]]-0.146</f>
        <v>1.0660000000000001</v>
      </c>
      <c r="G175" s="20">
        <f>表2_367162629303456[[#This Row],[累计净值]]/$B$21-1</f>
        <v>7.7429104809316307E-2</v>
      </c>
    </row>
    <row r="176" spans="1:7" x14ac:dyDescent="0.2">
      <c r="A176" s="55">
        <v>43936</v>
      </c>
      <c r="B176" s="89">
        <v>1.2078</v>
      </c>
      <c r="C176" s="73">
        <f t="shared" si="48"/>
        <v>-4.1999999999999815E-3</v>
      </c>
      <c r="D176" s="18">
        <f t="shared" si="49"/>
        <v>-4.1999999999999815E-3</v>
      </c>
      <c r="E176" s="18">
        <f ca="1">IF(表2_367162629303456[[#This Row],[累计净值]]/MAX(INDIRECT("B21:B" &amp; ROW()))-1&lt;E175,表2_367162629303456[[#This Row],[累计净值]]/MAX(INDIRECT("B21:B" &amp; ROW()))-1,E175)</f>
        <v>-7.6929652107017299E-3</v>
      </c>
      <c r="F176" s="62">
        <f>表2_367162629303456[[#This Row],[累计净值]]-0.146</f>
        <v>1.0618000000000001</v>
      </c>
      <c r="G176" s="20">
        <f>表2_367162629303456[[#This Row],[累计净值]]/$B$21-1</f>
        <v>7.3695439594630541E-2</v>
      </c>
    </row>
    <row r="177" spans="1:7" x14ac:dyDescent="0.2">
      <c r="A177" s="55">
        <v>43937</v>
      </c>
      <c r="B177" s="98">
        <v>1.2076</v>
      </c>
      <c r="C177" s="94">
        <f t="shared" si="48"/>
        <v>-1.9999999999997797E-4</v>
      </c>
      <c r="D177" s="95">
        <f t="shared" si="49"/>
        <v>-1.9999999999997797E-4</v>
      </c>
      <c r="E177" s="95">
        <f ca="1">IF(表2_367162629303456[[#This Row],[累计净值]]/MAX(INDIRECT("B21:B" &amp; ROW()))-1&lt;E176,表2_367162629303456[[#This Row],[累计净值]]/MAX(INDIRECT("B21:B" &amp; ROW()))-1,E176)</f>
        <v>-7.6929652107017299E-3</v>
      </c>
      <c r="F177" s="62">
        <f>表2_367162629303456[[#This Row],[累计净值]]-0.146</f>
        <v>1.0616000000000001</v>
      </c>
      <c r="G177" s="20">
        <f>表2_367162629303456[[#This Row],[累计净值]]/$B$21-1</f>
        <v>7.3517646012978943E-2</v>
      </c>
    </row>
    <row r="178" spans="1:7" x14ac:dyDescent="0.2">
      <c r="A178" s="55">
        <v>43938</v>
      </c>
      <c r="B178" s="98">
        <v>1.2091000000000001</v>
      </c>
      <c r="C178" s="94">
        <f t="shared" si="48"/>
        <v>1.5000000000000568E-3</v>
      </c>
      <c r="D178" s="95" t="str">
        <f t="shared" si="49"/>
        <v>/</v>
      </c>
      <c r="E178" s="95">
        <f ca="1">IF(表2_367162629303456[[#This Row],[累计净值]]/MAX(INDIRECT("B21:B" &amp; ROW()))-1&lt;E177,表2_367162629303456[[#This Row],[累计净值]]/MAX(INDIRECT("B21:B" &amp; ROW()))-1,E177)</f>
        <v>-7.6929652107017299E-3</v>
      </c>
      <c r="F178" s="62">
        <f>表2_367162629303456[[#This Row],[累计净值]]-0.146</f>
        <v>1.0631000000000002</v>
      </c>
      <c r="G178" s="20">
        <f>表2_367162629303456[[#This Row],[累计净值]]/$B$21-1</f>
        <v>7.4851097875366701E-2</v>
      </c>
    </row>
    <row r="179" spans="1:7" x14ac:dyDescent="0.2">
      <c r="A179" s="55">
        <v>43941</v>
      </c>
      <c r="B179" s="98">
        <v>1.2117</v>
      </c>
      <c r="C179" s="94">
        <f t="shared" si="48"/>
        <v>2.5999999999999357E-3</v>
      </c>
      <c r="D179" s="95" t="str">
        <f t="shared" si="49"/>
        <v>/</v>
      </c>
      <c r="E179" s="95">
        <f ca="1">IF(表2_367162629303456[[#This Row],[累计净值]]/MAX(INDIRECT("B21:B" &amp; ROW()))-1&lt;E178,表2_367162629303456[[#This Row],[累计净值]]/MAX(INDIRECT("B21:B" &amp; ROW()))-1,E178)</f>
        <v>-7.6929652107017299E-3</v>
      </c>
      <c r="F179" s="62">
        <f>表2_367162629303456[[#This Row],[累计净值]]-0.146</f>
        <v>1.0657000000000001</v>
      </c>
      <c r="G179" s="20">
        <f>表2_367162629303456[[#This Row],[累计净值]]/$B$21-1</f>
        <v>7.71624144368388E-2</v>
      </c>
    </row>
    <row r="180" spans="1:7" x14ac:dyDescent="0.2">
      <c r="A180" s="55">
        <v>43942</v>
      </c>
      <c r="B180" s="98">
        <v>1.2129000000000001</v>
      </c>
      <c r="C180" s="94">
        <f t="shared" ref="C180:C185" si="50">IFERROR(B180-B179,0)</f>
        <v>1.2000000000000899E-3</v>
      </c>
      <c r="D180" s="95" t="str">
        <f t="shared" ref="D180:D185" si="51">IF(C180&lt;0,C180,"/")</f>
        <v>/</v>
      </c>
      <c r="E180" s="95">
        <f ca="1">IF(表2_367162629303456[[#This Row],[累计净值]]/MAX(INDIRECT("B21:B" &amp; ROW()))-1&lt;E179,表2_367162629303456[[#This Row],[累计净值]]/MAX(INDIRECT("B21:B" &amp; ROW()))-1,E179)</f>
        <v>-7.6929652107017299E-3</v>
      </c>
      <c r="F180" s="62">
        <f>表2_367162629303456[[#This Row],[累计净值]]-0.146</f>
        <v>1.0669000000000002</v>
      </c>
      <c r="G180" s="20">
        <f>表2_367162629303456[[#This Row],[累计净值]]/$B$21-1</f>
        <v>7.8229175926749051E-2</v>
      </c>
    </row>
    <row r="181" spans="1:7" x14ac:dyDescent="0.2">
      <c r="A181" s="55">
        <v>43943</v>
      </c>
      <c r="B181" s="76">
        <v>1.2141</v>
      </c>
      <c r="C181" s="94">
        <f t="shared" si="50"/>
        <v>1.1999999999998678E-3</v>
      </c>
      <c r="D181" s="95" t="str">
        <f t="shared" si="51"/>
        <v>/</v>
      </c>
      <c r="E181" s="95">
        <f ca="1">IF(表2_367162629303456[[#This Row],[累计净值]]/MAX(INDIRECT("B21:B" &amp; ROW()))-1&lt;E180,表2_367162629303456[[#This Row],[累计净值]]/MAX(INDIRECT("B21:B" &amp; ROW()))-1,E180)</f>
        <v>-7.6929652107017299E-3</v>
      </c>
      <c r="F181" s="62">
        <f>表2_367162629303456[[#This Row],[累计净值]]-0.146</f>
        <v>1.0681</v>
      </c>
      <c r="G181" s="20">
        <f>表2_367162629303456[[#This Row],[累计净值]]/$B$21-1</f>
        <v>7.9295937416659301E-2</v>
      </c>
    </row>
    <row r="182" spans="1:7" x14ac:dyDescent="0.2">
      <c r="A182" s="55">
        <v>43944</v>
      </c>
      <c r="B182" s="98">
        <v>1.2128000000000001</v>
      </c>
      <c r="C182" s="94">
        <f t="shared" si="50"/>
        <v>-1.2999999999998568E-3</v>
      </c>
      <c r="D182" s="95">
        <f t="shared" si="51"/>
        <v>-1.2999999999998568E-3</v>
      </c>
      <c r="E182" s="95">
        <f ca="1">IF(表2_367162629303456[[#This Row],[累计净值]]/MAX(INDIRECT("B21:B" &amp; ROW()))-1&lt;E181,表2_367162629303456[[#This Row],[累计净值]]/MAX(INDIRECT("B21:B" &amp; ROW()))-1,E181)</f>
        <v>-7.6929652107017299E-3</v>
      </c>
      <c r="F182" s="62">
        <f>表2_367162629303456[[#This Row],[累计净值]]-0.146</f>
        <v>1.0668000000000002</v>
      </c>
      <c r="G182" s="20">
        <f>表2_367162629303456[[#This Row],[累计净值]]/$B$21-1</f>
        <v>7.8140279135923363E-2</v>
      </c>
    </row>
    <row r="183" spans="1:7" x14ac:dyDescent="0.2">
      <c r="A183" s="55">
        <v>43945</v>
      </c>
      <c r="B183" s="98">
        <v>1.2096</v>
      </c>
      <c r="C183" s="94">
        <f t="shared" si="50"/>
        <v>-3.2000000000000917E-3</v>
      </c>
      <c r="D183" s="95">
        <f t="shared" si="51"/>
        <v>-3.2000000000000917E-3</v>
      </c>
      <c r="E183" s="95">
        <f ca="1">IF(表2_367162629303456[[#This Row],[累计净值]]/MAX(INDIRECT("B21:B" &amp; ROW()))-1&lt;E182,表2_367162629303456[[#This Row],[累计净值]]/MAX(INDIRECT("B21:B" &amp; ROW()))-1,E182)</f>
        <v>-7.6929652107017299E-3</v>
      </c>
      <c r="F183" s="62">
        <f>表2_367162629303456[[#This Row],[累计净值]]-0.146</f>
        <v>1.0636000000000001</v>
      </c>
      <c r="G183" s="20">
        <f>表2_367162629303456[[#This Row],[累计净值]]/$B$21-1</f>
        <v>7.5295581829496028E-2</v>
      </c>
    </row>
    <row r="184" spans="1:7" x14ac:dyDescent="0.2">
      <c r="A184" s="55">
        <v>43948</v>
      </c>
      <c r="B184" s="98">
        <v>1.2083999999999999</v>
      </c>
      <c r="C184" s="94">
        <f t="shared" si="50"/>
        <v>-1.2000000000000899E-3</v>
      </c>
      <c r="D184" s="95">
        <f t="shared" si="51"/>
        <v>-1.2000000000000899E-3</v>
      </c>
      <c r="E184" s="95">
        <f ca="1">IF(表2_367162629303456[[#This Row],[累计净值]]/MAX(INDIRECT("B21:B" &amp; ROW()))-1&lt;E183,表2_367162629303456[[#This Row],[累计净值]]/MAX(INDIRECT("B21:B" &amp; ROW()))-1,E183)</f>
        <v>-7.6929652107017299E-3</v>
      </c>
      <c r="F184" s="62">
        <f>表2_367162629303456[[#This Row],[累计净值]]-0.146</f>
        <v>1.0624</v>
      </c>
      <c r="G184" s="20">
        <f>表2_367162629303456[[#This Row],[累计净值]]/$B$21-1</f>
        <v>7.4228820339585555E-2</v>
      </c>
    </row>
    <row r="185" spans="1:7" x14ac:dyDescent="0.2">
      <c r="A185" s="55">
        <v>43949</v>
      </c>
      <c r="B185" s="98">
        <v>1.2112000000000001</v>
      </c>
      <c r="C185" s="94">
        <f t="shared" si="50"/>
        <v>2.8000000000001357E-3</v>
      </c>
      <c r="D185" s="95" t="str">
        <f t="shared" si="51"/>
        <v>/</v>
      </c>
      <c r="E185" s="95">
        <f ca="1">IF(表2_367162629303456[[#This Row],[累计净值]]/MAX(INDIRECT("B21:B" &amp; ROW()))-1&lt;E184,表2_367162629303456[[#This Row],[累计净值]]/MAX(INDIRECT("B21:B" &amp; ROW()))-1,E184)</f>
        <v>-7.6929652107017299E-3</v>
      </c>
      <c r="F185" s="62">
        <f>表2_367162629303456[[#This Row],[累计净值]]-0.146</f>
        <v>1.0652000000000001</v>
      </c>
      <c r="G185" s="20">
        <f>表2_367162629303456[[#This Row],[累计净值]]/$B$21-1</f>
        <v>7.6717930482709695E-2</v>
      </c>
    </row>
    <row r="186" spans="1:7" x14ac:dyDescent="0.2">
      <c r="A186" s="55">
        <v>43950</v>
      </c>
      <c r="B186" s="98">
        <v>1.2114</v>
      </c>
      <c r="C186" s="94">
        <f t="shared" ref="C186:C191" si="52">IFERROR(B186-B185,0)</f>
        <v>1.9999999999997797E-4</v>
      </c>
      <c r="D186" s="95" t="str">
        <f t="shared" ref="D186:D191" si="53">IF(C186&lt;0,C186,"/")</f>
        <v>/</v>
      </c>
      <c r="E186" s="95">
        <f ca="1">IF(表2_367162629303456[[#This Row],[累计净值]]/MAX(INDIRECT("B21:B" &amp; ROW()))-1&lt;E185,表2_367162629303456[[#This Row],[累计净值]]/MAX(INDIRECT("B21:B" &amp; ROW()))-1,E185)</f>
        <v>-7.6929652107017299E-3</v>
      </c>
      <c r="F186" s="62">
        <f>表2_367162629303456[[#This Row],[累计净值]]-0.146</f>
        <v>1.0654000000000001</v>
      </c>
      <c r="G186" s="20">
        <f>表2_367162629303456[[#This Row],[累计净值]]/$B$21-1</f>
        <v>7.6895724064361293E-2</v>
      </c>
    </row>
    <row r="187" spans="1:7" x14ac:dyDescent="0.2">
      <c r="A187" s="55">
        <v>43951</v>
      </c>
      <c r="B187" s="98">
        <v>1.2071000000000001</v>
      </c>
      <c r="C187" s="94">
        <f t="shared" si="52"/>
        <v>-4.2999999999999705E-3</v>
      </c>
      <c r="D187" s="95">
        <f t="shared" si="53"/>
        <v>-4.2999999999999705E-3</v>
      </c>
      <c r="E187" s="95">
        <f ca="1">IF(表2_367162629303456[[#This Row],[累计净值]]/MAX(INDIRECT("B21:B" &amp; ROW()))-1&lt;E186,表2_367162629303456[[#This Row],[累计净值]]/MAX(INDIRECT("B21:B" &amp; ROW()))-1,E186)</f>
        <v>-7.6929652107017299E-3</v>
      </c>
      <c r="F187" s="62">
        <f>表2_367162629303456[[#This Row],[累计净值]]-0.146</f>
        <v>1.0611000000000002</v>
      </c>
      <c r="G187" s="20">
        <f>表2_367162629303456[[#This Row],[累计净值]]/$B$21-1</f>
        <v>7.3073162058849617E-2</v>
      </c>
    </row>
    <row r="188" spans="1:7" x14ac:dyDescent="0.2">
      <c r="A188" s="55">
        <v>43957</v>
      </c>
      <c r="B188" s="98">
        <v>1.2104999999999999</v>
      </c>
      <c r="C188" s="94">
        <f t="shared" si="52"/>
        <v>3.3999999999998476E-3</v>
      </c>
      <c r="D188" s="95" t="str">
        <f t="shared" si="53"/>
        <v>/</v>
      </c>
      <c r="E188" s="95">
        <f ca="1">IF(表2_367162629303456[[#This Row],[累计净值]]/MAX(INDIRECT("B21:B" &amp; ROW()))-1&lt;E187,表2_367162629303456[[#This Row],[累计净值]]/MAX(INDIRECT("B21:B" &amp; ROW()))-1,E187)</f>
        <v>-7.6929652107017299E-3</v>
      </c>
      <c r="F188" s="62">
        <f>表2_367162629303456[[#This Row],[累计净值]]-0.146</f>
        <v>1.0645</v>
      </c>
      <c r="G188" s="20">
        <f>表2_367162629303456[[#This Row],[累计净值]]/$B$21-1</f>
        <v>7.6095652946928549E-2</v>
      </c>
    </row>
    <row r="189" spans="1:7" x14ac:dyDescent="0.2">
      <c r="A189" s="55">
        <v>43958</v>
      </c>
      <c r="B189" s="104">
        <v>1.2099</v>
      </c>
      <c r="C189" s="101">
        <f t="shared" si="52"/>
        <v>-5.9999999999993392E-4</v>
      </c>
      <c r="D189" s="102">
        <f t="shared" si="53"/>
        <v>-5.9999999999993392E-4</v>
      </c>
      <c r="E189" s="102">
        <f ca="1">IF(表2_367162629303456[[#This Row],[累计净值]]/MAX(INDIRECT("B21:B" &amp; ROW()))-1&lt;E188,表2_367162629303456[[#This Row],[累计净值]]/MAX(INDIRECT("B21:B" &amp; ROW()))-1,E188)</f>
        <v>-7.6929652107017299E-3</v>
      </c>
      <c r="F189" s="62">
        <f>表2_367162629303456[[#This Row],[累计净值]]-0.146</f>
        <v>1.0639000000000001</v>
      </c>
      <c r="G189" s="20">
        <f>表2_367162629303456[[#This Row],[累计净值]]/$B$21-1</f>
        <v>7.5562272201973535E-2</v>
      </c>
    </row>
    <row r="190" spans="1:7" x14ac:dyDescent="0.2">
      <c r="A190" s="55">
        <v>43959</v>
      </c>
      <c r="B190" s="104">
        <v>1.2103999999999999</v>
      </c>
      <c r="C190" s="101">
        <f t="shared" si="52"/>
        <v>4.9999999999994493E-4</v>
      </c>
      <c r="D190" s="102" t="str">
        <f t="shared" si="53"/>
        <v>/</v>
      </c>
      <c r="E190" s="102">
        <f ca="1">IF(表2_367162629303456[[#This Row],[累计净值]]/MAX(INDIRECT("B21:B" &amp; ROW()))-1&lt;E189,表2_367162629303456[[#This Row],[累计净值]]/MAX(INDIRECT("B21:B" &amp; ROW()))-1,E189)</f>
        <v>-7.6929652107017299E-3</v>
      </c>
      <c r="F190" s="62">
        <f>表2_367162629303456[[#This Row],[累计净值]]-0.146</f>
        <v>1.0644</v>
      </c>
      <c r="G190" s="20">
        <f>表2_367162629303456[[#This Row],[累计净值]]/$B$21-1</f>
        <v>7.6006756156102639E-2</v>
      </c>
    </row>
    <row r="191" spans="1:7" x14ac:dyDescent="0.2">
      <c r="A191" s="55">
        <v>43962</v>
      </c>
      <c r="B191" s="63">
        <v>1.2111000000000001</v>
      </c>
      <c r="C191" s="64">
        <f t="shared" si="52"/>
        <v>7.0000000000014495E-4</v>
      </c>
      <c r="D191" s="65" t="str">
        <f t="shared" si="53"/>
        <v>/</v>
      </c>
      <c r="E191" s="65">
        <f ca="1">IF(表2_367162629303456[[#This Row],[累计净值]]/MAX(INDIRECT("B21:B" &amp; ROW()))-1&lt;E190,表2_367162629303456[[#This Row],[累计净值]]/MAX(INDIRECT("B21:B" &amp; ROW()))-1,E190)</f>
        <v>-7.6929652107017299E-3</v>
      </c>
      <c r="F191" s="62">
        <f>表2_367162629303456[[#This Row],[累计净值]]-0.146</f>
        <v>1.0651000000000002</v>
      </c>
      <c r="G191" s="20">
        <f>表2_367162629303456[[#This Row],[累计净值]]/$B$21-1</f>
        <v>7.6629033691883786E-2</v>
      </c>
    </row>
    <row r="192" spans="1:7" x14ac:dyDescent="0.2">
      <c r="A192" s="55">
        <v>43963</v>
      </c>
      <c r="B192" s="104">
        <v>1.2129000000000001</v>
      </c>
      <c r="C192" s="101">
        <f t="shared" ref="C192:C197" si="54">IFERROR(B192-B191,0)</f>
        <v>1.8000000000000238E-3</v>
      </c>
      <c r="D192" s="102" t="str">
        <f t="shared" ref="D192:D197" si="55">IF(C192&lt;0,C192,"/")</f>
        <v>/</v>
      </c>
      <c r="E192" s="102">
        <f ca="1">IF(表2_367162629303456[[#This Row],[累计净值]]/MAX(INDIRECT("B21:B" &amp; ROW()))-1&lt;E191,表2_367162629303456[[#This Row],[累计净值]]/MAX(INDIRECT("B21:B" &amp; ROW()))-1,E191)</f>
        <v>-7.6929652107017299E-3</v>
      </c>
      <c r="F192" s="62">
        <f>表2_367162629303456[[#This Row],[累计净值]]-0.146</f>
        <v>1.0669000000000002</v>
      </c>
      <c r="G192" s="20">
        <f>表2_367162629303456[[#This Row],[累计净值]]/$B$21-1</f>
        <v>7.8229175926749051E-2</v>
      </c>
    </row>
    <row r="193" spans="1:7" x14ac:dyDescent="0.2">
      <c r="A193" s="55">
        <v>43964</v>
      </c>
      <c r="B193" s="104">
        <v>1.2122999999999999</v>
      </c>
      <c r="C193" s="101">
        <f t="shared" si="54"/>
        <v>-6.0000000000015596E-4</v>
      </c>
      <c r="D193" s="102">
        <f t="shared" si="55"/>
        <v>-6.0000000000015596E-4</v>
      </c>
      <c r="E193" s="102">
        <f ca="1">IF(表2_367162629303456[[#This Row],[累计净值]]/MAX(INDIRECT("B21:B" &amp; ROW()))-1&lt;E192,表2_367162629303456[[#This Row],[累计净值]]/MAX(INDIRECT("B21:B" &amp; ROW()))-1,E192)</f>
        <v>-7.6929652107017299E-3</v>
      </c>
      <c r="F193" s="62">
        <f>表2_367162629303456[[#This Row],[累计净值]]-0.146</f>
        <v>1.0663</v>
      </c>
      <c r="G193" s="20">
        <f>表2_367162629303456[[#This Row],[累计净值]]/$B$21-1</f>
        <v>7.7695795181793814E-2</v>
      </c>
    </row>
    <row r="194" spans="1:7" x14ac:dyDescent="0.2">
      <c r="A194" s="55">
        <v>43965</v>
      </c>
      <c r="B194" s="104">
        <v>1.2109000000000001</v>
      </c>
      <c r="C194" s="101">
        <f t="shared" si="54"/>
        <v>-1.3999999999998458E-3</v>
      </c>
      <c r="D194" s="102">
        <f t="shared" si="55"/>
        <v>-1.3999999999998458E-3</v>
      </c>
      <c r="E194" s="102">
        <f ca="1">IF(表2_367162629303456[[#This Row],[累计净值]]/MAX(INDIRECT("B21:B" &amp; ROW()))-1&lt;E193,表2_367162629303456[[#This Row],[累计净值]]/MAX(INDIRECT("B21:B" &amp; ROW()))-1,E193)</f>
        <v>-7.6929652107017299E-3</v>
      </c>
      <c r="F194" s="62">
        <f>表2_367162629303456[[#This Row],[累计净值]]-0.146</f>
        <v>1.0649000000000002</v>
      </c>
      <c r="G194" s="20">
        <f>表2_367162629303456[[#This Row],[累计净值]]/$B$21-1</f>
        <v>7.6451240110232188E-2</v>
      </c>
    </row>
    <row r="195" spans="1:7" x14ac:dyDescent="0.2">
      <c r="A195" s="55">
        <v>43966</v>
      </c>
      <c r="B195" s="104">
        <v>1.2108000000000001</v>
      </c>
      <c r="C195" s="101">
        <f t="shared" si="54"/>
        <v>-9.9999999999988987E-5</v>
      </c>
      <c r="D195" s="102">
        <f t="shared" si="55"/>
        <v>-9.9999999999988987E-5</v>
      </c>
      <c r="E195" s="102">
        <f ca="1">IF(表2_367162629303456[[#This Row],[累计净值]]/MAX(INDIRECT("B21:B" &amp; ROW()))-1&lt;E194,表2_367162629303456[[#This Row],[累计净值]]/MAX(INDIRECT("B21:B" &amp; ROW()))-1,E194)</f>
        <v>-7.6929652107017299E-3</v>
      </c>
      <c r="F195" s="62">
        <f>表2_367162629303456[[#This Row],[累计净值]]-0.146</f>
        <v>1.0648000000000002</v>
      </c>
      <c r="G195" s="20">
        <f>表2_367162629303456[[#This Row],[累计净值]]/$B$21-1</f>
        <v>7.6362343319406278E-2</v>
      </c>
    </row>
    <row r="196" spans="1:7" x14ac:dyDescent="0.2">
      <c r="A196" s="55">
        <v>43969</v>
      </c>
      <c r="B196" s="104">
        <v>1.2087000000000001</v>
      </c>
      <c r="C196" s="101">
        <f t="shared" si="54"/>
        <v>-2.0999999999999908E-3</v>
      </c>
      <c r="D196" s="102">
        <f t="shared" si="55"/>
        <v>-2.0999999999999908E-3</v>
      </c>
      <c r="E196" s="102">
        <f ca="1">IF(表2_367162629303456[[#This Row],[累计净值]]/MAX(INDIRECT("B21:B" &amp; ROW()))-1&lt;E195,表2_367162629303456[[#This Row],[累计净值]]/MAX(INDIRECT("B21:B" &amp; ROW()))-1,E195)</f>
        <v>-7.6929652107017299E-3</v>
      </c>
      <c r="F196" s="62">
        <f>表2_367162629303456[[#This Row],[累计净值]]-0.146</f>
        <v>1.0627000000000002</v>
      </c>
      <c r="G196" s="20">
        <f>表2_367162629303456[[#This Row],[累计净值]]/$B$21-1</f>
        <v>7.4495510712063284E-2</v>
      </c>
    </row>
    <row r="197" spans="1:7" x14ac:dyDescent="0.2">
      <c r="A197" s="55">
        <v>43970</v>
      </c>
      <c r="B197" s="104">
        <v>1.2119</v>
      </c>
      <c r="C197" s="101">
        <f t="shared" si="54"/>
        <v>3.1999999999998696E-3</v>
      </c>
      <c r="D197" s="102" t="str">
        <f t="shared" si="55"/>
        <v>/</v>
      </c>
      <c r="E197" s="102">
        <f ca="1">IF(表2_367162629303456[[#This Row],[累计净值]]/MAX(INDIRECT("B21:B" &amp; ROW()))-1&lt;E196,表2_367162629303456[[#This Row],[累计净值]]/MAX(INDIRECT("B21:B" &amp; ROW()))-1,E196)</f>
        <v>-7.6929652107017299E-3</v>
      </c>
      <c r="F197" s="62">
        <f>表2_367162629303456[[#This Row],[累计净值]]-0.146</f>
        <v>1.0659000000000001</v>
      </c>
      <c r="G197" s="20">
        <f>表2_367162629303456[[#This Row],[累计净值]]/$B$21-1</f>
        <v>7.7340208018490397E-2</v>
      </c>
    </row>
    <row r="198" spans="1:7" x14ac:dyDescent="0.2">
      <c r="A198" s="55">
        <v>43971</v>
      </c>
      <c r="B198" s="104">
        <v>1.2107000000000001</v>
      </c>
      <c r="C198" s="101">
        <f t="shared" ref="C198:C203" si="56">IFERROR(B198-B197,0)</f>
        <v>-1.1999999999998678E-3</v>
      </c>
      <c r="D198" s="102">
        <f t="shared" ref="D198:D203" si="57">IF(C198&lt;0,C198,"/")</f>
        <v>-1.1999999999998678E-3</v>
      </c>
      <c r="E198" s="102">
        <f ca="1">IF(表2_367162629303456[[#This Row],[累计净值]]/MAX(INDIRECT("B21:B" &amp; ROW()))-1&lt;E197,表2_367162629303456[[#This Row],[累计净值]]/MAX(INDIRECT("B21:B" &amp; ROW()))-1,E197)</f>
        <v>-7.6929652107017299E-3</v>
      </c>
      <c r="F198" s="62">
        <f>表2_367162629303456[[#This Row],[累计净值]]-0.146</f>
        <v>1.0647000000000002</v>
      </c>
      <c r="G198" s="20">
        <f>表2_367162629303456[[#This Row],[累计净值]]/$B$21-1</f>
        <v>7.6273446528580369E-2</v>
      </c>
    </row>
    <row r="199" spans="1:7" x14ac:dyDescent="0.2">
      <c r="A199" s="55">
        <v>43972</v>
      </c>
      <c r="B199" s="104">
        <v>1.2104999999999999</v>
      </c>
      <c r="C199" s="101">
        <f t="shared" si="56"/>
        <v>-2.0000000000020002E-4</v>
      </c>
      <c r="D199" s="102">
        <f t="shared" si="57"/>
        <v>-2.0000000000020002E-4</v>
      </c>
      <c r="E199" s="102">
        <f ca="1">IF(表2_367162629303456[[#This Row],[累计净值]]/MAX(INDIRECT("B21:B" &amp; ROW()))-1&lt;E198,表2_367162629303456[[#This Row],[累计净值]]/MAX(INDIRECT("B21:B" &amp; ROW()))-1,E198)</f>
        <v>-7.6929652107017299E-3</v>
      </c>
      <c r="F199" s="62">
        <f>表2_367162629303456[[#This Row],[累计净值]]-0.146</f>
        <v>1.0645</v>
      </c>
      <c r="G199" s="20">
        <f>表2_367162629303456[[#This Row],[累计净值]]/$B$21-1</f>
        <v>7.6095652946928549E-2</v>
      </c>
    </row>
    <row r="200" spans="1:7" x14ac:dyDescent="0.2">
      <c r="A200" s="55">
        <v>43973</v>
      </c>
      <c r="B200" s="112">
        <v>1.2102999999999999</v>
      </c>
      <c r="C200" s="108">
        <f t="shared" si="56"/>
        <v>-1.9999999999997797E-4</v>
      </c>
      <c r="D200" s="109">
        <f t="shared" si="57"/>
        <v>-1.9999999999997797E-4</v>
      </c>
      <c r="E200" s="109">
        <f ca="1">IF(表2_367162629303456[[#This Row],[累计净值]]/MAX(INDIRECT("B21:B" &amp; ROW()))-1&lt;E199,表2_367162629303456[[#This Row],[累计净值]]/MAX(INDIRECT("B21:B" &amp; ROW()))-1,E199)</f>
        <v>-7.6929652107017299E-3</v>
      </c>
      <c r="F200" s="62">
        <f>表2_367162629303456[[#This Row],[累计净值]]-0.146</f>
        <v>1.0643</v>
      </c>
      <c r="G200" s="20">
        <f>表2_367162629303456[[#This Row],[累计净值]]/$B$21-1</f>
        <v>7.5917859365276952E-2</v>
      </c>
    </row>
    <row r="201" spans="1:7" x14ac:dyDescent="0.2">
      <c r="A201" s="55">
        <v>43976</v>
      </c>
      <c r="B201" s="112">
        <v>1.2125999999999999</v>
      </c>
      <c r="C201" s="108">
        <f t="shared" si="56"/>
        <v>2.2999999999999687E-3</v>
      </c>
      <c r="D201" s="109" t="str">
        <f t="shared" si="57"/>
        <v>/</v>
      </c>
      <c r="E201" s="109">
        <f ca="1">IF(表2_367162629303456[[#This Row],[累计净值]]/MAX(INDIRECT("B21:B" &amp; ROW()))-1&lt;E200,表2_367162629303456[[#This Row],[累计净值]]/MAX(INDIRECT("B21:B" &amp; ROW()))-1,E200)</f>
        <v>-7.6929652107017299E-3</v>
      </c>
      <c r="F201" s="62">
        <f>表2_367162629303456[[#This Row],[累计净值]]-0.146</f>
        <v>1.0666</v>
      </c>
      <c r="G201" s="20">
        <f>表2_367162629303456[[#This Row],[累计净值]]/$B$21-1</f>
        <v>7.7962485554271321E-2</v>
      </c>
    </row>
    <row r="202" spans="1:7" x14ac:dyDescent="0.2">
      <c r="A202" s="55">
        <v>43977</v>
      </c>
      <c r="B202" s="112">
        <v>1.2148000000000001</v>
      </c>
      <c r="C202" s="108">
        <f t="shared" si="56"/>
        <v>2.2000000000002018E-3</v>
      </c>
      <c r="D202" s="109" t="str">
        <f t="shared" si="57"/>
        <v>/</v>
      </c>
      <c r="E202" s="109">
        <f ca="1">IF(表2_367162629303456[[#This Row],[累计净值]]/MAX(INDIRECT("B21:B" &amp; ROW()))-1&lt;E201,表2_367162629303456[[#This Row],[累计净值]]/MAX(INDIRECT("B21:B" &amp; ROW()))-1,E201)</f>
        <v>-7.6929652107017299E-3</v>
      </c>
      <c r="F202" s="62">
        <f>表2_367162629303456[[#This Row],[累计净值]]-0.146</f>
        <v>1.0688000000000002</v>
      </c>
      <c r="G202" s="20">
        <f>表2_367162629303456[[#This Row],[累计净值]]/$B$21-1</f>
        <v>7.9918214952440225E-2</v>
      </c>
    </row>
    <row r="203" spans="1:7" x14ac:dyDescent="0.2">
      <c r="A203" s="55">
        <v>43978</v>
      </c>
      <c r="B203" s="112">
        <v>1.2134</v>
      </c>
      <c r="C203" s="108">
        <f t="shared" si="56"/>
        <v>-1.4000000000000679E-3</v>
      </c>
      <c r="D203" s="109">
        <f t="shared" si="57"/>
        <v>-1.4000000000000679E-3</v>
      </c>
      <c r="E203" s="109">
        <f ca="1">IF(表2_367162629303456[[#This Row],[累计净值]]/MAX(INDIRECT("B21:B" &amp; ROW()))-1&lt;E202,表2_367162629303456[[#This Row],[累计净值]]/MAX(INDIRECT("B21:B" &amp; ROW()))-1,E202)</f>
        <v>-7.6929652107017299E-3</v>
      </c>
      <c r="F203" s="62">
        <f>表2_367162629303456[[#This Row],[累计净值]]-0.146</f>
        <v>1.0674000000000001</v>
      </c>
      <c r="G203" s="20">
        <f>表2_367162629303456[[#This Row],[累计净值]]/$B$21-1</f>
        <v>7.8673659880878377E-2</v>
      </c>
    </row>
    <row r="204" spans="1:7" x14ac:dyDescent="0.2">
      <c r="A204" s="55">
        <v>43979</v>
      </c>
      <c r="B204" s="112">
        <v>1.214</v>
      </c>
      <c r="C204" s="108">
        <f t="shared" ref="C204:C209" si="58">IFERROR(B204-B203,0)</f>
        <v>5.9999999999993392E-4</v>
      </c>
      <c r="D204" s="109" t="str">
        <f t="shared" ref="D204:D209" si="59">IF(C204&lt;0,C204,"/")</f>
        <v>/</v>
      </c>
      <c r="E204" s="109">
        <f ca="1">IF(表2_367162629303456[[#This Row],[累计净值]]/MAX(INDIRECT("B21:B" &amp; ROW()))-1&lt;E203,表2_367162629303456[[#This Row],[累计净值]]/MAX(INDIRECT("B21:B" &amp; ROW()))-1,E203)</f>
        <v>-7.6929652107017299E-3</v>
      </c>
      <c r="F204" s="62">
        <f>表2_367162629303456[[#This Row],[累计净值]]-0.146</f>
        <v>1.0680000000000001</v>
      </c>
      <c r="G204" s="20">
        <f>表2_367162629303456[[#This Row],[累计净值]]/$B$21-1</f>
        <v>7.9207040625833391E-2</v>
      </c>
    </row>
    <row r="205" spans="1:7" x14ac:dyDescent="0.2">
      <c r="A205" s="55">
        <v>43980</v>
      </c>
      <c r="B205" s="76">
        <v>1.216</v>
      </c>
      <c r="C205" s="108">
        <f t="shared" si="58"/>
        <v>2.0000000000000018E-3</v>
      </c>
      <c r="D205" s="109" t="str">
        <f t="shared" si="59"/>
        <v>/</v>
      </c>
      <c r="E205" s="109">
        <f ca="1">IF(表2_367162629303456[[#This Row],[累计净值]]/MAX(INDIRECT("B21:B" &amp; ROW()))-1&lt;E204,表2_367162629303456[[#This Row],[累计净值]]/MAX(INDIRECT("B21:B" &amp; ROW()))-1,E204)</f>
        <v>-7.6929652107017299E-3</v>
      </c>
      <c r="F205" s="62">
        <f>表2_367162629303456[[#This Row],[累计净值]]-0.146</f>
        <v>1.07</v>
      </c>
      <c r="G205" s="20">
        <f>表2_367162629303456[[#This Row],[累计净值]]/$B$21-1</f>
        <v>8.0984976442350476E-2</v>
      </c>
    </row>
    <row r="206" spans="1:7" x14ac:dyDescent="0.2">
      <c r="A206" s="55">
        <v>43983</v>
      </c>
      <c r="B206" s="112">
        <v>1.2135</v>
      </c>
      <c r="C206" s="108">
        <f t="shared" si="58"/>
        <v>-2.4999999999999467E-3</v>
      </c>
      <c r="D206" s="109">
        <f t="shared" si="59"/>
        <v>-2.4999999999999467E-3</v>
      </c>
      <c r="E206" s="109">
        <f ca="1">IF(表2_367162629303456[[#This Row],[累计净值]]/MAX(INDIRECT("B21:B" &amp; ROW()))-1&lt;E205,表2_367162629303456[[#This Row],[累计净值]]/MAX(INDIRECT("B21:B" &amp; ROW()))-1,E205)</f>
        <v>-7.6929652107017299E-3</v>
      </c>
      <c r="F206" s="62">
        <f>表2_367162629303456[[#This Row],[累计净值]]-0.146</f>
        <v>1.0675000000000001</v>
      </c>
      <c r="G206" s="20">
        <f>表2_367162629303456[[#This Row],[累计净值]]/$B$21-1</f>
        <v>7.8762556671704065E-2</v>
      </c>
    </row>
    <row r="207" spans="1:7" x14ac:dyDescent="0.2">
      <c r="A207" s="55">
        <v>43984</v>
      </c>
      <c r="B207" s="112">
        <v>1.2128000000000001</v>
      </c>
      <c r="C207" s="108">
        <f t="shared" si="58"/>
        <v>-6.9999999999992291E-4</v>
      </c>
      <c r="D207" s="109">
        <f t="shared" si="59"/>
        <v>-6.9999999999992291E-4</v>
      </c>
      <c r="E207" s="109">
        <f ca="1">IF(表2_367162629303456[[#This Row],[累计净值]]/MAX(INDIRECT("B21:B" &amp; ROW()))-1&lt;E206,表2_367162629303456[[#This Row],[累计净值]]/MAX(INDIRECT("B21:B" &amp; ROW()))-1,E206)</f>
        <v>-7.6929652107017299E-3</v>
      </c>
      <c r="F207" s="62">
        <f>表2_367162629303456[[#This Row],[累计净值]]-0.146</f>
        <v>1.0668000000000002</v>
      </c>
      <c r="G207" s="20">
        <f>表2_367162629303456[[#This Row],[累计净值]]/$B$21-1</f>
        <v>7.8140279135923363E-2</v>
      </c>
    </row>
    <row r="208" spans="1:7" x14ac:dyDescent="0.2">
      <c r="A208" s="55">
        <v>43985</v>
      </c>
      <c r="B208" s="112">
        <v>1.2121</v>
      </c>
      <c r="C208" s="108">
        <f t="shared" si="58"/>
        <v>-7.0000000000014495E-4</v>
      </c>
      <c r="D208" s="109">
        <f t="shared" si="59"/>
        <v>-7.0000000000014495E-4</v>
      </c>
      <c r="E208" s="109">
        <f ca="1">IF(表2_367162629303456[[#This Row],[累计净值]]/MAX(INDIRECT("B21:B" &amp; ROW()))-1&lt;E207,表2_367162629303456[[#This Row],[累计净值]]/MAX(INDIRECT("B21:B" &amp; ROW()))-1,E207)</f>
        <v>-7.6929652107017299E-3</v>
      </c>
      <c r="F208" s="62">
        <f>表2_367162629303456[[#This Row],[累计净值]]-0.146</f>
        <v>1.0661</v>
      </c>
      <c r="G208" s="20">
        <f>表2_367162629303456[[#This Row],[累计净值]]/$B$21-1</f>
        <v>7.7518001600142217E-2</v>
      </c>
    </row>
    <row r="209" spans="1:7" x14ac:dyDescent="0.2">
      <c r="A209" s="55">
        <v>43986</v>
      </c>
      <c r="B209" s="112">
        <v>1.2138</v>
      </c>
      <c r="C209" s="108">
        <f t="shared" si="58"/>
        <v>1.7000000000000348E-3</v>
      </c>
      <c r="D209" s="109" t="str">
        <f t="shared" si="59"/>
        <v>/</v>
      </c>
      <c r="E209" s="109">
        <f ca="1">IF(表2_367162629303456[[#This Row],[累计净值]]/MAX(INDIRECT("B21:B" &amp; ROW()))-1&lt;E208,表2_367162629303456[[#This Row],[累计净值]]/MAX(INDIRECT("B21:B" &amp; ROW()))-1,E208)</f>
        <v>-7.6929652107017299E-3</v>
      </c>
      <c r="F209" s="62">
        <f>表2_367162629303456[[#This Row],[累计净值]]-0.146</f>
        <v>1.0678000000000001</v>
      </c>
      <c r="G209" s="20">
        <f>表2_367162629303456[[#This Row],[累计净值]]/$B$21-1</f>
        <v>7.9029247044181794E-2</v>
      </c>
    </row>
    <row r="210" spans="1:7" x14ac:dyDescent="0.2">
      <c r="A210" s="55">
        <v>43987</v>
      </c>
      <c r="B210" s="112">
        <v>1.2154</v>
      </c>
      <c r="C210" s="108">
        <f t="shared" ref="C210:C215" si="60">IFERROR(B210-B209,0)</f>
        <v>1.6000000000000458E-3</v>
      </c>
      <c r="D210" s="109" t="str">
        <f t="shared" ref="D210:D215" si="61">IF(C210&lt;0,C210,"/")</f>
        <v>/</v>
      </c>
      <c r="E210" s="109">
        <f ca="1">IF(表2_367162629303456[[#This Row],[累计净值]]/MAX(INDIRECT("B21:B" &amp; ROW()))-1&lt;E209,表2_367162629303456[[#This Row],[累计净值]]/MAX(INDIRECT("B21:B" &amp; ROW()))-1,E209)</f>
        <v>-7.6929652107017299E-3</v>
      </c>
      <c r="F210" s="62">
        <f>表2_367162629303456[[#This Row],[累计净值]]-0.146</f>
        <v>1.0694000000000001</v>
      </c>
      <c r="G210" s="20">
        <f>表2_367162629303456[[#This Row],[累计净值]]/$B$21-1</f>
        <v>8.045159569739524E-2</v>
      </c>
    </row>
    <row r="211" spans="1:7" x14ac:dyDescent="0.2">
      <c r="A211" s="55">
        <v>43990</v>
      </c>
      <c r="B211" s="112">
        <v>1.2168000000000001</v>
      </c>
      <c r="C211" s="108">
        <f t="shared" si="60"/>
        <v>1.4000000000000679E-3</v>
      </c>
      <c r="D211" s="109" t="str">
        <f t="shared" si="61"/>
        <v>/</v>
      </c>
      <c r="E211" s="109">
        <f ca="1">IF(表2_367162629303456[[#This Row],[累计净值]]/MAX(INDIRECT("B21:B" &amp; ROW()))-1&lt;E210,表2_367162629303456[[#This Row],[累计净值]]/MAX(INDIRECT("B21:B" &amp; ROW()))-1,E210)</f>
        <v>-7.6929652107017299E-3</v>
      </c>
      <c r="F211" s="62">
        <f>表2_367162629303456[[#This Row],[累计净值]]-0.146</f>
        <v>1.0708000000000002</v>
      </c>
      <c r="G211" s="20">
        <f>表2_367162629303456[[#This Row],[累计净值]]/$B$21-1</f>
        <v>8.169615076895731E-2</v>
      </c>
    </row>
    <row r="212" spans="1:7" x14ac:dyDescent="0.2">
      <c r="A212" s="55">
        <v>43991</v>
      </c>
      <c r="B212" s="112">
        <v>1.2177</v>
      </c>
      <c r="C212" s="108">
        <f t="shared" si="60"/>
        <v>8.9999999999990088E-4</v>
      </c>
      <c r="D212" s="109" t="str">
        <f t="shared" si="61"/>
        <v>/</v>
      </c>
      <c r="E212" s="109">
        <f ca="1">IF(表2_367162629303456[[#This Row],[累计净值]]/MAX(INDIRECT("B21:B" &amp; ROW()))-1&lt;E211,表2_367162629303456[[#This Row],[累计净值]]/MAX(INDIRECT("B21:B" &amp; ROW()))-1,E211)</f>
        <v>-7.6929652107017299E-3</v>
      </c>
      <c r="F212" s="62">
        <f>表2_367162629303456[[#This Row],[累计净值]]-0.146</f>
        <v>1.0717000000000001</v>
      </c>
      <c r="G212" s="20">
        <f>表2_367162629303456[[#This Row],[累计净值]]/$B$21-1</f>
        <v>8.2496221886389831E-2</v>
      </c>
    </row>
    <row r="213" spans="1:7" x14ac:dyDescent="0.2">
      <c r="A213" s="55">
        <v>43992</v>
      </c>
      <c r="B213" s="112">
        <v>1.2191000000000001</v>
      </c>
      <c r="C213" s="108">
        <f t="shared" si="60"/>
        <v>1.4000000000000679E-3</v>
      </c>
      <c r="D213" s="109" t="str">
        <f t="shared" si="61"/>
        <v>/</v>
      </c>
      <c r="E213" s="109">
        <f ca="1">IF(表2_367162629303456[[#This Row],[累计净值]]/MAX(INDIRECT("B21:B" &amp; ROW()))-1&lt;E212,表2_367162629303456[[#This Row],[累计净值]]/MAX(INDIRECT("B21:B" &amp; ROW()))-1,E212)</f>
        <v>-7.6929652107017299E-3</v>
      </c>
      <c r="F213" s="62">
        <f>表2_367162629303456[[#This Row],[累计净值]]-0.146</f>
        <v>1.0731000000000002</v>
      </c>
      <c r="G213" s="20">
        <f>表2_367162629303456[[#This Row],[累计净值]]/$B$21-1</f>
        <v>8.3740776957951901E-2</v>
      </c>
    </row>
    <row r="214" spans="1:7" x14ac:dyDescent="0.2">
      <c r="A214" s="55">
        <v>43993</v>
      </c>
      <c r="B214" s="112">
        <v>1.2232000000000001</v>
      </c>
      <c r="C214" s="108">
        <f t="shared" si="60"/>
        <v>4.0999999999999925E-3</v>
      </c>
      <c r="D214" s="109" t="str">
        <f t="shared" si="61"/>
        <v>/</v>
      </c>
      <c r="E214" s="109">
        <f ca="1">IF(表2_367162629303456[[#This Row],[累计净值]]/MAX(INDIRECT("B21:B" &amp; ROW()))-1&lt;E213,表2_367162629303456[[#This Row],[累计净值]]/MAX(INDIRECT("B21:B" &amp; ROW()))-1,E213)</f>
        <v>-7.6929652107017299E-3</v>
      </c>
      <c r="F214" s="62">
        <f>表2_367162629303456[[#This Row],[累计净值]]-0.146</f>
        <v>1.0772000000000002</v>
      </c>
      <c r="G214" s="20">
        <f>表2_367162629303456[[#This Row],[累计净值]]/$B$21-1</f>
        <v>8.7385545381811758E-2</v>
      </c>
    </row>
    <row r="215" spans="1:7" x14ac:dyDescent="0.2">
      <c r="A215" s="55">
        <v>43994</v>
      </c>
      <c r="B215" s="112">
        <v>1.2223999999999999</v>
      </c>
      <c r="C215" s="108">
        <f t="shared" si="60"/>
        <v>-8.0000000000013394E-4</v>
      </c>
      <c r="D215" s="109">
        <f t="shared" si="61"/>
        <v>-8.0000000000013394E-4</v>
      </c>
      <c r="E215" s="109">
        <f ca="1">IF(表2_367162629303456[[#This Row],[累计净值]]/MAX(INDIRECT("B21:B" &amp; ROW()))-1&lt;E214,表2_367162629303456[[#This Row],[累计净值]]/MAX(INDIRECT("B21:B" &amp; ROW()))-1,E214)</f>
        <v>-7.6929652107017299E-3</v>
      </c>
      <c r="F215" s="62">
        <f>表2_367162629303456[[#This Row],[累计净值]]-0.146</f>
        <v>1.0764</v>
      </c>
      <c r="G215" s="20">
        <f>表2_367162629303456[[#This Row],[累计净值]]/$B$21-1</f>
        <v>8.6674371055204924E-2</v>
      </c>
    </row>
    <row r="216" spans="1:7" x14ac:dyDescent="0.2">
      <c r="A216" s="55">
        <v>43997</v>
      </c>
      <c r="B216" s="112">
        <v>1.2234</v>
      </c>
      <c r="C216" s="108">
        <f t="shared" ref="C216:C221" si="62">IFERROR(B216-B215,0)</f>
        <v>1.0000000000001119E-3</v>
      </c>
      <c r="D216" s="109" t="str">
        <f t="shared" ref="D216:D221" si="63">IF(C216&lt;0,C216,"/")</f>
        <v>/</v>
      </c>
      <c r="E216" s="109">
        <f ca="1">IF(表2_367162629303456[[#This Row],[累计净值]]/MAX(INDIRECT("B21:B" &amp; ROW()))-1&lt;E215,表2_367162629303456[[#This Row],[累计净值]]/MAX(INDIRECT("B21:B" &amp; ROW()))-1,E215)</f>
        <v>-7.6929652107017299E-3</v>
      </c>
      <c r="F216" s="62">
        <f>表2_367162629303456[[#This Row],[累计净值]]-0.146</f>
        <v>1.0774000000000001</v>
      </c>
      <c r="G216" s="20">
        <f>表2_367162629303456[[#This Row],[累计净值]]/$B$21-1</f>
        <v>8.7563338963463355E-2</v>
      </c>
    </row>
    <row r="217" spans="1:7" x14ac:dyDescent="0.2">
      <c r="A217" s="55">
        <v>43998</v>
      </c>
      <c r="B217" s="76">
        <v>1.2238</v>
      </c>
      <c r="C217" s="108">
        <f t="shared" si="62"/>
        <v>3.9999999999995595E-4</v>
      </c>
      <c r="D217" s="109" t="str">
        <f t="shared" si="63"/>
        <v>/</v>
      </c>
      <c r="E217" s="109">
        <f ca="1">IF(表2_367162629303456[[#This Row],[累计净值]]/MAX(INDIRECT("B21:B" &amp; ROW()))-1&lt;E216,表2_367162629303456[[#This Row],[累计净值]]/MAX(INDIRECT("B21:B" &amp; ROW()))-1,E216)</f>
        <v>-7.6929652107017299E-3</v>
      </c>
      <c r="F217" s="62">
        <f>表2_367162629303456[[#This Row],[累计净值]]-0.146</f>
        <v>1.0778000000000001</v>
      </c>
      <c r="G217" s="20">
        <f>表2_367162629303456[[#This Row],[累计净值]]/$B$21-1</f>
        <v>8.7918926126766772E-2</v>
      </c>
    </row>
    <row r="218" spans="1:7" x14ac:dyDescent="0.2">
      <c r="A218" s="55">
        <v>43999</v>
      </c>
      <c r="B218" s="112">
        <v>1.2233000000000001</v>
      </c>
      <c r="C218" s="108">
        <f t="shared" si="62"/>
        <v>-4.9999999999994493E-4</v>
      </c>
      <c r="D218" s="109">
        <f t="shared" si="63"/>
        <v>-4.9999999999994493E-4</v>
      </c>
      <c r="E218" s="109">
        <f ca="1">IF(表2_367162629303456[[#This Row],[累计净值]]/MAX(INDIRECT("B21:B" &amp; ROW()))-1&lt;E217,表2_367162629303456[[#This Row],[累计净值]]/MAX(INDIRECT("B21:B" &amp; ROW()))-1,E217)</f>
        <v>-7.6929652107017299E-3</v>
      </c>
      <c r="F218" s="62">
        <f>表2_367162629303456[[#This Row],[累计净值]]-0.146</f>
        <v>1.0773000000000001</v>
      </c>
      <c r="G218" s="20">
        <f>表2_367162629303456[[#This Row],[累计净值]]/$B$21-1</f>
        <v>8.7474442172637668E-2</v>
      </c>
    </row>
    <row r="219" spans="1:7" x14ac:dyDescent="0.2">
      <c r="A219" s="55">
        <v>44000</v>
      </c>
      <c r="B219" s="112">
        <v>1.2196</v>
      </c>
      <c r="C219" s="108">
        <f t="shared" si="62"/>
        <v>-3.7000000000000366E-3</v>
      </c>
      <c r="D219" s="109">
        <f t="shared" si="63"/>
        <v>-3.7000000000000366E-3</v>
      </c>
      <c r="E219" s="109">
        <f ca="1">IF(表2_367162629303456[[#This Row],[累计净值]]/MAX(INDIRECT("B21:B" &amp; ROW()))-1&lt;E218,表2_367162629303456[[#This Row],[累计净值]]/MAX(INDIRECT("B21:B" &amp; ROW()))-1,E218)</f>
        <v>-7.6929652107017299E-3</v>
      </c>
      <c r="F219" s="62">
        <f>表2_367162629303456[[#This Row],[累计净值]]-0.146</f>
        <v>1.0736000000000001</v>
      </c>
      <c r="G219" s="20">
        <f>表2_367162629303456[[#This Row],[累计净值]]/$B$21-1</f>
        <v>8.4185260912081006E-2</v>
      </c>
    </row>
    <row r="220" spans="1:7" x14ac:dyDescent="0.2">
      <c r="A220" s="55">
        <v>44001</v>
      </c>
      <c r="B220" s="112">
        <v>1.2116</v>
      </c>
      <c r="C220" s="108">
        <f t="shared" si="62"/>
        <v>-8.0000000000000071E-3</v>
      </c>
      <c r="D220" s="109">
        <f t="shared" si="63"/>
        <v>-8.0000000000000071E-3</v>
      </c>
      <c r="E220" s="109">
        <f ca="1">IF(表2_367162629303456[[#This Row],[累计净值]]/MAX(INDIRECT("B21:B" &amp; ROW()))-1&lt;E219,表2_367162629303456[[#This Row],[累计净值]]/MAX(INDIRECT("B21:B" &amp; ROW()))-1,E219)</f>
        <v>-9.9689491747017023E-3</v>
      </c>
      <c r="F220" s="62">
        <f>表2_367162629303456[[#This Row],[累计净值]]-0.146</f>
        <v>1.0656000000000001</v>
      </c>
      <c r="G220" s="20">
        <f>表2_367162629303456[[#This Row],[累计净值]]/$B$21-1</f>
        <v>7.707351764601289E-2</v>
      </c>
    </row>
    <row r="221" spans="1:7" x14ac:dyDescent="0.2">
      <c r="A221" s="55">
        <v>44004</v>
      </c>
      <c r="B221" s="112">
        <v>1.21</v>
      </c>
      <c r="C221" s="108">
        <f t="shared" si="62"/>
        <v>-1.6000000000000458E-3</v>
      </c>
      <c r="D221" s="109">
        <f t="shared" si="63"/>
        <v>-1.6000000000000458E-3</v>
      </c>
      <c r="E221" s="109">
        <f ca="1">IF(表2_367162629303456[[#This Row],[累计净值]]/MAX(INDIRECT("B21:B" &amp; ROW()))-1&lt;E220,表2_367162629303456[[#This Row],[累计净值]]/MAX(INDIRECT("B21:B" &amp; ROW()))-1,E220)</f>
        <v>-1.127635234515445E-2</v>
      </c>
      <c r="F221" s="62">
        <f>表2_367162629303456[[#This Row],[累计净值]]-0.146</f>
        <v>1.0640000000000001</v>
      </c>
      <c r="G221" s="20">
        <f>表2_367162629303456[[#This Row],[累计净值]]/$B$21-1</f>
        <v>7.5651168992799223E-2</v>
      </c>
    </row>
    <row r="222" spans="1:7" x14ac:dyDescent="0.2">
      <c r="A222" s="55">
        <v>44005</v>
      </c>
      <c r="B222" s="112">
        <v>1.2152000000000001</v>
      </c>
      <c r="C222" s="108">
        <f t="shared" ref="C222:C227" si="64">IFERROR(B222-B221,0)</f>
        <v>5.2000000000000934E-3</v>
      </c>
      <c r="D222" s="109" t="str">
        <f t="shared" ref="D222:D227" si="65">IF(C222&lt;0,C222,"/")</f>
        <v>/</v>
      </c>
      <c r="E222" s="109">
        <f ca="1">IF(表2_367162629303456[[#This Row],[累计净值]]/MAX(INDIRECT("B21:B" &amp; ROW()))-1&lt;E221,表2_367162629303456[[#This Row],[累计净值]]/MAX(INDIRECT("B21:B" &amp; ROW()))-1,E221)</f>
        <v>-1.127635234515445E-2</v>
      </c>
      <c r="F222" s="62">
        <f>表2_367162629303456[[#This Row],[累计净值]]-0.146</f>
        <v>1.0692000000000002</v>
      </c>
      <c r="G222" s="20">
        <f>表2_367162629303456[[#This Row],[累计净值]]/$B$21-1</f>
        <v>8.0273802115743642E-2</v>
      </c>
    </row>
    <row r="223" spans="1:7" x14ac:dyDescent="0.2">
      <c r="A223" s="55">
        <v>44006</v>
      </c>
      <c r="B223" s="112">
        <v>1.2143999999999999</v>
      </c>
      <c r="C223" s="108">
        <f t="shared" si="64"/>
        <v>-8.0000000000013394E-4</v>
      </c>
      <c r="D223" s="109">
        <f t="shared" si="65"/>
        <v>-8.0000000000013394E-4</v>
      </c>
      <c r="E223" s="109">
        <f ca="1">IF(表2_367162629303456[[#This Row],[累计净值]]/MAX(INDIRECT("B21:B" &amp; ROW()))-1&lt;E222,表2_367162629303456[[#This Row],[累计净值]]/MAX(INDIRECT("B21:B" &amp; ROW()))-1,E222)</f>
        <v>-1.127635234515445E-2</v>
      </c>
      <c r="F223" s="62">
        <f>表2_367162629303456[[#This Row],[累计净值]]-0.146</f>
        <v>1.0684</v>
      </c>
      <c r="G223" s="20">
        <f>表2_367162629303456[[#This Row],[累计净值]]/$B$21-1</f>
        <v>7.9562627789136808E-2</v>
      </c>
    </row>
    <row r="224" spans="1:7" x14ac:dyDescent="0.2">
      <c r="A224" s="55">
        <v>44011</v>
      </c>
      <c r="B224" s="112">
        <v>1.216</v>
      </c>
      <c r="C224" s="108">
        <f t="shared" si="64"/>
        <v>1.6000000000000458E-3</v>
      </c>
      <c r="D224" s="109" t="str">
        <f t="shared" si="65"/>
        <v>/</v>
      </c>
      <c r="E224" s="109">
        <f ca="1">IF(表2_367162629303456[[#This Row],[累计净值]]/MAX(INDIRECT("B21:B" &amp; ROW()))-1&lt;E223,表2_367162629303456[[#This Row],[累计净值]]/MAX(INDIRECT("B21:B" &amp; ROW()))-1,E223)</f>
        <v>-1.127635234515445E-2</v>
      </c>
      <c r="F224" s="62">
        <f>表2_367162629303456[[#This Row],[累计净值]]-0.146</f>
        <v>1.07</v>
      </c>
      <c r="G224" s="20">
        <f>表2_367162629303456[[#This Row],[累计净值]]/$B$21-1</f>
        <v>8.0984976442350476E-2</v>
      </c>
    </row>
    <row r="225" spans="1:7" x14ac:dyDescent="0.2">
      <c r="A225" s="55">
        <v>44012</v>
      </c>
      <c r="B225" s="112">
        <v>1.2183999999999999</v>
      </c>
      <c r="C225" s="108">
        <f t="shared" si="64"/>
        <v>2.3999999999999577E-3</v>
      </c>
      <c r="D225" s="109" t="str">
        <f t="shared" si="65"/>
        <v>/</v>
      </c>
      <c r="E225" s="109">
        <f ca="1">IF(表2_367162629303456[[#This Row],[累计净值]]/MAX(INDIRECT("B21:B" &amp; ROW()))-1&lt;E224,表2_367162629303456[[#This Row],[累计净值]]/MAX(INDIRECT("B21:B" &amp; ROW()))-1,E224)</f>
        <v>-1.127635234515445E-2</v>
      </c>
      <c r="F225" s="62">
        <f>表2_367162629303456[[#This Row],[累计净值]]-0.146</f>
        <v>1.0724</v>
      </c>
      <c r="G225" s="20">
        <f>表2_367162629303456[[#This Row],[累计净值]]/$B$21-1</f>
        <v>8.3118499422170755E-2</v>
      </c>
    </row>
    <row r="226" spans="1:7" x14ac:dyDescent="0.2">
      <c r="A226" s="55">
        <v>44013</v>
      </c>
      <c r="B226" s="112">
        <v>1.2212000000000001</v>
      </c>
      <c r="C226" s="108">
        <f t="shared" si="64"/>
        <v>2.8000000000001357E-3</v>
      </c>
      <c r="D226" s="109" t="str">
        <f t="shared" si="65"/>
        <v>/</v>
      </c>
      <c r="E226" s="109">
        <f ca="1">IF(表2_367162629303456[[#This Row],[累计净值]]/MAX(INDIRECT("B21:B" &amp; ROW()))-1&lt;E225,表2_367162629303456[[#This Row],[累计净值]]/MAX(INDIRECT("B21:B" &amp; ROW()))-1,E225)</f>
        <v>-1.127635234515445E-2</v>
      </c>
      <c r="F226" s="62">
        <f>表2_367162629303456[[#This Row],[累计净值]]-0.146</f>
        <v>1.0752000000000002</v>
      </c>
      <c r="G226" s="20">
        <f>表2_367162629303456[[#This Row],[累计净值]]/$B$21-1</f>
        <v>8.5607609565294673E-2</v>
      </c>
    </row>
    <row r="227" spans="1:7" x14ac:dyDescent="0.2">
      <c r="A227" s="55">
        <v>44014</v>
      </c>
      <c r="B227" s="112">
        <v>1.2123999999999999</v>
      </c>
      <c r="C227" s="108">
        <f t="shared" si="64"/>
        <v>-8.800000000000141E-3</v>
      </c>
      <c r="D227" s="109">
        <f t="shared" si="65"/>
        <v>-8.800000000000141E-3</v>
      </c>
      <c r="E227" s="109">
        <f ca="1">IF(表2_367162629303456[[#This Row],[累计净值]]/MAX(INDIRECT("B21:B" &amp; ROW()))-1&lt;E226,表2_367162629303456[[#This Row],[累计净值]]/MAX(INDIRECT("B21:B" &amp; ROW()))-1,E226)</f>
        <v>-1.127635234515445E-2</v>
      </c>
      <c r="F227" s="62">
        <f>表2_367162629303456[[#This Row],[累计净值]]-0.146</f>
        <v>1.0664</v>
      </c>
      <c r="G227" s="20">
        <f>表2_367162629303456[[#This Row],[累计净值]]/$B$21-1</f>
        <v>7.7784691972619724E-2</v>
      </c>
    </row>
    <row r="228" spans="1:7" x14ac:dyDescent="0.2">
      <c r="A228" s="55">
        <v>44015</v>
      </c>
      <c r="B228" s="112">
        <v>1.2141</v>
      </c>
      <c r="C228" s="108">
        <f t="shared" ref="C228:C233" si="66">IFERROR(B228-B227,0)</f>
        <v>1.7000000000000348E-3</v>
      </c>
      <c r="D228" s="109" t="str">
        <f t="shared" ref="D228:D233" si="67">IF(C228&lt;0,C228,"/")</f>
        <v>/</v>
      </c>
      <c r="E228" s="109">
        <f ca="1">IF(表2_367162629303456[[#This Row],[累计净值]]/MAX(INDIRECT("B21:B" &amp; ROW()))-1&lt;E227,表2_367162629303456[[#This Row],[累计净值]]/MAX(INDIRECT("B21:B" &amp; ROW()))-1,E227)</f>
        <v>-1.127635234515445E-2</v>
      </c>
      <c r="F228" s="62">
        <f>表2_367162629303456[[#This Row],[累计净值]]-0.146</f>
        <v>1.0681</v>
      </c>
      <c r="G228" s="20">
        <f>表2_367162629303456[[#This Row],[累计净值]]/$B$21-1</f>
        <v>7.9295937416659301E-2</v>
      </c>
    </row>
    <row r="229" spans="1:7" x14ac:dyDescent="0.2">
      <c r="A229" s="55">
        <v>44018</v>
      </c>
      <c r="B229" s="112">
        <v>1.1919999999999999</v>
      </c>
      <c r="C229" s="108">
        <f t="shared" si="66"/>
        <v>-2.2100000000000009E-2</v>
      </c>
      <c r="D229" s="109">
        <f t="shared" si="67"/>
        <v>-2.2100000000000009E-2</v>
      </c>
      <c r="E229" s="109">
        <f ca="1">IF(表2_367162629303456[[#This Row],[累计净值]]/MAX(INDIRECT("B21:B" &amp; ROW()))-1&lt;E228,表2_367162629303456[[#This Row],[累计净值]]/MAX(INDIRECT("B21:B" &amp; ROW()))-1,E228)</f>
        <v>-2.5984638012747197E-2</v>
      </c>
      <c r="F229" s="62">
        <f>表2_367162629303456[[#This Row],[累计净值]]-0.146</f>
        <v>1.046</v>
      </c>
      <c r="G229" s="20">
        <f>表2_367162629303456[[#This Row],[累计净值]]/$B$21-1</f>
        <v>5.9649746644146129E-2</v>
      </c>
    </row>
    <row r="230" spans="1:7" x14ac:dyDescent="0.2">
      <c r="A230" s="55">
        <v>44019</v>
      </c>
      <c r="B230" s="112">
        <v>1.194</v>
      </c>
      <c r="C230" s="108">
        <f t="shared" si="66"/>
        <v>2.0000000000000018E-3</v>
      </c>
      <c r="D230" s="109" t="str">
        <f t="shared" si="67"/>
        <v>/</v>
      </c>
      <c r="E230" s="109">
        <f ca="1">IF(表2_367162629303456[[#This Row],[累计净值]]/MAX(INDIRECT("B21:B" &amp; ROW()))-1&lt;E229,表2_367162629303456[[#This Row],[累计净值]]/MAX(INDIRECT("B21:B" &amp; ROW()))-1,E229)</f>
        <v>-2.5984638012747197E-2</v>
      </c>
      <c r="F230" s="62">
        <f>表2_367162629303456[[#This Row],[累计净值]]-0.146</f>
        <v>1.048</v>
      </c>
      <c r="G230" s="20">
        <f>表2_367162629303456[[#This Row],[累计净值]]/$B$21-1</f>
        <v>6.1427682460663213E-2</v>
      </c>
    </row>
    <row r="231" spans="1:7" x14ac:dyDescent="0.2">
      <c r="A231" s="55">
        <v>44020</v>
      </c>
      <c r="B231" s="112">
        <v>1.2063999999999999</v>
      </c>
      <c r="C231" s="108">
        <f t="shared" si="66"/>
        <v>1.2399999999999967E-2</v>
      </c>
      <c r="D231" s="109" t="str">
        <f t="shared" si="67"/>
        <v>/</v>
      </c>
      <c r="E231" s="109">
        <f ca="1">IF(表2_367162629303456[[#This Row],[累计净值]]/MAX(INDIRECT("B21:B" &amp; ROW()))-1&lt;E230,表2_367162629303456[[#This Row],[累计净值]]/MAX(INDIRECT("B21:B" &amp; ROW()))-1,E230)</f>
        <v>-2.5984638012747197E-2</v>
      </c>
      <c r="F231" s="62">
        <f>表2_367162629303456[[#This Row],[累计净值]]-0.146</f>
        <v>1.0604</v>
      </c>
      <c r="G231" s="20">
        <f>表2_367162629303456[[#This Row],[累计净值]]/$B$21-1</f>
        <v>7.2450884523068693E-2</v>
      </c>
    </row>
    <row r="232" spans="1:7" x14ac:dyDescent="0.2">
      <c r="A232" s="55">
        <v>44021</v>
      </c>
      <c r="B232" s="112">
        <v>1.212</v>
      </c>
      <c r="C232" s="108">
        <f t="shared" si="66"/>
        <v>5.6000000000000494E-3</v>
      </c>
      <c r="D232" s="109" t="str">
        <f t="shared" si="67"/>
        <v>/</v>
      </c>
      <c r="E232" s="109">
        <f ca="1">IF(表2_367162629303456[[#This Row],[累计净值]]/MAX(INDIRECT("B21:B" &amp; ROW()))-1&lt;E231,表2_367162629303456[[#This Row],[累计净值]]/MAX(INDIRECT("B21:B" &amp; ROW()))-1,E231)</f>
        <v>-2.5984638012747197E-2</v>
      </c>
      <c r="F232" s="62">
        <f>表2_367162629303456[[#This Row],[累计净值]]-0.146</f>
        <v>1.0660000000000001</v>
      </c>
      <c r="G232" s="20">
        <f>表2_367162629303456[[#This Row],[累计净值]]/$B$21-1</f>
        <v>7.7429104809316307E-2</v>
      </c>
    </row>
    <row r="233" spans="1:7" x14ac:dyDescent="0.2">
      <c r="A233" s="55">
        <v>44022</v>
      </c>
      <c r="B233" s="112">
        <v>1.2084999999999999</v>
      </c>
      <c r="C233" s="108">
        <f t="shared" si="66"/>
        <v>-3.5000000000000586E-3</v>
      </c>
      <c r="D233" s="109">
        <f t="shared" si="67"/>
        <v>-3.5000000000000586E-3</v>
      </c>
      <c r="E233" s="109">
        <f ca="1">IF(表2_367162629303456[[#This Row],[累计净值]]/MAX(INDIRECT("B21:B" &amp; ROW()))-1&lt;E232,表2_367162629303456[[#This Row],[累计净值]]/MAX(INDIRECT("B21:B" &amp; ROW()))-1,E232)</f>
        <v>-2.5984638012747197E-2</v>
      </c>
      <c r="F233" s="62">
        <f>表2_367162629303456[[#This Row],[累计净值]]-0.146</f>
        <v>1.0625</v>
      </c>
      <c r="G233" s="20">
        <f>表2_367162629303456[[#This Row],[累计净值]]/$B$21-1</f>
        <v>7.4317717130411465E-2</v>
      </c>
    </row>
    <row r="234" spans="1:7" x14ac:dyDescent="0.2">
      <c r="A234" s="55">
        <v>44025</v>
      </c>
      <c r="B234" s="112">
        <v>1.2149000000000001</v>
      </c>
      <c r="C234" s="108">
        <f t="shared" ref="C234:C239" si="68">IFERROR(B234-B233,0)</f>
        <v>6.4000000000001833E-3</v>
      </c>
      <c r="D234" s="109" t="str">
        <f t="shared" ref="D234:D239" si="69">IF(C234&lt;0,C234,"/")</f>
        <v>/</v>
      </c>
      <c r="E234" s="109">
        <f ca="1">IF(表2_367162629303456[[#This Row],[累计净值]]/MAX(INDIRECT("B21:B" &amp; ROW()))-1&lt;E233,表2_367162629303456[[#This Row],[累计净值]]/MAX(INDIRECT("B21:B" &amp; ROW()))-1,E233)</f>
        <v>-2.5984638012747197E-2</v>
      </c>
      <c r="F234" s="62">
        <f>表2_367162629303456[[#This Row],[累计净值]]-0.146</f>
        <v>1.0689000000000002</v>
      </c>
      <c r="G234" s="20">
        <f>表2_367162629303456[[#This Row],[累计净值]]/$B$21-1</f>
        <v>8.0007111743266135E-2</v>
      </c>
    </row>
    <row r="235" spans="1:7" x14ac:dyDescent="0.2">
      <c r="A235" s="55">
        <v>44026</v>
      </c>
      <c r="B235" s="112">
        <v>1.2214</v>
      </c>
      <c r="C235" s="108">
        <f t="shared" si="68"/>
        <v>6.4999999999999503E-3</v>
      </c>
      <c r="D235" s="109" t="str">
        <f t="shared" si="69"/>
        <v>/</v>
      </c>
      <c r="E235" s="109">
        <f ca="1">IF(表2_367162629303456[[#This Row],[累计净值]]/MAX(INDIRECT("B21:B" &amp; ROW()))-1&lt;E234,表2_367162629303456[[#This Row],[累计净值]]/MAX(INDIRECT("B21:B" &amp; ROW()))-1,E234)</f>
        <v>-2.5984638012747197E-2</v>
      </c>
      <c r="F235" s="62">
        <f>表2_367162629303456[[#This Row],[累计净值]]-0.146</f>
        <v>1.0754000000000001</v>
      </c>
      <c r="G235" s="20">
        <f>表2_367162629303456[[#This Row],[累计净值]]/$B$21-1</f>
        <v>8.5785403146946493E-2</v>
      </c>
    </row>
    <row r="236" spans="1:7" x14ac:dyDescent="0.2">
      <c r="A236" s="55">
        <v>44027</v>
      </c>
      <c r="B236" s="112">
        <v>1.2132000000000001</v>
      </c>
      <c r="C236" s="108">
        <f t="shared" si="68"/>
        <v>-8.1999999999999851E-3</v>
      </c>
      <c r="D236" s="109">
        <f t="shared" si="69"/>
        <v>-8.1999999999999851E-3</v>
      </c>
      <c r="E236" s="109">
        <f ca="1">IF(表2_367162629303456[[#This Row],[累计净值]]/MAX(INDIRECT("B21:B" &amp; ROW()))-1&lt;E235,表2_367162629303456[[#This Row],[累计净值]]/MAX(INDIRECT("B21:B" &amp; ROW()))-1,E235)</f>
        <v>-2.5984638012747197E-2</v>
      </c>
      <c r="F236" s="62">
        <f>表2_367162629303456[[#This Row],[累计净值]]-0.146</f>
        <v>1.0672000000000001</v>
      </c>
      <c r="G236" s="20">
        <f>表2_367162629303456[[#This Row],[累计净值]]/$B$21-1</f>
        <v>7.8495866299226558E-2</v>
      </c>
    </row>
    <row r="237" spans="1:7" x14ac:dyDescent="0.2">
      <c r="A237" s="55">
        <v>44028</v>
      </c>
      <c r="B237" s="112">
        <v>1.2152000000000001</v>
      </c>
      <c r="C237" s="108">
        <f t="shared" si="68"/>
        <v>2.0000000000000018E-3</v>
      </c>
      <c r="D237" s="109" t="str">
        <f t="shared" si="69"/>
        <v>/</v>
      </c>
      <c r="E237" s="109">
        <f ca="1">IF(表2_367162629303456[[#This Row],[累计净值]]/MAX(INDIRECT("B21:B" &amp; ROW()))-1&lt;E236,表2_367162629303456[[#This Row],[累计净值]]/MAX(INDIRECT("B21:B" &amp; ROW()))-1,E236)</f>
        <v>-2.5984638012747197E-2</v>
      </c>
      <c r="F237" s="62">
        <f>表2_367162629303456[[#This Row],[累计净值]]-0.146</f>
        <v>1.0692000000000002</v>
      </c>
      <c r="G237" s="20">
        <f>表2_367162629303456[[#This Row],[累计净值]]/$B$21-1</f>
        <v>8.0273802115743642E-2</v>
      </c>
    </row>
    <row r="238" spans="1:7" x14ac:dyDescent="0.2">
      <c r="A238" s="55">
        <v>44029</v>
      </c>
      <c r="B238" s="112">
        <v>1.2241</v>
      </c>
      <c r="C238" s="108">
        <f t="shared" si="68"/>
        <v>8.899999999999908E-3</v>
      </c>
      <c r="D238" s="109" t="str">
        <f t="shared" si="69"/>
        <v>/</v>
      </c>
      <c r="E238" s="109">
        <f ca="1">IF(表2_367162629303456[[#This Row],[累计净值]]/MAX(INDIRECT("B21:B" &amp; ROW()))-1&lt;E237,表2_367162629303456[[#This Row],[累计净值]]/MAX(INDIRECT("B21:B" &amp; ROW()))-1,E237)</f>
        <v>-2.5984638012747197E-2</v>
      </c>
      <c r="F238" s="62">
        <f>表2_367162629303456[[#This Row],[累计净值]]-0.146</f>
        <v>1.0781000000000001</v>
      </c>
      <c r="G238" s="20">
        <f>表2_367162629303456[[#This Row],[累计净值]]/$B$21-1</f>
        <v>8.8185616499244279E-2</v>
      </c>
    </row>
    <row r="239" spans="1:7" x14ac:dyDescent="0.2">
      <c r="A239" s="55">
        <v>44032</v>
      </c>
      <c r="B239" s="112">
        <v>1.2303999999999999</v>
      </c>
      <c r="C239" s="108">
        <f t="shared" si="68"/>
        <v>6.2999999999999723E-3</v>
      </c>
      <c r="D239" s="109" t="str">
        <f t="shared" si="69"/>
        <v>/</v>
      </c>
      <c r="E239" s="109">
        <f ca="1">IF(表2_367162629303456[[#This Row],[累计净值]]/MAX(INDIRECT("B21:B" &amp; ROW()))-1&lt;E238,表2_367162629303456[[#This Row],[累计净值]]/MAX(INDIRECT("B21:B" &amp; ROW()))-1,E238)</f>
        <v>-2.5984638012747197E-2</v>
      </c>
      <c r="F239" s="62">
        <f>表2_367162629303456[[#This Row],[累计净值]]-0.146</f>
        <v>1.0844</v>
      </c>
      <c r="G239" s="20">
        <f>表2_367162629303456[[#This Row],[累计净值]]/$B$21-1</f>
        <v>9.378611432127304E-2</v>
      </c>
    </row>
    <row r="240" spans="1:7" x14ac:dyDescent="0.2">
      <c r="A240" s="55">
        <v>44033</v>
      </c>
      <c r="B240" s="112">
        <v>1.2311000000000001</v>
      </c>
      <c r="C240" s="108">
        <f>IFERROR(B240-B239,0)</f>
        <v>7.0000000000014495E-4</v>
      </c>
      <c r="D240" s="109" t="str">
        <f>IF(C240&lt;0,C240,"/")</f>
        <v>/</v>
      </c>
      <c r="E240" s="109">
        <f ca="1">IF(表2_367162629303456[[#This Row],[累计净值]]/MAX(INDIRECT("B21:B" &amp; ROW()))-1&lt;E239,表2_367162629303456[[#This Row],[累计净值]]/MAX(INDIRECT("B21:B" &amp; ROW()))-1,E239)</f>
        <v>-2.5984638012747197E-2</v>
      </c>
      <c r="F240" s="62">
        <f>表2_367162629303456[[#This Row],[累计净值]]-0.146</f>
        <v>1.0851000000000002</v>
      </c>
      <c r="G240" s="20">
        <f>表2_367162629303456[[#This Row],[累计净值]]/$B$21-1</f>
        <v>9.4408391857053964E-2</v>
      </c>
    </row>
    <row r="241" spans="1:9" x14ac:dyDescent="0.2">
      <c r="A241" s="55">
        <v>44034</v>
      </c>
      <c r="B241" s="112">
        <v>1.2292000000000001</v>
      </c>
      <c r="C241" s="108">
        <f>IFERROR(B241-B240,0)</f>
        <v>-1.9000000000000128E-3</v>
      </c>
      <c r="D241" s="109">
        <f>IF(C241&lt;0,C241,"/")</f>
        <v>-1.9000000000000128E-3</v>
      </c>
      <c r="E241" s="109">
        <f ca="1">IF(表2_367162629303456[[#This Row],[累计净值]]/MAX(INDIRECT("B21:B" &amp; ROW()))-1&lt;E240,表2_367162629303456[[#This Row],[累计净值]]/MAX(INDIRECT("B21:B" &amp; ROW()))-1,E240)</f>
        <v>-2.5984638012747197E-2</v>
      </c>
      <c r="F241" s="62">
        <f>表2_367162629303456[[#This Row],[累计净值]]-0.146</f>
        <v>1.0832000000000002</v>
      </c>
      <c r="G241" s="20">
        <f>表2_367162629303456[[#This Row],[累计净值]]/$B$21-1</f>
        <v>9.2719352831362789E-2</v>
      </c>
      <c r="I241" s="60">
        <f>表2_367162629303456[[#This Row],[单位净值]]-F195</f>
        <v>1.8399999999999972E-2</v>
      </c>
    </row>
    <row r="242" spans="1:9" x14ac:dyDescent="0.2">
      <c r="A242" s="55">
        <v>44035</v>
      </c>
      <c r="B242" s="112">
        <v>1.2301</v>
      </c>
      <c r="C242" s="108">
        <f>IFERROR(B242-B241,0)</f>
        <v>8.9999999999990088E-4</v>
      </c>
      <c r="D242" s="109" t="str">
        <f>IF(C242&lt;0,C242,"/")</f>
        <v>/</v>
      </c>
      <c r="E242" s="109">
        <f ca="1">IF(表2_367162629303456[[#This Row],[累计净值]]/MAX(INDIRECT("B21:B" &amp; ROW()))-1&lt;E241,表2_367162629303456[[#This Row],[累计净值]]/MAX(INDIRECT("B21:B" &amp; ROW()))-1,E241)</f>
        <v>-2.5984638012747197E-2</v>
      </c>
      <c r="F242" s="62">
        <f>表2_367162629303456[[#This Row],[累计净值]]-0.146</f>
        <v>1.0841000000000001</v>
      </c>
      <c r="G242" s="20">
        <f>表2_367162629303456[[#This Row],[累计净值]]/$B$21-1</f>
        <v>9.3519423948795311E-2</v>
      </c>
    </row>
    <row r="243" spans="1:9" x14ac:dyDescent="0.2">
      <c r="A243" s="55">
        <v>44036</v>
      </c>
      <c r="B243" s="112">
        <v>1.2346999999999999</v>
      </c>
      <c r="C243" s="108">
        <f>IFERROR(B243-B242,0)</f>
        <v>4.5999999999999375E-3</v>
      </c>
      <c r="D243" s="109" t="str">
        <f>IF(C243&lt;0,C243,"/")</f>
        <v>/</v>
      </c>
      <c r="E243" s="109">
        <f ca="1">IF(表2_367162629303456[[#This Row],[累计净值]]/MAX(INDIRECT("B21:B" &amp; ROW()))-1&lt;E242,表2_367162629303456[[#This Row],[累计净值]]/MAX(INDIRECT("B21:B" &amp; ROW()))-1,E242)</f>
        <v>-2.5984638012747197E-2</v>
      </c>
      <c r="F243" s="62">
        <f>表2_367162629303456[[#This Row],[累计净值]]-0.146</f>
        <v>1.0887</v>
      </c>
      <c r="G243" s="20">
        <f>表2_367162629303456[[#This Row],[累计净值]]/$B$21-1</f>
        <v>9.7608676326784494E-2</v>
      </c>
    </row>
    <row r="244" spans="1:9" x14ac:dyDescent="0.2">
      <c r="A244" s="55">
        <v>44039</v>
      </c>
      <c r="B244" s="112">
        <v>1.2371000000000001</v>
      </c>
      <c r="C244" s="108">
        <f t="shared" ref="C244:C249" si="70">IFERROR(B244-B243,0)</f>
        <v>2.4000000000001798E-3</v>
      </c>
      <c r="D244" s="109" t="str">
        <f t="shared" ref="D244:D249" si="71">IF(C244&lt;0,C244,"/")</f>
        <v>/</v>
      </c>
      <c r="E244" s="109">
        <f ca="1">IF(表2_367162629303456[[#This Row],[累计净值]]/MAX(INDIRECT("B21:B" &amp; ROW()))-1&lt;E243,表2_367162629303456[[#This Row],[累计净值]]/MAX(INDIRECT("B21:B" &amp; ROW()))-1,E243)</f>
        <v>-2.5984638012747197E-2</v>
      </c>
      <c r="F244" s="62">
        <f>表2_367162629303456[[#This Row],[累计净值]]-0.146</f>
        <v>1.0911000000000002</v>
      </c>
      <c r="G244" s="20">
        <f>表2_367162629303456[[#This Row],[累计净值]]/$B$21-1</f>
        <v>9.9742199306604995E-2</v>
      </c>
    </row>
    <row r="245" spans="1:9" x14ac:dyDescent="0.2">
      <c r="A245" s="55">
        <v>44040</v>
      </c>
      <c r="B245" s="117">
        <v>1.24</v>
      </c>
      <c r="C245" s="108">
        <f t="shared" si="70"/>
        <v>2.8999999999999027E-3</v>
      </c>
      <c r="D245" s="109" t="str">
        <f t="shared" si="71"/>
        <v>/</v>
      </c>
      <c r="E245" s="109">
        <f ca="1">IF(表2_367162629303456[[#This Row],[累计净值]]/MAX(INDIRECT("B21:B" &amp; ROW()))-1&lt;E244,表2_367162629303456[[#This Row],[累计净值]]/MAX(INDIRECT("B21:B" &amp; ROW()))-1,E244)</f>
        <v>-2.5984638012747197E-2</v>
      </c>
      <c r="F245" s="62">
        <f>表2_367162629303456[[#This Row],[累计净值]]-0.146</f>
        <v>1.0940000000000001</v>
      </c>
      <c r="G245" s="20">
        <f>表2_367162629303456[[#This Row],[累计净值]]/$B$21-1</f>
        <v>0.1023202062405546</v>
      </c>
    </row>
    <row r="246" spans="1:9" x14ac:dyDescent="0.2">
      <c r="A246" s="55">
        <v>44041</v>
      </c>
      <c r="B246" s="112">
        <v>1.2341</v>
      </c>
      <c r="C246" s="108">
        <f t="shared" si="70"/>
        <v>-5.9000000000000163E-3</v>
      </c>
      <c r="D246" s="109">
        <f t="shared" si="71"/>
        <v>-5.9000000000000163E-3</v>
      </c>
      <c r="E246" s="109">
        <f ca="1">IF(表2_367162629303456[[#This Row],[累计净值]]/MAX(INDIRECT("B21:B" &amp; ROW()))-1&lt;E245,表2_367162629303456[[#This Row],[累计净值]]/MAX(INDIRECT("B21:B" &amp; ROW()))-1,E245)</f>
        <v>-2.5984638012747197E-2</v>
      </c>
      <c r="F246" s="62">
        <f>表2_367162629303456[[#This Row],[累计净值]]-0.146</f>
        <v>1.0881000000000001</v>
      </c>
      <c r="G246" s="20">
        <f>表2_367162629303456[[#This Row],[累计净值]]/$B$21-1</f>
        <v>9.7075295581829479E-2</v>
      </c>
    </row>
    <row r="247" spans="1:9" x14ac:dyDescent="0.2">
      <c r="A247" s="55">
        <v>44042</v>
      </c>
      <c r="B247" s="112">
        <v>1.2330000000000001</v>
      </c>
      <c r="C247" s="108">
        <f t="shared" si="70"/>
        <v>-1.0999999999998789E-3</v>
      </c>
      <c r="D247" s="109">
        <f t="shared" si="71"/>
        <v>-1.0999999999998789E-3</v>
      </c>
      <c r="E247" s="109">
        <f ca="1">IF(表2_367162629303456[[#This Row],[累计净值]]/MAX(INDIRECT("B21:B" &amp; ROW()))-1&lt;E246,表2_367162629303456[[#This Row],[累计净值]]/MAX(INDIRECT("B21:B" &amp; ROW()))-1,E246)</f>
        <v>-2.5984638012747197E-2</v>
      </c>
      <c r="F247" s="62">
        <f>表2_367162629303456[[#This Row],[累计净值]]-0.146</f>
        <v>1.0870000000000002</v>
      </c>
      <c r="G247" s="20">
        <f>表2_367162629303456[[#This Row],[累计净值]]/$B$21-1</f>
        <v>9.6097430882745138E-2</v>
      </c>
    </row>
    <row r="248" spans="1:9" x14ac:dyDescent="0.2">
      <c r="A248" s="55">
        <v>44043</v>
      </c>
      <c r="B248" s="112">
        <v>1.2369000000000001</v>
      </c>
      <c r="C248" s="108">
        <f t="shared" si="70"/>
        <v>3.9000000000000146E-3</v>
      </c>
      <c r="D248" s="109" t="str">
        <f t="shared" si="71"/>
        <v>/</v>
      </c>
      <c r="E248" s="109">
        <f ca="1">IF(表2_367162629303456[[#This Row],[累计净值]]/MAX(INDIRECT("B21:B" &amp; ROW()))-1&lt;E247,表2_367162629303456[[#This Row],[累计净值]]/MAX(INDIRECT("B21:B" &amp; ROW()))-1,E247)</f>
        <v>-2.5984638012747197E-2</v>
      </c>
      <c r="F248" s="62">
        <f>表2_367162629303456[[#This Row],[累计净值]]-0.146</f>
        <v>1.0909000000000002</v>
      </c>
      <c r="G248" s="20">
        <f>表2_367162629303456[[#This Row],[累计净值]]/$B$21-1</f>
        <v>9.9564405724953398E-2</v>
      </c>
    </row>
    <row r="249" spans="1:9" x14ac:dyDescent="0.2">
      <c r="A249" s="55">
        <v>44046</v>
      </c>
      <c r="B249" s="112">
        <v>1.2392000000000001</v>
      </c>
      <c r="C249" s="108">
        <f t="shared" si="70"/>
        <v>2.2999999999999687E-3</v>
      </c>
      <c r="D249" s="109" t="str">
        <f t="shared" si="71"/>
        <v>/</v>
      </c>
      <c r="E249" s="109">
        <f ca="1">IF(表2_367162629303456[[#This Row],[累计净值]]/MAX(INDIRECT("B21:B" &amp; ROW()))-1&lt;E248,表2_367162629303456[[#This Row],[累计净值]]/MAX(INDIRECT("B21:B" &amp; ROW()))-1,E248)</f>
        <v>-2.5984638012747197E-2</v>
      </c>
      <c r="F249" s="62">
        <f>表2_367162629303456[[#This Row],[累计净值]]-0.146</f>
        <v>1.0932000000000002</v>
      </c>
      <c r="G249" s="20">
        <f>表2_367162629303456[[#This Row],[累计净值]]/$B$21-1</f>
        <v>0.10160903191394799</v>
      </c>
    </row>
    <row r="250" spans="1:9" x14ac:dyDescent="0.2">
      <c r="A250" s="55">
        <v>44047</v>
      </c>
      <c r="B250" s="112">
        <v>1.2366999999999999</v>
      </c>
      <c r="C250" s="108">
        <f t="shared" ref="C250:C255" si="72">IFERROR(B250-B249,0)</f>
        <v>-2.5000000000001688E-3</v>
      </c>
      <c r="D250" s="109">
        <f t="shared" ref="D250:D255" si="73">IF(C250&lt;0,C250,"/")</f>
        <v>-2.5000000000001688E-3</v>
      </c>
      <c r="E250" s="109">
        <f ca="1">IF(表2_367162629303456[[#This Row],[累计净值]]/MAX(INDIRECT("B21:B" &amp; ROW()))-1&lt;E249,表2_367162629303456[[#This Row],[累计净值]]/MAX(INDIRECT("B21:B" &amp; ROW()))-1,E249)</f>
        <v>-2.5984638012747197E-2</v>
      </c>
      <c r="F250" s="62">
        <f>表2_367162629303456[[#This Row],[累计净值]]-0.146</f>
        <v>1.0907</v>
      </c>
      <c r="G250" s="20">
        <f>表2_367162629303456[[#This Row],[累计净值]]/$B$21-1</f>
        <v>9.9386612143301578E-2</v>
      </c>
    </row>
    <row r="251" spans="1:9" x14ac:dyDescent="0.2">
      <c r="A251" s="55">
        <v>44048</v>
      </c>
      <c r="B251" s="112">
        <v>1.2418</v>
      </c>
      <c r="C251" s="108">
        <f t="shared" si="72"/>
        <v>5.1000000000001044E-3</v>
      </c>
      <c r="D251" s="109" t="str">
        <f t="shared" si="73"/>
        <v>/</v>
      </c>
      <c r="E251" s="109">
        <f ca="1">IF(表2_367162629303456[[#This Row],[累计净值]]/MAX(INDIRECT("B21:B" &amp; ROW()))-1&lt;E250,表2_367162629303456[[#This Row],[累计净值]]/MAX(INDIRECT("B21:B" &amp; ROW()))-1,E250)</f>
        <v>-2.5984638012747197E-2</v>
      </c>
      <c r="F251" s="62">
        <f>表2_367162629303456[[#This Row],[累计净值]]-0.146</f>
        <v>1.0958000000000001</v>
      </c>
      <c r="G251" s="20">
        <f>表2_367162629303456[[#This Row],[累计净值]]/$B$21-1</f>
        <v>0.10392034847542009</v>
      </c>
    </row>
    <row r="252" spans="1:9" x14ac:dyDescent="0.2">
      <c r="A252" s="55">
        <v>44049</v>
      </c>
      <c r="B252" s="117">
        <v>1.2426999999999999</v>
      </c>
      <c r="C252" s="108">
        <f t="shared" si="72"/>
        <v>8.9999999999990088E-4</v>
      </c>
      <c r="D252" s="109" t="str">
        <f t="shared" si="73"/>
        <v>/</v>
      </c>
      <c r="E252" s="109">
        <f ca="1">IF(表2_367162629303456[[#This Row],[累计净值]]/MAX(INDIRECT("B21:B" &amp; ROW()))-1&lt;E251,表2_367162629303456[[#This Row],[累计净值]]/MAX(INDIRECT("B21:B" &amp; ROW()))-1,E251)</f>
        <v>-2.5984638012747197E-2</v>
      </c>
      <c r="F252" s="62">
        <f>表2_367162629303456[[#This Row],[累计净值]]-0.146</f>
        <v>1.0967</v>
      </c>
      <c r="G252" s="20">
        <f>表2_367162629303456[[#This Row],[累计净值]]/$B$21-1</f>
        <v>0.10472041959285261</v>
      </c>
    </row>
    <row r="253" spans="1:9" x14ac:dyDescent="0.2">
      <c r="A253" s="55">
        <v>44050</v>
      </c>
      <c r="B253" s="112">
        <v>1.2390000000000001</v>
      </c>
      <c r="C253" s="108">
        <f t="shared" si="72"/>
        <v>-3.6999999999998145E-3</v>
      </c>
      <c r="D253" s="109">
        <f t="shared" si="73"/>
        <v>-3.6999999999998145E-3</v>
      </c>
      <c r="E253" s="109">
        <f ca="1">IF(表2_367162629303456[[#This Row],[累计净值]]/MAX(INDIRECT("B21:B" &amp; ROW()))-1&lt;E252,表2_367162629303456[[#This Row],[累计净值]]/MAX(INDIRECT("B21:B" &amp; ROW()))-1,E252)</f>
        <v>-2.5984638012747197E-2</v>
      </c>
      <c r="F253" s="62">
        <f>表2_367162629303456[[#This Row],[累计净值]]-0.146</f>
        <v>1.0930000000000002</v>
      </c>
      <c r="G253" s="20">
        <f>表2_367162629303456[[#This Row],[累计净值]]/$B$21-1</f>
        <v>0.10143123833229639</v>
      </c>
    </row>
    <row r="254" spans="1:9" x14ac:dyDescent="0.2">
      <c r="A254" s="55">
        <v>44053</v>
      </c>
      <c r="B254" s="112">
        <v>1.2393000000000001</v>
      </c>
      <c r="C254" s="108">
        <f t="shared" si="72"/>
        <v>2.9999999999996696E-4</v>
      </c>
      <c r="D254" s="109" t="str">
        <f t="shared" si="73"/>
        <v>/</v>
      </c>
      <c r="E254" s="109">
        <f ca="1">IF(表2_367162629303456[[#This Row],[累计净值]]/MAX(INDIRECT("B21:B" &amp; ROW()))-1&lt;E253,表2_367162629303456[[#This Row],[累计净值]]/MAX(INDIRECT("B21:B" &amp; ROW()))-1,E253)</f>
        <v>-2.5984638012747197E-2</v>
      </c>
      <c r="F254" s="62">
        <f>表2_367162629303456[[#This Row],[累计净值]]-0.146</f>
        <v>1.0933000000000002</v>
      </c>
      <c r="G254" s="20">
        <f>表2_367162629303456[[#This Row],[累计净值]]/$B$21-1</f>
        <v>0.1016979287047739</v>
      </c>
    </row>
    <row r="255" spans="1:9" x14ac:dyDescent="0.2">
      <c r="A255" s="55">
        <v>44054</v>
      </c>
      <c r="B255" s="112">
        <v>1.2388999999999999</v>
      </c>
      <c r="C255" s="108">
        <f t="shared" si="72"/>
        <v>-4.0000000000017799E-4</v>
      </c>
      <c r="D255" s="109">
        <f t="shared" si="73"/>
        <v>-4.0000000000017799E-4</v>
      </c>
      <c r="E255" s="109">
        <f ca="1">IF(表2_367162629303456[[#This Row],[累计净值]]/MAX(INDIRECT("B21:B" &amp; ROW()))-1&lt;E254,表2_367162629303456[[#This Row],[累计净值]]/MAX(INDIRECT("B21:B" &amp; ROW()))-1,E254)</f>
        <v>-2.5984638012747197E-2</v>
      </c>
      <c r="F255" s="62">
        <f>表2_367162629303456[[#This Row],[累计净值]]-0.146</f>
        <v>1.0929</v>
      </c>
      <c r="G255" s="20">
        <f>表2_367162629303456[[#This Row],[累计净值]]/$B$21-1</f>
        <v>0.10134234154147026</v>
      </c>
    </row>
    <row r="256" spans="1:9" x14ac:dyDescent="0.2">
      <c r="A256" s="55">
        <v>44055</v>
      </c>
      <c r="B256" s="112">
        <v>1.2452000000000001</v>
      </c>
      <c r="C256" s="108">
        <f t="shared" ref="C256:C261" si="74">IFERROR(B256-B255,0)</f>
        <v>6.3000000000001943E-3</v>
      </c>
      <c r="D256" s="109" t="str">
        <f t="shared" ref="D256:D261" si="75">IF(C256&lt;0,C256,"/")</f>
        <v>/</v>
      </c>
      <c r="E256" s="109">
        <f ca="1">IF(表2_367162629303456[[#This Row],[累计净值]]/MAX(INDIRECT("B21:B" &amp; ROW()))-1&lt;E255,表2_367162629303456[[#This Row],[累计净值]]/MAX(INDIRECT("B21:B" &amp; ROW()))-1,E255)</f>
        <v>-2.5984638012747197E-2</v>
      </c>
      <c r="F256" s="62">
        <f>表2_367162629303456[[#This Row],[累计净值]]-0.146</f>
        <v>1.0992000000000002</v>
      </c>
      <c r="G256" s="20">
        <f>表2_367162629303456[[#This Row],[累计净值]]/$B$21-1</f>
        <v>0.10694283936349902</v>
      </c>
    </row>
    <row r="257" spans="1:7" x14ac:dyDescent="0.2">
      <c r="A257" s="55">
        <v>44056</v>
      </c>
      <c r="B257" s="112">
        <v>1.2433000000000001</v>
      </c>
      <c r="C257" s="108">
        <f t="shared" si="74"/>
        <v>-1.9000000000000128E-3</v>
      </c>
      <c r="D257" s="109">
        <f t="shared" si="75"/>
        <v>-1.9000000000000128E-3</v>
      </c>
      <c r="E257" s="109">
        <f ca="1">IF(表2_367162629303456[[#This Row],[累计净值]]/MAX(INDIRECT("B21:B" &amp; ROW()))-1&lt;E256,表2_367162629303456[[#This Row],[累计净值]]/MAX(INDIRECT("B21:B" &amp; ROW()))-1,E256)</f>
        <v>-2.5984638012747197E-2</v>
      </c>
      <c r="F257" s="62">
        <f>表2_367162629303456[[#This Row],[累计净值]]-0.146</f>
        <v>1.0973000000000002</v>
      </c>
      <c r="G257" s="20">
        <f>表2_367162629303456[[#This Row],[累计净值]]/$B$21-1</f>
        <v>0.10525380033780785</v>
      </c>
    </row>
    <row r="258" spans="1:7" x14ac:dyDescent="0.2">
      <c r="A258" s="55">
        <v>44057</v>
      </c>
      <c r="B258" s="112">
        <v>1.2438</v>
      </c>
      <c r="C258" s="108">
        <f t="shared" si="74"/>
        <v>4.9999999999994493E-4</v>
      </c>
      <c r="D258" s="109" t="str">
        <f t="shared" si="75"/>
        <v>/</v>
      </c>
      <c r="E258" s="109">
        <f ca="1">IF(表2_367162629303456[[#This Row],[累计净值]]/MAX(INDIRECT("B21:B" &amp; ROW()))-1&lt;E257,表2_367162629303456[[#This Row],[累计净值]]/MAX(INDIRECT("B21:B" &amp; ROW()))-1,E257)</f>
        <v>-2.5984638012747197E-2</v>
      </c>
      <c r="F258" s="62">
        <f>表2_367162629303456[[#This Row],[累计净值]]-0.146-0.0578</f>
        <v>1.04</v>
      </c>
      <c r="G258" s="20">
        <f>表2_367162629303456[[#This Row],[累计净值]]/$B$21-1</f>
        <v>0.10569828429193717</v>
      </c>
    </row>
    <row r="259" spans="1:7" x14ac:dyDescent="0.2">
      <c r="A259" s="55">
        <v>44060</v>
      </c>
      <c r="B259" s="112">
        <v>1.2394000000000001</v>
      </c>
      <c r="C259" s="108">
        <f t="shared" si="74"/>
        <v>-4.3999999999999595E-3</v>
      </c>
      <c r="D259" s="109">
        <f t="shared" si="75"/>
        <v>-4.3999999999999595E-3</v>
      </c>
      <c r="E259" s="109">
        <f ca="1">IF(表2_367162629303456[[#This Row],[累计净值]]/MAX(INDIRECT("B21:B" &amp; ROW()))-1&lt;E258,表2_367162629303456[[#This Row],[累计净值]]/MAX(INDIRECT("B21:B" &amp; ROW()))-1,E258)</f>
        <v>-2.5984638012747197E-2</v>
      </c>
      <c r="F259" s="62">
        <f>表2_367162629303456[[#This Row],[累计净值]]-0.146-0.0578</f>
        <v>1.0356000000000001</v>
      </c>
      <c r="G259" s="20">
        <f>表2_367162629303456[[#This Row],[累计净值]]/$B$21-1</f>
        <v>0.10178682549559959</v>
      </c>
    </row>
    <row r="260" spans="1:7" x14ac:dyDescent="0.2">
      <c r="A260" s="55">
        <v>44061</v>
      </c>
      <c r="B260" s="112">
        <v>1.2407999999999999</v>
      </c>
      <c r="C260" s="108">
        <f t="shared" si="74"/>
        <v>1.3999999999998458E-3</v>
      </c>
      <c r="D260" s="109" t="str">
        <f t="shared" si="75"/>
        <v>/</v>
      </c>
      <c r="E260" s="109">
        <f ca="1">IF(表2_367162629303456[[#This Row],[累计净值]]/MAX(INDIRECT("B21:B" &amp; ROW()))-1&lt;E259,表2_367162629303456[[#This Row],[累计净值]]/MAX(INDIRECT("B21:B" &amp; ROW()))-1,E259)</f>
        <v>-2.5984638012747197E-2</v>
      </c>
      <c r="F260" s="62">
        <f>表2_367162629303456[[#This Row],[累计净值]]-0.146-0.0578</f>
        <v>1.0369999999999999</v>
      </c>
      <c r="G260" s="20">
        <f>表2_367162629303456[[#This Row],[累计净值]]/$B$21-1</f>
        <v>0.10303138056716143</v>
      </c>
    </row>
    <row r="261" spans="1:7" x14ac:dyDescent="0.2">
      <c r="A261" s="55">
        <v>44062</v>
      </c>
      <c r="B261" s="112">
        <v>1.2392000000000001</v>
      </c>
      <c r="C261" s="108">
        <f t="shared" si="74"/>
        <v>-1.5999999999998238E-3</v>
      </c>
      <c r="D261" s="109">
        <f t="shared" si="75"/>
        <v>-1.5999999999998238E-3</v>
      </c>
      <c r="E261" s="109">
        <f ca="1">IF(表2_367162629303456[[#This Row],[累计净值]]/MAX(INDIRECT("B21:B" &amp; ROW()))-1&lt;E260,表2_367162629303456[[#This Row],[累计净值]]/MAX(INDIRECT("B21:B" &amp; ROW()))-1,E260)</f>
        <v>-2.5984638012747197E-2</v>
      </c>
      <c r="F261" s="62">
        <f>表2_367162629303456[[#This Row],[累计净值]]-0.146-0.0578</f>
        <v>1.0354000000000001</v>
      </c>
      <c r="G261" s="20">
        <f>表2_367162629303456[[#This Row],[累计净值]]/$B$21-1</f>
        <v>0.10160903191394799</v>
      </c>
    </row>
    <row r="262" spans="1:7" x14ac:dyDescent="0.2">
      <c r="A262" s="55">
        <v>44063</v>
      </c>
      <c r="B262" s="112">
        <v>1.2419</v>
      </c>
      <c r="C262" s="108">
        <f t="shared" ref="C262:C267" si="76">IFERROR(B262-B261,0)</f>
        <v>2.6999999999999247E-3</v>
      </c>
      <c r="D262" s="109" t="str">
        <f t="shared" ref="D262:D267" si="77">IF(C262&lt;0,C262,"/")</f>
        <v>/</v>
      </c>
      <c r="E262" s="109">
        <f ca="1">IF(表2_367162629303456[[#This Row],[累计净值]]/MAX(INDIRECT("B21:B" &amp; ROW()))-1&lt;E261,表2_367162629303456[[#This Row],[累计净值]]/MAX(INDIRECT("B21:B" &amp; ROW()))-1,E261)</f>
        <v>-2.5984638012747197E-2</v>
      </c>
      <c r="F262" s="62">
        <f>表2_367162629303456[[#This Row],[累计净值]]-0.146-0.0578</f>
        <v>1.0381</v>
      </c>
      <c r="G262" s="20">
        <f>表2_367162629303456[[#This Row],[累计净值]]/$B$21-1</f>
        <v>0.10400924526624578</v>
      </c>
    </row>
    <row r="263" spans="1:7" x14ac:dyDescent="0.2">
      <c r="A263" s="55">
        <v>44064</v>
      </c>
      <c r="B263" s="112">
        <v>1.2442</v>
      </c>
      <c r="C263" s="108">
        <f t="shared" si="76"/>
        <v>2.2999999999999687E-3</v>
      </c>
      <c r="D263" s="109" t="str">
        <f t="shared" si="77"/>
        <v>/</v>
      </c>
      <c r="E263" s="109">
        <f ca="1">IF(表2_367162629303456[[#This Row],[累计净值]]/MAX(INDIRECT("B21:B" &amp; ROW()))-1&lt;E262,表2_367162629303456[[#This Row],[累计净值]]/MAX(INDIRECT("B21:B" &amp; ROW()))-1,E262)</f>
        <v>-2.5984638012747197E-2</v>
      </c>
      <c r="F263" s="62">
        <f>表2_367162629303456[[#This Row],[累计净值]]-0.146-0.0578</f>
        <v>1.0404</v>
      </c>
      <c r="G263" s="20">
        <f>表2_367162629303456[[#This Row],[累计净值]]/$B$21-1</f>
        <v>0.10605387145524037</v>
      </c>
    </row>
    <row r="264" spans="1:7" x14ac:dyDescent="0.2">
      <c r="A264" s="55">
        <v>44067</v>
      </c>
      <c r="B264" s="112">
        <v>1.2443</v>
      </c>
      <c r="C264" s="108">
        <f t="shared" si="76"/>
        <v>9.9999999999988987E-5</v>
      </c>
      <c r="D264" s="109" t="str">
        <f t="shared" si="77"/>
        <v>/</v>
      </c>
      <c r="E264" s="109">
        <f ca="1">IF(表2_367162629303456[[#This Row],[累计净值]]/MAX(INDIRECT("B21:B" &amp; ROW()))-1&lt;E263,表2_367162629303456[[#This Row],[累计净值]]/MAX(INDIRECT("B21:B" &amp; ROW()))-1,E263)</f>
        <v>-2.5984638012747197E-2</v>
      </c>
      <c r="F264" s="62">
        <f>表2_367162629303456[[#This Row],[累计净值]]-0.146-0.0578</f>
        <v>1.0405</v>
      </c>
      <c r="G264" s="20">
        <f>表2_367162629303456[[#This Row],[累计净值]]/$B$21-1</f>
        <v>0.10614276824606628</v>
      </c>
    </row>
    <row r="265" spans="1:7" x14ac:dyDescent="0.2">
      <c r="A265" s="55">
        <v>44068</v>
      </c>
      <c r="B265" s="112">
        <v>1.2445999999999999</v>
      </c>
      <c r="C265" s="108">
        <f t="shared" si="76"/>
        <v>2.9999999999996696E-4</v>
      </c>
      <c r="D265" s="109" t="str">
        <f t="shared" si="77"/>
        <v>/</v>
      </c>
      <c r="E265" s="109">
        <f ca="1">IF(表2_367162629303456[[#This Row],[累计净值]]/MAX(INDIRECT("B21:B" &amp; ROW()))-1&lt;E264,表2_367162629303456[[#This Row],[累计净值]]/MAX(INDIRECT("B21:B" &amp; ROW()))-1,E264)</f>
        <v>-2.5984638012747197E-2</v>
      </c>
      <c r="F265" s="62">
        <f>表2_367162629303456[[#This Row],[累计净值]]-0.146-0.0578</f>
        <v>1.0407999999999999</v>
      </c>
      <c r="G265" s="20">
        <f>表2_367162629303456[[#This Row],[累计净值]]/$B$21-1</f>
        <v>0.10640945861854378</v>
      </c>
    </row>
    <row r="266" spans="1:7" x14ac:dyDescent="0.2">
      <c r="A266" s="55">
        <v>44069</v>
      </c>
      <c r="B266" s="112">
        <v>1.2437</v>
      </c>
      <c r="C266" s="108">
        <f t="shared" si="76"/>
        <v>-8.9999999999990088E-4</v>
      </c>
      <c r="D266" s="109">
        <f t="shared" si="77"/>
        <v>-8.9999999999990088E-4</v>
      </c>
      <c r="E266" s="109">
        <f ca="1">IF(表2_367162629303456[[#This Row],[累计净值]]/MAX(INDIRECT("B21:B" &amp; ROW()))-1&lt;E265,表2_367162629303456[[#This Row],[累计净值]]/MAX(INDIRECT("B21:B" &amp; ROW()))-1,E265)</f>
        <v>-2.5984638012747197E-2</v>
      </c>
      <c r="F266" s="62">
        <f>表2_367162629303456[[#This Row],[累计净值]]-0.146-0.0578</f>
        <v>1.0399</v>
      </c>
      <c r="G266" s="20">
        <f>表2_367162629303456[[#This Row],[累计净值]]/$B$21-1</f>
        <v>0.10560938750111126</v>
      </c>
    </row>
    <row r="267" spans="1:7" x14ac:dyDescent="0.2">
      <c r="A267" s="55">
        <v>44070</v>
      </c>
      <c r="B267" s="112">
        <v>1.2444</v>
      </c>
      <c r="C267" s="108">
        <f t="shared" si="76"/>
        <v>6.9999999999992291E-4</v>
      </c>
      <c r="D267" s="109" t="str">
        <f t="shared" si="77"/>
        <v>/</v>
      </c>
      <c r="E267" s="109">
        <f ca="1">IF(表2_367162629303456[[#This Row],[累计净值]]/MAX(INDIRECT("B21:B" &amp; ROW()))-1&lt;E266,表2_367162629303456[[#This Row],[累计净值]]/MAX(INDIRECT("B21:B" &amp; ROW()))-1,E266)</f>
        <v>-2.5984638012747197E-2</v>
      </c>
      <c r="F267" s="62">
        <f>表2_367162629303456[[#This Row],[累计净值]]-0.146-0.0578</f>
        <v>1.0406</v>
      </c>
      <c r="G267" s="20">
        <f>表2_367162629303456[[#This Row],[累计净值]]/$B$21-1</f>
        <v>0.10623166503689219</v>
      </c>
    </row>
    <row r="268" spans="1:7" x14ac:dyDescent="0.2">
      <c r="A268" s="55">
        <v>44071</v>
      </c>
      <c r="B268" s="112">
        <v>1.2418</v>
      </c>
      <c r="C268" s="108">
        <f>IFERROR(B268-B267,0)</f>
        <v>-2.5999999999999357E-3</v>
      </c>
      <c r="D268" s="109">
        <f>IF(C268&lt;0,C268,"/")</f>
        <v>-2.5999999999999357E-3</v>
      </c>
      <c r="E268" s="109">
        <f ca="1">IF(表2_367162629303456[[#This Row],[累计净值]]/MAX(INDIRECT("B21:B" &amp; ROW()))-1&lt;E267,表2_367162629303456[[#This Row],[累计净值]]/MAX(INDIRECT("B21:B" &amp; ROW()))-1,E267)</f>
        <v>-2.5984638012747197E-2</v>
      </c>
      <c r="F268" s="62">
        <f>表2_367162629303456[[#This Row],[累计净值]]-0.146-0.0578</f>
        <v>1.038</v>
      </c>
      <c r="G268" s="20">
        <f>表2_367162629303456[[#This Row],[累计净值]]/$B$21-1</f>
        <v>0.10392034847542009</v>
      </c>
    </row>
    <row r="269" spans="1:7" x14ac:dyDescent="0.2">
      <c r="A269" s="55">
        <v>44074</v>
      </c>
      <c r="B269" s="112">
        <v>1.2393000000000001</v>
      </c>
      <c r="C269" s="108">
        <f>IFERROR(B269-B268,0)</f>
        <v>-2.4999999999999467E-3</v>
      </c>
      <c r="D269" s="109">
        <f>IF(C269&lt;0,C269,"/")</f>
        <v>-2.4999999999999467E-3</v>
      </c>
      <c r="E269" s="109">
        <f ca="1">IF(表2_367162629303456[[#This Row],[累计净值]]/MAX(INDIRECT("B21:B" &amp; ROW()))-1&lt;E268,表2_367162629303456[[#This Row],[累计净值]]/MAX(INDIRECT("B21:B" &amp; ROW()))-1,E268)</f>
        <v>-2.5984638012747197E-2</v>
      </c>
      <c r="F269" s="62">
        <f>表2_367162629303456[[#This Row],[累计净值]]-0.146-0.0578</f>
        <v>1.0355000000000001</v>
      </c>
      <c r="G269" s="20">
        <f>表2_367162629303456[[#This Row],[累计净值]]/$B$21-1</f>
        <v>0.1016979287047739</v>
      </c>
    </row>
    <row r="270" spans="1:7" x14ac:dyDescent="0.2">
      <c r="A270" s="55">
        <v>44075</v>
      </c>
      <c r="B270" s="112">
        <v>1.2439</v>
      </c>
      <c r="C270" s="108">
        <f>IFERROR(B270-B269,0)</f>
        <v>4.5999999999999375E-3</v>
      </c>
      <c r="D270" s="109" t="str">
        <f>IF(C270&lt;0,C270,"/")</f>
        <v>/</v>
      </c>
      <c r="E270" s="109">
        <f ca="1">IF(表2_367162629303456[[#This Row],[累计净值]]/MAX(INDIRECT("B21:B" &amp; ROW()))-1&lt;E269,表2_367162629303456[[#This Row],[累计净值]]/MAX(INDIRECT("B21:B" &amp; ROW()))-1,E269)</f>
        <v>-2.5984638012747197E-2</v>
      </c>
      <c r="F270" s="62">
        <f>表2_367162629303456[[#This Row],[累计净值]]-0.146-0.0578</f>
        <v>1.0401</v>
      </c>
      <c r="G270" s="20">
        <f>表2_367162629303456[[#This Row],[累计净值]]/$B$21-1</f>
        <v>0.10578718108276286</v>
      </c>
    </row>
    <row r="271" spans="1:7" x14ac:dyDescent="0.2">
      <c r="A271" s="55">
        <v>44076</v>
      </c>
      <c r="B271" s="112">
        <v>1.2441</v>
      </c>
      <c r="C271" s="108">
        <f>IFERROR(B271-B270,0)</f>
        <v>1.9999999999997797E-4</v>
      </c>
      <c r="D271" s="109" t="str">
        <f>IF(C271&lt;0,C271,"/")</f>
        <v>/</v>
      </c>
      <c r="E271" s="109">
        <f ca="1">IF(表2_367162629303456[[#This Row],[累计净值]]/MAX(INDIRECT("B21:B" &amp; ROW()))-1&lt;E270,表2_367162629303456[[#This Row],[累计净值]]/MAX(INDIRECT("B21:B" &amp; ROW()))-1,E270)</f>
        <v>-2.5984638012747197E-2</v>
      </c>
      <c r="F271" s="62">
        <f>表2_367162629303456[[#This Row],[累计净值]]-0.146-0.0578</f>
        <v>1.0403</v>
      </c>
      <c r="G271" s="20">
        <f>表2_367162629303456[[#This Row],[累计净值]]/$B$21-1</f>
        <v>0.10596497466441468</v>
      </c>
    </row>
    <row r="272" spans="1:7" x14ac:dyDescent="0.2">
      <c r="A272" s="55">
        <v>44077</v>
      </c>
      <c r="B272" s="117">
        <v>1.2454000000000001</v>
      </c>
      <c r="C272" s="108">
        <f t="shared" ref="C272:C277" si="78">IFERROR(B272-B271,0)</f>
        <v>1.3000000000000789E-3</v>
      </c>
      <c r="D272" s="109" t="str">
        <f t="shared" ref="D272:D277" si="79">IF(C272&lt;0,C272,"/")</f>
        <v>/</v>
      </c>
      <c r="E272" s="109">
        <f ca="1">IF(表2_367162629303456[[#This Row],[累计净值]]/MAX(INDIRECT("B21:B" &amp; ROW()))-1&lt;E271,表2_367162629303456[[#This Row],[累计净值]]/MAX(INDIRECT("B21:B" &amp; ROW()))-1,E271)</f>
        <v>-2.5984638012747197E-2</v>
      </c>
      <c r="F272" s="62">
        <f>表2_367162629303456[[#This Row],[累计净值]]-0.146-0.0578</f>
        <v>1.0416000000000001</v>
      </c>
      <c r="G272" s="20">
        <f>表2_367162629303456[[#This Row],[累计净值]]/$B$21-1</f>
        <v>0.10712063294515062</v>
      </c>
    </row>
    <row r="273" spans="1:7" x14ac:dyDescent="0.2">
      <c r="A273" s="55">
        <v>44078</v>
      </c>
      <c r="B273" s="112">
        <v>1.2452000000000001</v>
      </c>
      <c r="C273" s="108">
        <f t="shared" si="78"/>
        <v>-1.9999999999997797E-4</v>
      </c>
      <c r="D273" s="109">
        <f t="shared" si="79"/>
        <v>-1.9999999999997797E-4</v>
      </c>
      <c r="E273" s="109">
        <f ca="1">IF(表2_367162629303456[[#This Row],[累计净值]]/MAX(INDIRECT("B21:B" &amp; ROW()))-1&lt;E272,表2_367162629303456[[#This Row],[累计净值]]/MAX(INDIRECT("B21:B" &amp; ROW()))-1,E272)</f>
        <v>-2.5984638012747197E-2</v>
      </c>
      <c r="F273" s="62">
        <f>表2_367162629303456[[#This Row],[累计净值]]-0.146-0.0578</f>
        <v>1.0414000000000001</v>
      </c>
      <c r="G273" s="20">
        <f>表2_367162629303456[[#This Row],[累计净值]]/$B$21-1</f>
        <v>0.10694283936349902</v>
      </c>
    </row>
    <row r="274" spans="1:7" x14ac:dyDescent="0.2">
      <c r="A274" s="55">
        <v>44081</v>
      </c>
      <c r="B274" s="112">
        <v>1.2432000000000001</v>
      </c>
      <c r="C274" s="108">
        <f t="shared" si="78"/>
        <v>-2.0000000000000018E-3</v>
      </c>
      <c r="D274" s="109">
        <f t="shared" si="79"/>
        <v>-2.0000000000000018E-3</v>
      </c>
      <c r="E274" s="109">
        <f ca="1">IF(表2_367162629303456[[#This Row],[累计净值]]/MAX(INDIRECT("B21:B" &amp; ROW()))-1&lt;E273,表2_367162629303456[[#This Row],[累计净值]]/MAX(INDIRECT("B21:B" &amp; ROW()))-1,E273)</f>
        <v>-2.5984638012747197E-2</v>
      </c>
      <c r="F274" s="62">
        <f>表2_367162629303456[[#This Row],[累计净值]]-0.146-0.0578</f>
        <v>1.0394000000000001</v>
      </c>
      <c r="G274" s="20">
        <f>表2_367162629303456[[#This Row],[累计净值]]/$B$21-1</f>
        <v>0.10516490354698194</v>
      </c>
    </row>
    <row r="275" spans="1:7" x14ac:dyDescent="0.2">
      <c r="A275" s="55">
        <v>44082</v>
      </c>
      <c r="B275" s="112">
        <v>1.2445999999999999</v>
      </c>
      <c r="C275" s="108">
        <f t="shared" si="78"/>
        <v>1.3999999999998458E-3</v>
      </c>
      <c r="D275" s="109" t="str">
        <f t="shared" si="79"/>
        <v>/</v>
      </c>
      <c r="E275" s="109">
        <f ca="1">IF(表2_367162629303456[[#This Row],[累计净值]]/MAX(INDIRECT("B21:B" &amp; ROW()))-1&lt;E274,表2_367162629303456[[#This Row],[累计净值]]/MAX(INDIRECT("B21:B" &amp; ROW()))-1,E274)</f>
        <v>-2.5984638012747197E-2</v>
      </c>
      <c r="F275" s="62">
        <f>表2_367162629303456[[#This Row],[累计净值]]-0.146-0.0578</f>
        <v>1.0407999999999999</v>
      </c>
      <c r="G275" s="20">
        <f>表2_367162629303456[[#This Row],[累计净值]]/$B$21-1</f>
        <v>0.10640945861854378</v>
      </c>
    </row>
    <row r="276" spans="1:7" x14ac:dyDescent="0.2">
      <c r="A276" s="55">
        <v>44083</v>
      </c>
      <c r="B276" s="112">
        <v>1.2422</v>
      </c>
      <c r="C276" s="108">
        <f t="shared" si="78"/>
        <v>-2.3999999999999577E-3</v>
      </c>
      <c r="D276" s="109">
        <f t="shared" si="79"/>
        <v>-2.3999999999999577E-3</v>
      </c>
      <c r="E276" s="109">
        <f ca="1">IF(表2_367162629303456[[#This Row],[累计净值]]/MAX(INDIRECT("B21:B" &amp; ROW()))-1&lt;E275,表2_367162629303456[[#This Row],[累计净值]]/MAX(INDIRECT("B21:B" &amp; ROW()))-1,E275)</f>
        <v>-2.5984638012747197E-2</v>
      </c>
      <c r="F276" s="62">
        <f>表2_367162629303456[[#This Row],[累计净值]]-0.146-0.0578</f>
        <v>1.0384</v>
      </c>
      <c r="G276" s="20">
        <f>表2_367162629303456[[#This Row],[累计净值]]/$B$21-1</f>
        <v>0.1042759356387235</v>
      </c>
    </row>
    <row r="277" spans="1:7" x14ac:dyDescent="0.2">
      <c r="A277" s="55">
        <v>44084</v>
      </c>
      <c r="B277" s="112">
        <v>1.2436</v>
      </c>
      <c r="C277" s="108">
        <f t="shared" si="78"/>
        <v>1.4000000000000679E-3</v>
      </c>
      <c r="D277" s="109" t="str">
        <f t="shared" si="79"/>
        <v>/</v>
      </c>
      <c r="E277" s="109">
        <f ca="1">IF(表2_367162629303456[[#This Row],[累计净值]]/MAX(INDIRECT("B21:B" &amp; ROW()))-1&lt;E276,表2_367162629303456[[#This Row],[累计净值]]/MAX(INDIRECT("B21:B" &amp; ROW()))-1,E276)</f>
        <v>-2.5984638012747197E-2</v>
      </c>
      <c r="F277" s="62">
        <f>表2_367162629303456[[#This Row],[累计净值]]-0.146-0.0578</f>
        <v>1.0398000000000001</v>
      </c>
      <c r="G277" s="20">
        <f>表2_367162629303456[[#This Row],[累计净值]]/$B$21-1</f>
        <v>0.10552049071028535</v>
      </c>
    </row>
    <row r="278" spans="1:7" x14ac:dyDescent="0.2">
      <c r="A278" s="55">
        <v>44085</v>
      </c>
      <c r="B278" s="112">
        <v>1.2482</v>
      </c>
      <c r="C278" s="108">
        <f t="shared" ref="C278:C283" si="80">IFERROR(B278-B277,0)</f>
        <v>4.5999999999999375E-3</v>
      </c>
      <c r="D278" s="109" t="str">
        <f t="shared" ref="D278:D283" si="81">IF(C278&lt;0,C278,"/")</f>
        <v>/</v>
      </c>
      <c r="E278" s="109">
        <f ca="1">IF(表2_367162629303456[[#This Row],[累计净值]]/MAX(INDIRECT("B21:B" &amp; ROW()))-1&lt;E277,表2_367162629303456[[#This Row],[累计净值]]/MAX(INDIRECT("B21:B" &amp; ROW()))-1,E277)</f>
        <v>-2.5984638012747197E-2</v>
      </c>
      <c r="F278" s="62">
        <f>表2_367162629303456[[#This Row],[累计净值]]-0.146-0.0578</f>
        <v>1.0444</v>
      </c>
      <c r="G278" s="20">
        <f>表2_367162629303456[[#This Row],[累计净值]]/$B$21-1</f>
        <v>0.10960974308827454</v>
      </c>
    </row>
    <row r="279" spans="1:7" x14ac:dyDescent="0.2">
      <c r="A279" s="55">
        <v>44088</v>
      </c>
      <c r="B279" s="112">
        <v>1.2509999999999999</v>
      </c>
      <c r="C279" s="108">
        <f t="shared" si="80"/>
        <v>2.7999999999999137E-3</v>
      </c>
      <c r="D279" s="109" t="str">
        <f t="shared" si="81"/>
        <v>/</v>
      </c>
      <c r="E279" s="109">
        <f ca="1">IF(表2_367162629303456[[#This Row],[累计净值]]/MAX(INDIRECT("B21:B" &amp; ROW()))-1&lt;E278,表2_367162629303456[[#This Row],[累计净值]]/MAX(INDIRECT("B21:B" &amp; ROW()))-1,E278)</f>
        <v>-2.5984638012747197E-2</v>
      </c>
      <c r="F279" s="62">
        <f>表2_367162629303456[[#This Row],[累计净值]]-0.146-0.0578</f>
        <v>1.0471999999999999</v>
      </c>
      <c r="G279" s="20">
        <f>表2_367162629303456[[#This Row],[累计净值]]/$B$21-1</f>
        <v>0.11209885323139823</v>
      </c>
    </row>
    <row r="280" spans="1:7" x14ac:dyDescent="0.2">
      <c r="A280" s="55">
        <v>44089</v>
      </c>
      <c r="B280" s="112">
        <v>1.2504999999999999</v>
      </c>
      <c r="C280" s="108">
        <f t="shared" si="80"/>
        <v>-4.9999999999994493E-4</v>
      </c>
      <c r="D280" s="109">
        <f t="shared" si="81"/>
        <v>-4.9999999999994493E-4</v>
      </c>
      <c r="E280" s="109">
        <f ca="1">IF(表2_367162629303456[[#This Row],[累计净值]]/MAX(INDIRECT("B21:B" &amp; ROW()))-1&lt;E279,表2_367162629303456[[#This Row],[累计净值]]/MAX(INDIRECT("B21:B" &amp; ROW()))-1,E279)</f>
        <v>-2.5984638012747197E-2</v>
      </c>
      <c r="F280" s="62">
        <f>表2_367162629303456[[#This Row],[累计净值]]-0.146-0.0578</f>
        <v>1.0467</v>
      </c>
      <c r="G280" s="20">
        <f>表2_367162629303456[[#This Row],[累计净值]]/$B$21-1</f>
        <v>0.11165436927726913</v>
      </c>
    </row>
    <row r="281" spans="1:7" x14ac:dyDescent="0.2">
      <c r="A281" s="55">
        <v>44090</v>
      </c>
      <c r="B281" s="117">
        <v>1.2521</v>
      </c>
      <c r="C281" s="108">
        <f t="shared" si="80"/>
        <v>1.6000000000000458E-3</v>
      </c>
      <c r="D281" s="109" t="str">
        <f t="shared" si="81"/>
        <v>/</v>
      </c>
      <c r="E281" s="109">
        <f ca="1">IF(表2_367162629303456[[#This Row],[累计净值]]/MAX(INDIRECT("B21:B" &amp; ROW()))-1&lt;E280,表2_367162629303456[[#This Row],[累计净值]]/MAX(INDIRECT("B21:B" &amp; ROW()))-1,E280)</f>
        <v>-2.5984638012747197E-2</v>
      </c>
      <c r="F281" s="62">
        <f>表2_367162629303456[[#This Row],[累计净值]]-0.146-0.0578</f>
        <v>1.0483</v>
      </c>
      <c r="G281" s="20">
        <f>表2_367162629303456[[#This Row],[累计净值]]/$B$21-1</f>
        <v>0.1130767179304828</v>
      </c>
    </row>
    <row r="282" spans="1:7" x14ac:dyDescent="0.2">
      <c r="A282" s="55">
        <v>44091</v>
      </c>
      <c r="B282" s="112">
        <v>1.2478</v>
      </c>
      <c r="C282" s="108">
        <f t="shared" si="80"/>
        <v>-4.2999999999999705E-3</v>
      </c>
      <c r="D282" s="109">
        <f t="shared" si="81"/>
        <v>-4.2999999999999705E-3</v>
      </c>
      <c r="E282" s="109">
        <f ca="1">IF(表2_367162629303456[[#This Row],[累计净值]]/MAX(INDIRECT("B21:B" &amp; ROW()))-1&lt;E281,表2_367162629303456[[#This Row],[累计净值]]/MAX(INDIRECT("B21:B" &amp; ROW()))-1,E281)</f>
        <v>-2.5984638012747197E-2</v>
      </c>
      <c r="F282" s="62">
        <f>表2_367162629303456[[#This Row],[累计净值]]-0.146-0.0578</f>
        <v>1.044</v>
      </c>
      <c r="G282" s="20">
        <f>表2_367162629303456[[#This Row],[累计净值]]/$B$21-1</f>
        <v>0.10925415592497112</v>
      </c>
    </row>
    <row r="283" spans="1:7" x14ac:dyDescent="0.2">
      <c r="A283" s="55">
        <v>44092</v>
      </c>
      <c r="B283" s="112">
        <v>1.2470000000000001</v>
      </c>
      <c r="C283" s="108">
        <f t="shared" si="80"/>
        <v>-7.9999999999991189E-4</v>
      </c>
      <c r="D283" s="109">
        <f t="shared" si="81"/>
        <v>-7.9999999999991189E-4</v>
      </c>
      <c r="E283" s="109">
        <f ca="1">IF(表2_367162629303456[[#This Row],[累计净值]]/MAX(INDIRECT("B21:B" &amp; ROW()))-1&lt;E282,表2_367162629303456[[#This Row],[累计净值]]/MAX(INDIRECT("B21:B" &amp; ROW()))-1,E282)</f>
        <v>-2.5984638012747197E-2</v>
      </c>
      <c r="F283" s="62">
        <f>表2_367162629303456[[#This Row],[累计净值]]-0.146-0.0578</f>
        <v>1.0432000000000001</v>
      </c>
      <c r="G283" s="20">
        <f>表2_367162629303456[[#This Row],[累计净值]]/$B$21-1</f>
        <v>0.10854298159836429</v>
      </c>
    </row>
    <row r="284" spans="1:7" x14ac:dyDescent="0.2">
      <c r="A284" s="55">
        <v>44095</v>
      </c>
      <c r="B284" s="112">
        <v>1.2451000000000001</v>
      </c>
      <c r="C284" s="108">
        <f t="shared" ref="C284:C289" si="82">IFERROR(B284-B283,0)</f>
        <v>-1.9000000000000128E-3</v>
      </c>
      <c r="D284" s="109">
        <f t="shared" ref="D284:D289" si="83">IF(C284&lt;0,C284,"/")</f>
        <v>-1.9000000000000128E-3</v>
      </c>
      <c r="E284" s="109">
        <f ca="1">IF(表2_367162629303456[[#This Row],[累计净值]]/MAX(INDIRECT("B21:B" &amp; ROW()))-1&lt;E283,表2_367162629303456[[#This Row],[累计净值]]/MAX(INDIRECT("B21:B" &amp; ROW()))-1,E283)</f>
        <v>-2.5984638012747197E-2</v>
      </c>
      <c r="F284" s="62">
        <f>表2_367162629303456[[#This Row],[累计净值]]-0.146-0.0578</f>
        <v>1.0413000000000001</v>
      </c>
      <c r="G284" s="20">
        <f>表2_367162629303456[[#This Row],[累计净值]]/$B$21-1</f>
        <v>0.10685394257267311</v>
      </c>
    </row>
    <row r="285" spans="1:7" x14ac:dyDescent="0.2">
      <c r="A285" s="55">
        <v>44096</v>
      </c>
      <c r="B285" s="112">
        <v>1.2470000000000001</v>
      </c>
      <c r="C285" s="108">
        <f t="shared" si="82"/>
        <v>1.9000000000000128E-3</v>
      </c>
      <c r="D285" s="109" t="str">
        <f t="shared" si="83"/>
        <v>/</v>
      </c>
      <c r="E285" s="109">
        <f ca="1">IF(表2_367162629303456[[#This Row],[累计净值]]/MAX(INDIRECT("B21:B" &amp; ROW()))-1&lt;E284,表2_367162629303456[[#This Row],[累计净值]]/MAX(INDIRECT("B21:B" &amp; ROW()))-1,E284)</f>
        <v>-2.5984638012747197E-2</v>
      </c>
      <c r="F285" s="62">
        <f>表2_367162629303456[[#This Row],[累计净值]]-0.146-0.0578</f>
        <v>1.0432000000000001</v>
      </c>
      <c r="G285" s="20">
        <f>表2_367162629303456[[#This Row],[累计净值]]/$B$21-1</f>
        <v>0.10854298159836429</v>
      </c>
    </row>
    <row r="286" spans="1:7" x14ac:dyDescent="0.2">
      <c r="A286" s="55">
        <v>44097</v>
      </c>
      <c r="B286" s="112">
        <v>1.2502</v>
      </c>
      <c r="C286" s="108">
        <f t="shared" si="82"/>
        <v>3.1999999999998696E-3</v>
      </c>
      <c r="D286" s="109" t="str">
        <f t="shared" si="83"/>
        <v>/</v>
      </c>
      <c r="E286" s="109">
        <f ca="1">IF(表2_367162629303456[[#This Row],[累计净值]]/MAX(INDIRECT("B21:B" &amp; ROW()))-1&lt;E285,表2_367162629303456[[#This Row],[累计净值]]/MAX(INDIRECT("B21:B" &amp; ROW()))-1,E285)</f>
        <v>-2.5984638012747197E-2</v>
      </c>
      <c r="F286" s="62">
        <f>表2_367162629303456[[#This Row],[累计净值]]-0.146-0.0578</f>
        <v>1.0464</v>
      </c>
      <c r="G286" s="20">
        <f>表2_367162629303456[[#This Row],[累计净值]]/$B$21-1</f>
        <v>0.1113876789047914</v>
      </c>
    </row>
    <row r="287" spans="1:7" x14ac:dyDescent="0.2">
      <c r="A287" s="55">
        <v>44098</v>
      </c>
      <c r="B287" s="112">
        <v>1.2479</v>
      </c>
      <c r="C287" s="108">
        <f t="shared" si="82"/>
        <v>-2.2999999999999687E-3</v>
      </c>
      <c r="D287" s="109">
        <f t="shared" si="83"/>
        <v>-2.2999999999999687E-3</v>
      </c>
      <c r="E287" s="109">
        <f ca="1">IF(表2_367162629303456[[#This Row],[累计净值]]/MAX(INDIRECT("B21:B" &amp; ROW()))-1&lt;E286,表2_367162629303456[[#This Row],[累计净值]]/MAX(INDIRECT("B21:B" &amp; ROW()))-1,E286)</f>
        <v>-2.5984638012747197E-2</v>
      </c>
      <c r="F287" s="62">
        <f>表2_367162629303456[[#This Row],[累计净值]]-0.146-0.0578</f>
        <v>1.0441</v>
      </c>
      <c r="G287" s="20">
        <f>表2_367162629303456[[#This Row],[累计净值]]/$B$21-1</f>
        <v>0.10934305271579703</v>
      </c>
    </row>
    <row r="288" spans="1:7" x14ac:dyDescent="0.2">
      <c r="A288" s="55">
        <v>44099</v>
      </c>
      <c r="B288" s="112">
        <v>1.246</v>
      </c>
      <c r="C288" s="108">
        <f t="shared" si="82"/>
        <v>-1.9000000000000128E-3</v>
      </c>
      <c r="D288" s="109">
        <f t="shared" si="83"/>
        <v>-1.9000000000000128E-3</v>
      </c>
      <c r="E288" s="109">
        <f ca="1">IF(表2_367162629303456[[#This Row],[累计净值]]/MAX(INDIRECT("B21:B" &amp; ROW()))-1&lt;E287,表2_367162629303456[[#This Row],[累计净值]]/MAX(INDIRECT("B21:B" &amp; ROW()))-1,E287)</f>
        <v>-2.5984638012747197E-2</v>
      </c>
      <c r="F288" s="62">
        <f>表2_367162629303456[[#This Row],[累计净值]]-0.146-0.0578</f>
        <v>1.0422</v>
      </c>
      <c r="G288" s="20">
        <f>表2_367162629303456[[#This Row],[累计净值]]/$B$21-1</f>
        <v>0.10765401369010585</v>
      </c>
    </row>
    <row r="289" spans="1:7" x14ac:dyDescent="0.2">
      <c r="A289" s="55">
        <v>44102</v>
      </c>
      <c r="B289" s="112">
        <v>1.2457</v>
      </c>
      <c r="C289" s="108">
        <f t="shared" si="82"/>
        <v>-2.9999999999996696E-4</v>
      </c>
      <c r="D289" s="109">
        <f t="shared" si="83"/>
        <v>-2.9999999999996696E-4</v>
      </c>
      <c r="E289" s="109">
        <f ca="1">IF(表2_367162629303456[[#This Row],[累计净值]]/MAX(INDIRECT("B21:B" &amp; ROW()))-1&lt;E288,表2_367162629303456[[#This Row],[累计净值]]/MAX(INDIRECT("B21:B" &amp; ROW()))-1,E288)</f>
        <v>-2.5984638012747197E-2</v>
      </c>
      <c r="F289" s="62">
        <f>表2_367162629303456[[#This Row],[累计净值]]-0.146-0.0578</f>
        <v>1.0419</v>
      </c>
      <c r="G289" s="20">
        <f>表2_367162629303456[[#This Row],[累计净值]]/$B$21-1</f>
        <v>0.10738732331762835</v>
      </c>
    </row>
    <row r="290" spans="1:7" x14ac:dyDescent="0.2">
      <c r="A290" s="55">
        <v>44103</v>
      </c>
      <c r="B290" s="112">
        <v>1.2436</v>
      </c>
      <c r="C290" s="108">
        <f t="shared" ref="C290:C295" si="84">IFERROR(B290-B289,0)</f>
        <v>-2.0999999999999908E-3</v>
      </c>
      <c r="D290" s="109">
        <f t="shared" ref="D290:D295" si="85">IF(C290&lt;0,C290,"/")</f>
        <v>-2.0999999999999908E-3</v>
      </c>
      <c r="E290" s="109">
        <f ca="1">IF(表2_367162629303456[[#This Row],[累计净值]]/MAX(INDIRECT("B21:B" &amp; ROW()))-1&lt;E289,表2_367162629303456[[#This Row],[累计净值]]/MAX(INDIRECT("B21:B" &amp; ROW()))-1,E289)</f>
        <v>-2.5984638012747197E-2</v>
      </c>
      <c r="F290" s="62">
        <f>表2_367162629303456[[#This Row],[累计净值]]-0.146-0.0578</f>
        <v>1.0398000000000001</v>
      </c>
      <c r="G290" s="20">
        <f>表2_367162629303456[[#This Row],[累计净值]]/$B$21-1</f>
        <v>0.10552049071028535</v>
      </c>
    </row>
    <row r="291" spans="1:7" x14ac:dyDescent="0.2">
      <c r="A291" s="55">
        <v>44104</v>
      </c>
      <c r="B291" s="112">
        <v>1.25</v>
      </c>
      <c r="C291" s="108">
        <f t="shared" si="84"/>
        <v>6.3999999999999613E-3</v>
      </c>
      <c r="D291" s="109" t="str">
        <f t="shared" si="85"/>
        <v>/</v>
      </c>
      <c r="E291" s="109">
        <f ca="1">IF(表2_367162629303456[[#This Row],[累计净值]]/MAX(INDIRECT("B21:B" &amp; ROW()))-1&lt;E290,表2_367162629303456[[#This Row],[累计净值]]/MAX(INDIRECT("B21:B" &amp; ROW()))-1,E290)</f>
        <v>-2.5984638012747197E-2</v>
      </c>
      <c r="F291" s="62">
        <f>表2_367162629303456[[#This Row],[累计净值]]-0.146-0.0578</f>
        <v>1.0462</v>
      </c>
      <c r="G291" s="20">
        <f>表2_367162629303456[[#This Row],[累计净值]]/$B$21-1</f>
        <v>0.1112098853231398</v>
      </c>
    </row>
    <row r="292" spans="1:7" x14ac:dyDescent="0.2">
      <c r="A292" s="55">
        <v>44113</v>
      </c>
      <c r="B292" s="112">
        <v>1.2487999999999999</v>
      </c>
      <c r="C292" s="108">
        <f t="shared" si="84"/>
        <v>-1.2000000000000899E-3</v>
      </c>
      <c r="D292" s="109">
        <f t="shared" si="85"/>
        <v>-1.2000000000000899E-3</v>
      </c>
      <c r="E292" s="109">
        <f ca="1">IF(表2_367162629303456[[#This Row],[累计净值]]/MAX(INDIRECT("B21:B" &amp; ROW()))-1&lt;E291,表2_367162629303456[[#This Row],[累计净值]]/MAX(INDIRECT("B21:B" &amp; ROW()))-1,E291)</f>
        <v>-2.5984638012747197E-2</v>
      </c>
      <c r="F292" s="62">
        <f>表2_367162629303456[[#This Row],[累计净值]]-0.146-0.0578</f>
        <v>1.0449999999999999</v>
      </c>
      <c r="G292" s="20">
        <f>表2_367162629303456[[#This Row],[累计净值]]/$B$21-1</f>
        <v>0.11014312383322955</v>
      </c>
    </row>
    <row r="293" spans="1:7" x14ac:dyDescent="0.2">
      <c r="A293" s="55">
        <v>44116</v>
      </c>
      <c r="B293" s="112">
        <v>1.2486999999999999</v>
      </c>
      <c r="C293" s="108">
        <f t="shared" si="84"/>
        <v>-9.9999999999988987E-5</v>
      </c>
      <c r="D293" s="109">
        <f t="shared" si="85"/>
        <v>-9.9999999999988987E-5</v>
      </c>
      <c r="E293" s="109">
        <f ca="1">IF(表2_367162629303456[[#This Row],[累计净值]]/MAX(INDIRECT("B21:B" &amp; ROW()))-1&lt;E292,表2_367162629303456[[#This Row],[累计净值]]/MAX(INDIRECT("B21:B" &amp; ROW()))-1,E292)</f>
        <v>-2.5984638012747197E-2</v>
      </c>
      <c r="F293" s="62">
        <f>表2_367162629303456[[#This Row],[累计净值]]-0.146-0.0578</f>
        <v>1.0448999999999999</v>
      </c>
      <c r="G293" s="20">
        <f>表2_367162629303456[[#This Row],[累计净值]]/$B$21-1</f>
        <v>0.11005422704240364</v>
      </c>
    </row>
    <row r="294" spans="1:7" x14ac:dyDescent="0.2">
      <c r="A294" s="55">
        <v>44117</v>
      </c>
      <c r="B294" s="112">
        <v>1.2475000000000001</v>
      </c>
      <c r="C294" s="108">
        <f t="shared" si="84"/>
        <v>-1.1999999999998678E-3</v>
      </c>
      <c r="D294" s="109">
        <f t="shared" si="85"/>
        <v>-1.1999999999998678E-3</v>
      </c>
      <c r="E294" s="109">
        <f ca="1">IF(表2_367162629303456[[#This Row],[累计净值]]/MAX(INDIRECT("B21:B" &amp; ROW()))-1&lt;E293,表2_367162629303456[[#This Row],[累计净值]]/MAX(INDIRECT("B21:B" &amp; ROW()))-1,E293)</f>
        <v>-2.5984638012747197E-2</v>
      </c>
      <c r="F294" s="62">
        <f>表2_367162629303456[[#This Row],[累计净值]]-0.146-0.0578</f>
        <v>1.0437000000000001</v>
      </c>
      <c r="G294" s="20">
        <f>表2_367162629303456[[#This Row],[累计净值]]/$B$21-1</f>
        <v>0.10898746555249361</v>
      </c>
    </row>
    <row r="295" spans="1:7" x14ac:dyDescent="0.2">
      <c r="A295" s="55">
        <v>44118</v>
      </c>
      <c r="B295" s="112">
        <v>1.2458</v>
      </c>
      <c r="C295" s="108">
        <f t="shared" si="84"/>
        <v>-1.7000000000000348E-3</v>
      </c>
      <c r="D295" s="109">
        <f t="shared" si="85"/>
        <v>-1.7000000000000348E-3</v>
      </c>
      <c r="E295" s="109">
        <f ca="1">IF(表2_367162629303456[[#This Row],[累计净值]]/MAX(INDIRECT("B21:B" &amp; ROW()))-1&lt;E294,表2_367162629303456[[#This Row],[累计净值]]/MAX(INDIRECT("B21:B" &amp; ROW()))-1,E294)</f>
        <v>-2.5984638012747197E-2</v>
      </c>
      <c r="F295" s="62">
        <f>表2_367162629303456[[#This Row],[累计净值]]-0.146-0.0578</f>
        <v>1.042</v>
      </c>
      <c r="G295" s="20">
        <f>表2_367162629303456[[#This Row],[累计净值]]/$B$21-1</f>
        <v>0.10747622010845403</v>
      </c>
    </row>
    <row r="296" spans="1:7" x14ac:dyDescent="0.2">
      <c r="A296" s="55">
        <v>44119</v>
      </c>
      <c r="B296" s="112">
        <v>1.2446999999999999</v>
      </c>
      <c r="C296" s="108">
        <f>IFERROR(B296-B295,0)</f>
        <v>-1.1000000000001009E-3</v>
      </c>
      <c r="D296" s="109">
        <f>IF(C296&lt;0,C296,"/")</f>
        <v>-1.1000000000001009E-3</v>
      </c>
      <c r="E296" s="109">
        <f ca="1">IF(表2_367162629303456[[#This Row],[累计净值]]/MAX(INDIRECT("B21:B" &amp; ROW()))-1&lt;E295,表2_367162629303456[[#This Row],[累计净值]]/MAX(INDIRECT("B21:B" &amp; ROW()))-1,E295)</f>
        <v>-2.5984638012747197E-2</v>
      </c>
      <c r="F296" s="62">
        <f>表2_367162629303456[[#This Row],[累计净值]]-0.146-0.0578</f>
        <v>1.0408999999999999</v>
      </c>
      <c r="G296" s="20">
        <f>表2_367162629303456[[#This Row],[累计净值]]/$B$21-1</f>
        <v>0.10649835540936969</v>
      </c>
    </row>
    <row r="297" spans="1:7" x14ac:dyDescent="0.2">
      <c r="A297" s="55">
        <v>44120</v>
      </c>
      <c r="B297" s="112">
        <v>1.2446999999999999</v>
      </c>
      <c r="C297" s="108">
        <f>IFERROR(B297-B296,0)</f>
        <v>0</v>
      </c>
      <c r="D297" s="109" t="str">
        <f>IF(C297&lt;0,C297,"/")</f>
        <v>/</v>
      </c>
      <c r="E297" s="109">
        <f ca="1">IF(表2_367162629303456[[#This Row],[累计净值]]/MAX(INDIRECT("B21:B" &amp; ROW()))-1&lt;E296,表2_367162629303456[[#This Row],[累计净值]]/MAX(INDIRECT("B21:B" &amp; ROW()))-1,E296)</f>
        <v>-2.5984638012747197E-2</v>
      </c>
      <c r="F297" s="62">
        <f>表2_367162629303456[[#This Row],[累计净值]]-0.146-0.0578</f>
        <v>1.0408999999999999</v>
      </c>
      <c r="G297" s="20">
        <f>表2_367162629303456[[#This Row],[累计净值]]/$B$21-1</f>
        <v>0.10649835540936969</v>
      </c>
    </row>
    <row r="298" spans="1:7" x14ac:dyDescent="0.2">
      <c r="A298" s="55">
        <v>44123</v>
      </c>
      <c r="B298" s="112">
        <v>1.2459</v>
      </c>
      <c r="C298" s="108">
        <f>IFERROR(B298-B297,0)</f>
        <v>1.2000000000000899E-3</v>
      </c>
      <c r="D298" s="109" t="str">
        <f>IF(C298&lt;0,C298,"/")</f>
        <v>/</v>
      </c>
      <c r="E298" s="109">
        <f ca="1">IF(表2_367162629303456[[#This Row],[累计净值]]/MAX(INDIRECT("B21:B" &amp; ROW()))-1&lt;E297,表2_367162629303456[[#This Row],[累计净值]]/MAX(INDIRECT("B21:B" &amp; ROW()))-1,E297)</f>
        <v>-2.5984638012747197E-2</v>
      </c>
      <c r="F298" s="62">
        <f>表2_367162629303456[[#This Row],[累计净值]]-0.146-0.0578</f>
        <v>1.0421</v>
      </c>
      <c r="G298" s="20">
        <f>表2_367162629303456[[#This Row],[累计净值]]/$B$21-1</f>
        <v>0.10756511689927994</v>
      </c>
    </row>
  </sheetData>
  <mergeCells count="1">
    <mergeCell ref="G2:G3"/>
  </mergeCells>
  <phoneticPr fontId="24" type="noConversion"/>
  <pageMargins left="0.7" right="0.7" top="0.75" bottom="0.75" header="0.3" footer="0.3"/>
  <pageSetup paperSize="9" orientation="portrait" horizontalDpi="200" verticalDpi="200" r:id="rId1"/>
  <drawing r:id="rId2"/>
  <legacyDrawing r:id="rId3"/>
  <tableParts count="1">
    <tablePart r:id="rId4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1"/>
  </sheetPr>
  <dimension ref="A1:J252"/>
  <sheetViews>
    <sheetView workbookViewId="0">
      <pane xSplit="1" ySplit="20" topLeftCell="B251" activePane="bottomRight" state="frozen"/>
      <selection pane="topRight" activeCell="B1" sqref="B1"/>
      <selection pane="bottomLeft" activeCell="A21" sqref="A21"/>
      <selection pane="bottomRight" activeCell="I249" sqref="I249"/>
    </sheetView>
  </sheetViews>
  <sheetFormatPr defaultColWidth="9" defaultRowHeight="14.25" x14ac:dyDescent="0.2"/>
  <cols>
    <col min="1" max="1" width="11.625" style="1" bestFit="1" customWidth="1"/>
    <col min="2" max="2" width="13" style="1" customWidth="1"/>
    <col min="3" max="4" width="13.5" style="1" bestFit="1" customWidth="1"/>
    <col min="5" max="5" width="9" style="1" customWidth="1"/>
    <col min="6" max="6" width="11.125" style="1" customWidth="1"/>
    <col min="7" max="7" width="18.875" style="2" customWidth="1"/>
    <col min="8" max="8" width="9" style="1"/>
    <col min="9" max="9" width="14.25" style="1" customWidth="1"/>
    <col min="10" max="10" width="12" style="1" bestFit="1" customWidth="1"/>
    <col min="11" max="16384" width="9" style="1"/>
  </cols>
  <sheetData>
    <row r="1" spans="1:7" ht="15" thickBot="1" x14ac:dyDescent="0.25"/>
    <row r="2" spans="1:7" ht="15" thickBot="1" x14ac:dyDescent="0.25">
      <c r="A2" s="23" t="s">
        <v>0</v>
      </c>
      <c r="B2" s="24">
        <f>COUNT(表2_36716262930[每日盈亏])</f>
        <v>232</v>
      </c>
      <c r="C2" s="27"/>
      <c r="D2" s="3" t="s">
        <v>1</v>
      </c>
      <c r="E2" s="28"/>
      <c r="F2" s="35" t="s">
        <v>2</v>
      </c>
      <c r="G2" s="394" t="s">
        <v>3</v>
      </c>
    </row>
    <row r="3" spans="1:7" x14ac:dyDescent="0.2">
      <c r="A3" s="25" t="s">
        <v>4</v>
      </c>
      <c r="B3" s="26">
        <f>COUNTIF(表2_36716262930[每日盈亏],"&gt;0")</f>
        <v>122</v>
      </c>
      <c r="C3" s="29"/>
      <c r="D3" s="30" t="s">
        <v>5</v>
      </c>
      <c r="E3" s="31">
        <f>245^0.5*(B10-0.025/365)/E10</f>
        <v>2.1946562571686674</v>
      </c>
      <c r="F3" s="35"/>
      <c r="G3" s="394"/>
    </row>
    <row r="4" spans="1:7" x14ac:dyDescent="0.2">
      <c r="A4" s="25" t="s">
        <v>6</v>
      </c>
      <c r="B4" s="26">
        <f>COUNTIF(表2_36716262930[每日盈亏],"&lt;0")</f>
        <v>62</v>
      </c>
      <c r="C4" s="29"/>
      <c r="D4" s="32" t="s">
        <v>7</v>
      </c>
      <c r="E4" s="31">
        <f ca="1">-B9/E8</f>
        <v>3.136492332042546</v>
      </c>
      <c r="F4" s="35"/>
      <c r="G4" s="2">
        <f>LOOKUP(999^10,表2_36716262930[累计净值])</f>
        <v>1.5586</v>
      </c>
    </row>
    <row r="5" spans="1:7" x14ac:dyDescent="0.2">
      <c r="A5" s="25" t="s">
        <v>8</v>
      </c>
      <c r="B5" s="26">
        <f>B2-B3-B4</f>
        <v>48</v>
      </c>
      <c r="C5" s="29"/>
      <c r="D5" s="33" t="s">
        <v>9</v>
      </c>
      <c r="E5" s="4">
        <f>245^0.5*(B10-0.025/365)/E9</f>
        <v>2.1409064495854069</v>
      </c>
      <c r="F5" s="35"/>
    </row>
    <row r="6" spans="1:7" ht="15" thickBot="1" x14ac:dyDescent="0.25">
      <c r="A6" s="34"/>
      <c r="B6" s="35"/>
      <c r="C6" s="35"/>
      <c r="D6" s="35"/>
      <c r="E6" s="36"/>
      <c r="F6" s="35"/>
    </row>
    <row r="7" spans="1:7" ht="15" thickBot="1" x14ac:dyDescent="0.25">
      <c r="A7" s="5" t="s">
        <v>10</v>
      </c>
      <c r="B7" s="35"/>
      <c r="C7" s="35"/>
      <c r="D7" s="3" t="s">
        <v>11</v>
      </c>
      <c r="E7" s="37"/>
      <c r="F7" s="35"/>
    </row>
    <row r="8" spans="1:7" x14ac:dyDescent="0.2">
      <c r="A8" s="38" t="s">
        <v>12</v>
      </c>
      <c r="B8" s="39">
        <f>LOOKUP(999^10,表2_36716262930[单位净值])/$F$21-1</f>
        <v>6.4213564213564389E-2</v>
      </c>
      <c r="C8" s="40"/>
      <c r="D8" s="30" t="s">
        <v>13</v>
      </c>
      <c r="E8" s="41">
        <f ca="1">MIN(表2_36716262930[最大回撤])</f>
        <v>-2.162024672516849E-2</v>
      </c>
      <c r="F8" s="35"/>
    </row>
    <row r="9" spans="1:7" x14ac:dyDescent="0.2">
      <c r="A9" s="25" t="s">
        <v>14</v>
      </c>
      <c r="B9" s="32">
        <f>B8*245/B2</f>
        <v>6.7811738070358937E-2</v>
      </c>
      <c r="C9" s="40"/>
      <c r="D9" s="33" t="s">
        <v>15</v>
      </c>
      <c r="E9" s="6">
        <f>STDEV(表2_36716262930[下跌幅度])</f>
        <v>2.2913374681425383E-3</v>
      </c>
      <c r="F9" s="35"/>
    </row>
    <row r="10" spans="1:7" x14ac:dyDescent="0.2">
      <c r="A10" s="42" t="s">
        <v>16</v>
      </c>
      <c r="B10" s="43">
        <f>AVERAGE(表2_36716262930[每日盈亏])</f>
        <v>3.8189655172413801E-4</v>
      </c>
      <c r="C10" s="44"/>
      <c r="D10" s="33" t="s">
        <v>17</v>
      </c>
      <c r="E10" s="6">
        <f>STDEV(表2_36716262930[每日盈亏])</f>
        <v>2.2352198198234961E-3</v>
      </c>
      <c r="F10" s="35"/>
    </row>
    <row r="11" spans="1:7" x14ac:dyDescent="0.2">
      <c r="A11" s="7" t="s">
        <v>18</v>
      </c>
      <c r="B11" s="32">
        <f>B3/B2</f>
        <v>0.52586206896551724</v>
      </c>
      <c r="C11" s="40"/>
      <c r="D11" s="32" t="s">
        <v>19</v>
      </c>
      <c r="E11" s="41">
        <f>245^0.5*E10</f>
        <v>3.4986724232461186E-2</v>
      </c>
      <c r="F11" s="35"/>
    </row>
    <row r="12" spans="1:7" ht="15" thickBot="1" x14ac:dyDescent="0.25">
      <c r="A12" s="45" t="s">
        <v>20</v>
      </c>
      <c r="B12" s="46">
        <f>-(SUMIF(表2_36716262930[每日盈亏],"&gt;=0")/B3)/(SUMIF(表2_36716262930[每日盈亏],"&lt;0")/B4)</f>
        <v>0.84073903673390393</v>
      </c>
      <c r="C12" s="47"/>
      <c r="D12" s="48"/>
      <c r="E12" s="49"/>
      <c r="F12" s="35"/>
    </row>
    <row r="13" spans="1:7" x14ac:dyDescent="0.2">
      <c r="A13" s="35"/>
      <c r="B13" s="35"/>
      <c r="C13" s="35"/>
      <c r="D13" s="35"/>
      <c r="E13" s="35"/>
      <c r="F13" s="35"/>
    </row>
    <row r="14" spans="1:7" ht="28.5" x14ac:dyDescent="0.2">
      <c r="A14" s="50" t="s">
        <v>21</v>
      </c>
      <c r="B14" s="50" t="s">
        <v>14</v>
      </c>
      <c r="C14" s="51" t="s">
        <v>19</v>
      </c>
      <c r="D14" s="51" t="s">
        <v>13</v>
      </c>
      <c r="E14" s="51" t="s">
        <v>5</v>
      </c>
      <c r="F14" s="51" t="s">
        <v>7</v>
      </c>
    </row>
    <row r="15" spans="1:7" x14ac:dyDescent="0.2">
      <c r="A15" s="52">
        <f>B2</f>
        <v>232</v>
      </c>
      <c r="B15" s="53">
        <f>B9</f>
        <v>6.7811738070358937E-2</v>
      </c>
      <c r="C15" s="53">
        <f>E11</f>
        <v>3.4986724232461186E-2</v>
      </c>
      <c r="D15" s="53">
        <f ca="1">E8</f>
        <v>-2.162024672516849E-2</v>
      </c>
      <c r="E15" s="54">
        <f>E3</f>
        <v>2.1946562571686674</v>
      </c>
      <c r="F15" s="54">
        <f ca="1">E4</f>
        <v>3.136492332042546</v>
      </c>
    </row>
    <row r="19" spans="1:7" x14ac:dyDescent="0.2">
      <c r="A19" s="8"/>
      <c r="B19" s="1" t="s">
        <v>22</v>
      </c>
    </row>
    <row r="20" spans="1:7" ht="15.75" x14ac:dyDescent="0.2">
      <c r="A20" s="22" t="s">
        <v>23</v>
      </c>
      <c r="B20" s="22" t="s">
        <v>24</v>
      </c>
      <c r="C20" s="22" t="s">
        <v>25</v>
      </c>
      <c r="D20" s="22" t="s">
        <v>26</v>
      </c>
      <c r="E20" s="22" t="s">
        <v>27</v>
      </c>
      <c r="F20" s="22" t="s">
        <v>28</v>
      </c>
      <c r="G20" s="22" t="s">
        <v>29</v>
      </c>
    </row>
    <row r="21" spans="1:7" x14ac:dyDescent="0.2">
      <c r="A21" s="15">
        <v>43700</v>
      </c>
      <c r="B21" s="10">
        <f>表2_36716262930[[#This Row],[单位净值]]+0.084</f>
        <v>1.47</v>
      </c>
      <c r="C21" s="11">
        <f t="shared" ref="C21:C26" si="0">IFERROR(B21-B20,0)</f>
        <v>0</v>
      </c>
      <c r="D21" s="12" t="str">
        <f>IF(C21&lt;0,C21,"/")</f>
        <v>/</v>
      </c>
      <c r="E21" s="12">
        <f ca="1">IF(表2_36716262930[[#This Row],[累计净值]]/MAX(INDIRECT("B21:B" &amp; ROW()))-1&lt;E20,表2_36716262930[[#This Row],[累计净值]]/MAX(INDIRECT("B21:B" &amp; ROW()))-1,E20)</f>
        <v>0</v>
      </c>
      <c r="F21" s="13">
        <v>1.3859999999999999</v>
      </c>
      <c r="G21" s="14" t="s">
        <v>30</v>
      </c>
    </row>
    <row r="22" spans="1:7" x14ac:dyDescent="0.2">
      <c r="A22" s="15">
        <v>43703</v>
      </c>
      <c r="B22" s="56">
        <f>表2_36716262930[[#This Row],[单位净值]]+0.084</f>
        <v>1.4710000000000001</v>
      </c>
      <c r="C22" s="17">
        <f t="shared" si="0"/>
        <v>1.0000000000001119E-3</v>
      </c>
      <c r="D22" s="18" t="str">
        <f>IF(C22&lt;0,C22,"/")</f>
        <v>/</v>
      </c>
      <c r="E22" s="18">
        <f ca="1">IF(表2_36716262930[[#This Row],[累计净值]]/MAX(INDIRECT("B21:B" &amp; ROW()))-1&lt;E21,表2_36716262930[[#This Row],[累计净值]]/MAX(INDIRECT("B21:B" &amp; ROW()))-1,E21)</f>
        <v>0</v>
      </c>
      <c r="F22" s="19">
        <v>1.387</v>
      </c>
      <c r="G22" s="20">
        <f>表2_36716262930[[#This Row],[单位净值]]/$F$21-1</f>
        <v>7.2150072150090061E-4</v>
      </c>
    </row>
    <row r="23" spans="1:7" x14ac:dyDescent="0.2">
      <c r="A23" s="15">
        <v>43704</v>
      </c>
      <c r="B23" s="56">
        <f>表2_36716262930[[#This Row],[单位净值]]+0.084</f>
        <v>1.474</v>
      </c>
      <c r="C23" s="17">
        <f t="shared" si="0"/>
        <v>2.9999999999998916E-3</v>
      </c>
      <c r="D23" s="18" t="str">
        <f>IF(C23&lt;0,C23,"/")</f>
        <v>/</v>
      </c>
      <c r="E23" s="18">
        <f ca="1">IF(表2_36716262930[[#This Row],[累计净值]]/MAX(INDIRECT("B21:B" &amp; ROW()))-1&lt;E22,表2_36716262930[[#This Row],[累计净值]]/MAX(INDIRECT("B21:B" &amp; ROW()))-1,E22)</f>
        <v>0</v>
      </c>
      <c r="F23" s="19">
        <v>1.39</v>
      </c>
      <c r="G23" s="20">
        <f>表2_36716262930[[#This Row],[单位净值]]/$F$21-1</f>
        <v>2.8860028860029363E-3</v>
      </c>
    </row>
    <row r="24" spans="1:7" x14ac:dyDescent="0.2">
      <c r="A24" s="15">
        <v>43705</v>
      </c>
      <c r="B24" s="56">
        <f>表2_36716262930[[#This Row],[单位净值]]+0.084</f>
        <v>1.47</v>
      </c>
      <c r="C24" s="17">
        <f t="shared" si="0"/>
        <v>-4.0000000000000036E-3</v>
      </c>
      <c r="D24" s="18">
        <f>IF(C24&lt;0,C24,"/")</f>
        <v>-4.0000000000000036E-3</v>
      </c>
      <c r="E24" s="18">
        <f ca="1">IF(表2_36716262930[[#This Row],[累计净值]]/MAX(INDIRECT("B21:B" &amp; ROW()))-1&lt;E23,表2_36716262930[[#This Row],[累计净值]]/MAX(INDIRECT("B21:B" &amp; ROW()))-1,E23)</f>
        <v>-2.7137042062415073E-3</v>
      </c>
      <c r="F24" s="19">
        <v>1.3859999999999999</v>
      </c>
      <c r="G24" s="20">
        <f>表2_36716262930[[#This Row],[单位净值]]/$F$21-1</f>
        <v>0</v>
      </c>
    </row>
    <row r="25" spans="1:7" x14ac:dyDescent="0.2">
      <c r="A25" s="15">
        <v>43706</v>
      </c>
      <c r="B25" s="56">
        <f>表2_36716262930[[#This Row],[单位净值]]+0.084</f>
        <v>1.4690000000000001</v>
      </c>
      <c r="C25" s="17">
        <f t="shared" si="0"/>
        <v>-9.9999999999988987E-4</v>
      </c>
      <c r="D25" s="18">
        <f>IF(C25&lt;0,C25,"/")</f>
        <v>-9.9999999999988987E-4</v>
      </c>
      <c r="E25" s="18">
        <f ca="1">IF(表2_36716262930[[#This Row],[累计净值]]/MAX(INDIRECT("B21:B" &amp; ROW()))-1&lt;E24,表2_36716262930[[#This Row],[累计净值]]/MAX(INDIRECT("B21:B" &amp; ROW()))-1,E24)</f>
        <v>-3.3921302578018286E-3</v>
      </c>
      <c r="F25" s="19">
        <v>1.385</v>
      </c>
      <c r="G25" s="20">
        <f>表2_36716262930[[#This Row],[单位净值]]/$F$21-1</f>
        <v>-7.2150072150067857E-4</v>
      </c>
    </row>
    <row r="26" spans="1:7" x14ac:dyDescent="0.2">
      <c r="A26" s="15">
        <v>43707</v>
      </c>
      <c r="B26" s="56">
        <f>表2_36716262930[[#This Row],[单位净值]]+0.084</f>
        <v>1.4690000000000001</v>
      </c>
      <c r="C26" s="17">
        <f t="shared" si="0"/>
        <v>0</v>
      </c>
      <c r="D26" s="18" t="str">
        <f t="shared" ref="D26:D31" si="1">IF(C26&lt;0,C26,"/")</f>
        <v>/</v>
      </c>
      <c r="E26" s="18">
        <f ca="1">IF(表2_36716262930[[#This Row],[累计净值]]/MAX(INDIRECT("B21:B" &amp; ROW()))-1&lt;E25,表2_36716262930[[#This Row],[累计净值]]/MAX(INDIRECT("B21:B" &amp; ROW()))-1,E25)</f>
        <v>-3.3921302578018286E-3</v>
      </c>
      <c r="F26" s="19">
        <v>1.385</v>
      </c>
      <c r="G26" s="20">
        <f>表2_36716262930[[#This Row],[单位净值]]/$F$21-1</f>
        <v>-7.2150072150067857E-4</v>
      </c>
    </row>
    <row r="27" spans="1:7" x14ac:dyDescent="0.2">
      <c r="A27" s="15">
        <v>43710</v>
      </c>
      <c r="B27" s="56">
        <f>表2_36716262930[[#This Row],[单位净值]]+0.084</f>
        <v>1.466</v>
      </c>
      <c r="C27" s="71">
        <f t="shared" ref="C27:C32" si="2">IFERROR(B27-B26,0)</f>
        <v>-3.0000000000001137E-3</v>
      </c>
      <c r="D27" s="65">
        <f t="shared" si="1"/>
        <v>-3.0000000000001137E-3</v>
      </c>
      <c r="E27" s="65">
        <f ca="1">IF(表2_36716262930[[#This Row],[累计净值]]/MAX(INDIRECT("B21:B" &amp; ROW()))-1&lt;E26,表2_36716262930[[#This Row],[累计净值]]/MAX(INDIRECT("B21:B" &amp; ROW()))-1,E26)</f>
        <v>-5.4274084124830146E-3</v>
      </c>
      <c r="F27" s="72">
        <v>1.3819999999999999</v>
      </c>
      <c r="G27" s="20">
        <f>表2_36716262930[[#This Row],[单位净值]]/$F$21-1</f>
        <v>-2.8860028860029363E-3</v>
      </c>
    </row>
    <row r="28" spans="1:7" x14ac:dyDescent="0.2">
      <c r="A28" s="15">
        <v>43711</v>
      </c>
      <c r="B28" s="56">
        <f>表2_36716262930[[#This Row],[单位净值]]+0.084</f>
        <v>1.4690000000000001</v>
      </c>
      <c r="C28" s="73">
        <f t="shared" si="2"/>
        <v>3.0000000000001137E-3</v>
      </c>
      <c r="D28" s="18" t="str">
        <f t="shared" si="1"/>
        <v>/</v>
      </c>
      <c r="E28" s="18">
        <f ca="1">IF(表2_36716262930[[#This Row],[累计净值]]/MAX(INDIRECT("B21:B" &amp; ROW()))-1&lt;E27,表2_36716262930[[#This Row],[累计净值]]/MAX(INDIRECT("B21:B" &amp; ROW()))-1,E27)</f>
        <v>-5.4274084124830146E-3</v>
      </c>
      <c r="F28" s="62">
        <v>1.385</v>
      </c>
      <c r="G28" s="20">
        <f>表2_36716262930[[#This Row],[单位净值]]/$F$21-1</f>
        <v>-7.2150072150067857E-4</v>
      </c>
    </row>
    <row r="29" spans="1:7" x14ac:dyDescent="0.2">
      <c r="A29" s="15">
        <v>43712</v>
      </c>
      <c r="B29" s="56">
        <f>表2_36716262930[[#This Row],[单位净值]]+0.084</f>
        <v>1.4710000000000001</v>
      </c>
      <c r="C29" s="73">
        <f t="shared" si="2"/>
        <v>2.0000000000000018E-3</v>
      </c>
      <c r="D29" s="18" t="str">
        <f t="shared" si="1"/>
        <v>/</v>
      </c>
      <c r="E29" s="18">
        <f ca="1">IF(表2_36716262930[[#This Row],[累计净值]]/MAX(INDIRECT("B21:B" &amp; ROW()))-1&lt;E28,表2_36716262930[[#This Row],[累计净值]]/MAX(INDIRECT("B21:B" &amp; ROW()))-1,E28)</f>
        <v>-5.4274084124830146E-3</v>
      </c>
      <c r="F29" s="62">
        <v>1.387</v>
      </c>
      <c r="G29" s="20">
        <f>表2_36716262930[[#This Row],[单位净值]]/$F$21-1</f>
        <v>7.2150072150090061E-4</v>
      </c>
    </row>
    <row r="30" spans="1:7" x14ac:dyDescent="0.2">
      <c r="A30" s="15">
        <v>43713</v>
      </c>
      <c r="B30" s="56">
        <v>1.4696</v>
      </c>
      <c r="C30" s="73">
        <f t="shared" si="2"/>
        <v>-1.4000000000000679E-3</v>
      </c>
      <c r="D30" s="18">
        <f t="shared" si="1"/>
        <v>-1.4000000000000679E-3</v>
      </c>
      <c r="E30" s="18">
        <f ca="1">IF(表2_36716262930[[#This Row],[累计净值]]/MAX(INDIRECT("B21:B" &amp; ROW()))-1&lt;E29,表2_36716262930[[#This Row],[累计净值]]/MAX(INDIRECT("B21:B" &amp; ROW()))-1,E29)</f>
        <v>-5.4274084124830146E-3</v>
      </c>
      <c r="F30" s="62">
        <v>1.3859999999999999</v>
      </c>
      <c r="G30" s="20">
        <f>表2_36716262930[[#This Row],[单位净值]]/$F$21-1</f>
        <v>0</v>
      </c>
    </row>
    <row r="31" spans="1:7" x14ac:dyDescent="0.2">
      <c r="A31" s="15">
        <v>43714</v>
      </c>
      <c r="B31" s="56">
        <v>1.4665999999999999</v>
      </c>
      <c r="C31" s="73">
        <f t="shared" si="2"/>
        <v>-3.0000000000001137E-3</v>
      </c>
      <c r="D31" s="18">
        <f t="shared" si="1"/>
        <v>-3.0000000000001137E-3</v>
      </c>
      <c r="E31" s="18">
        <f ca="1">IF(表2_36716262930[[#This Row],[累计净值]]/MAX(INDIRECT("B21:B" &amp; ROW()))-1&lt;E30,表2_36716262930[[#This Row],[累计净值]]/MAX(INDIRECT("B21:B" &amp; ROW()))-1,E30)</f>
        <v>-5.4274084124830146E-3</v>
      </c>
      <c r="F31" s="62">
        <v>1.383</v>
      </c>
      <c r="G31" s="20">
        <f>表2_36716262930[[#This Row],[单位净值]]/$F$21-1</f>
        <v>-2.1645021645020357E-3</v>
      </c>
    </row>
    <row r="32" spans="1:7" x14ac:dyDescent="0.2">
      <c r="A32" s="15">
        <v>43717</v>
      </c>
      <c r="B32" s="56">
        <v>1.4656</v>
      </c>
      <c r="C32" s="73">
        <f t="shared" si="2"/>
        <v>-9.9999999999988987E-4</v>
      </c>
      <c r="D32" s="18">
        <f t="shared" ref="D32:D37" si="3">IF(C32&lt;0,C32,"/")</f>
        <v>-9.9999999999988987E-4</v>
      </c>
      <c r="E32" s="18">
        <f ca="1">IF(表2_36716262930[[#This Row],[累计净值]]/MAX(INDIRECT("B21:B" &amp; ROW()))-1&lt;E31,表2_36716262930[[#This Row],[累计净值]]/MAX(INDIRECT("B21:B" &amp; ROW()))-1,E31)</f>
        <v>-5.6987788331072098E-3</v>
      </c>
      <c r="F32" s="62">
        <v>1.3819999999999999</v>
      </c>
      <c r="G32" s="20">
        <f>表2_36716262930[[#This Row],[单位净值]]/$F$21-1</f>
        <v>-2.8860028860029363E-3</v>
      </c>
    </row>
    <row r="33" spans="1:7" x14ac:dyDescent="0.2">
      <c r="A33" s="15">
        <v>43718</v>
      </c>
      <c r="B33" s="56">
        <v>1.4665999999999999</v>
      </c>
      <c r="C33" s="73">
        <f t="shared" ref="C33:C40" si="4">IFERROR(B33-B32,0)</f>
        <v>9.9999999999988987E-4</v>
      </c>
      <c r="D33" s="18" t="str">
        <f t="shared" si="3"/>
        <v>/</v>
      </c>
      <c r="E33" s="18">
        <f ca="1">IF(表2_36716262930[[#This Row],[累计净值]]/MAX(INDIRECT("B21:B" &amp; ROW()))-1&lt;E32,表2_36716262930[[#This Row],[累计净值]]/MAX(INDIRECT("B21:B" &amp; ROW()))-1,E32)</f>
        <v>-5.6987788331072098E-3</v>
      </c>
      <c r="F33" s="62">
        <v>1.383</v>
      </c>
      <c r="G33" s="20">
        <f>表2_36716262930[[#This Row],[单位净值]]/$F$21-1</f>
        <v>-2.1645021645020357E-3</v>
      </c>
    </row>
    <row r="34" spans="1:7" x14ac:dyDescent="0.2">
      <c r="A34" s="15">
        <v>43719</v>
      </c>
      <c r="B34" s="56">
        <v>1.4656</v>
      </c>
      <c r="C34" s="73">
        <f t="shared" si="4"/>
        <v>-9.9999999999988987E-4</v>
      </c>
      <c r="D34" s="18">
        <f t="shared" si="3"/>
        <v>-9.9999999999988987E-4</v>
      </c>
      <c r="E34" s="18">
        <f ca="1">IF(表2_36716262930[[#This Row],[累计净值]]/MAX(INDIRECT("B21:B" &amp; ROW()))-1&lt;E33,表2_36716262930[[#This Row],[累计净值]]/MAX(INDIRECT("B21:B" &amp; ROW()))-1,E33)</f>
        <v>-5.6987788331072098E-3</v>
      </c>
      <c r="F34" s="62">
        <v>1.3819999999999999</v>
      </c>
      <c r="G34" s="20">
        <f>表2_36716262930[[#This Row],[单位净值]]/$F$21-1</f>
        <v>-2.8860028860029363E-3</v>
      </c>
    </row>
    <row r="35" spans="1:7" x14ac:dyDescent="0.2">
      <c r="A35" s="15">
        <v>43720</v>
      </c>
      <c r="B35" s="56">
        <v>1.4636</v>
      </c>
      <c r="C35" s="73">
        <f t="shared" si="4"/>
        <v>-2.0000000000000018E-3</v>
      </c>
      <c r="D35" s="18">
        <f t="shared" si="3"/>
        <v>-2.0000000000000018E-3</v>
      </c>
      <c r="E35" s="18">
        <f ca="1">IF(表2_36716262930[[#This Row],[累计净值]]/MAX(INDIRECT("B21:B" &amp; ROW()))-1&lt;E34,表2_36716262930[[#This Row],[累计净值]]/MAX(INDIRECT("B21:B" &amp; ROW()))-1,E34)</f>
        <v>-7.0556309362279634E-3</v>
      </c>
      <c r="F35" s="62">
        <v>1.38</v>
      </c>
      <c r="G35" s="20">
        <f>表2_36716262930[[#This Row],[单位净值]]/$F$21-1</f>
        <v>-4.3290043290042934E-3</v>
      </c>
    </row>
    <row r="36" spans="1:7" x14ac:dyDescent="0.2">
      <c r="A36" s="15">
        <v>43724</v>
      </c>
      <c r="B36" s="56">
        <v>1.4656</v>
      </c>
      <c r="C36" s="73">
        <f t="shared" si="4"/>
        <v>2.0000000000000018E-3</v>
      </c>
      <c r="D36" s="18" t="str">
        <f t="shared" si="3"/>
        <v>/</v>
      </c>
      <c r="E36" s="18">
        <f ca="1">IF(表2_36716262930[[#This Row],[累计净值]]/MAX(INDIRECT("B21:B" &amp; ROW()))-1&lt;E35,表2_36716262930[[#This Row],[累计净值]]/MAX(INDIRECT("B21:B" &amp; ROW()))-1,E35)</f>
        <v>-7.0556309362279634E-3</v>
      </c>
      <c r="F36" s="62">
        <v>1.3819999999999999</v>
      </c>
      <c r="G36" s="20">
        <f>表2_36716262930[[#This Row],[单位净值]]/$F$21-1</f>
        <v>-2.8860028860029363E-3</v>
      </c>
    </row>
    <row r="37" spans="1:7" x14ac:dyDescent="0.2">
      <c r="A37" s="15">
        <v>43725</v>
      </c>
      <c r="B37" s="56">
        <v>1.4696</v>
      </c>
      <c r="C37" s="73">
        <f t="shared" si="4"/>
        <v>4.0000000000000036E-3</v>
      </c>
      <c r="D37" s="18" t="str">
        <f t="shared" si="3"/>
        <v>/</v>
      </c>
      <c r="E37" s="18">
        <f ca="1">IF(表2_36716262930[[#This Row],[累计净值]]/MAX(INDIRECT("B21:B" &amp; ROW()))-1&lt;E36,表2_36716262930[[#This Row],[累计净值]]/MAX(INDIRECT("B21:B" &amp; ROW()))-1,E36)</f>
        <v>-7.0556309362279634E-3</v>
      </c>
      <c r="F37" s="62">
        <v>1.3859999999999999</v>
      </c>
      <c r="G37" s="20">
        <f>表2_36716262930[[#This Row],[单位净值]]/$F$21-1</f>
        <v>0</v>
      </c>
    </row>
    <row r="38" spans="1:7" x14ac:dyDescent="0.2">
      <c r="A38" s="15">
        <v>43726</v>
      </c>
      <c r="B38" s="56">
        <v>1.4705999999999999</v>
      </c>
      <c r="C38" s="73">
        <f t="shared" si="4"/>
        <v>9.9999999999988987E-4</v>
      </c>
      <c r="D38" s="18" t="str">
        <f>IF(C38&lt;0,C38,"/")</f>
        <v>/</v>
      </c>
      <c r="E38" s="18">
        <f ca="1">IF(表2_36716262930[[#This Row],[累计净值]]/MAX(INDIRECT("B21:B" &amp; ROW()))-1&lt;E37,表2_36716262930[[#This Row],[累计净值]]/MAX(INDIRECT("B21:B" &amp; ROW()))-1,E37)</f>
        <v>-7.0556309362279634E-3</v>
      </c>
      <c r="F38" s="62">
        <v>1.387</v>
      </c>
      <c r="G38" s="20">
        <f>表2_36716262930[[#This Row],[单位净值]]/$F$21-1</f>
        <v>7.2150072150090061E-4</v>
      </c>
    </row>
    <row r="39" spans="1:7" x14ac:dyDescent="0.2">
      <c r="A39" s="15">
        <v>43727</v>
      </c>
      <c r="B39" s="56">
        <v>1.4705999999999999</v>
      </c>
      <c r="C39" s="73">
        <f t="shared" si="4"/>
        <v>0</v>
      </c>
      <c r="D39" s="18" t="str">
        <f>IF(C39&lt;0,C39,"/")</f>
        <v>/</v>
      </c>
      <c r="E39" s="18">
        <f ca="1">IF(表2_36716262930[[#This Row],[累计净值]]/MAX(INDIRECT("B21:B" &amp; ROW()))-1&lt;E38,表2_36716262930[[#This Row],[累计净值]]/MAX(INDIRECT("B21:B" &amp; ROW()))-1,E38)</f>
        <v>-7.0556309362279634E-3</v>
      </c>
      <c r="F39" s="62">
        <v>1.387</v>
      </c>
      <c r="G39" s="20">
        <f>表2_36716262930[[#This Row],[单位净值]]/$F$21-1</f>
        <v>7.2150072150090061E-4</v>
      </c>
    </row>
    <row r="40" spans="1:7" x14ac:dyDescent="0.2">
      <c r="A40" s="15">
        <v>43728</v>
      </c>
      <c r="B40" s="56">
        <v>1.4705999999999999</v>
      </c>
      <c r="C40" s="73">
        <f t="shared" si="4"/>
        <v>0</v>
      </c>
      <c r="D40" s="18" t="str">
        <f>IF(C40&lt;0,C40,"/")</f>
        <v>/</v>
      </c>
      <c r="E40" s="18">
        <f ca="1">IF(表2_36716262930[[#This Row],[累计净值]]/MAX(INDIRECT("B21:B" &amp; ROW()))-1&lt;E39,表2_36716262930[[#This Row],[累计净值]]/MAX(INDIRECT("B21:B" &amp; ROW()))-1,E39)</f>
        <v>-7.0556309362279634E-3</v>
      </c>
      <c r="F40" s="62">
        <v>1.387</v>
      </c>
      <c r="G40" s="20">
        <f>表2_36716262930[[#This Row],[单位净值]]/$F$21-1</f>
        <v>7.2150072150090061E-4</v>
      </c>
    </row>
    <row r="41" spans="1:7" x14ac:dyDescent="0.2">
      <c r="A41" s="15">
        <v>43731</v>
      </c>
      <c r="B41" s="16">
        <v>1.4696</v>
      </c>
      <c r="C41" s="73">
        <f t="shared" ref="C41:C46" si="5">IFERROR(B41-B40,0)</f>
        <v>-9.9999999999988987E-4</v>
      </c>
      <c r="D41" s="18">
        <f t="shared" ref="D41:D46" si="6">IF(C41&lt;0,C41,"/")</f>
        <v>-9.9999999999988987E-4</v>
      </c>
      <c r="E41" s="18">
        <f ca="1">IF(表2_36716262930[[#This Row],[累计净值]]/MAX(INDIRECT("B21:B" &amp; ROW()))-1&lt;E40,表2_36716262930[[#This Row],[累计净值]]/MAX(INDIRECT("B21:B" &amp; ROW()))-1,E40)</f>
        <v>-7.0556309362279634E-3</v>
      </c>
      <c r="F41" s="62">
        <v>1.3859999999999999</v>
      </c>
      <c r="G41" s="20">
        <f>表2_36716262930[[#This Row],[单位净值]]/$F$21-1</f>
        <v>0</v>
      </c>
    </row>
    <row r="42" spans="1:7" x14ac:dyDescent="0.2">
      <c r="A42" s="15">
        <v>43732</v>
      </c>
      <c r="B42" s="16">
        <v>1.4716</v>
      </c>
      <c r="C42" s="73">
        <f t="shared" si="5"/>
        <v>2.0000000000000018E-3</v>
      </c>
      <c r="D42" s="18" t="str">
        <f t="shared" si="6"/>
        <v>/</v>
      </c>
      <c r="E42" s="18">
        <f ca="1">IF(表2_36716262930[[#This Row],[累计净值]]/MAX(INDIRECT("B21:B" &amp; ROW()))-1&lt;E41,表2_36716262930[[#This Row],[累计净值]]/MAX(INDIRECT("B21:B" &amp; ROW()))-1,E41)</f>
        <v>-7.0556309362279634E-3</v>
      </c>
      <c r="F42" s="62">
        <v>1.3879999999999999</v>
      </c>
      <c r="G42" s="20">
        <f>表2_36716262930[[#This Row],[单位净值]]/$F$21-1</f>
        <v>1.4430014430013571E-3</v>
      </c>
    </row>
    <row r="43" spans="1:7" x14ac:dyDescent="0.2">
      <c r="A43" s="15">
        <v>43733</v>
      </c>
      <c r="B43" s="16">
        <v>1.4725999999999999</v>
      </c>
      <c r="C43" s="73">
        <f t="shared" si="5"/>
        <v>9.9999999999988987E-4</v>
      </c>
      <c r="D43" s="18" t="str">
        <f t="shared" si="6"/>
        <v>/</v>
      </c>
      <c r="E43" s="18">
        <f ca="1">IF(表2_36716262930[[#This Row],[累计净值]]/MAX(INDIRECT("B21:B" &amp; ROW()))-1&lt;E42,表2_36716262930[[#This Row],[累计净值]]/MAX(INDIRECT("B21:B" &amp; ROW()))-1,E42)</f>
        <v>-7.0556309362279634E-3</v>
      </c>
      <c r="F43" s="62">
        <v>1.389</v>
      </c>
      <c r="G43" s="20">
        <f>表2_36716262930[[#This Row],[单位净值]]/$F$21-1</f>
        <v>2.1645021645022577E-3</v>
      </c>
    </row>
    <row r="44" spans="1:7" x14ac:dyDescent="0.2">
      <c r="A44" s="15">
        <v>43734</v>
      </c>
      <c r="B44" s="16">
        <v>1.4705999999999999</v>
      </c>
      <c r="C44" s="73">
        <f t="shared" si="5"/>
        <v>-2.0000000000000018E-3</v>
      </c>
      <c r="D44" s="18">
        <f t="shared" si="6"/>
        <v>-2.0000000000000018E-3</v>
      </c>
      <c r="E44" s="18">
        <f ca="1">IF(表2_36716262930[[#This Row],[累计净值]]/MAX(INDIRECT("B21:B" &amp; ROW()))-1&lt;E43,表2_36716262930[[#This Row],[累计净值]]/MAX(INDIRECT("B21:B" &amp; ROW()))-1,E43)</f>
        <v>-7.0556309362279634E-3</v>
      </c>
      <c r="F44" s="62">
        <v>1.387</v>
      </c>
      <c r="G44" s="20">
        <f>表2_36716262930[[#This Row],[单位净值]]/$F$21-1</f>
        <v>7.2150072150090061E-4</v>
      </c>
    </row>
    <row r="45" spans="1:7" x14ac:dyDescent="0.2">
      <c r="A45" s="15">
        <v>43735</v>
      </c>
      <c r="B45" s="16">
        <v>1.4716</v>
      </c>
      <c r="C45" s="73">
        <f t="shared" si="5"/>
        <v>1.0000000000001119E-3</v>
      </c>
      <c r="D45" s="18" t="str">
        <f t="shared" si="6"/>
        <v>/</v>
      </c>
      <c r="E45" s="18">
        <f ca="1">IF(表2_36716262930[[#This Row],[累计净值]]/MAX(INDIRECT("B21:B" &amp; ROW()))-1&lt;E44,表2_36716262930[[#This Row],[累计净值]]/MAX(INDIRECT("B21:B" &amp; ROW()))-1,E44)</f>
        <v>-7.0556309362279634E-3</v>
      </c>
      <c r="F45" s="62">
        <v>1.3879999999999999</v>
      </c>
      <c r="G45" s="20">
        <f>表2_36716262930[[#This Row],[单位净值]]/$F$21-1</f>
        <v>1.4430014430013571E-3</v>
      </c>
    </row>
    <row r="46" spans="1:7" x14ac:dyDescent="0.2">
      <c r="A46" s="15">
        <v>43738</v>
      </c>
      <c r="B46" s="16">
        <v>1.4716</v>
      </c>
      <c r="C46" s="73">
        <f t="shared" si="5"/>
        <v>0</v>
      </c>
      <c r="D46" s="18" t="str">
        <f t="shared" si="6"/>
        <v>/</v>
      </c>
      <c r="E46" s="18">
        <f ca="1">IF(表2_36716262930[[#This Row],[累计净值]]/MAX(INDIRECT("B21:B" &amp; ROW()))-1&lt;E45,表2_36716262930[[#This Row],[累计净值]]/MAX(INDIRECT("B21:B" &amp; ROW()))-1,E45)</f>
        <v>-7.0556309362279634E-3</v>
      </c>
      <c r="F46" s="62">
        <v>1.3879999999999999</v>
      </c>
      <c r="G46" s="20">
        <f>表2_36716262930[[#This Row],[单位净值]]/$F$21-1</f>
        <v>1.4430014430013571E-3</v>
      </c>
    </row>
    <row r="47" spans="1:7" x14ac:dyDescent="0.2">
      <c r="A47" s="15">
        <v>43746</v>
      </c>
      <c r="B47" s="16">
        <v>1.4736</v>
      </c>
      <c r="C47" s="73">
        <f t="shared" ref="C47:C52" si="7">IFERROR(B47-B46,0)</f>
        <v>2.0000000000000018E-3</v>
      </c>
      <c r="D47" s="18" t="str">
        <f t="shared" ref="D47:D52" si="8">IF(C47&lt;0,C47,"/")</f>
        <v>/</v>
      </c>
      <c r="E47" s="18">
        <f ca="1">IF(表2_36716262930[[#This Row],[累计净值]]/MAX(INDIRECT("B21:B" &amp; ROW()))-1&lt;E46,表2_36716262930[[#This Row],[累计净值]]/MAX(INDIRECT("B21:B" &amp; ROW()))-1,E46)</f>
        <v>-7.0556309362279634E-3</v>
      </c>
      <c r="F47" s="62">
        <v>1.39</v>
      </c>
      <c r="G47" s="20">
        <f>表2_36716262930[[#This Row],[单位净值]]/$F$21-1</f>
        <v>2.8860028860029363E-3</v>
      </c>
    </row>
    <row r="48" spans="1:7" x14ac:dyDescent="0.2">
      <c r="A48" s="15">
        <v>43747</v>
      </c>
      <c r="B48" s="16">
        <v>1.4745999999999999</v>
      </c>
      <c r="C48" s="73">
        <f t="shared" si="7"/>
        <v>9.9999999999988987E-4</v>
      </c>
      <c r="D48" s="18" t="str">
        <f t="shared" si="8"/>
        <v>/</v>
      </c>
      <c r="E48" s="18">
        <f ca="1">IF(表2_36716262930[[#This Row],[累计净值]]/MAX(INDIRECT("B21:B" &amp; ROW()))-1&lt;E47,表2_36716262930[[#This Row],[累计净值]]/MAX(INDIRECT("B21:B" &amp; ROW()))-1,E47)</f>
        <v>-7.0556309362279634E-3</v>
      </c>
      <c r="F48" s="62">
        <v>1.391</v>
      </c>
      <c r="G48" s="20">
        <f>表2_36716262930[[#This Row],[单位净值]]/$F$21-1</f>
        <v>3.6075036075036149E-3</v>
      </c>
    </row>
    <row r="49" spans="1:7" x14ac:dyDescent="0.2">
      <c r="A49" s="15">
        <v>43748</v>
      </c>
      <c r="B49" s="16">
        <v>1.4745999999999999</v>
      </c>
      <c r="C49" s="73">
        <f t="shared" si="7"/>
        <v>0</v>
      </c>
      <c r="D49" s="18" t="str">
        <f t="shared" si="8"/>
        <v>/</v>
      </c>
      <c r="E49" s="18">
        <f ca="1">IF(表2_36716262930[[#This Row],[累计净值]]/MAX(INDIRECT("B21:B" &amp; ROW()))-1&lt;E48,表2_36716262930[[#This Row],[累计净值]]/MAX(INDIRECT("B21:B" &amp; ROW()))-1,E48)</f>
        <v>-7.0556309362279634E-3</v>
      </c>
      <c r="F49" s="62">
        <v>1.391</v>
      </c>
      <c r="G49" s="20">
        <f>表2_36716262930[[#This Row],[单位净值]]/$F$21-1</f>
        <v>3.6075036075036149E-3</v>
      </c>
    </row>
    <row r="50" spans="1:7" x14ac:dyDescent="0.2">
      <c r="A50" s="15">
        <v>43749</v>
      </c>
      <c r="B50" s="16">
        <v>1.4765999999999999</v>
      </c>
      <c r="C50" s="73">
        <f t="shared" si="7"/>
        <v>2.0000000000000018E-3</v>
      </c>
      <c r="D50" s="18" t="str">
        <f t="shared" si="8"/>
        <v>/</v>
      </c>
      <c r="E50" s="18">
        <f ca="1">IF(表2_36716262930[[#This Row],[累计净值]]/MAX(INDIRECT("B21:B" &amp; ROW()))-1&lt;E49,表2_36716262930[[#This Row],[累计净值]]/MAX(INDIRECT("B21:B" &amp; ROW()))-1,E49)</f>
        <v>-7.0556309362279634E-3</v>
      </c>
      <c r="F50" s="62">
        <v>1.393</v>
      </c>
      <c r="G50" s="20">
        <f>表2_36716262930[[#This Row],[单位净值]]/$F$21-1</f>
        <v>5.050505050505194E-3</v>
      </c>
    </row>
    <row r="51" spans="1:7" x14ac:dyDescent="0.2">
      <c r="A51" s="15">
        <v>43752</v>
      </c>
      <c r="B51" s="16">
        <v>1.4745999999999999</v>
      </c>
      <c r="C51" s="73">
        <f t="shared" si="7"/>
        <v>-2.0000000000000018E-3</v>
      </c>
      <c r="D51" s="18">
        <f t="shared" si="8"/>
        <v>-2.0000000000000018E-3</v>
      </c>
      <c r="E51" s="18">
        <f ca="1">IF(表2_36716262930[[#This Row],[累计净值]]/MAX(INDIRECT("B21:B" &amp; ROW()))-1&lt;E50,表2_36716262930[[#This Row],[累计净值]]/MAX(INDIRECT("B21:B" &amp; ROW()))-1,E50)</f>
        <v>-7.0556309362279634E-3</v>
      </c>
      <c r="F51" s="62">
        <v>1.391</v>
      </c>
      <c r="G51" s="20">
        <f>表2_36716262930[[#This Row],[单位净值]]/$F$21-1</f>
        <v>3.6075036075036149E-3</v>
      </c>
    </row>
    <row r="52" spans="1:7" x14ac:dyDescent="0.2">
      <c r="A52" s="15">
        <v>43753</v>
      </c>
      <c r="B52" s="16">
        <v>1.4765999999999999</v>
      </c>
      <c r="C52" s="73">
        <f t="shared" si="7"/>
        <v>2.0000000000000018E-3</v>
      </c>
      <c r="D52" s="18" t="str">
        <f t="shared" si="8"/>
        <v>/</v>
      </c>
      <c r="E52" s="18">
        <f ca="1">IF(表2_36716262930[[#This Row],[累计净值]]/MAX(INDIRECT("B21:B" &amp; ROW()))-1&lt;E51,表2_36716262930[[#This Row],[累计净值]]/MAX(INDIRECT("B21:B" &amp; ROW()))-1,E51)</f>
        <v>-7.0556309362279634E-3</v>
      </c>
      <c r="F52" s="62">
        <v>1.393</v>
      </c>
      <c r="G52" s="20">
        <f>表2_36716262930[[#This Row],[单位净值]]/$F$21-1</f>
        <v>5.050505050505194E-3</v>
      </c>
    </row>
    <row r="53" spans="1:7" x14ac:dyDescent="0.2">
      <c r="A53" s="15">
        <v>43754</v>
      </c>
      <c r="B53" s="16">
        <v>1.4785999999999999</v>
      </c>
      <c r="C53" s="73">
        <f t="shared" ref="C53:C59" si="9">IFERROR(B53-B52,0)</f>
        <v>2.0000000000000018E-3</v>
      </c>
      <c r="D53" s="18" t="str">
        <f t="shared" ref="D53:D59" si="10">IF(C53&lt;0,C53,"/")</f>
        <v>/</v>
      </c>
      <c r="E53" s="18">
        <f ca="1">IF(表2_36716262930[[#This Row],[累计净值]]/MAX(INDIRECT("B21:B" &amp; ROW()))-1&lt;E52,表2_36716262930[[#This Row],[累计净值]]/MAX(INDIRECT("B21:B" &amp; ROW()))-1,E52)</f>
        <v>-7.0556309362279634E-3</v>
      </c>
      <c r="F53" s="62">
        <v>1.395</v>
      </c>
      <c r="G53" s="20">
        <f>表2_36716262930[[#This Row],[单位净值]]/$F$21-1</f>
        <v>6.4935064935065512E-3</v>
      </c>
    </row>
    <row r="54" spans="1:7" x14ac:dyDescent="0.2">
      <c r="A54" s="15">
        <v>43755</v>
      </c>
      <c r="B54" s="16">
        <v>1.4796</v>
      </c>
      <c r="C54" s="73">
        <f t="shared" si="9"/>
        <v>1.0000000000001119E-3</v>
      </c>
      <c r="D54" s="18" t="str">
        <f t="shared" si="10"/>
        <v>/</v>
      </c>
      <c r="E54" s="18">
        <f ca="1">IF(表2_36716262930[[#This Row],[累计净值]]/MAX(INDIRECT("B21:B" &amp; ROW()))-1&lt;E53,表2_36716262930[[#This Row],[累计净值]]/MAX(INDIRECT("B21:B" &amp; ROW()))-1,E53)</f>
        <v>-7.0556309362279634E-3</v>
      </c>
      <c r="F54" s="62">
        <v>1.3959999999999999</v>
      </c>
      <c r="G54" s="20">
        <f>表2_36716262930[[#This Row],[单位净值]]/$F$21-1</f>
        <v>7.2150072150072297E-3</v>
      </c>
    </row>
    <row r="55" spans="1:7" x14ac:dyDescent="0.2">
      <c r="A55" s="15">
        <v>43756</v>
      </c>
      <c r="B55" s="16">
        <v>1.4796</v>
      </c>
      <c r="C55" s="73">
        <f t="shared" si="9"/>
        <v>0</v>
      </c>
      <c r="D55" s="18" t="str">
        <f t="shared" si="10"/>
        <v>/</v>
      </c>
      <c r="E55" s="18">
        <f ca="1">IF(表2_36716262930[[#This Row],[累计净值]]/MAX(INDIRECT("B21:B" &amp; ROW()))-1&lt;E54,表2_36716262930[[#This Row],[累计净值]]/MAX(INDIRECT("B21:B" &amp; ROW()))-1,E54)</f>
        <v>-7.0556309362279634E-3</v>
      </c>
      <c r="F55" s="62">
        <v>1.3959999999999999</v>
      </c>
      <c r="G55" s="20">
        <f>表2_36716262930[[#This Row],[单位净值]]/$F$21-1</f>
        <v>7.2150072150072297E-3</v>
      </c>
    </row>
    <row r="56" spans="1:7" x14ac:dyDescent="0.2">
      <c r="A56" s="15">
        <v>43759</v>
      </c>
      <c r="B56" s="16">
        <v>1.4825999999999999</v>
      </c>
      <c r="C56" s="73">
        <f t="shared" si="9"/>
        <v>2.9999999999998916E-3</v>
      </c>
      <c r="D56" s="18" t="str">
        <f t="shared" si="10"/>
        <v>/</v>
      </c>
      <c r="E56" s="18">
        <f ca="1">IF(表2_36716262930[[#This Row],[累计净值]]/MAX(INDIRECT("B21:B" &amp; ROW()))-1&lt;E55,表2_36716262930[[#This Row],[累计净值]]/MAX(INDIRECT("B21:B" &amp; ROW()))-1,E55)</f>
        <v>-7.0556309362279634E-3</v>
      </c>
      <c r="F56" s="62">
        <v>1.399</v>
      </c>
      <c r="G56" s="20">
        <f>表2_36716262930[[#This Row],[单位净值]]/$F$21-1</f>
        <v>9.3795093795094875E-3</v>
      </c>
    </row>
    <row r="57" spans="1:7" x14ac:dyDescent="0.2">
      <c r="A57" s="15">
        <v>43760</v>
      </c>
      <c r="B57" s="16">
        <v>1.4825999999999999</v>
      </c>
      <c r="C57" s="73">
        <f t="shared" si="9"/>
        <v>0</v>
      </c>
      <c r="D57" s="18" t="str">
        <f t="shared" si="10"/>
        <v>/</v>
      </c>
      <c r="E57" s="18">
        <f ca="1">IF(表2_36716262930[[#This Row],[累计净值]]/MAX(INDIRECT("B21:B" &amp; ROW()))-1&lt;E56,表2_36716262930[[#This Row],[累计净值]]/MAX(INDIRECT("B21:B" &amp; ROW()))-1,E56)</f>
        <v>-7.0556309362279634E-3</v>
      </c>
      <c r="F57" s="62">
        <v>1.399</v>
      </c>
      <c r="G57" s="20">
        <f>表2_36716262930[[#This Row],[单位净值]]/$F$21-1</f>
        <v>9.3795093795094875E-3</v>
      </c>
    </row>
    <row r="58" spans="1:7" x14ac:dyDescent="0.2">
      <c r="A58" s="15">
        <v>43761</v>
      </c>
      <c r="B58" s="16">
        <v>1.4816</v>
      </c>
      <c r="C58" s="73">
        <f t="shared" si="9"/>
        <v>-9.9999999999988987E-4</v>
      </c>
      <c r="D58" s="18">
        <f t="shared" si="10"/>
        <v>-9.9999999999988987E-4</v>
      </c>
      <c r="E58" s="18">
        <f ca="1">IF(表2_36716262930[[#This Row],[累计净值]]/MAX(INDIRECT("B21:B" &amp; ROW()))-1&lt;E57,表2_36716262930[[#This Row],[累计净值]]/MAX(INDIRECT("B21:B" &amp; ROW()))-1,E57)</f>
        <v>-7.0556309362279634E-3</v>
      </c>
      <c r="F58" s="62">
        <v>1.3979999999999999</v>
      </c>
      <c r="G58" s="20">
        <f>表2_36716262930[[#This Row],[单位净值]]/$F$21-1</f>
        <v>8.6580086580085869E-3</v>
      </c>
    </row>
    <row r="59" spans="1:7" x14ac:dyDescent="0.2">
      <c r="A59" s="15">
        <v>43762</v>
      </c>
      <c r="B59" s="16">
        <v>1.4845999999999999</v>
      </c>
      <c r="C59" s="73">
        <f t="shared" si="9"/>
        <v>2.9999999999998916E-3</v>
      </c>
      <c r="D59" s="18" t="str">
        <f t="shared" si="10"/>
        <v>/</v>
      </c>
      <c r="E59" s="18">
        <f ca="1">IF(表2_36716262930[[#This Row],[累计净值]]/MAX(INDIRECT("B21:B" &amp; ROW()))-1&lt;E58,表2_36716262930[[#This Row],[累计净值]]/MAX(INDIRECT("B21:B" &amp; ROW()))-1,E58)</f>
        <v>-7.0556309362279634E-3</v>
      </c>
      <c r="F59" s="62">
        <v>1.401</v>
      </c>
      <c r="G59" s="20">
        <f>表2_36716262930[[#This Row],[单位净值]]/$F$21-1</f>
        <v>1.0822510822510845E-2</v>
      </c>
    </row>
    <row r="60" spans="1:7" x14ac:dyDescent="0.2">
      <c r="A60" s="15">
        <v>43763</v>
      </c>
      <c r="B60" s="16">
        <v>1.4845999999999999</v>
      </c>
      <c r="C60" s="73">
        <f t="shared" ref="C60:C66" si="11">IFERROR(B60-B59,0)</f>
        <v>0</v>
      </c>
      <c r="D60" s="18" t="str">
        <f t="shared" ref="D60:D66" si="12">IF(C60&lt;0,C60,"/")</f>
        <v>/</v>
      </c>
      <c r="E60" s="18">
        <f ca="1">IF(表2_36716262930[[#This Row],[累计净值]]/MAX(INDIRECT("B21:B" &amp; ROW()))-1&lt;E59,表2_36716262930[[#This Row],[累计净值]]/MAX(INDIRECT("B21:B" &amp; ROW()))-1,E59)</f>
        <v>-7.0556309362279634E-3</v>
      </c>
      <c r="F60" s="62">
        <f>表2_36716262930[[#This Row],[累计净值]]-0.0836</f>
        <v>1.401</v>
      </c>
      <c r="G60" s="20">
        <f>表2_36716262930[[#This Row],[单位净值]]/$F$21-1</f>
        <v>1.0822510822510845E-2</v>
      </c>
    </row>
    <row r="61" spans="1:7" x14ac:dyDescent="0.2">
      <c r="A61" s="15">
        <v>43766</v>
      </c>
      <c r="B61" s="16">
        <v>1.4856</v>
      </c>
      <c r="C61" s="73">
        <f t="shared" si="11"/>
        <v>1.0000000000001119E-3</v>
      </c>
      <c r="D61" s="18" t="str">
        <f t="shared" si="12"/>
        <v>/</v>
      </c>
      <c r="E61" s="18">
        <f ca="1">IF(表2_36716262930[[#This Row],[累计净值]]/MAX(INDIRECT("B21:B" &amp; ROW()))-1&lt;E60,表2_36716262930[[#This Row],[累计净值]]/MAX(INDIRECT("B21:B" &amp; ROW()))-1,E60)</f>
        <v>-7.0556309362279634E-3</v>
      </c>
      <c r="F61" s="62">
        <v>1.4019999999999999</v>
      </c>
      <c r="G61" s="20">
        <f>表2_36716262930[[#This Row],[单位净值]]/$F$21-1</f>
        <v>1.1544011544011523E-2</v>
      </c>
    </row>
    <row r="62" spans="1:7" x14ac:dyDescent="0.2">
      <c r="A62" s="15">
        <v>43767</v>
      </c>
      <c r="B62" s="76">
        <v>1.4865999999999999</v>
      </c>
      <c r="C62" s="73">
        <f t="shared" si="11"/>
        <v>9.9999999999988987E-4</v>
      </c>
      <c r="D62" s="18" t="str">
        <f t="shared" si="12"/>
        <v>/</v>
      </c>
      <c r="E62" s="18">
        <f ca="1">IF(表2_36716262930[[#This Row],[累计净值]]/MAX(INDIRECT("B21:B" &amp; ROW()))-1&lt;E61,表2_36716262930[[#This Row],[累计净值]]/MAX(INDIRECT("B21:B" &amp; ROW()))-1,E61)</f>
        <v>-7.0556309362279634E-3</v>
      </c>
      <c r="F62" s="62">
        <v>1.403</v>
      </c>
      <c r="G62" s="20">
        <f>表2_36716262930[[#This Row],[单位净值]]/$F$21-1</f>
        <v>1.2265512265512424E-2</v>
      </c>
    </row>
    <row r="63" spans="1:7" x14ac:dyDescent="0.2">
      <c r="A63" s="15">
        <v>43768</v>
      </c>
      <c r="B63" s="16">
        <v>1.4845999999999999</v>
      </c>
      <c r="C63" s="73">
        <f t="shared" si="11"/>
        <v>-2.0000000000000018E-3</v>
      </c>
      <c r="D63" s="18">
        <f t="shared" si="12"/>
        <v>-2.0000000000000018E-3</v>
      </c>
      <c r="E63" s="18">
        <f ca="1">IF(表2_36716262930[[#This Row],[累计净值]]/MAX(INDIRECT("B21:B" &amp; ROW()))-1&lt;E62,表2_36716262930[[#This Row],[累计净值]]/MAX(INDIRECT("B21:B" &amp; ROW()))-1,E62)</f>
        <v>-7.0556309362279634E-3</v>
      </c>
      <c r="F63" s="62">
        <v>1.401</v>
      </c>
      <c r="G63" s="20">
        <f>表2_36716262930[[#This Row],[单位净值]]/$F$21-1</f>
        <v>1.0822510822510845E-2</v>
      </c>
    </row>
    <row r="64" spans="1:7" x14ac:dyDescent="0.2">
      <c r="A64" s="15">
        <v>43769</v>
      </c>
      <c r="B64" s="16">
        <v>1.4865999999999999</v>
      </c>
      <c r="C64" s="73">
        <f t="shared" si="11"/>
        <v>2.0000000000000018E-3</v>
      </c>
      <c r="D64" s="18" t="str">
        <f t="shared" si="12"/>
        <v>/</v>
      </c>
      <c r="E64" s="18">
        <f ca="1">IF(表2_36716262930[[#This Row],[累计净值]]/MAX(INDIRECT("B21:B" &amp; ROW()))-1&lt;E63,表2_36716262930[[#This Row],[累计净值]]/MAX(INDIRECT("B21:B" &amp; ROW()))-1,E63)</f>
        <v>-7.0556309362279634E-3</v>
      </c>
      <c r="F64" s="62">
        <v>1.403</v>
      </c>
      <c r="G64" s="20">
        <f>表2_36716262930[[#This Row],[单位净值]]/$F$21-1</f>
        <v>1.2265512265512424E-2</v>
      </c>
    </row>
    <row r="65" spans="1:7" x14ac:dyDescent="0.2">
      <c r="A65" s="15">
        <v>43770</v>
      </c>
      <c r="B65" s="16">
        <v>1.4885999999999999</v>
      </c>
      <c r="C65" s="73">
        <f t="shared" si="11"/>
        <v>2.0000000000000018E-3</v>
      </c>
      <c r="D65" s="18" t="str">
        <f t="shared" si="12"/>
        <v>/</v>
      </c>
      <c r="E65" s="18">
        <f ca="1">IF(表2_36716262930[[#This Row],[累计净值]]/MAX(INDIRECT("B21:B" &amp; ROW()))-1&lt;E64,表2_36716262930[[#This Row],[累计净值]]/MAX(INDIRECT("B21:B" &amp; ROW()))-1,E64)</f>
        <v>-7.0556309362279634E-3</v>
      </c>
      <c r="F65" s="62">
        <v>1.405</v>
      </c>
      <c r="G65" s="20">
        <f>表2_36716262930[[#This Row],[单位净值]]/$F$21-1</f>
        <v>1.3708513708513781E-2</v>
      </c>
    </row>
    <row r="66" spans="1:7" x14ac:dyDescent="0.2">
      <c r="A66" s="15">
        <v>43773</v>
      </c>
      <c r="B66" s="16">
        <v>1.4905999999999999</v>
      </c>
      <c r="C66" s="73">
        <f t="shared" si="11"/>
        <v>2.0000000000000018E-3</v>
      </c>
      <c r="D66" s="18" t="str">
        <f t="shared" si="12"/>
        <v>/</v>
      </c>
      <c r="E66" s="18">
        <f ca="1">IF(表2_36716262930[[#This Row],[累计净值]]/MAX(INDIRECT("B21:B" &amp; ROW()))-1&lt;E65,表2_36716262930[[#This Row],[累计净值]]/MAX(INDIRECT("B21:B" &amp; ROW()))-1,E65)</f>
        <v>-7.0556309362279634E-3</v>
      </c>
      <c r="F66" s="62">
        <v>1.407</v>
      </c>
      <c r="G66" s="20">
        <f>表2_36716262930[[#This Row],[单位净值]]/$F$21-1</f>
        <v>1.5151515151515138E-2</v>
      </c>
    </row>
    <row r="67" spans="1:7" x14ac:dyDescent="0.2">
      <c r="A67" s="15">
        <v>43774</v>
      </c>
      <c r="B67" s="16">
        <v>1.4916</v>
      </c>
      <c r="C67" s="73">
        <f t="shared" ref="C67:C72" si="13">IFERROR(B67-B66,0)</f>
        <v>1.0000000000001119E-3</v>
      </c>
      <c r="D67" s="18" t="str">
        <f t="shared" ref="D67:D72" si="14">IF(C67&lt;0,C67,"/")</f>
        <v>/</v>
      </c>
      <c r="E67" s="18">
        <f ca="1">IF(表2_36716262930[[#This Row],[累计净值]]/MAX(INDIRECT("B21:B" &amp; ROW()))-1&lt;E66,表2_36716262930[[#This Row],[累计净值]]/MAX(INDIRECT("B21:B" &amp; ROW()))-1,E66)</f>
        <v>-7.0556309362279634E-3</v>
      </c>
      <c r="F67" s="62">
        <v>1.4079999999999999</v>
      </c>
      <c r="G67" s="20">
        <f>表2_36716262930[[#This Row],[单位净值]]/$F$21-1</f>
        <v>1.5873015873015817E-2</v>
      </c>
    </row>
    <row r="68" spans="1:7" x14ac:dyDescent="0.2">
      <c r="A68" s="15">
        <v>43775</v>
      </c>
      <c r="B68" s="16">
        <v>1.4896</v>
      </c>
      <c r="C68" s="73">
        <f t="shared" si="13"/>
        <v>-2.0000000000000018E-3</v>
      </c>
      <c r="D68" s="18">
        <f t="shared" si="14"/>
        <v>-2.0000000000000018E-3</v>
      </c>
      <c r="E68" s="18">
        <f ca="1">IF(表2_36716262930[[#This Row],[累计净值]]/MAX(INDIRECT("B21:B" &amp; ROW()))-1&lt;E67,表2_36716262930[[#This Row],[累计净值]]/MAX(INDIRECT("B21:B" &amp; ROW()))-1,E67)</f>
        <v>-7.0556309362279634E-3</v>
      </c>
      <c r="F68" s="62">
        <v>1.4059999999999999</v>
      </c>
      <c r="G68" s="20">
        <f>表2_36716262930[[#This Row],[单位净值]]/$F$21-1</f>
        <v>1.4430014430014459E-2</v>
      </c>
    </row>
    <row r="69" spans="1:7" x14ac:dyDescent="0.2">
      <c r="A69" s="15">
        <v>43776</v>
      </c>
      <c r="B69" s="16">
        <v>1.4916</v>
      </c>
      <c r="C69" s="73">
        <f t="shared" si="13"/>
        <v>2.0000000000000018E-3</v>
      </c>
      <c r="D69" s="18" t="str">
        <f t="shared" si="14"/>
        <v>/</v>
      </c>
      <c r="E69" s="18">
        <f ca="1">IF(表2_36716262930[[#This Row],[累计净值]]/MAX(INDIRECT("B21:B" &amp; ROW()))-1&lt;E68,表2_36716262930[[#This Row],[累计净值]]/MAX(INDIRECT("B21:B" &amp; ROW()))-1,E68)</f>
        <v>-7.0556309362279634E-3</v>
      </c>
      <c r="F69" s="62">
        <v>1.4079999999999999</v>
      </c>
      <c r="G69" s="20">
        <f>表2_36716262930[[#This Row],[单位净值]]/$F$21-1</f>
        <v>1.5873015873015817E-2</v>
      </c>
    </row>
    <row r="70" spans="1:7" x14ac:dyDescent="0.2">
      <c r="A70" s="15">
        <v>43777</v>
      </c>
      <c r="B70" s="16">
        <v>1.4905999999999999</v>
      </c>
      <c r="C70" s="73">
        <f t="shared" si="13"/>
        <v>-1.0000000000001119E-3</v>
      </c>
      <c r="D70" s="18">
        <f t="shared" si="14"/>
        <v>-1.0000000000001119E-3</v>
      </c>
      <c r="E70" s="18">
        <f ca="1">IF(表2_36716262930[[#This Row],[累计净值]]/MAX(INDIRECT("B21:B" &amp; ROW()))-1&lt;E69,表2_36716262930[[#This Row],[累计净值]]/MAX(INDIRECT("B21:B" &amp; ROW()))-1,E69)</f>
        <v>-7.0556309362279634E-3</v>
      </c>
      <c r="F70" s="62">
        <v>1.407</v>
      </c>
      <c r="G70" s="20">
        <f>表2_36716262930[[#This Row],[单位净值]]/$F$21-1</f>
        <v>1.5151515151515138E-2</v>
      </c>
    </row>
    <row r="71" spans="1:7" x14ac:dyDescent="0.2">
      <c r="A71" s="15">
        <v>43780</v>
      </c>
      <c r="B71" s="16">
        <v>1.4925999999999999</v>
      </c>
      <c r="C71" s="73">
        <f t="shared" si="13"/>
        <v>2.0000000000000018E-3</v>
      </c>
      <c r="D71" s="18" t="str">
        <f t="shared" si="14"/>
        <v>/</v>
      </c>
      <c r="E71" s="18">
        <f ca="1">IF(表2_36716262930[[#This Row],[累计净值]]/MAX(INDIRECT("B21:B" &amp; ROW()))-1&lt;E70,表2_36716262930[[#This Row],[累计净值]]/MAX(INDIRECT("B21:B" &amp; ROW()))-1,E70)</f>
        <v>-7.0556309362279634E-3</v>
      </c>
      <c r="F71" s="62">
        <v>1.409</v>
      </c>
      <c r="G71" s="20">
        <f>表2_36716262930[[#This Row],[单位净值]]/$F$21-1</f>
        <v>1.6594516594516717E-2</v>
      </c>
    </row>
    <row r="72" spans="1:7" x14ac:dyDescent="0.2">
      <c r="A72" s="15">
        <v>43781</v>
      </c>
      <c r="B72" s="16">
        <v>1.4936</v>
      </c>
      <c r="C72" s="73">
        <f t="shared" si="13"/>
        <v>1.0000000000001119E-3</v>
      </c>
      <c r="D72" s="18" t="str">
        <f t="shared" si="14"/>
        <v>/</v>
      </c>
      <c r="E72" s="18">
        <f ca="1">IF(表2_36716262930[[#This Row],[累计净值]]/MAX(INDIRECT("B21:B" &amp; ROW()))-1&lt;E71,表2_36716262930[[#This Row],[累计净值]]/MAX(INDIRECT("B21:B" &amp; ROW()))-1,E71)</f>
        <v>-7.0556309362279634E-3</v>
      </c>
      <c r="F72" s="62">
        <v>1.41</v>
      </c>
      <c r="G72" s="20">
        <f>表2_36716262930[[#This Row],[单位净值]]/$F$21-1</f>
        <v>1.7316017316017396E-2</v>
      </c>
    </row>
    <row r="73" spans="1:7" x14ac:dyDescent="0.2">
      <c r="A73" s="15">
        <v>43782</v>
      </c>
      <c r="B73" s="16">
        <v>1.4925999999999999</v>
      </c>
      <c r="C73" s="73">
        <f t="shared" ref="C73:C78" si="15">IFERROR(B73-B72,0)</f>
        <v>-1.0000000000001119E-3</v>
      </c>
      <c r="D73" s="18">
        <f t="shared" ref="D73:D78" si="16">IF(C73&lt;0,C73,"/")</f>
        <v>-1.0000000000001119E-3</v>
      </c>
      <c r="E73" s="18">
        <f ca="1">IF(表2_36716262930[[#This Row],[累计净值]]/MAX(INDIRECT("B21:B" &amp; ROW()))-1&lt;E72,表2_36716262930[[#This Row],[累计净值]]/MAX(INDIRECT("B21:B" &amp; ROW()))-1,E72)</f>
        <v>-7.0556309362279634E-3</v>
      </c>
      <c r="F73" s="62">
        <f>表2_36716262930[[#This Row],[累计净值]]-0.0836</f>
        <v>1.409</v>
      </c>
      <c r="G73" s="20">
        <f>表2_36716262930[[#This Row],[单位净值]]/$F$21-1</f>
        <v>1.6594516594516717E-2</v>
      </c>
    </row>
    <row r="74" spans="1:7" x14ac:dyDescent="0.2">
      <c r="A74" s="15">
        <v>43783</v>
      </c>
      <c r="B74" s="16">
        <v>1.4976</v>
      </c>
      <c r="C74" s="73">
        <f t="shared" si="15"/>
        <v>5.0000000000001155E-3</v>
      </c>
      <c r="D74" s="18" t="str">
        <f t="shared" si="16"/>
        <v>/</v>
      </c>
      <c r="E74" s="18">
        <f ca="1">IF(表2_36716262930[[#This Row],[累计净值]]/MAX(INDIRECT("B21:B" &amp; ROW()))-1&lt;E73,表2_36716262930[[#This Row],[累计净值]]/MAX(INDIRECT("B21:B" &amp; ROW()))-1,E73)</f>
        <v>-7.0556309362279634E-3</v>
      </c>
      <c r="F74" s="62">
        <f>表2_36716262930[[#This Row],[累计净值]]-0.0836</f>
        <v>1.4140000000000001</v>
      </c>
      <c r="G74" s="20">
        <f>表2_36716262930[[#This Row],[单位净值]]/$F$21-1</f>
        <v>2.0202020202020332E-2</v>
      </c>
    </row>
    <row r="75" spans="1:7" x14ac:dyDescent="0.2">
      <c r="A75" s="15">
        <v>43784</v>
      </c>
      <c r="B75" s="76">
        <v>1.4985999999999999</v>
      </c>
      <c r="C75" s="73">
        <f t="shared" si="15"/>
        <v>9.9999999999988987E-4</v>
      </c>
      <c r="D75" s="18" t="str">
        <f t="shared" si="16"/>
        <v>/</v>
      </c>
      <c r="E75" s="18">
        <f ca="1">IF(表2_36716262930[[#This Row],[累计净值]]/MAX(INDIRECT("B21:B" &amp; ROW()))-1&lt;E74,表2_36716262930[[#This Row],[累计净值]]/MAX(INDIRECT("B21:B" &amp; ROW()))-1,E74)</f>
        <v>-7.0556309362279634E-3</v>
      </c>
      <c r="F75" s="62">
        <f>表2_36716262930[[#This Row],[累计净值]]-0.0836</f>
        <v>1.415</v>
      </c>
      <c r="G75" s="20">
        <f>表2_36716262930[[#This Row],[单位净值]]/$F$21-1</f>
        <v>2.0923520923521011E-2</v>
      </c>
    </row>
    <row r="76" spans="1:7" x14ac:dyDescent="0.2">
      <c r="A76" s="15">
        <v>43787</v>
      </c>
      <c r="B76" s="16">
        <v>1.4976</v>
      </c>
      <c r="C76" s="73">
        <f t="shared" si="15"/>
        <v>-9.9999999999988987E-4</v>
      </c>
      <c r="D76" s="18">
        <f t="shared" si="16"/>
        <v>-9.9999999999988987E-4</v>
      </c>
      <c r="E76" s="18">
        <f ca="1">IF(表2_36716262930[[#This Row],[累计净值]]/MAX(INDIRECT("B21:B" &amp; ROW()))-1&lt;E75,表2_36716262930[[#This Row],[累计净值]]/MAX(INDIRECT("B21:B" &amp; ROW()))-1,E75)</f>
        <v>-7.0556309362279634E-3</v>
      </c>
      <c r="F76" s="62">
        <f>表2_36716262930[[#This Row],[累计净值]]-0.0836</f>
        <v>1.4140000000000001</v>
      </c>
      <c r="G76" s="20">
        <f>表2_36716262930[[#This Row],[单位净值]]/$F$21-1</f>
        <v>2.0202020202020332E-2</v>
      </c>
    </row>
    <row r="77" spans="1:7" x14ac:dyDescent="0.2">
      <c r="A77" s="15">
        <v>43788</v>
      </c>
      <c r="B77" s="16">
        <v>1.4956</v>
      </c>
      <c r="C77" s="73">
        <f t="shared" si="15"/>
        <v>-2.0000000000000018E-3</v>
      </c>
      <c r="D77" s="18">
        <f t="shared" si="16"/>
        <v>-2.0000000000000018E-3</v>
      </c>
      <c r="E77" s="18">
        <f ca="1">IF(表2_36716262930[[#This Row],[累计净值]]/MAX(INDIRECT("B21:B" &amp; ROW()))-1&lt;E76,表2_36716262930[[#This Row],[累计净值]]/MAX(INDIRECT("B21:B" &amp; ROW()))-1,E76)</f>
        <v>-7.0556309362279634E-3</v>
      </c>
      <c r="F77" s="62">
        <f>表2_36716262930[[#This Row],[累计净值]]-0.0836</f>
        <v>1.4120000000000001</v>
      </c>
      <c r="G77" s="20">
        <f>表2_36716262930[[#This Row],[单位净值]]/$F$21-1</f>
        <v>1.8759018759018975E-2</v>
      </c>
    </row>
    <row r="78" spans="1:7" x14ac:dyDescent="0.2">
      <c r="A78" s="15">
        <v>43789</v>
      </c>
      <c r="B78" s="16">
        <v>1.4896</v>
      </c>
      <c r="C78" s="73">
        <f t="shared" si="15"/>
        <v>-6.0000000000000053E-3</v>
      </c>
      <c r="D78" s="18">
        <f t="shared" si="16"/>
        <v>-6.0000000000000053E-3</v>
      </c>
      <c r="E78" s="18">
        <f ca="1">IF(表2_36716262930[[#This Row],[累计净值]]/MAX(INDIRECT("B21:B" &amp; ROW()))-1&lt;E77,表2_36716262930[[#This Row],[累计净值]]/MAX(INDIRECT("B21:B" &amp; ROW()))-1,E77)</f>
        <v>-7.0556309362279634E-3</v>
      </c>
      <c r="F78" s="62">
        <f>表2_36716262930[[#This Row],[累计净值]]-0.0836</f>
        <v>1.4060000000000001</v>
      </c>
      <c r="G78" s="20">
        <f>表2_36716262930[[#This Row],[单位净值]]/$F$21-1</f>
        <v>1.4430014430014682E-2</v>
      </c>
    </row>
    <row r="79" spans="1:7" x14ac:dyDescent="0.2">
      <c r="A79" s="15">
        <v>43790</v>
      </c>
      <c r="B79" s="16">
        <v>1.4896</v>
      </c>
      <c r="C79" s="73">
        <f t="shared" ref="C79:C84" si="17">IFERROR(B79-B78,0)</f>
        <v>0</v>
      </c>
      <c r="D79" s="18" t="str">
        <f t="shared" ref="D79:D84" si="18">IF(C79&lt;0,C79,"/")</f>
        <v>/</v>
      </c>
      <c r="E79" s="18">
        <f ca="1">IF(表2_36716262930[[#This Row],[累计净值]]/MAX(INDIRECT("B21:B" &amp; ROW()))-1&lt;E78,表2_36716262930[[#This Row],[累计净值]]/MAX(INDIRECT("B21:B" &amp; ROW()))-1,E78)</f>
        <v>-7.0556309362279634E-3</v>
      </c>
      <c r="F79" s="62">
        <f>表2_36716262930[[#This Row],[累计净值]]-0.0836</f>
        <v>1.4060000000000001</v>
      </c>
      <c r="G79" s="20">
        <f>表2_36716262930[[#This Row],[单位净值]]/$F$21-1</f>
        <v>1.4430014430014682E-2</v>
      </c>
    </row>
    <row r="80" spans="1:7" x14ac:dyDescent="0.2">
      <c r="A80" s="15">
        <v>43791</v>
      </c>
      <c r="B80" s="16">
        <v>1.4936</v>
      </c>
      <c r="C80" s="73">
        <f t="shared" si="17"/>
        <v>4.0000000000000036E-3</v>
      </c>
      <c r="D80" s="18" t="str">
        <f t="shared" si="18"/>
        <v>/</v>
      </c>
      <c r="E80" s="18">
        <f ca="1">IF(表2_36716262930[[#This Row],[累计净值]]/MAX(INDIRECT("B21:B" &amp; ROW()))-1&lt;E79,表2_36716262930[[#This Row],[累计净值]]/MAX(INDIRECT("B21:B" &amp; ROW()))-1,E79)</f>
        <v>-7.0556309362279634E-3</v>
      </c>
      <c r="F80" s="62">
        <f>表2_36716262930[[#This Row],[累计净值]]-0.0836</f>
        <v>1.4100000000000001</v>
      </c>
      <c r="G80" s="20">
        <f>表2_36716262930[[#This Row],[单位净值]]/$F$21-1</f>
        <v>1.7316017316017396E-2</v>
      </c>
    </row>
    <row r="81" spans="1:7" x14ac:dyDescent="0.2">
      <c r="A81" s="15">
        <v>43794</v>
      </c>
      <c r="B81" s="16">
        <v>1.4905999999999999</v>
      </c>
      <c r="C81" s="73">
        <f t="shared" si="17"/>
        <v>-3.0000000000001137E-3</v>
      </c>
      <c r="D81" s="18">
        <f t="shared" si="18"/>
        <v>-3.0000000000001137E-3</v>
      </c>
      <c r="E81" s="18">
        <f ca="1">IF(表2_36716262930[[#This Row],[累计净值]]/MAX(INDIRECT("B21:B" &amp; ROW()))-1&lt;E80,表2_36716262930[[#This Row],[累计净值]]/MAX(INDIRECT("B21:B" &amp; ROW()))-1,E80)</f>
        <v>-7.0556309362279634E-3</v>
      </c>
      <c r="F81" s="62">
        <f>表2_36716262930[[#This Row],[累计净值]]-0.0836</f>
        <v>1.407</v>
      </c>
      <c r="G81" s="20">
        <f>表2_36716262930[[#This Row],[单位净值]]/$F$21-1</f>
        <v>1.5151515151515138E-2</v>
      </c>
    </row>
    <row r="82" spans="1:7" x14ac:dyDescent="0.2">
      <c r="A82" s="15">
        <v>43795</v>
      </c>
      <c r="B82" s="16">
        <v>1.4925999999999999</v>
      </c>
      <c r="C82" s="73">
        <f t="shared" si="17"/>
        <v>2.0000000000000018E-3</v>
      </c>
      <c r="D82" s="18" t="str">
        <f t="shared" si="18"/>
        <v>/</v>
      </c>
      <c r="E82" s="18">
        <f ca="1">IF(表2_36716262930[[#This Row],[累计净值]]/MAX(INDIRECT("B21:B" &amp; ROW()))-1&lt;E81,表2_36716262930[[#This Row],[累计净值]]/MAX(INDIRECT("B21:B" &amp; ROW()))-1,E81)</f>
        <v>-7.0556309362279634E-3</v>
      </c>
      <c r="F82" s="62">
        <f>表2_36716262930[[#This Row],[累计净值]]-0.0836</f>
        <v>1.409</v>
      </c>
      <c r="G82" s="20">
        <f>表2_36716262930[[#This Row],[单位净值]]/$F$21-1</f>
        <v>1.6594516594516717E-2</v>
      </c>
    </row>
    <row r="83" spans="1:7" x14ac:dyDescent="0.2">
      <c r="A83" s="15">
        <v>43796</v>
      </c>
      <c r="B83" s="16">
        <v>1.4936</v>
      </c>
      <c r="C83" s="73">
        <f t="shared" si="17"/>
        <v>1.0000000000001119E-3</v>
      </c>
      <c r="D83" s="18" t="str">
        <f t="shared" si="18"/>
        <v>/</v>
      </c>
      <c r="E83" s="18">
        <f ca="1">IF(表2_36716262930[[#This Row],[累计净值]]/MAX(INDIRECT("B21:B" &amp; ROW()))-1&lt;E82,表2_36716262930[[#This Row],[累计净值]]/MAX(INDIRECT("B21:B" &amp; ROW()))-1,E82)</f>
        <v>-7.0556309362279634E-3</v>
      </c>
      <c r="F83" s="62">
        <f>表2_36716262930[[#This Row],[累计净值]]-0.0836</f>
        <v>1.4100000000000001</v>
      </c>
      <c r="G83" s="20">
        <f>表2_36716262930[[#This Row],[单位净值]]/$F$21-1</f>
        <v>1.7316017316017396E-2</v>
      </c>
    </row>
    <row r="84" spans="1:7" x14ac:dyDescent="0.2">
      <c r="A84" s="15">
        <v>43797</v>
      </c>
      <c r="B84" s="16">
        <v>1.4936</v>
      </c>
      <c r="C84" s="73">
        <f t="shared" si="17"/>
        <v>0</v>
      </c>
      <c r="D84" s="18" t="str">
        <f t="shared" si="18"/>
        <v>/</v>
      </c>
      <c r="E84" s="18">
        <f ca="1">IF(表2_36716262930[[#This Row],[累计净值]]/MAX(INDIRECT("B21:B" &amp; ROW()))-1&lt;E83,表2_36716262930[[#This Row],[累计净值]]/MAX(INDIRECT("B21:B" &amp; ROW()))-1,E83)</f>
        <v>-7.0556309362279634E-3</v>
      </c>
      <c r="F84" s="62">
        <f>表2_36716262930[[#This Row],[累计净值]]-0.0836</f>
        <v>1.4100000000000001</v>
      </c>
      <c r="G84" s="20">
        <f>表2_36716262930[[#This Row],[单位净值]]/$F$21-1</f>
        <v>1.7316017316017396E-2</v>
      </c>
    </row>
    <row r="85" spans="1:7" x14ac:dyDescent="0.2">
      <c r="A85" s="15">
        <v>43798</v>
      </c>
      <c r="B85" s="16">
        <v>1.4925999999999999</v>
      </c>
      <c r="C85" s="73">
        <f t="shared" ref="C85:C90" si="19">IFERROR(B85-B84,0)</f>
        <v>-1.0000000000001119E-3</v>
      </c>
      <c r="D85" s="18">
        <f t="shared" ref="D85:D90" si="20">IF(C85&lt;0,C85,"/")</f>
        <v>-1.0000000000001119E-3</v>
      </c>
      <c r="E85" s="18">
        <f ca="1">IF(表2_36716262930[[#This Row],[累计净值]]/MAX(INDIRECT("B21:B" &amp; ROW()))-1&lt;E84,表2_36716262930[[#This Row],[累计净值]]/MAX(INDIRECT("B21:B" &amp; ROW()))-1,E84)</f>
        <v>-7.0556309362279634E-3</v>
      </c>
      <c r="F85" s="62">
        <f>表2_36716262930[[#This Row],[累计净值]]-0.0836</f>
        <v>1.409</v>
      </c>
      <c r="G85" s="20">
        <f>表2_36716262930[[#This Row],[单位净值]]/$F$21-1</f>
        <v>1.6594516594516717E-2</v>
      </c>
    </row>
    <row r="86" spans="1:7" x14ac:dyDescent="0.2">
      <c r="A86" s="15">
        <v>43801</v>
      </c>
      <c r="B86" s="16">
        <v>1.4925999999999999</v>
      </c>
      <c r="C86" s="73">
        <f t="shared" si="19"/>
        <v>0</v>
      </c>
      <c r="D86" s="18" t="str">
        <f t="shared" si="20"/>
        <v>/</v>
      </c>
      <c r="E86" s="18">
        <f ca="1">IF(表2_36716262930[[#This Row],[累计净值]]/MAX(INDIRECT("B21:B" &amp; ROW()))-1&lt;E85,表2_36716262930[[#This Row],[累计净值]]/MAX(INDIRECT("B21:B" &amp; ROW()))-1,E85)</f>
        <v>-7.0556309362279634E-3</v>
      </c>
      <c r="F86" s="62">
        <f>表2_36716262930[[#This Row],[累计净值]]-0.0836</f>
        <v>1.409</v>
      </c>
      <c r="G86" s="20">
        <f>表2_36716262930[[#This Row],[单位净值]]/$F$21-1</f>
        <v>1.6594516594516717E-2</v>
      </c>
    </row>
    <row r="87" spans="1:7" x14ac:dyDescent="0.2">
      <c r="A87" s="15">
        <v>43802</v>
      </c>
      <c r="B87" s="16">
        <v>1.4925999999999999</v>
      </c>
      <c r="C87" s="73">
        <f t="shared" si="19"/>
        <v>0</v>
      </c>
      <c r="D87" s="18" t="str">
        <f t="shared" si="20"/>
        <v>/</v>
      </c>
      <c r="E87" s="18">
        <f ca="1">IF(表2_36716262930[[#This Row],[累计净值]]/MAX(INDIRECT("B21:B" &amp; ROW()))-1&lt;E86,表2_36716262930[[#This Row],[累计净值]]/MAX(INDIRECT("B21:B" &amp; ROW()))-1,E86)</f>
        <v>-7.0556309362279634E-3</v>
      </c>
      <c r="F87" s="62">
        <f>表2_36716262930[[#This Row],[累计净值]]-0.0836</f>
        <v>1.409</v>
      </c>
      <c r="G87" s="20">
        <f>表2_36716262930[[#This Row],[单位净值]]/$F$21-1</f>
        <v>1.6594516594516717E-2</v>
      </c>
    </row>
    <row r="88" spans="1:7" x14ac:dyDescent="0.2">
      <c r="A88" s="15">
        <v>43803</v>
      </c>
      <c r="B88" s="16">
        <v>1.4905999999999999</v>
      </c>
      <c r="C88" s="73">
        <f t="shared" si="19"/>
        <v>-2.0000000000000018E-3</v>
      </c>
      <c r="D88" s="18">
        <f t="shared" si="20"/>
        <v>-2.0000000000000018E-3</v>
      </c>
      <c r="E88" s="18">
        <f ca="1">IF(表2_36716262930[[#This Row],[累计净值]]/MAX(INDIRECT("B21:B" &amp; ROW()))-1&lt;E87,表2_36716262930[[#This Row],[累计净值]]/MAX(INDIRECT("B21:B" &amp; ROW()))-1,E87)</f>
        <v>-7.0556309362279634E-3</v>
      </c>
      <c r="F88" s="62">
        <f>表2_36716262930[[#This Row],[累计净值]]-0.0836</f>
        <v>1.407</v>
      </c>
      <c r="G88" s="20">
        <f>表2_36716262930[[#This Row],[单位净值]]/$F$21-1</f>
        <v>1.5151515151515138E-2</v>
      </c>
    </row>
    <row r="89" spans="1:7" x14ac:dyDescent="0.2">
      <c r="A89" s="15">
        <v>43804</v>
      </c>
      <c r="B89" s="16">
        <v>1.4916</v>
      </c>
      <c r="C89" s="73">
        <f t="shared" si="19"/>
        <v>1.0000000000001119E-3</v>
      </c>
      <c r="D89" s="18" t="str">
        <f t="shared" si="20"/>
        <v>/</v>
      </c>
      <c r="E89" s="18">
        <f ca="1">IF(表2_36716262930[[#This Row],[累计净值]]/MAX(INDIRECT("B21:B" &amp; ROW()))-1&lt;E88,表2_36716262930[[#This Row],[累计净值]]/MAX(INDIRECT("B21:B" &amp; ROW()))-1,E88)</f>
        <v>-7.0556309362279634E-3</v>
      </c>
      <c r="F89" s="62">
        <f>表2_36716262930[[#This Row],[累计净值]]-0.0836</f>
        <v>1.4080000000000001</v>
      </c>
      <c r="G89" s="20">
        <f>表2_36716262930[[#This Row],[单位净值]]/$F$21-1</f>
        <v>1.5873015873016039E-2</v>
      </c>
    </row>
    <row r="90" spans="1:7" x14ac:dyDescent="0.2">
      <c r="A90" s="15">
        <v>43805</v>
      </c>
      <c r="B90" s="16">
        <v>1.4916</v>
      </c>
      <c r="C90" s="73">
        <f t="shared" si="19"/>
        <v>0</v>
      </c>
      <c r="D90" s="18" t="str">
        <f t="shared" si="20"/>
        <v>/</v>
      </c>
      <c r="E90" s="18">
        <f ca="1">IF(表2_36716262930[[#This Row],[累计净值]]/MAX(INDIRECT("B21:B" &amp; ROW()))-1&lt;E89,表2_36716262930[[#This Row],[累计净值]]/MAX(INDIRECT("B21:B" &amp; ROW()))-1,E89)</f>
        <v>-7.0556309362279634E-3</v>
      </c>
      <c r="F90" s="62">
        <f>表2_36716262930[[#This Row],[累计净值]]-0.0836</f>
        <v>1.4080000000000001</v>
      </c>
      <c r="G90" s="20">
        <f>表2_36716262930[[#This Row],[单位净值]]/$F$21-1</f>
        <v>1.5873015873016039E-2</v>
      </c>
    </row>
    <row r="91" spans="1:7" x14ac:dyDescent="0.2">
      <c r="A91" s="15">
        <v>43808</v>
      </c>
      <c r="B91" s="16">
        <v>1.4865999999999999</v>
      </c>
      <c r="C91" s="73">
        <f t="shared" ref="C91:C96" si="21">IFERROR(B91-B90,0)</f>
        <v>-5.0000000000001155E-3</v>
      </c>
      <c r="D91" s="18">
        <f t="shared" ref="D91:D96" si="22">IF(C91&lt;0,C91,"/")</f>
        <v>-5.0000000000001155E-3</v>
      </c>
      <c r="E91" s="18">
        <f ca="1">IF(表2_36716262930[[#This Row],[累计净值]]/MAX(INDIRECT("B21:B" &amp; ROW()))-1&lt;E90,表2_36716262930[[#This Row],[累计净值]]/MAX(INDIRECT("B21:B" &amp; ROW()))-1,E90)</f>
        <v>-8.0074736420658876E-3</v>
      </c>
      <c r="F91" s="62">
        <f>表2_36716262930[[#This Row],[累计净值]]-0.0836</f>
        <v>1.403</v>
      </c>
      <c r="G91" s="20">
        <f>表2_36716262930[[#This Row],[单位净值]]/$F$21-1</f>
        <v>1.2265512265512424E-2</v>
      </c>
    </row>
    <row r="92" spans="1:7" x14ac:dyDescent="0.2">
      <c r="A92" s="15">
        <v>43809</v>
      </c>
      <c r="B92" s="16">
        <v>1.4845999999999999</v>
      </c>
      <c r="C92" s="73">
        <f t="shared" si="21"/>
        <v>-2.0000000000000018E-3</v>
      </c>
      <c r="D92" s="18">
        <f t="shared" si="22"/>
        <v>-2.0000000000000018E-3</v>
      </c>
      <c r="E92" s="18">
        <f ca="1">IF(表2_36716262930[[#This Row],[累计净值]]/MAX(INDIRECT("B21:B" &amp; ROW()))-1&lt;E91,表2_36716262930[[#This Row],[累计净值]]/MAX(INDIRECT("B21:B" &amp; ROW()))-1,E91)</f>
        <v>-9.3420525824102763E-3</v>
      </c>
      <c r="F92" s="62">
        <f>表2_36716262930[[#This Row],[累计净值]]-0.0836</f>
        <v>1.401</v>
      </c>
      <c r="G92" s="20">
        <f>表2_36716262930[[#This Row],[单位净值]]/$F$21-1</f>
        <v>1.0822510822510845E-2</v>
      </c>
    </row>
    <row r="93" spans="1:7" x14ac:dyDescent="0.2">
      <c r="A93" s="15">
        <v>43810</v>
      </c>
      <c r="B93" s="16">
        <v>1.4876</v>
      </c>
      <c r="C93" s="73">
        <f t="shared" si="21"/>
        <v>3.0000000000001137E-3</v>
      </c>
      <c r="D93" s="18" t="str">
        <f t="shared" si="22"/>
        <v>/</v>
      </c>
      <c r="E93" s="18">
        <f ca="1">IF(表2_36716262930[[#This Row],[累计净值]]/MAX(INDIRECT("B21:B" &amp; ROW()))-1&lt;E92,表2_36716262930[[#This Row],[累计净值]]/MAX(INDIRECT("B21:B" &amp; ROW()))-1,E92)</f>
        <v>-9.3420525824102763E-3</v>
      </c>
      <c r="F93" s="62">
        <f>表2_36716262930[[#This Row],[累计净值]]-0.0836</f>
        <v>1.4040000000000001</v>
      </c>
      <c r="G93" s="20">
        <f>表2_36716262930[[#This Row],[单位净值]]/$F$21-1</f>
        <v>1.2987012987013102E-2</v>
      </c>
    </row>
    <row r="94" spans="1:7" x14ac:dyDescent="0.2">
      <c r="A94" s="15">
        <v>43811</v>
      </c>
      <c r="B94" s="16">
        <v>1.4876</v>
      </c>
      <c r="C94" s="73">
        <f t="shared" si="21"/>
        <v>0</v>
      </c>
      <c r="D94" s="18" t="str">
        <f t="shared" si="22"/>
        <v>/</v>
      </c>
      <c r="E94" s="18">
        <f ca="1">IF(表2_36716262930[[#This Row],[累计净值]]/MAX(INDIRECT("B21:B" &amp; ROW()))-1&lt;E93,表2_36716262930[[#This Row],[累计净值]]/MAX(INDIRECT("B21:B" &amp; ROW()))-1,E93)</f>
        <v>-9.3420525824102763E-3</v>
      </c>
      <c r="F94" s="62">
        <f>表2_36716262930[[#This Row],[累计净值]]-0.0836</f>
        <v>1.4040000000000001</v>
      </c>
      <c r="G94" s="20">
        <f>表2_36716262930[[#This Row],[单位净值]]/$F$21-1</f>
        <v>1.2987012987013102E-2</v>
      </c>
    </row>
    <row r="95" spans="1:7" x14ac:dyDescent="0.2">
      <c r="A95" s="15">
        <v>43812</v>
      </c>
      <c r="B95" s="16">
        <v>1.4896</v>
      </c>
      <c r="C95" s="73">
        <f t="shared" si="21"/>
        <v>2.0000000000000018E-3</v>
      </c>
      <c r="D95" s="18" t="str">
        <f t="shared" si="22"/>
        <v>/</v>
      </c>
      <c r="E95" s="18">
        <f ca="1">IF(表2_36716262930[[#This Row],[累计净值]]/MAX(INDIRECT("B21:B" &amp; ROW()))-1&lt;E94,表2_36716262930[[#This Row],[累计净值]]/MAX(INDIRECT("B21:B" &amp; ROW()))-1,E94)</f>
        <v>-9.3420525824102763E-3</v>
      </c>
      <c r="F95" s="62">
        <f>表2_36716262930[[#This Row],[累计净值]]-0.0836</f>
        <v>1.4060000000000001</v>
      </c>
      <c r="G95" s="20">
        <f>表2_36716262930[[#This Row],[单位净值]]/$F$21-1</f>
        <v>1.4430014430014682E-2</v>
      </c>
    </row>
    <row r="96" spans="1:7" x14ac:dyDescent="0.2">
      <c r="A96" s="15">
        <v>43815</v>
      </c>
      <c r="B96" s="16">
        <v>1.4885999999999999</v>
      </c>
      <c r="C96" s="73">
        <f t="shared" si="21"/>
        <v>-1.0000000000001119E-3</v>
      </c>
      <c r="D96" s="18">
        <f t="shared" si="22"/>
        <v>-1.0000000000001119E-3</v>
      </c>
      <c r="E96" s="18">
        <f ca="1">IF(表2_36716262930[[#This Row],[累计净值]]/MAX(INDIRECT("B21:B" &amp; ROW()))-1&lt;E95,表2_36716262930[[#This Row],[累计净值]]/MAX(INDIRECT("B21:B" &amp; ROW()))-1,E95)</f>
        <v>-9.3420525824102763E-3</v>
      </c>
      <c r="F96" s="62">
        <f>表2_36716262930[[#This Row],[累计净值]]-0.0836</f>
        <v>1.405</v>
      </c>
      <c r="G96" s="20">
        <f>表2_36716262930[[#This Row],[单位净值]]/$F$21-1</f>
        <v>1.3708513708513781E-2</v>
      </c>
    </row>
    <row r="97" spans="1:10" x14ac:dyDescent="0.2">
      <c r="A97" s="15">
        <v>43816</v>
      </c>
      <c r="B97" s="16">
        <v>1.4845999999999999</v>
      </c>
      <c r="C97" s="73">
        <f>IFERROR(B97-B96,0)</f>
        <v>-4.0000000000000036E-3</v>
      </c>
      <c r="D97" s="18">
        <f>IF(C97&lt;0,C97,"/")</f>
        <v>-4.0000000000000036E-3</v>
      </c>
      <c r="E97" s="18">
        <f ca="1">IF(表2_36716262930[[#This Row],[累计净值]]/MAX(INDIRECT("B21:B" &amp; ROW()))-1&lt;E96,表2_36716262930[[#This Row],[累计净值]]/MAX(INDIRECT("B21:B" &amp; ROW()))-1,E96)</f>
        <v>-9.3420525824102763E-3</v>
      </c>
      <c r="F97" s="62">
        <f>表2_36716262930[[#This Row],[累计净值]]-0.0836</f>
        <v>1.401</v>
      </c>
      <c r="G97" s="20">
        <f>表2_36716262930[[#This Row],[单位净值]]/$F$21-1</f>
        <v>1.0822510822510845E-2</v>
      </c>
    </row>
    <row r="98" spans="1:10" x14ac:dyDescent="0.2">
      <c r="A98" s="15">
        <v>43817</v>
      </c>
      <c r="B98" s="16">
        <v>1.4856</v>
      </c>
      <c r="C98" s="73">
        <f>IFERROR(B98-B97,0)</f>
        <v>1.0000000000001119E-3</v>
      </c>
      <c r="D98" s="18" t="str">
        <f>IF(C98&lt;0,C98,"/")</f>
        <v>/</v>
      </c>
      <c r="E98" s="18">
        <f ca="1">IF(表2_36716262930[[#This Row],[累计净值]]/MAX(INDIRECT("B21:B" &amp; ROW()))-1&lt;E97,表2_36716262930[[#This Row],[累计净值]]/MAX(INDIRECT("B21:B" &amp; ROW()))-1,E97)</f>
        <v>-9.3420525824102763E-3</v>
      </c>
      <c r="F98" s="62">
        <f>表2_36716262930[[#This Row],[累计净值]]-0.0836</f>
        <v>1.4020000000000001</v>
      </c>
      <c r="G98" s="20">
        <f>表2_36716262930[[#This Row],[单位净值]]/$F$21-1</f>
        <v>1.1544011544011745E-2</v>
      </c>
    </row>
    <row r="99" spans="1:10" x14ac:dyDescent="0.2">
      <c r="A99" s="15">
        <v>43818</v>
      </c>
      <c r="B99" s="16">
        <v>1.4845999999999999</v>
      </c>
      <c r="C99" s="73">
        <f>IFERROR(B99-B98,0)</f>
        <v>-1.0000000000001119E-3</v>
      </c>
      <c r="D99" s="18">
        <f>IF(C99&lt;0,C99,"/")</f>
        <v>-1.0000000000001119E-3</v>
      </c>
      <c r="E99" s="18">
        <f ca="1">IF(表2_36716262930[[#This Row],[累计净值]]/MAX(INDIRECT("B21:B" &amp; ROW()))-1&lt;E98,表2_36716262930[[#This Row],[累计净值]]/MAX(INDIRECT("B21:B" &amp; ROW()))-1,E98)</f>
        <v>-9.3420525824102763E-3</v>
      </c>
      <c r="F99" s="62">
        <f>表2_36716262930[[#This Row],[累计净值]]-0.0836</f>
        <v>1.401</v>
      </c>
      <c r="G99" s="20">
        <f>表2_36716262930[[#This Row],[单位净值]]/$F$21-1</f>
        <v>1.0822510822510845E-2</v>
      </c>
      <c r="J99" s="1" t="s">
        <v>33</v>
      </c>
    </row>
    <row r="100" spans="1:10" x14ac:dyDescent="0.2">
      <c r="A100" s="15">
        <v>43819</v>
      </c>
      <c r="B100" s="16">
        <v>1.4805999999999999</v>
      </c>
      <c r="C100" s="73">
        <f>IFERROR(B100-B99,0)</f>
        <v>-4.0000000000000036E-3</v>
      </c>
      <c r="D100" s="18">
        <f>IF(C100&lt;0,C100,"/")</f>
        <v>-4.0000000000000036E-3</v>
      </c>
      <c r="E100" s="18">
        <f ca="1">IF(表2_36716262930[[#This Row],[累计净值]]/MAX(INDIRECT("B21:B" &amp; ROW()))-1&lt;E99,表2_36716262930[[#This Row],[累计净值]]/MAX(INDIRECT("B21:B" &amp; ROW()))-1,E99)</f>
        <v>-1.2011210463098942E-2</v>
      </c>
      <c r="F100" s="62">
        <f>表2_36716262930[[#This Row],[累计净值]]-0.0836</f>
        <v>1.397</v>
      </c>
      <c r="G100" s="20">
        <f>表2_36716262930[[#This Row],[单位净值]]/$F$21-1</f>
        <v>7.9365079365081304E-3</v>
      </c>
    </row>
    <row r="101" spans="1:10" x14ac:dyDescent="0.2">
      <c r="A101" s="15">
        <v>43822</v>
      </c>
      <c r="B101" s="16">
        <v>1.4865999999999999</v>
      </c>
      <c r="C101" s="73">
        <f t="shared" ref="C101:C106" si="23">IFERROR(B101-B100,0)</f>
        <v>6.0000000000000053E-3</v>
      </c>
      <c r="D101" s="18" t="str">
        <f t="shared" ref="D101:D106" si="24">IF(C101&lt;0,C101,"/")</f>
        <v>/</v>
      </c>
      <c r="E101" s="18">
        <f ca="1">IF(表2_36716262930[[#This Row],[累计净值]]/MAX(INDIRECT("B21:B" &amp; ROW()))-1&lt;E100,表2_36716262930[[#This Row],[累计净值]]/MAX(INDIRECT("B21:B" &amp; ROW()))-1,E100)</f>
        <v>-1.2011210463098942E-2</v>
      </c>
      <c r="F101" s="62">
        <f>表2_36716262930[[#This Row],[累计净值]]-0.0836</f>
        <v>1.403</v>
      </c>
      <c r="G101" s="20">
        <f>表2_36716262930[[#This Row],[单位净值]]/$F$21-1</f>
        <v>1.2265512265512424E-2</v>
      </c>
    </row>
    <row r="102" spans="1:10" x14ac:dyDescent="0.2">
      <c r="A102" s="15">
        <v>43823</v>
      </c>
      <c r="B102" s="16">
        <v>1.4876</v>
      </c>
      <c r="C102" s="73">
        <f t="shared" si="23"/>
        <v>1.0000000000001119E-3</v>
      </c>
      <c r="D102" s="18" t="str">
        <f t="shared" si="24"/>
        <v>/</v>
      </c>
      <c r="E102" s="18">
        <f ca="1">IF(表2_36716262930[[#This Row],[累计净值]]/MAX(INDIRECT("B21:B" &amp; ROW()))-1&lt;E101,表2_36716262930[[#This Row],[累计净值]]/MAX(INDIRECT("B21:B" &amp; ROW()))-1,E101)</f>
        <v>-1.2011210463098942E-2</v>
      </c>
      <c r="F102" s="62">
        <f>表2_36716262930[[#This Row],[累计净值]]-0.0836</f>
        <v>1.4040000000000001</v>
      </c>
      <c r="G102" s="20">
        <f>表2_36716262930[[#This Row],[单位净值]]/$F$21-1</f>
        <v>1.2987012987013102E-2</v>
      </c>
    </row>
    <row r="103" spans="1:10" x14ac:dyDescent="0.2">
      <c r="A103" s="15">
        <v>43824</v>
      </c>
      <c r="B103" s="16">
        <v>1.4876</v>
      </c>
      <c r="C103" s="73">
        <f t="shared" si="23"/>
        <v>0</v>
      </c>
      <c r="D103" s="18" t="str">
        <f t="shared" si="24"/>
        <v>/</v>
      </c>
      <c r="E103" s="18">
        <f ca="1">IF(表2_36716262930[[#This Row],[累计净值]]/MAX(INDIRECT("B21:B" &amp; ROW()))-1&lt;E102,表2_36716262930[[#This Row],[累计净值]]/MAX(INDIRECT("B21:B" &amp; ROW()))-1,E102)</f>
        <v>-1.2011210463098942E-2</v>
      </c>
      <c r="F103" s="62">
        <f>表2_36716262930[[#This Row],[累计净值]]-0.0836</f>
        <v>1.4040000000000001</v>
      </c>
      <c r="G103" s="20">
        <f>表2_36716262930[[#This Row],[单位净值]]/$F$21-1</f>
        <v>1.2987012987013102E-2</v>
      </c>
    </row>
    <row r="104" spans="1:10" x14ac:dyDescent="0.2">
      <c r="A104" s="15">
        <v>43825</v>
      </c>
      <c r="B104" s="16">
        <v>1.4885999999999999</v>
      </c>
      <c r="C104" s="73">
        <f t="shared" si="23"/>
        <v>9.9999999999988987E-4</v>
      </c>
      <c r="D104" s="18" t="str">
        <f t="shared" si="24"/>
        <v>/</v>
      </c>
      <c r="E104" s="18">
        <f ca="1">IF(表2_36716262930[[#This Row],[累计净值]]/MAX(INDIRECT("B21:B" &amp; ROW()))-1&lt;E103,表2_36716262930[[#This Row],[累计净值]]/MAX(INDIRECT("B21:B" &amp; ROW()))-1,E103)</f>
        <v>-1.2011210463098942E-2</v>
      </c>
      <c r="F104" s="62">
        <f>表2_36716262930[[#This Row],[累计净值]]-0.0836</f>
        <v>1.405</v>
      </c>
      <c r="G104" s="20">
        <f>表2_36716262930[[#This Row],[单位净值]]/$F$21-1</f>
        <v>1.3708513708513781E-2</v>
      </c>
    </row>
    <row r="105" spans="1:10" x14ac:dyDescent="0.2">
      <c r="A105" s="15">
        <v>43826</v>
      </c>
      <c r="B105" s="16">
        <v>1.4876</v>
      </c>
      <c r="C105" s="73">
        <f t="shared" si="23"/>
        <v>-9.9999999999988987E-4</v>
      </c>
      <c r="D105" s="18">
        <f t="shared" si="24"/>
        <v>-9.9999999999988987E-4</v>
      </c>
      <c r="E105" s="18">
        <f ca="1">IF(表2_36716262930[[#This Row],[累计净值]]/MAX(INDIRECT("B21:B" &amp; ROW()))-1&lt;E104,表2_36716262930[[#This Row],[累计净值]]/MAX(INDIRECT("B21:B" &amp; ROW()))-1,E104)</f>
        <v>-1.2011210463098942E-2</v>
      </c>
      <c r="F105" s="62">
        <f>表2_36716262930[[#This Row],[累计净值]]-0.0836</f>
        <v>1.4040000000000001</v>
      </c>
      <c r="G105" s="20">
        <f>表2_36716262930[[#This Row],[单位净值]]/$F$21-1</f>
        <v>1.2987012987013102E-2</v>
      </c>
    </row>
    <row r="106" spans="1:10" x14ac:dyDescent="0.2">
      <c r="A106" s="15">
        <v>43829</v>
      </c>
      <c r="B106" s="16">
        <v>1.4876</v>
      </c>
      <c r="C106" s="73">
        <f t="shared" si="23"/>
        <v>0</v>
      </c>
      <c r="D106" s="18" t="str">
        <f t="shared" si="24"/>
        <v>/</v>
      </c>
      <c r="E106" s="18">
        <f ca="1">IF(表2_36716262930[[#This Row],[累计净值]]/MAX(INDIRECT("B21:B" &amp; ROW()))-1&lt;E105,表2_36716262930[[#This Row],[累计净值]]/MAX(INDIRECT("B21:B" &amp; ROW()))-1,E105)</f>
        <v>-1.2011210463098942E-2</v>
      </c>
      <c r="F106" s="62">
        <f>表2_36716262930[[#This Row],[累计净值]]-0.0836</f>
        <v>1.4040000000000001</v>
      </c>
      <c r="G106" s="20">
        <f>表2_36716262930[[#This Row],[单位净值]]/$F$21-1</f>
        <v>1.2987012987013102E-2</v>
      </c>
    </row>
    <row r="107" spans="1:10" x14ac:dyDescent="0.2">
      <c r="A107" s="15">
        <v>43830</v>
      </c>
      <c r="B107" s="16">
        <v>1.4885999999999999</v>
      </c>
      <c r="C107" s="73">
        <f t="shared" ref="C107:C112" si="25">IFERROR(B107-B106,0)</f>
        <v>9.9999999999988987E-4</v>
      </c>
      <c r="D107" s="18" t="str">
        <f t="shared" ref="D107:D112" si="26">IF(C107&lt;0,C107,"/")</f>
        <v>/</v>
      </c>
      <c r="E107" s="18">
        <f ca="1">IF(表2_36716262930[[#This Row],[累计净值]]/MAX(INDIRECT("B21:B" &amp; ROW()))-1&lt;E106,表2_36716262930[[#This Row],[累计净值]]/MAX(INDIRECT("B21:B" &amp; ROW()))-1,E106)</f>
        <v>-1.2011210463098942E-2</v>
      </c>
      <c r="F107" s="62">
        <f>表2_36716262930[[#This Row],[累计净值]]-0.0836</f>
        <v>1.405</v>
      </c>
      <c r="G107" s="20">
        <f>表2_36716262930[[#This Row],[单位净值]]/$F$21-1</f>
        <v>1.3708513708513781E-2</v>
      </c>
    </row>
    <row r="108" spans="1:10" x14ac:dyDescent="0.2">
      <c r="A108" s="15">
        <v>43832</v>
      </c>
      <c r="B108" s="16">
        <v>1.4885999999999999</v>
      </c>
      <c r="C108" s="73">
        <f t="shared" si="25"/>
        <v>0</v>
      </c>
      <c r="D108" s="18" t="str">
        <f t="shared" si="26"/>
        <v>/</v>
      </c>
      <c r="E108" s="18">
        <f ca="1">IF(表2_36716262930[[#This Row],[累计净值]]/MAX(INDIRECT("B21:B" &amp; ROW()))-1&lt;E107,表2_36716262930[[#This Row],[累计净值]]/MAX(INDIRECT("B21:B" &amp; ROW()))-1,E107)</f>
        <v>-1.2011210463098942E-2</v>
      </c>
      <c r="F108" s="62">
        <f>表2_36716262930[[#This Row],[累计净值]]-0.0836</f>
        <v>1.405</v>
      </c>
      <c r="G108" s="20">
        <f>表2_36716262930[[#This Row],[单位净值]]/$F$21-1</f>
        <v>1.3708513708513781E-2</v>
      </c>
    </row>
    <row r="109" spans="1:10" x14ac:dyDescent="0.2">
      <c r="A109" s="15">
        <v>43833</v>
      </c>
      <c r="B109" s="16">
        <v>1.4896</v>
      </c>
      <c r="C109" s="73">
        <f t="shared" si="25"/>
        <v>1.0000000000001119E-3</v>
      </c>
      <c r="D109" s="18" t="str">
        <f t="shared" si="26"/>
        <v>/</v>
      </c>
      <c r="E109" s="18">
        <f ca="1">IF(表2_36716262930[[#This Row],[累计净值]]/MAX(INDIRECT("B21:B" &amp; ROW()))-1&lt;E108,表2_36716262930[[#This Row],[累计净值]]/MAX(INDIRECT("B21:B" &amp; ROW()))-1,E108)</f>
        <v>-1.2011210463098942E-2</v>
      </c>
      <c r="F109" s="62">
        <f>表2_36716262930[[#This Row],[累计净值]]-0.0836</f>
        <v>1.4060000000000001</v>
      </c>
      <c r="G109" s="20">
        <f>表2_36716262930[[#This Row],[单位净值]]/$F$21-1</f>
        <v>1.4430014430014682E-2</v>
      </c>
    </row>
    <row r="110" spans="1:10" x14ac:dyDescent="0.2">
      <c r="A110" s="15">
        <v>43836</v>
      </c>
      <c r="B110" s="16">
        <v>1.4885999999999999</v>
      </c>
      <c r="C110" s="73">
        <f t="shared" si="25"/>
        <v>-1.0000000000001119E-3</v>
      </c>
      <c r="D110" s="18">
        <f t="shared" si="26"/>
        <v>-1.0000000000001119E-3</v>
      </c>
      <c r="E110" s="18">
        <f ca="1">IF(表2_36716262930[[#This Row],[累计净值]]/MAX(INDIRECT("B21:B" &amp; ROW()))-1&lt;E109,表2_36716262930[[#This Row],[累计净值]]/MAX(INDIRECT("B21:B" &amp; ROW()))-1,E109)</f>
        <v>-1.2011210463098942E-2</v>
      </c>
      <c r="F110" s="62">
        <f>表2_36716262930[[#This Row],[累计净值]]-0.0836</f>
        <v>1.405</v>
      </c>
      <c r="G110" s="20">
        <f>表2_36716262930[[#This Row],[单位净值]]/$F$21-1</f>
        <v>1.3708513708513781E-2</v>
      </c>
    </row>
    <row r="111" spans="1:10" x14ac:dyDescent="0.2">
      <c r="A111" s="15">
        <v>43837</v>
      </c>
      <c r="B111" s="16">
        <v>1.4905999999999999</v>
      </c>
      <c r="C111" s="73">
        <f t="shared" si="25"/>
        <v>2.0000000000000018E-3</v>
      </c>
      <c r="D111" s="18" t="str">
        <f t="shared" si="26"/>
        <v>/</v>
      </c>
      <c r="E111" s="18">
        <f ca="1">IF(表2_36716262930[[#This Row],[累计净值]]/MAX(INDIRECT("B21:B" &amp; ROW()))-1&lt;E110,表2_36716262930[[#This Row],[累计净值]]/MAX(INDIRECT("B21:B" &amp; ROW()))-1,E110)</f>
        <v>-1.2011210463098942E-2</v>
      </c>
      <c r="F111" s="62">
        <f>表2_36716262930[[#This Row],[累计净值]]-0.0836</f>
        <v>1.407</v>
      </c>
      <c r="G111" s="20">
        <f>表2_36716262930[[#This Row],[单位净值]]/$F$21-1</f>
        <v>1.5151515151515138E-2</v>
      </c>
    </row>
    <row r="112" spans="1:10" x14ac:dyDescent="0.2">
      <c r="A112" s="15">
        <v>43838</v>
      </c>
      <c r="B112" s="16">
        <v>1.4916</v>
      </c>
      <c r="C112" s="73">
        <f t="shared" si="25"/>
        <v>1.0000000000001119E-3</v>
      </c>
      <c r="D112" s="18" t="str">
        <f t="shared" si="26"/>
        <v>/</v>
      </c>
      <c r="E112" s="18">
        <f ca="1">IF(表2_36716262930[[#This Row],[累计净值]]/MAX(INDIRECT("B21:B" &amp; ROW()))-1&lt;E111,表2_36716262930[[#This Row],[累计净值]]/MAX(INDIRECT("B21:B" &amp; ROW()))-1,E111)</f>
        <v>-1.2011210463098942E-2</v>
      </c>
      <c r="F112" s="62">
        <f>表2_36716262930[[#This Row],[累计净值]]-0.0836</f>
        <v>1.4080000000000001</v>
      </c>
      <c r="G112" s="20">
        <f>表2_36716262930[[#This Row],[单位净值]]/$F$21-1</f>
        <v>1.5873015873016039E-2</v>
      </c>
    </row>
    <row r="113" spans="1:7" x14ac:dyDescent="0.2">
      <c r="A113" s="15">
        <v>43839</v>
      </c>
      <c r="B113" s="16">
        <v>1.4925999999999999</v>
      </c>
      <c r="C113" s="73">
        <f t="shared" ref="C113:C118" si="27">IFERROR(B113-B112,0)</f>
        <v>9.9999999999988987E-4</v>
      </c>
      <c r="D113" s="18" t="str">
        <f t="shared" ref="D113:D118" si="28">IF(C113&lt;0,C113,"/")</f>
        <v>/</v>
      </c>
      <c r="E113" s="18">
        <f ca="1">IF(表2_36716262930[[#This Row],[累计净值]]/MAX(INDIRECT("B21:B" &amp; ROW()))-1&lt;E112,表2_36716262930[[#This Row],[累计净值]]/MAX(INDIRECT("B21:B" &amp; ROW()))-1,E112)</f>
        <v>-1.2011210463098942E-2</v>
      </c>
      <c r="F113" s="62">
        <f>表2_36716262930[[#This Row],[累计净值]]-0.0836</f>
        <v>1.409</v>
      </c>
      <c r="G113" s="20">
        <f>表2_36716262930[[#This Row],[单位净值]]/$F$21-1</f>
        <v>1.6594516594516717E-2</v>
      </c>
    </row>
    <row r="114" spans="1:7" x14ac:dyDescent="0.2">
      <c r="A114" s="15">
        <v>43840</v>
      </c>
      <c r="B114" s="16">
        <v>1.4925999999999999</v>
      </c>
      <c r="C114" s="73">
        <f t="shared" si="27"/>
        <v>0</v>
      </c>
      <c r="D114" s="18" t="str">
        <f t="shared" si="28"/>
        <v>/</v>
      </c>
      <c r="E114" s="18">
        <f ca="1">IF(表2_36716262930[[#This Row],[累计净值]]/MAX(INDIRECT("B21:B" &amp; ROW()))-1&lt;E113,表2_36716262930[[#This Row],[累计净值]]/MAX(INDIRECT("B21:B" &amp; ROW()))-1,E113)</f>
        <v>-1.2011210463098942E-2</v>
      </c>
      <c r="F114" s="62">
        <f>表2_36716262930[[#This Row],[累计净值]]-0.0836</f>
        <v>1.409</v>
      </c>
      <c r="G114" s="20">
        <f>表2_36716262930[[#This Row],[单位净值]]/$F$21-1</f>
        <v>1.6594516594516717E-2</v>
      </c>
    </row>
    <row r="115" spans="1:7" x14ac:dyDescent="0.2">
      <c r="A115" s="15">
        <v>43843</v>
      </c>
      <c r="B115" s="16">
        <v>1.4945999999999999</v>
      </c>
      <c r="C115" s="73">
        <f t="shared" si="27"/>
        <v>2.0000000000000018E-3</v>
      </c>
      <c r="D115" s="18" t="str">
        <f t="shared" si="28"/>
        <v>/</v>
      </c>
      <c r="E115" s="18">
        <f ca="1">IF(表2_36716262930[[#This Row],[累计净值]]/MAX(INDIRECT("B21:B" &amp; ROW()))-1&lt;E114,表2_36716262930[[#This Row],[累计净值]]/MAX(INDIRECT("B21:B" &amp; ROW()))-1,E114)</f>
        <v>-1.2011210463098942E-2</v>
      </c>
      <c r="F115" s="62">
        <f>表2_36716262930[[#This Row],[累计净值]]-0.0836</f>
        <v>1.411</v>
      </c>
      <c r="G115" s="20">
        <f>表2_36716262930[[#This Row],[单位净值]]/$F$21-1</f>
        <v>1.8037518037518074E-2</v>
      </c>
    </row>
    <row r="116" spans="1:7" x14ac:dyDescent="0.2">
      <c r="A116" s="15">
        <v>43844</v>
      </c>
      <c r="B116" s="16">
        <v>1.4916</v>
      </c>
      <c r="C116" s="73">
        <f t="shared" si="27"/>
        <v>-2.9999999999998916E-3</v>
      </c>
      <c r="D116" s="18">
        <f t="shared" si="28"/>
        <v>-2.9999999999998916E-3</v>
      </c>
      <c r="E116" s="18">
        <f ca="1">IF(表2_36716262930[[#This Row],[累计净值]]/MAX(INDIRECT("B21:B" &amp; ROW()))-1&lt;E115,表2_36716262930[[#This Row],[累计净值]]/MAX(INDIRECT("B21:B" &amp; ROW()))-1,E115)</f>
        <v>-1.2011210463098942E-2</v>
      </c>
      <c r="F116" s="62">
        <f>表2_36716262930[[#This Row],[累计净值]]-0.0836</f>
        <v>1.4080000000000001</v>
      </c>
      <c r="G116" s="20">
        <f>表2_36716262930[[#This Row],[单位净值]]/$F$21-1</f>
        <v>1.5873015873016039E-2</v>
      </c>
    </row>
    <row r="117" spans="1:7" x14ac:dyDescent="0.2">
      <c r="A117" s="15">
        <v>43845</v>
      </c>
      <c r="B117" s="16">
        <v>1.4925999999999999</v>
      </c>
      <c r="C117" s="73">
        <f t="shared" si="27"/>
        <v>9.9999999999988987E-4</v>
      </c>
      <c r="D117" s="18" t="str">
        <f t="shared" si="28"/>
        <v>/</v>
      </c>
      <c r="E117" s="18">
        <f ca="1">IF(表2_36716262930[[#This Row],[累计净值]]/MAX(INDIRECT("B21:B" &amp; ROW()))-1&lt;E116,表2_36716262930[[#This Row],[累计净值]]/MAX(INDIRECT("B21:B" &amp; ROW()))-1,E116)</f>
        <v>-1.2011210463098942E-2</v>
      </c>
      <c r="F117" s="62">
        <f>表2_36716262930[[#This Row],[累计净值]]-0.0836</f>
        <v>1.409</v>
      </c>
      <c r="G117" s="20">
        <f>表2_36716262930[[#This Row],[单位净值]]/$F$21-1</f>
        <v>1.6594516594516717E-2</v>
      </c>
    </row>
    <row r="118" spans="1:7" x14ac:dyDescent="0.2">
      <c r="A118" s="15">
        <v>43846</v>
      </c>
      <c r="B118" s="16">
        <v>1.4936</v>
      </c>
      <c r="C118" s="73">
        <f t="shared" si="27"/>
        <v>1.0000000000001119E-3</v>
      </c>
      <c r="D118" s="18" t="str">
        <f t="shared" si="28"/>
        <v>/</v>
      </c>
      <c r="E118" s="18">
        <f ca="1">IF(表2_36716262930[[#This Row],[累计净值]]/MAX(INDIRECT("B21:B" &amp; ROW()))-1&lt;E117,表2_36716262930[[#This Row],[累计净值]]/MAX(INDIRECT("B21:B" &amp; ROW()))-1,E117)</f>
        <v>-1.2011210463098942E-2</v>
      </c>
      <c r="F118" s="62">
        <f>表2_36716262930[[#This Row],[累计净值]]-0.0836</f>
        <v>1.4100000000000001</v>
      </c>
      <c r="G118" s="20">
        <f>表2_36716262930[[#This Row],[单位净值]]/$F$21-1</f>
        <v>1.7316017316017396E-2</v>
      </c>
    </row>
    <row r="119" spans="1:7" x14ac:dyDescent="0.2">
      <c r="A119" s="15">
        <v>43847</v>
      </c>
      <c r="B119" s="16">
        <v>1.4936</v>
      </c>
      <c r="C119" s="73">
        <f>IFERROR(B119-B118,0)</f>
        <v>0</v>
      </c>
      <c r="D119" s="18" t="str">
        <f>IF(C119&lt;0,C119,"/")</f>
        <v>/</v>
      </c>
      <c r="E119" s="18">
        <f ca="1">IF(表2_36716262930[[#This Row],[累计净值]]/MAX(INDIRECT("B21:B" &amp; ROW()))-1&lt;E118,表2_36716262930[[#This Row],[累计净值]]/MAX(INDIRECT("B21:B" &amp; ROW()))-1,E118)</f>
        <v>-1.2011210463098942E-2</v>
      </c>
      <c r="F119" s="62">
        <f>表2_36716262930[[#This Row],[累计净值]]-0.0836</f>
        <v>1.4100000000000001</v>
      </c>
      <c r="G119" s="20">
        <f>表2_36716262930[[#This Row],[单位净值]]/$F$21-1</f>
        <v>1.7316017316017396E-2</v>
      </c>
    </row>
    <row r="120" spans="1:7" x14ac:dyDescent="0.2">
      <c r="A120" s="15">
        <v>43850</v>
      </c>
      <c r="B120" s="16">
        <v>1.4956</v>
      </c>
      <c r="C120" s="73">
        <f>IFERROR(B120-B119,0)</f>
        <v>2.0000000000000018E-3</v>
      </c>
      <c r="D120" s="18" t="str">
        <f>IF(C120&lt;0,C120,"/")</f>
        <v>/</v>
      </c>
      <c r="E120" s="18">
        <f ca="1">IF(表2_36716262930[[#This Row],[累计净值]]/MAX(INDIRECT("B21:B" &amp; ROW()))-1&lt;E119,表2_36716262930[[#This Row],[累计净值]]/MAX(INDIRECT("B21:B" &amp; ROW()))-1,E119)</f>
        <v>-1.2011210463098942E-2</v>
      </c>
      <c r="F120" s="62">
        <f>表2_36716262930[[#This Row],[累计净值]]-0.0836</f>
        <v>1.4120000000000001</v>
      </c>
      <c r="G120" s="20">
        <f>表2_36716262930[[#This Row],[单位净值]]/$F$21-1</f>
        <v>1.8759018759018975E-2</v>
      </c>
    </row>
    <row r="121" spans="1:7" x14ac:dyDescent="0.2">
      <c r="A121" s="15">
        <v>43851</v>
      </c>
      <c r="B121" s="16">
        <v>1.4965999999999999</v>
      </c>
      <c r="C121" s="73">
        <f>IFERROR(B121-B120,0)</f>
        <v>9.9999999999988987E-4</v>
      </c>
      <c r="D121" s="18" t="str">
        <f>IF(C121&lt;0,C121,"/")</f>
        <v>/</v>
      </c>
      <c r="E121" s="18">
        <f ca="1">IF(表2_36716262930[[#This Row],[累计净值]]/MAX(INDIRECT("B21:B" &amp; ROW()))-1&lt;E120,表2_36716262930[[#This Row],[累计净值]]/MAX(INDIRECT("B21:B" &amp; ROW()))-1,E120)</f>
        <v>-1.2011210463098942E-2</v>
      </c>
      <c r="F121" s="62">
        <f>表2_36716262930[[#This Row],[累计净值]]-0.0836</f>
        <v>1.413</v>
      </c>
      <c r="G121" s="20">
        <f>表2_36716262930[[#This Row],[单位净值]]/$F$21-1</f>
        <v>1.9480519480519654E-2</v>
      </c>
    </row>
    <row r="122" spans="1:7" x14ac:dyDescent="0.2">
      <c r="A122" s="15">
        <v>43852</v>
      </c>
      <c r="B122" s="16">
        <v>1.4956</v>
      </c>
      <c r="C122" s="73">
        <f>IFERROR(B122-B121,0)</f>
        <v>-9.9999999999988987E-4</v>
      </c>
      <c r="D122" s="18">
        <f>IF(C122&lt;0,C122,"/")</f>
        <v>-9.9999999999988987E-4</v>
      </c>
      <c r="E122" s="18">
        <f ca="1">IF(表2_36716262930[[#This Row],[累计净值]]/MAX(INDIRECT("B21:B" &amp; ROW()))-1&lt;E121,表2_36716262930[[#This Row],[累计净值]]/MAX(INDIRECT("B21:B" &amp; ROW()))-1,E121)</f>
        <v>-1.2011210463098942E-2</v>
      </c>
      <c r="F122" s="62">
        <f>表2_36716262930[[#This Row],[累计净值]]-0.0836</f>
        <v>1.4120000000000001</v>
      </c>
      <c r="G122" s="20">
        <f>表2_36716262930[[#This Row],[单位净值]]/$F$21-1</f>
        <v>1.8759018759018975E-2</v>
      </c>
    </row>
    <row r="123" spans="1:7" x14ac:dyDescent="0.2">
      <c r="A123" s="15">
        <v>43853</v>
      </c>
      <c r="B123" s="16">
        <v>1.5005999999999999</v>
      </c>
      <c r="C123" s="73">
        <f>IFERROR(B123-B122,0)</f>
        <v>4.9999999999998934E-3</v>
      </c>
      <c r="D123" s="18" t="str">
        <f>IF(C123&lt;0,C123,"/")</f>
        <v>/</v>
      </c>
      <c r="E123" s="18">
        <f ca="1">IF(表2_36716262930[[#This Row],[累计净值]]/MAX(INDIRECT("B21:B" &amp; ROW()))-1&lt;E122,表2_36716262930[[#This Row],[累计净值]]/MAX(INDIRECT("B21:B" &amp; ROW()))-1,E122)</f>
        <v>-1.2011210463098942E-2</v>
      </c>
      <c r="F123" s="62">
        <f>表2_36716262930[[#This Row],[累计净值]]-0.0836</f>
        <v>1.417</v>
      </c>
      <c r="G123" s="20">
        <f>表2_36716262930[[#This Row],[单位净值]]/$F$21-1</f>
        <v>2.2366522366522368E-2</v>
      </c>
    </row>
    <row r="124" spans="1:7" x14ac:dyDescent="0.2">
      <c r="A124" s="15">
        <v>43864</v>
      </c>
      <c r="B124" s="16">
        <v>1.5025999999999999</v>
      </c>
      <c r="C124" s="73">
        <f t="shared" ref="C124:C129" si="29">IFERROR(B124-B123,0)</f>
        <v>2.0000000000000018E-3</v>
      </c>
      <c r="D124" s="18" t="str">
        <f t="shared" ref="D124:D129" si="30">IF(C124&lt;0,C124,"/")</f>
        <v>/</v>
      </c>
      <c r="E124" s="18">
        <f ca="1">IF(表2_36716262930[[#This Row],[累计净值]]/MAX(INDIRECT("B21:B" &amp; ROW()))-1&lt;E123,表2_36716262930[[#This Row],[累计净值]]/MAX(INDIRECT("B21:B" &amp; ROW()))-1,E123)</f>
        <v>-1.2011210463098942E-2</v>
      </c>
      <c r="F124" s="62">
        <f>表2_36716262930[[#This Row],[累计净值]]-0.0836</f>
        <v>1.419</v>
      </c>
      <c r="G124" s="20">
        <f>表2_36716262930[[#This Row],[单位净值]]/$F$21-1</f>
        <v>2.3809523809523947E-2</v>
      </c>
    </row>
    <row r="125" spans="1:7" x14ac:dyDescent="0.2">
      <c r="A125" s="15">
        <v>43865</v>
      </c>
      <c r="B125" s="16">
        <v>1.5036</v>
      </c>
      <c r="C125" s="73">
        <f t="shared" si="29"/>
        <v>1.0000000000001119E-3</v>
      </c>
      <c r="D125" s="18" t="str">
        <f t="shared" si="30"/>
        <v>/</v>
      </c>
      <c r="E125" s="18">
        <f ca="1">IF(表2_36716262930[[#This Row],[累计净值]]/MAX(INDIRECT("B21:B" &amp; ROW()))-1&lt;E124,表2_36716262930[[#This Row],[累计净值]]/MAX(INDIRECT("B21:B" &amp; ROW()))-1,E124)</f>
        <v>-1.2011210463098942E-2</v>
      </c>
      <c r="F125" s="62">
        <f>表2_36716262930[[#This Row],[累计净值]]-0.0836</f>
        <v>1.4200000000000002</v>
      </c>
      <c r="G125" s="20">
        <f>表2_36716262930[[#This Row],[单位净值]]/$F$21-1</f>
        <v>2.4531024531024626E-2</v>
      </c>
    </row>
    <row r="126" spans="1:7" x14ac:dyDescent="0.2">
      <c r="A126" s="15">
        <v>43866</v>
      </c>
      <c r="B126" s="16">
        <v>1.5036</v>
      </c>
      <c r="C126" s="73">
        <f t="shared" si="29"/>
        <v>0</v>
      </c>
      <c r="D126" s="18" t="str">
        <f t="shared" si="30"/>
        <v>/</v>
      </c>
      <c r="E126" s="18">
        <f ca="1">IF(表2_36716262930[[#This Row],[累计净值]]/MAX(INDIRECT("B21:B" &amp; ROW()))-1&lt;E125,表2_36716262930[[#This Row],[累计净值]]/MAX(INDIRECT("B21:B" &amp; ROW()))-1,E125)</f>
        <v>-1.2011210463098942E-2</v>
      </c>
      <c r="F126" s="62">
        <f>表2_36716262930[[#This Row],[累计净值]]-0.0836</f>
        <v>1.4200000000000002</v>
      </c>
      <c r="G126" s="20">
        <f>表2_36716262930[[#This Row],[单位净值]]/$F$21-1</f>
        <v>2.4531024531024626E-2</v>
      </c>
    </row>
    <row r="127" spans="1:7" x14ac:dyDescent="0.2">
      <c r="A127" s="15">
        <v>43867</v>
      </c>
      <c r="B127" s="16">
        <v>1.5045999999999999</v>
      </c>
      <c r="C127" s="73">
        <f t="shared" si="29"/>
        <v>9.9999999999988987E-4</v>
      </c>
      <c r="D127" s="18" t="str">
        <f t="shared" si="30"/>
        <v>/</v>
      </c>
      <c r="E127" s="18">
        <f ca="1">IF(表2_36716262930[[#This Row],[累计净值]]/MAX(INDIRECT("B21:B" &amp; ROW()))-1&lt;E126,表2_36716262930[[#This Row],[累计净值]]/MAX(INDIRECT("B21:B" &amp; ROW()))-1,E126)</f>
        <v>-1.2011210463098942E-2</v>
      </c>
      <c r="F127" s="62">
        <f>表2_36716262930[[#This Row],[累计净值]]-0.0836</f>
        <v>1.421</v>
      </c>
      <c r="G127" s="20">
        <f>表2_36716262930[[#This Row],[单位净值]]/$F$21-1</f>
        <v>2.5252525252525304E-2</v>
      </c>
    </row>
    <row r="128" spans="1:7" x14ac:dyDescent="0.2">
      <c r="A128" s="15">
        <v>43868</v>
      </c>
      <c r="B128" s="16">
        <v>1.5045999999999999</v>
      </c>
      <c r="C128" s="73">
        <f t="shared" si="29"/>
        <v>0</v>
      </c>
      <c r="D128" s="18" t="str">
        <f t="shared" si="30"/>
        <v>/</v>
      </c>
      <c r="E128" s="18">
        <f ca="1">IF(表2_36716262930[[#This Row],[累计净值]]/MAX(INDIRECT("B21:B" &amp; ROW()))-1&lt;E127,表2_36716262930[[#This Row],[累计净值]]/MAX(INDIRECT("B21:B" &amp; ROW()))-1,E127)</f>
        <v>-1.2011210463098942E-2</v>
      </c>
      <c r="F128" s="62">
        <f>表2_36716262930[[#This Row],[累计净值]]-0.0836</f>
        <v>1.421</v>
      </c>
      <c r="G128" s="20">
        <f>表2_36716262930[[#This Row],[单位净值]]/$F$21-1</f>
        <v>2.5252525252525304E-2</v>
      </c>
    </row>
    <row r="129" spans="1:7" x14ac:dyDescent="0.2">
      <c r="A129" s="15">
        <v>43871</v>
      </c>
      <c r="B129" s="16">
        <v>1.5065999999999999</v>
      </c>
      <c r="C129" s="73">
        <f t="shared" si="29"/>
        <v>2.0000000000000018E-3</v>
      </c>
      <c r="D129" s="18" t="str">
        <f t="shared" si="30"/>
        <v>/</v>
      </c>
      <c r="E129" s="18">
        <f ca="1">IF(表2_36716262930[[#This Row],[累计净值]]/MAX(INDIRECT("B21:B" &amp; ROW()))-1&lt;E128,表2_36716262930[[#This Row],[累计净值]]/MAX(INDIRECT("B21:B" &amp; ROW()))-1,E128)</f>
        <v>-1.2011210463098942E-2</v>
      </c>
      <c r="F129" s="62">
        <f>表2_36716262930[[#This Row],[累计净值]]-0.0836</f>
        <v>1.423</v>
      </c>
      <c r="G129" s="20">
        <f>表2_36716262930[[#This Row],[单位净值]]/$F$21-1</f>
        <v>2.6695526695526883E-2</v>
      </c>
    </row>
    <row r="130" spans="1:7" x14ac:dyDescent="0.2">
      <c r="A130" s="15">
        <v>43872</v>
      </c>
      <c r="B130" s="16">
        <v>1.5085999999999999</v>
      </c>
      <c r="C130" s="73">
        <f t="shared" ref="C130:C135" si="31">IFERROR(B130-B129,0)</f>
        <v>2.0000000000000018E-3</v>
      </c>
      <c r="D130" s="18" t="str">
        <f t="shared" ref="D130:D135" si="32">IF(C130&lt;0,C130,"/")</f>
        <v>/</v>
      </c>
      <c r="E130" s="18">
        <f ca="1">IF(表2_36716262930[[#This Row],[累计净值]]/MAX(INDIRECT("B21:B" &amp; ROW()))-1&lt;E129,表2_36716262930[[#This Row],[累计净值]]/MAX(INDIRECT("B21:B" &amp; ROW()))-1,E129)</f>
        <v>-1.2011210463098942E-2</v>
      </c>
      <c r="F130" s="62">
        <f>表2_36716262930[[#This Row],[累计净值]]-0.0836</f>
        <v>1.425</v>
      </c>
      <c r="G130" s="20">
        <f>表2_36716262930[[#This Row],[单位净值]]/$F$21-1</f>
        <v>2.813852813852824E-2</v>
      </c>
    </row>
    <row r="131" spans="1:7" x14ac:dyDescent="0.2">
      <c r="A131" s="15">
        <v>43873</v>
      </c>
      <c r="B131" s="16">
        <v>1.5096000000000001</v>
      </c>
      <c r="C131" s="73">
        <f t="shared" si="31"/>
        <v>1.0000000000001119E-3</v>
      </c>
      <c r="D131" s="18" t="str">
        <f t="shared" si="32"/>
        <v>/</v>
      </c>
      <c r="E131" s="18">
        <f ca="1">IF(表2_36716262930[[#This Row],[累计净值]]/MAX(INDIRECT("B21:B" &amp; ROW()))-1&lt;E130,表2_36716262930[[#This Row],[累计净值]]/MAX(INDIRECT("B21:B" &amp; ROW()))-1,E130)</f>
        <v>-1.2011210463098942E-2</v>
      </c>
      <c r="F131" s="62">
        <f>表2_36716262930[[#This Row],[累计净值]]-0.0836</f>
        <v>1.4260000000000002</v>
      </c>
      <c r="G131" s="20">
        <f>表2_36716262930[[#This Row],[单位净值]]/$F$21-1</f>
        <v>2.8860028860029141E-2</v>
      </c>
    </row>
    <row r="132" spans="1:7" x14ac:dyDescent="0.2">
      <c r="A132" s="15">
        <v>43874</v>
      </c>
      <c r="B132" s="16">
        <v>1.5096000000000001</v>
      </c>
      <c r="C132" s="73">
        <f t="shared" si="31"/>
        <v>0</v>
      </c>
      <c r="D132" s="18" t="str">
        <f t="shared" si="32"/>
        <v>/</v>
      </c>
      <c r="E132" s="18">
        <f ca="1">IF(表2_36716262930[[#This Row],[累计净值]]/MAX(INDIRECT("B21:B" &amp; ROW()))-1&lt;E131,表2_36716262930[[#This Row],[累计净值]]/MAX(INDIRECT("B21:B" &amp; ROW()))-1,E131)</f>
        <v>-1.2011210463098942E-2</v>
      </c>
      <c r="F132" s="62">
        <f>表2_36716262930[[#This Row],[累计净值]]-0.0836</f>
        <v>1.4260000000000002</v>
      </c>
      <c r="G132" s="20">
        <f>表2_36716262930[[#This Row],[单位净值]]/$F$21-1</f>
        <v>2.8860028860029141E-2</v>
      </c>
    </row>
    <row r="133" spans="1:7" x14ac:dyDescent="0.2">
      <c r="A133" s="15">
        <v>43875</v>
      </c>
      <c r="B133" s="16">
        <v>1.5096000000000001</v>
      </c>
      <c r="C133" s="73">
        <f t="shared" si="31"/>
        <v>0</v>
      </c>
      <c r="D133" s="18" t="str">
        <f t="shared" si="32"/>
        <v>/</v>
      </c>
      <c r="E133" s="18">
        <f ca="1">IF(表2_36716262930[[#This Row],[累计净值]]/MAX(INDIRECT("B21:B" &amp; ROW()))-1&lt;E132,表2_36716262930[[#This Row],[累计净值]]/MAX(INDIRECT("B21:B" &amp; ROW()))-1,E132)</f>
        <v>-1.2011210463098942E-2</v>
      </c>
      <c r="F133" s="62">
        <f>表2_36716262930[[#This Row],[累计净值]]-0.0836</f>
        <v>1.4260000000000002</v>
      </c>
      <c r="G133" s="20">
        <f>表2_36716262930[[#This Row],[单位净值]]/$F$21-1</f>
        <v>2.8860028860029141E-2</v>
      </c>
    </row>
    <row r="134" spans="1:7" x14ac:dyDescent="0.2">
      <c r="A134" s="15">
        <v>43878</v>
      </c>
      <c r="B134" s="16">
        <v>1.5076000000000001</v>
      </c>
      <c r="C134" s="73">
        <f t="shared" si="31"/>
        <v>-2.0000000000000018E-3</v>
      </c>
      <c r="D134" s="18">
        <f t="shared" si="32"/>
        <v>-2.0000000000000018E-3</v>
      </c>
      <c r="E134" s="18">
        <f ca="1">IF(表2_36716262930[[#This Row],[累计净值]]/MAX(INDIRECT("B21:B" &amp; ROW()))-1&lt;E133,表2_36716262930[[#This Row],[累计净值]]/MAX(INDIRECT("B21:B" &amp; ROW()))-1,E133)</f>
        <v>-1.2011210463098942E-2</v>
      </c>
      <c r="F134" s="62">
        <f>表2_36716262930[[#This Row],[累计净值]]-0.0836</f>
        <v>1.4240000000000002</v>
      </c>
      <c r="G134" s="20">
        <f>表2_36716262930[[#This Row],[单位净值]]/$F$21-1</f>
        <v>2.7417027417027562E-2</v>
      </c>
    </row>
    <row r="135" spans="1:7" x14ac:dyDescent="0.2">
      <c r="A135" s="15">
        <v>43879</v>
      </c>
      <c r="B135" s="16">
        <v>1.5096000000000001</v>
      </c>
      <c r="C135" s="73">
        <f t="shared" si="31"/>
        <v>2.0000000000000018E-3</v>
      </c>
      <c r="D135" s="18" t="str">
        <f t="shared" si="32"/>
        <v>/</v>
      </c>
      <c r="E135" s="18">
        <f ca="1">IF(表2_36716262930[[#This Row],[累计净值]]/MAX(INDIRECT("B21:B" &amp; ROW()))-1&lt;E134,表2_36716262930[[#This Row],[累计净值]]/MAX(INDIRECT("B21:B" &amp; ROW()))-1,E134)</f>
        <v>-1.2011210463098942E-2</v>
      </c>
      <c r="F135" s="62">
        <f>表2_36716262930[[#This Row],[累计净值]]-0.0836</f>
        <v>1.4260000000000002</v>
      </c>
      <c r="G135" s="20">
        <f>表2_36716262930[[#This Row],[单位净值]]/$F$21-1</f>
        <v>2.8860028860029141E-2</v>
      </c>
    </row>
    <row r="136" spans="1:7" x14ac:dyDescent="0.2">
      <c r="A136" s="15">
        <v>43880</v>
      </c>
      <c r="B136" s="16">
        <v>1.5096000000000001</v>
      </c>
      <c r="C136" s="73">
        <f t="shared" ref="C136:C141" si="33">IFERROR(B136-B135,0)</f>
        <v>0</v>
      </c>
      <c r="D136" s="18" t="str">
        <f t="shared" ref="D136:D141" si="34">IF(C136&lt;0,C136,"/")</f>
        <v>/</v>
      </c>
      <c r="E136" s="18">
        <f ca="1">IF(表2_36716262930[[#This Row],[累计净值]]/MAX(INDIRECT("B21:B" &amp; ROW()))-1&lt;E135,表2_36716262930[[#This Row],[累计净值]]/MAX(INDIRECT("B21:B" &amp; ROW()))-1,E135)</f>
        <v>-1.2011210463098942E-2</v>
      </c>
      <c r="F136" s="62">
        <f>表2_36716262930[[#This Row],[累计净值]]-0.0836</f>
        <v>1.4260000000000002</v>
      </c>
      <c r="G136" s="20">
        <f>表2_36716262930[[#This Row],[单位净值]]/$F$21-1</f>
        <v>2.8860028860029141E-2</v>
      </c>
    </row>
    <row r="137" spans="1:7" x14ac:dyDescent="0.2">
      <c r="A137" s="15">
        <v>43881</v>
      </c>
      <c r="B137" s="16">
        <v>1.5105999999999999</v>
      </c>
      <c r="C137" s="73">
        <f t="shared" si="33"/>
        <v>9.9999999999988987E-4</v>
      </c>
      <c r="D137" s="18" t="str">
        <f t="shared" si="34"/>
        <v>/</v>
      </c>
      <c r="E137" s="18">
        <f ca="1">IF(表2_36716262930[[#This Row],[累计净值]]/MAX(INDIRECT("B21:B" &amp; ROW()))-1&lt;E136,表2_36716262930[[#This Row],[累计净值]]/MAX(INDIRECT("B21:B" &amp; ROW()))-1,E136)</f>
        <v>-1.2011210463098942E-2</v>
      </c>
      <c r="F137" s="62">
        <f>表2_36716262930[[#This Row],[累计净值]]-0.0836</f>
        <v>1.427</v>
      </c>
      <c r="G137" s="20">
        <f>表2_36716262930[[#This Row],[单位净值]]/$F$21-1</f>
        <v>2.9581529581529598E-2</v>
      </c>
    </row>
    <row r="138" spans="1:7" x14ac:dyDescent="0.2">
      <c r="A138" s="15">
        <v>43882</v>
      </c>
      <c r="B138" s="16">
        <v>1.5125999999999999</v>
      </c>
      <c r="C138" s="73">
        <f t="shared" si="33"/>
        <v>2.0000000000000018E-3</v>
      </c>
      <c r="D138" s="18" t="str">
        <f t="shared" si="34"/>
        <v>/</v>
      </c>
      <c r="E138" s="18">
        <f ca="1">IF(表2_36716262930[[#This Row],[累计净值]]/MAX(INDIRECT("B21:B" &amp; ROW()))-1&lt;E137,表2_36716262930[[#This Row],[累计净值]]/MAX(INDIRECT("B21:B" &amp; ROW()))-1,E137)</f>
        <v>-1.2011210463098942E-2</v>
      </c>
      <c r="F138" s="62">
        <f>表2_36716262930[[#This Row],[累计净值]]-0.0836</f>
        <v>1.429</v>
      </c>
      <c r="G138" s="20">
        <f>表2_36716262930[[#This Row],[单位净值]]/$F$21-1</f>
        <v>3.1024531024531177E-2</v>
      </c>
    </row>
    <row r="139" spans="1:7" x14ac:dyDescent="0.2">
      <c r="A139" s="15">
        <v>43885</v>
      </c>
      <c r="B139" s="16">
        <v>1.5125999999999999</v>
      </c>
      <c r="C139" s="73">
        <f t="shared" si="33"/>
        <v>0</v>
      </c>
      <c r="D139" s="18" t="str">
        <f t="shared" si="34"/>
        <v>/</v>
      </c>
      <c r="E139" s="18">
        <f ca="1">IF(表2_36716262930[[#This Row],[累计净值]]/MAX(INDIRECT("B21:B" &amp; ROW()))-1&lt;E138,表2_36716262930[[#This Row],[累计净值]]/MAX(INDIRECT("B21:B" &amp; ROW()))-1,E138)</f>
        <v>-1.2011210463098942E-2</v>
      </c>
      <c r="F139" s="62">
        <f>表2_36716262930[[#This Row],[累计净值]]-0.0836</f>
        <v>1.429</v>
      </c>
      <c r="G139" s="20">
        <f>表2_36716262930[[#This Row],[单位净值]]/$F$21-1</f>
        <v>3.1024531024531177E-2</v>
      </c>
    </row>
    <row r="140" spans="1:7" x14ac:dyDescent="0.2">
      <c r="A140" s="15">
        <v>43886</v>
      </c>
      <c r="B140" s="16">
        <v>1.5165999999999999</v>
      </c>
      <c r="C140" s="73">
        <f t="shared" si="33"/>
        <v>4.0000000000000036E-3</v>
      </c>
      <c r="D140" s="18" t="str">
        <f t="shared" si="34"/>
        <v>/</v>
      </c>
      <c r="E140" s="18">
        <f ca="1">IF(表2_36716262930[[#This Row],[累计净值]]/MAX(INDIRECT("B21:B" &amp; ROW()))-1&lt;E139,表2_36716262930[[#This Row],[累计净值]]/MAX(INDIRECT("B21:B" &amp; ROW()))-1,E139)</f>
        <v>-1.2011210463098942E-2</v>
      </c>
      <c r="F140" s="62">
        <f>表2_36716262930[[#This Row],[累计净值]]-0.0836</f>
        <v>1.4330000000000001</v>
      </c>
      <c r="G140" s="20">
        <f>表2_36716262930[[#This Row],[单位净值]]/$F$21-1</f>
        <v>3.3910533910534113E-2</v>
      </c>
    </row>
    <row r="141" spans="1:7" x14ac:dyDescent="0.2">
      <c r="A141" s="15">
        <v>43887</v>
      </c>
      <c r="B141" s="16">
        <v>1.5196000000000001</v>
      </c>
      <c r="C141" s="73">
        <f t="shared" si="33"/>
        <v>3.0000000000001137E-3</v>
      </c>
      <c r="D141" s="18" t="str">
        <f t="shared" si="34"/>
        <v>/</v>
      </c>
      <c r="E141" s="18">
        <f ca="1">IF(表2_36716262930[[#This Row],[累计净值]]/MAX(INDIRECT("B21:B" &amp; ROW()))-1&lt;E140,表2_36716262930[[#This Row],[累计净值]]/MAX(INDIRECT("B21:B" &amp; ROW()))-1,E140)</f>
        <v>-1.2011210463098942E-2</v>
      </c>
      <c r="F141" s="62">
        <f>表2_36716262930[[#This Row],[累计净值]]-0.0836</f>
        <v>1.4360000000000002</v>
      </c>
      <c r="G141" s="20">
        <f>表2_36716262930[[#This Row],[单位净值]]/$F$21-1</f>
        <v>3.6075036075036371E-2</v>
      </c>
    </row>
    <row r="142" spans="1:7" x14ac:dyDescent="0.2">
      <c r="A142" s="15">
        <v>43888</v>
      </c>
      <c r="B142" s="16">
        <v>1.5196000000000001</v>
      </c>
      <c r="C142" s="73">
        <f t="shared" ref="C142:C147" si="35">IFERROR(B142-B141,0)</f>
        <v>0</v>
      </c>
      <c r="D142" s="18" t="str">
        <f t="shared" ref="D142:D147" si="36">IF(C142&lt;0,C142,"/")</f>
        <v>/</v>
      </c>
      <c r="E142" s="18">
        <f ca="1">IF(表2_36716262930[[#This Row],[累计净值]]/MAX(INDIRECT("B21:B" &amp; ROW()))-1&lt;E141,表2_36716262930[[#This Row],[累计净值]]/MAX(INDIRECT("B21:B" &amp; ROW()))-1,E141)</f>
        <v>-1.2011210463098942E-2</v>
      </c>
      <c r="F142" s="62">
        <f>表2_36716262930[[#This Row],[累计净值]]-0.0836</f>
        <v>1.4360000000000002</v>
      </c>
      <c r="G142" s="20">
        <f>表2_36716262930[[#This Row],[单位净值]]/$F$21-1</f>
        <v>3.6075036075036371E-2</v>
      </c>
    </row>
    <row r="143" spans="1:7" x14ac:dyDescent="0.2">
      <c r="A143" s="15">
        <v>43889</v>
      </c>
      <c r="B143" s="16">
        <v>1.5246</v>
      </c>
      <c r="C143" s="73">
        <f t="shared" si="35"/>
        <v>4.9999999999998934E-3</v>
      </c>
      <c r="D143" s="18" t="str">
        <f t="shared" si="36"/>
        <v>/</v>
      </c>
      <c r="E143" s="18">
        <f ca="1">IF(表2_36716262930[[#This Row],[累计净值]]/MAX(INDIRECT("B21:B" &amp; ROW()))-1&lt;E142,表2_36716262930[[#This Row],[累计净值]]/MAX(INDIRECT("B21:B" &amp; ROW()))-1,E142)</f>
        <v>-1.2011210463098942E-2</v>
      </c>
      <c r="F143" s="62">
        <f>表2_36716262930[[#This Row],[累计净值]]-0.0836</f>
        <v>1.4410000000000001</v>
      </c>
      <c r="G143" s="20">
        <f>表2_36716262930[[#This Row],[单位净值]]/$F$21-1</f>
        <v>3.9682539682539764E-2</v>
      </c>
    </row>
    <row r="144" spans="1:7" x14ac:dyDescent="0.2">
      <c r="A144" s="15">
        <v>43892</v>
      </c>
      <c r="B144" s="16">
        <v>1.5246</v>
      </c>
      <c r="C144" s="73">
        <f t="shared" si="35"/>
        <v>0</v>
      </c>
      <c r="D144" s="18" t="str">
        <f t="shared" si="36"/>
        <v>/</v>
      </c>
      <c r="E144" s="18">
        <f ca="1">IF(表2_36716262930[[#This Row],[累计净值]]/MAX(INDIRECT("B21:B" &amp; ROW()))-1&lt;E143,表2_36716262930[[#This Row],[累计净值]]/MAX(INDIRECT("B21:B" &amp; ROW()))-1,E143)</f>
        <v>-1.2011210463098942E-2</v>
      </c>
      <c r="F144" s="62">
        <f>表2_36716262930[[#This Row],[累计净值]]-0.0836</f>
        <v>1.4410000000000001</v>
      </c>
      <c r="G144" s="20">
        <f>表2_36716262930[[#This Row],[单位净值]]/$F$21-1</f>
        <v>3.9682539682539764E-2</v>
      </c>
    </row>
    <row r="145" spans="1:7" x14ac:dyDescent="0.2">
      <c r="A145" s="15">
        <v>43893</v>
      </c>
      <c r="B145" s="16">
        <v>1.5256000000000001</v>
      </c>
      <c r="C145" s="73">
        <f t="shared" si="35"/>
        <v>1.0000000000001119E-3</v>
      </c>
      <c r="D145" s="18" t="str">
        <f t="shared" si="36"/>
        <v>/</v>
      </c>
      <c r="E145" s="18">
        <f ca="1">IF(表2_36716262930[[#This Row],[累计净值]]/MAX(INDIRECT("B21:B" &amp; ROW()))-1&lt;E144,表2_36716262930[[#This Row],[累计净值]]/MAX(INDIRECT("B21:B" &amp; ROW()))-1,E144)</f>
        <v>-1.2011210463098942E-2</v>
      </c>
      <c r="F145" s="62">
        <f>表2_36716262930[[#This Row],[累计净值]]-0.0836</f>
        <v>1.4420000000000002</v>
      </c>
      <c r="G145" s="20">
        <f>表2_36716262930[[#This Row],[单位净值]]/$F$21-1</f>
        <v>4.0404040404040664E-2</v>
      </c>
    </row>
    <row r="146" spans="1:7" x14ac:dyDescent="0.2">
      <c r="A146" s="15">
        <v>43894</v>
      </c>
      <c r="B146" s="16">
        <v>1.5266</v>
      </c>
      <c r="C146" s="73">
        <f t="shared" si="35"/>
        <v>9.9999999999988987E-4</v>
      </c>
      <c r="D146" s="18" t="str">
        <f t="shared" si="36"/>
        <v>/</v>
      </c>
      <c r="E146" s="18">
        <f ca="1">IF(表2_36716262930[[#This Row],[累计净值]]/MAX(INDIRECT("B21:B" &amp; ROW()))-1&lt;E145,表2_36716262930[[#This Row],[累计净值]]/MAX(INDIRECT("B21:B" &amp; ROW()))-1,E145)</f>
        <v>-1.2011210463098942E-2</v>
      </c>
      <c r="F146" s="62">
        <f>表2_36716262930[[#This Row],[累计净值]]-0.0836</f>
        <v>1.4430000000000001</v>
      </c>
      <c r="G146" s="20">
        <f>表2_36716262930[[#This Row],[单位净值]]/$F$21-1</f>
        <v>4.1125541125541343E-2</v>
      </c>
    </row>
    <row r="147" spans="1:7" x14ac:dyDescent="0.2">
      <c r="A147" s="15">
        <v>43895</v>
      </c>
      <c r="B147" s="16">
        <v>1.5276000000000001</v>
      </c>
      <c r="C147" s="73">
        <f t="shared" si="35"/>
        <v>1.0000000000001119E-3</v>
      </c>
      <c r="D147" s="18" t="str">
        <f t="shared" si="36"/>
        <v>/</v>
      </c>
      <c r="E147" s="18">
        <f ca="1">IF(表2_36716262930[[#This Row],[累计净值]]/MAX(INDIRECT("B21:B" &amp; ROW()))-1&lt;E146,表2_36716262930[[#This Row],[累计净值]]/MAX(INDIRECT("B21:B" &amp; ROW()))-1,E146)</f>
        <v>-1.2011210463098942E-2</v>
      </c>
      <c r="F147" s="62">
        <f>表2_36716262930[[#This Row],[累计净值]]-0.0836</f>
        <v>1.4440000000000002</v>
      </c>
      <c r="G147" s="20">
        <f>表2_36716262930[[#This Row],[单位净值]]/$F$21-1</f>
        <v>4.1847041847042021E-2</v>
      </c>
    </row>
    <row r="148" spans="1:7" x14ac:dyDescent="0.2">
      <c r="A148" s="15">
        <v>43896</v>
      </c>
      <c r="B148" s="16">
        <v>1.5296000000000001</v>
      </c>
      <c r="C148" s="73">
        <f t="shared" ref="C148:C153" si="37">IFERROR(B148-B147,0)</f>
        <v>2.0000000000000018E-3</v>
      </c>
      <c r="D148" s="18" t="str">
        <f t="shared" ref="D148:D153" si="38">IF(C148&lt;0,C148,"/")</f>
        <v>/</v>
      </c>
      <c r="E148" s="18">
        <f ca="1">IF(表2_36716262930[[#This Row],[累计净值]]/MAX(INDIRECT("B21:B" &amp; ROW()))-1&lt;E147,表2_36716262930[[#This Row],[累计净值]]/MAX(INDIRECT("B21:B" &amp; ROW()))-1,E147)</f>
        <v>-1.2011210463098942E-2</v>
      </c>
      <c r="F148" s="62">
        <f>表2_36716262930[[#This Row],[累计净值]]-0.0836</f>
        <v>1.4460000000000002</v>
      </c>
      <c r="G148" s="20">
        <f>表2_36716262930[[#This Row],[单位净值]]/$F$21-1</f>
        <v>4.3290043290043601E-2</v>
      </c>
    </row>
    <row r="149" spans="1:7" x14ac:dyDescent="0.2">
      <c r="A149" s="15">
        <v>43899</v>
      </c>
      <c r="B149" s="16">
        <v>1.5336000000000001</v>
      </c>
      <c r="C149" s="73">
        <f t="shared" si="37"/>
        <v>4.0000000000000036E-3</v>
      </c>
      <c r="D149" s="18" t="str">
        <f t="shared" si="38"/>
        <v>/</v>
      </c>
      <c r="E149" s="18">
        <f ca="1">IF(表2_36716262930[[#This Row],[累计净值]]/MAX(INDIRECT("B21:B" &amp; ROW()))-1&lt;E148,表2_36716262930[[#This Row],[累计净值]]/MAX(INDIRECT("B21:B" &amp; ROW()))-1,E148)</f>
        <v>-1.2011210463098942E-2</v>
      </c>
      <c r="F149" s="62">
        <f>表2_36716262930[[#This Row],[累计净值]]-0.0836</f>
        <v>1.4500000000000002</v>
      </c>
      <c r="G149" s="20">
        <f>表2_36716262930[[#This Row],[单位净值]]/$F$21-1</f>
        <v>4.6176046176046315E-2</v>
      </c>
    </row>
    <row r="150" spans="1:7" x14ac:dyDescent="0.2">
      <c r="A150" s="15">
        <v>43900</v>
      </c>
      <c r="B150" s="16">
        <v>1.5296000000000001</v>
      </c>
      <c r="C150" s="73">
        <f t="shared" si="37"/>
        <v>-4.0000000000000036E-3</v>
      </c>
      <c r="D150" s="18">
        <f t="shared" si="38"/>
        <v>-4.0000000000000036E-3</v>
      </c>
      <c r="E150" s="18">
        <f ca="1">IF(表2_36716262930[[#This Row],[累计净值]]/MAX(INDIRECT("B21:B" &amp; ROW()))-1&lt;E149,表2_36716262930[[#This Row],[累计净值]]/MAX(INDIRECT("B21:B" &amp; ROW()))-1,E149)</f>
        <v>-1.2011210463098942E-2</v>
      </c>
      <c r="F150" s="62">
        <f>表2_36716262930[[#This Row],[累计净值]]-0.0836</f>
        <v>1.4460000000000002</v>
      </c>
      <c r="G150" s="20">
        <f>表2_36716262930[[#This Row],[单位净值]]/$F$21-1</f>
        <v>4.3290043290043601E-2</v>
      </c>
    </row>
    <row r="151" spans="1:7" x14ac:dyDescent="0.2">
      <c r="A151" s="15">
        <v>43901</v>
      </c>
      <c r="B151" s="16">
        <v>1.5336000000000001</v>
      </c>
      <c r="C151" s="73">
        <f t="shared" si="37"/>
        <v>4.0000000000000036E-3</v>
      </c>
      <c r="D151" s="18" t="str">
        <f t="shared" si="38"/>
        <v>/</v>
      </c>
      <c r="E151" s="18">
        <f ca="1">IF(表2_36716262930[[#This Row],[累计净值]]/MAX(INDIRECT("B21:B" &amp; ROW()))-1&lt;E150,表2_36716262930[[#This Row],[累计净值]]/MAX(INDIRECT("B21:B" &amp; ROW()))-1,E150)</f>
        <v>-1.2011210463098942E-2</v>
      </c>
      <c r="F151" s="62">
        <f>表2_36716262930[[#This Row],[累计净值]]-0.0836</f>
        <v>1.4500000000000002</v>
      </c>
      <c r="G151" s="20">
        <f>表2_36716262930[[#This Row],[单位净值]]/$F$21-1</f>
        <v>4.6176046176046315E-2</v>
      </c>
    </row>
    <row r="152" spans="1:7" x14ac:dyDescent="0.2">
      <c r="A152" s="15">
        <v>43902</v>
      </c>
      <c r="B152" s="16">
        <v>1.5366</v>
      </c>
      <c r="C152" s="73">
        <f t="shared" si="37"/>
        <v>2.9999999999998916E-3</v>
      </c>
      <c r="D152" s="18" t="str">
        <f t="shared" si="38"/>
        <v>/</v>
      </c>
      <c r="E152" s="18">
        <f ca="1">IF(表2_36716262930[[#This Row],[累计净值]]/MAX(INDIRECT("B21:B" &amp; ROW()))-1&lt;E151,表2_36716262930[[#This Row],[累计净值]]/MAX(INDIRECT("B21:B" &amp; ROW()))-1,E151)</f>
        <v>-1.2011210463098942E-2</v>
      </c>
      <c r="F152" s="62">
        <f>表2_36716262930[[#This Row],[累计净值]]-0.0836</f>
        <v>1.4530000000000001</v>
      </c>
      <c r="G152" s="20">
        <f>表2_36716262930[[#This Row],[单位净值]]/$F$21-1</f>
        <v>4.8340548340548573E-2</v>
      </c>
    </row>
    <row r="153" spans="1:7" x14ac:dyDescent="0.2">
      <c r="A153" s="15">
        <v>43903</v>
      </c>
      <c r="B153" s="16">
        <v>1.5376000000000001</v>
      </c>
      <c r="C153" s="73">
        <f t="shared" si="37"/>
        <v>1.0000000000001119E-3</v>
      </c>
      <c r="D153" s="18" t="str">
        <f t="shared" si="38"/>
        <v>/</v>
      </c>
      <c r="E153" s="18">
        <f ca="1">IF(表2_36716262930[[#This Row],[累计净值]]/MAX(INDIRECT("B21:B" &amp; ROW()))-1&lt;E152,表2_36716262930[[#This Row],[累计净值]]/MAX(INDIRECT("B21:B" &amp; ROW()))-1,E152)</f>
        <v>-1.2011210463098942E-2</v>
      </c>
      <c r="F153" s="62">
        <f>表2_36716262930[[#This Row],[累计净值]]-0.0836</f>
        <v>1.4540000000000002</v>
      </c>
      <c r="G153" s="20">
        <f>表2_36716262930[[#This Row],[单位净值]]/$F$21-1</f>
        <v>4.9062049062049251E-2</v>
      </c>
    </row>
    <row r="154" spans="1:7" x14ac:dyDescent="0.2">
      <c r="A154" s="15">
        <v>43906</v>
      </c>
      <c r="B154" s="16">
        <v>1.5406</v>
      </c>
      <c r="C154" s="73">
        <f t="shared" ref="C154:C159" si="39">IFERROR(B154-B153,0)</f>
        <v>2.9999999999998916E-3</v>
      </c>
      <c r="D154" s="18" t="str">
        <f t="shared" ref="D154:D159" si="40">IF(C154&lt;0,C154,"/")</f>
        <v>/</v>
      </c>
      <c r="E154" s="18">
        <f ca="1">IF(表2_36716262930[[#This Row],[累计净值]]/MAX(INDIRECT("B21:B" &amp; ROW()))-1&lt;E153,表2_36716262930[[#This Row],[累计净值]]/MAX(INDIRECT("B21:B" &amp; ROW()))-1,E153)</f>
        <v>-1.2011210463098942E-2</v>
      </c>
      <c r="F154" s="62">
        <f>表2_36716262930[[#This Row],[累计净值]]-0.0836</f>
        <v>1.4570000000000001</v>
      </c>
      <c r="G154" s="20">
        <f>表2_36716262930[[#This Row],[单位净值]]/$F$21-1</f>
        <v>5.1226551226551287E-2</v>
      </c>
    </row>
    <row r="155" spans="1:7" x14ac:dyDescent="0.2">
      <c r="A155" s="15">
        <v>43907</v>
      </c>
      <c r="B155" s="16">
        <v>1.5416000000000001</v>
      </c>
      <c r="C155" s="73">
        <f t="shared" si="39"/>
        <v>1.0000000000001119E-3</v>
      </c>
      <c r="D155" s="18" t="str">
        <f t="shared" si="40"/>
        <v>/</v>
      </c>
      <c r="E155" s="18">
        <f ca="1">IF(表2_36716262930[[#This Row],[累计净值]]/MAX(INDIRECT("B21:B" &amp; ROW()))-1&lt;E154,表2_36716262930[[#This Row],[累计净值]]/MAX(INDIRECT("B21:B" &amp; ROW()))-1,E154)</f>
        <v>-1.2011210463098942E-2</v>
      </c>
      <c r="F155" s="62">
        <f>表2_36716262930[[#This Row],[累计净值]]-0.0836</f>
        <v>1.4580000000000002</v>
      </c>
      <c r="G155" s="20">
        <f>表2_36716262930[[#This Row],[单位净值]]/$F$21-1</f>
        <v>5.1948051948052187E-2</v>
      </c>
    </row>
    <row r="156" spans="1:7" x14ac:dyDescent="0.2">
      <c r="A156" s="15">
        <v>43908</v>
      </c>
      <c r="B156" s="16">
        <v>1.5456000000000001</v>
      </c>
      <c r="C156" s="73">
        <f t="shared" si="39"/>
        <v>4.0000000000000036E-3</v>
      </c>
      <c r="D156" s="18" t="str">
        <f t="shared" si="40"/>
        <v>/</v>
      </c>
      <c r="E156" s="18">
        <f ca="1">IF(表2_36716262930[[#This Row],[累计净值]]/MAX(INDIRECT("B21:B" &amp; ROW()))-1&lt;E155,表2_36716262930[[#This Row],[累计净值]]/MAX(INDIRECT("B21:B" &amp; ROW()))-1,E155)</f>
        <v>-1.2011210463098942E-2</v>
      </c>
      <c r="F156" s="62">
        <f>表2_36716262930[[#This Row],[累计净值]]-0.0836</f>
        <v>1.4620000000000002</v>
      </c>
      <c r="G156" s="20">
        <f>表2_36716262930[[#This Row],[单位净值]]/$F$21-1</f>
        <v>5.4834054834055124E-2</v>
      </c>
    </row>
    <row r="157" spans="1:7" x14ac:dyDescent="0.2">
      <c r="A157" s="15">
        <v>43909</v>
      </c>
      <c r="B157" s="16">
        <v>1.5476000000000001</v>
      </c>
      <c r="C157" s="73">
        <f t="shared" si="39"/>
        <v>2.0000000000000018E-3</v>
      </c>
      <c r="D157" s="18" t="str">
        <f t="shared" si="40"/>
        <v>/</v>
      </c>
      <c r="E157" s="18">
        <f ca="1">IF(表2_36716262930[[#This Row],[累计净值]]/MAX(INDIRECT("B21:B" &amp; ROW()))-1&lt;E156,表2_36716262930[[#This Row],[累计净值]]/MAX(INDIRECT("B21:B" &amp; ROW()))-1,E156)</f>
        <v>-1.2011210463098942E-2</v>
      </c>
      <c r="F157" s="62">
        <f>表2_36716262930[[#This Row],[累计净值]]-0.0836</f>
        <v>1.4640000000000002</v>
      </c>
      <c r="G157" s="20">
        <f>表2_36716262930[[#This Row],[单位净值]]/$F$21-1</f>
        <v>5.6277056277056481E-2</v>
      </c>
    </row>
    <row r="158" spans="1:7" x14ac:dyDescent="0.2">
      <c r="A158" s="15">
        <v>43910</v>
      </c>
      <c r="B158" s="16">
        <v>1.5486</v>
      </c>
      <c r="C158" s="73">
        <f t="shared" si="39"/>
        <v>9.9999999999988987E-4</v>
      </c>
      <c r="D158" s="18" t="str">
        <f t="shared" si="40"/>
        <v>/</v>
      </c>
      <c r="E158" s="18">
        <f ca="1">IF(表2_36716262930[[#This Row],[累计净值]]/MAX(INDIRECT("B21:B" &amp; ROW()))-1&lt;E157,表2_36716262930[[#This Row],[累计净值]]/MAX(INDIRECT("B21:B" &amp; ROW()))-1,E157)</f>
        <v>-1.2011210463098942E-2</v>
      </c>
      <c r="F158" s="62">
        <f>表2_36716262930[[#This Row],[累计净值]]-0.0836</f>
        <v>1.4650000000000001</v>
      </c>
      <c r="G158" s="20">
        <f>表2_36716262930[[#This Row],[单位净值]]/$F$21-1</f>
        <v>5.6998556998557159E-2</v>
      </c>
    </row>
    <row r="159" spans="1:7" x14ac:dyDescent="0.2">
      <c r="A159" s="15">
        <v>43913</v>
      </c>
      <c r="B159" s="16">
        <v>1.5486</v>
      </c>
      <c r="C159" s="73">
        <f t="shared" si="39"/>
        <v>0</v>
      </c>
      <c r="D159" s="18" t="str">
        <f t="shared" si="40"/>
        <v>/</v>
      </c>
      <c r="E159" s="18">
        <f ca="1">IF(表2_36716262930[[#This Row],[累计净值]]/MAX(INDIRECT("B21:B" &amp; ROW()))-1&lt;E158,表2_36716262930[[#This Row],[累计净值]]/MAX(INDIRECT("B21:B" &amp; ROW()))-1,E158)</f>
        <v>-1.2011210463098942E-2</v>
      </c>
      <c r="F159" s="62">
        <f>表2_36716262930[[#This Row],[累计净值]]-0.0836</f>
        <v>1.4650000000000001</v>
      </c>
      <c r="G159" s="20">
        <f>表2_36716262930[[#This Row],[单位净值]]/$F$21-1</f>
        <v>5.6998556998557159E-2</v>
      </c>
    </row>
    <row r="160" spans="1:7" x14ac:dyDescent="0.2">
      <c r="A160" s="15">
        <v>43914</v>
      </c>
      <c r="B160" s="16">
        <v>1.5476000000000001</v>
      </c>
      <c r="C160" s="73">
        <f t="shared" ref="C160:C165" si="41">IFERROR(B160-B159,0)</f>
        <v>-9.9999999999988987E-4</v>
      </c>
      <c r="D160" s="18">
        <f t="shared" ref="D160:D165" si="42">IF(C160&lt;0,C160,"/")</f>
        <v>-9.9999999999988987E-4</v>
      </c>
      <c r="E160" s="18">
        <f ca="1">IF(表2_36716262930[[#This Row],[累计净值]]/MAX(INDIRECT("B21:B" &amp; ROW()))-1&lt;E159,表2_36716262930[[#This Row],[累计净值]]/MAX(INDIRECT("B21:B" &amp; ROW()))-1,E159)</f>
        <v>-1.2011210463098942E-2</v>
      </c>
      <c r="F160" s="62">
        <f>表2_36716262930[[#This Row],[累计净值]]-0.0836</f>
        <v>1.4640000000000002</v>
      </c>
      <c r="G160" s="20">
        <f>表2_36716262930[[#This Row],[单位净值]]/$F$21-1</f>
        <v>5.6277056277056481E-2</v>
      </c>
    </row>
    <row r="161" spans="1:9" x14ac:dyDescent="0.2">
      <c r="A161" s="15">
        <v>43915</v>
      </c>
      <c r="B161" s="16">
        <v>1.5496000000000001</v>
      </c>
      <c r="C161" s="73">
        <f t="shared" si="41"/>
        <v>2.0000000000000018E-3</v>
      </c>
      <c r="D161" s="18" t="str">
        <f t="shared" si="42"/>
        <v>/</v>
      </c>
      <c r="E161" s="18">
        <f ca="1">IF(表2_36716262930[[#This Row],[累计净值]]/MAX(INDIRECT("B21:B" &amp; ROW()))-1&lt;E160,表2_36716262930[[#This Row],[累计净值]]/MAX(INDIRECT("B21:B" &amp; ROW()))-1,E160)</f>
        <v>-1.2011210463098942E-2</v>
      </c>
      <c r="F161" s="62">
        <f>表2_36716262930[[#This Row],[累计净值]]-0.0836</f>
        <v>1.4660000000000002</v>
      </c>
      <c r="G161" s="20">
        <f>表2_36716262930[[#This Row],[单位净值]]/$F$21-1</f>
        <v>5.7720057720057838E-2</v>
      </c>
    </row>
    <row r="162" spans="1:9" x14ac:dyDescent="0.2">
      <c r="A162" s="15">
        <v>43916</v>
      </c>
      <c r="B162" s="16">
        <v>1.5506</v>
      </c>
      <c r="C162" s="73">
        <f t="shared" si="41"/>
        <v>9.9999999999988987E-4</v>
      </c>
      <c r="D162" s="18" t="str">
        <f t="shared" si="42"/>
        <v>/</v>
      </c>
      <c r="E162" s="18">
        <f ca="1">IF(表2_36716262930[[#This Row],[累计净值]]/MAX(INDIRECT("B21:B" &amp; ROW()))-1&lt;E161,表2_36716262930[[#This Row],[累计净值]]/MAX(INDIRECT("B21:B" &amp; ROW()))-1,E161)</f>
        <v>-1.2011210463098942E-2</v>
      </c>
      <c r="F162" s="62">
        <f>表2_36716262930[[#This Row],[累计净值]]-0.0836</f>
        <v>1.4670000000000001</v>
      </c>
      <c r="G162" s="20">
        <f>表2_36716262930[[#This Row],[单位净值]]/$F$21-1</f>
        <v>5.8441558441558517E-2</v>
      </c>
    </row>
    <row r="163" spans="1:9" x14ac:dyDescent="0.2">
      <c r="A163" s="15">
        <v>43917</v>
      </c>
      <c r="B163" s="16">
        <v>1.5496000000000001</v>
      </c>
      <c r="C163" s="73">
        <f t="shared" si="41"/>
        <v>-9.9999999999988987E-4</v>
      </c>
      <c r="D163" s="18">
        <f t="shared" si="42"/>
        <v>-9.9999999999988987E-4</v>
      </c>
      <c r="E163" s="18">
        <f ca="1">IF(表2_36716262930[[#This Row],[累计净值]]/MAX(INDIRECT("B21:B" &amp; ROW()))-1&lt;E162,表2_36716262930[[#This Row],[累计净值]]/MAX(INDIRECT("B21:B" &amp; ROW()))-1,E162)</f>
        <v>-1.2011210463098942E-2</v>
      </c>
      <c r="F163" s="62">
        <f>表2_36716262930[[#This Row],[累计净值]]-0.0836</f>
        <v>1.4660000000000002</v>
      </c>
      <c r="G163" s="20">
        <f>表2_36716262930[[#This Row],[单位净值]]/$F$21-1</f>
        <v>5.7720057720057838E-2</v>
      </c>
    </row>
    <row r="164" spans="1:9" x14ac:dyDescent="0.2">
      <c r="A164" s="15">
        <v>43920</v>
      </c>
      <c r="B164" s="16">
        <v>1.5506</v>
      </c>
      <c r="C164" s="73">
        <f t="shared" si="41"/>
        <v>9.9999999999988987E-4</v>
      </c>
      <c r="D164" s="18" t="str">
        <f t="shared" si="42"/>
        <v>/</v>
      </c>
      <c r="E164" s="18">
        <f ca="1">IF(表2_36716262930[[#This Row],[累计净值]]/MAX(INDIRECT("B21:B" &amp; ROW()))-1&lt;E163,表2_36716262930[[#This Row],[累计净值]]/MAX(INDIRECT("B21:B" &amp; ROW()))-1,E163)</f>
        <v>-1.2011210463098942E-2</v>
      </c>
      <c r="F164" s="62">
        <f>表2_36716262930[[#This Row],[累计净值]]-0.0836</f>
        <v>1.4670000000000001</v>
      </c>
      <c r="G164" s="20">
        <f>表2_36716262930[[#This Row],[单位净值]]/$F$21-1</f>
        <v>5.8441558441558517E-2</v>
      </c>
    </row>
    <row r="165" spans="1:9" x14ac:dyDescent="0.2">
      <c r="A165" s="15">
        <v>43921</v>
      </c>
      <c r="B165" s="16">
        <v>1.5496000000000001</v>
      </c>
      <c r="C165" s="73">
        <f t="shared" si="41"/>
        <v>-9.9999999999988987E-4</v>
      </c>
      <c r="D165" s="18">
        <f t="shared" si="42"/>
        <v>-9.9999999999988987E-4</v>
      </c>
      <c r="E165" s="18">
        <f ca="1">IF(表2_36716262930[[#This Row],[累计净值]]/MAX(INDIRECT("B21:B" &amp; ROW()))-1&lt;E164,表2_36716262930[[#This Row],[累计净值]]/MAX(INDIRECT("B21:B" &amp; ROW()))-1,E164)</f>
        <v>-1.2011210463098942E-2</v>
      </c>
      <c r="F165" s="62">
        <f>表2_36716262930[[#This Row],[累计净值]]-0.0836</f>
        <v>1.4660000000000002</v>
      </c>
      <c r="G165" s="20">
        <f>表2_36716262930[[#This Row],[单位净值]]/$F$21-1</f>
        <v>5.7720057720057838E-2</v>
      </c>
    </row>
    <row r="166" spans="1:9" x14ac:dyDescent="0.2">
      <c r="A166" s="15">
        <v>43922</v>
      </c>
      <c r="B166" s="16">
        <v>1.5496000000000001</v>
      </c>
      <c r="C166" s="73">
        <f t="shared" ref="C166:C171" si="43">IFERROR(B166-B165,0)</f>
        <v>0</v>
      </c>
      <c r="D166" s="18" t="str">
        <f t="shared" ref="D166:D171" si="44">IF(C166&lt;0,C166,"/")</f>
        <v>/</v>
      </c>
      <c r="E166" s="18">
        <f ca="1">IF(表2_36716262930[[#This Row],[累计净值]]/MAX(INDIRECT("B21:B" &amp; ROW()))-1&lt;E165,表2_36716262930[[#This Row],[累计净值]]/MAX(INDIRECT("B21:B" &amp; ROW()))-1,E165)</f>
        <v>-1.2011210463098942E-2</v>
      </c>
      <c r="F166" s="62">
        <f>表2_36716262930[[#This Row],[累计净值]]-0.0836</f>
        <v>1.4660000000000002</v>
      </c>
      <c r="G166" s="20">
        <f>表2_36716262930[[#This Row],[单位净值]]/$F$21-1</f>
        <v>5.7720057720057838E-2</v>
      </c>
    </row>
    <row r="167" spans="1:9" x14ac:dyDescent="0.2">
      <c r="A167" s="15">
        <v>43923</v>
      </c>
      <c r="B167" s="16">
        <v>1.5516000000000001</v>
      </c>
      <c r="C167" s="73">
        <f t="shared" si="43"/>
        <v>2.0000000000000018E-3</v>
      </c>
      <c r="D167" s="18" t="str">
        <f t="shared" si="44"/>
        <v>/</v>
      </c>
      <c r="E167" s="18">
        <f ca="1">IF(表2_36716262930[[#This Row],[累计净值]]/MAX(INDIRECT("B21:B" &amp; ROW()))-1&lt;E166,表2_36716262930[[#This Row],[累计净值]]/MAX(INDIRECT("B21:B" &amp; ROW()))-1,E166)</f>
        <v>-1.2011210463098942E-2</v>
      </c>
      <c r="F167" s="62">
        <f>表2_36716262930[[#This Row],[累计净值]]-0.0836</f>
        <v>1.4680000000000002</v>
      </c>
      <c r="G167" s="20">
        <f>表2_36716262930[[#This Row],[单位净值]]/$F$21-1</f>
        <v>5.9163059163059417E-2</v>
      </c>
    </row>
    <row r="168" spans="1:9" x14ac:dyDescent="0.2">
      <c r="A168" s="15">
        <v>43924</v>
      </c>
      <c r="B168" s="16">
        <v>1.5496000000000001</v>
      </c>
      <c r="C168" s="73">
        <f t="shared" si="43"/>
        <v>-2.0000000000000018E-3</v>
      </c>
      <c r="D168" s="18">
        <f t="shared" si="44"/>
        <v>-2.0000000000000018E-3</v>
      </c>
      <c r="E168" s="18">
        <f ca="1">IF(表2_36716262930[[#This Row],[累计净值]]/MAX(INDIRECT("B21:B" &amp; ROW()))-1&lt;E167,表2_36716262930[[#This Row],[累计净值]]/MAX(INDIRECT("B21:B" &amp; ROW()))-1,E167)</f>
        <v>-1.2011210463098942E-2</v>
      </c>
      <c r="F168" s="62">
        <f>表2_36716262930[[#This Row],[累计净值]]-0.0836</f>
        <v>1.4660000000000002</v>
      </c>
      <c r="G168" s="20">
        <f>表2_36716262930[[#This Row],[单位净值]]/$F$21-1</f>
        <v>5.7720057720057838E-2</v>
      </c>
    </row>
    <row r="169" spans="1:9" x14ac:dyDescent="0.2">
      <c r="A169" s="15">
        <v>43928</v>
      </c>
      <c r="B169" s="16">
        <v>1.5506</v>
      </c>
      <c r="C169" s="73">
        <f t="shared" si="43"/>
        <v>9.9999999999988987E-4</v>
      </c>
      <c r="D169" s="18" t="str">
        <f t="shared" si="44"/>
        <v>/</v>
      </c>
      <c r="E169" s="18">
        <f ca="1">IF(表2_36716262930[[#This Row],[累计净值]]/MAX(INDIRECT("B21:B" &amp; ROW()))-1&lt;E168,表2_36716262930[[#This Row],[累计净值]]/MAX(INDIRECT("B21:B" &amp; ROW()))-1,E168)</f>
        <v>-1.2011210463098942E-2</v>
      </c>
      <c r="F169" s="62">
        <f>表2_36716262930[[#This Row],[累计净值]]-0.0836</f>
        <v>1.4670000000000001</v>
      </c>
      <c r="G169" s="20">
        <f>表2_36716262930[[#This Row],[单位净值]]/$F$21-1</f>
        <v>5.8441558441558517E-2</v>
      </c>
    </row>
    <row r="170" spans="1:9" x14ac:dyDescent="0.2">
      <c r="A170" s="15">
        <v>43929</v>
      </c>
      <c r="B170" s="16">
        <v>1.5496000000000001</v>
      </c>
      <c r="C170" s="73">
        <f t="shared" si="43"/>
        <v>-9.9999999999988987E-4</v>
      </c>
      <c r="D170" s="18">
        <f t="shared" si="44"/>
        <v>-9.9999999999988987E-4</v>
      </c>
      <c r="E170" s="18">
        <f ca="1">IF(表2_36716262930[[#This Row],[累计净值]]/MAX(INDIRECT("B21:B" &amp; ROW()))-1&lt;E169,表2_36716262930[[#This Row],[累计净值]]/MAX(INDIRECT("B21:B" &amp; ROW()))-1,E169)</f>
        <v>-1.2011210463098942E-2</v>
      </c>
      <c r="F170" s="62">
        <f>表2_36716262930[[#This Row],[累计净值]]-0.0836</f>
        <v>1.4660000000000002</v>
      </c>
      <c r="G170" s="20">
        <f>表2_36716262930[[#This Row],[单位净值]]/$F$21-1</f>
        <v>5.7720057720057838E-2</v>
      </c>
    </row>
    <row r="171" spans="1:9" x14ac:dyDescent="0.2">
      <c r="A171" s="15">
        <v>43930</v>
      </c>
      <c r="B171" s="16">
        <v>1.5516000000000001</v>
      </c>
      <c r="C171" s="73">
        <f t="shared" si="43"/>
        <v>2.0000000000000018E-3</v>
      </c>
      <c r="D171" s="18" t="str">
        <f t="shared" si="44"/>
        <v>/</v>
      </c>
      <c r="E171" s="18">
        <f ca="1">IF(表2_36716262930[[#This Row],[累计净值]]/MAX(INDIRECT("B21:B" &amp; ROW()))-1&lt;E170,表2_36716262930[[#This Row],[累计净值]]/MAX(INDIRECT("B21:B" &amp; ROW()))-1,E170)</f>
        <v>-1.2011210463098942E-2</v>
      </c>
      <c r="F171" s="62">
        <f>表2_36716262930[[#This Row],[累计净值]]-0.0836</f>
        <v>1.4680000000000002</v>
      </c>
      <c r="G171" s="20">
        <f>表2_36716262930[[#This Row],[单位净值]]/$F$21-1</f>
        <v>5.9163059163059417E-2</v>
      </c>
    </row>
    <row r="172" spans="1:9" x14ac:dyDescent="0.2">
      <c r="A172" s="15">
        <v>43931</v>
      </c>
      <c r="B172" s="16">
        <v>1.5526</v>
      </c>
      <c r="C172" s="73">
        <f t="shared" ref="C172:C177" si="45">IFERROR(B172-B171,0)</f>
        <v>9.9999999999988987E-4</v>
      </c>
      <c r="D172" s="18" t="str">
        <f t="shared" ref="D172:D177" si="46">IF(C172&lt;0,C172,"/")</f>
        <v>/</v>
      </c>
      <c r="E172" s="18">
        <f ca="1">IF(表2_36716262930[[#This Row],[累计净值]]/MAX(INDIRECT("B21:B" &amp; ROW()))-1&lt;E171,表2_36716262930[[#This Row],[累计净值]]/MAX(INDIRECT("B21:B" &amp; ROW()))-1,E171)</f>
        <v>-1.2011210463098942E-2</v>
      </c>
      <c r="F172" s="62">
        <f>表2_36716262930[[#This Row],[累计净值]]-0.0836</f>
        <v>1.4690000000000001</v>
      </c>
      <c r="G172" s="20">
        <f>表2_36716262930[[#This Row],[单位净值]]/$F$21-1</f>
        <v>5.9884559884560096E-2</v>
      </c>
    </row>
    <row r="173" spans="1:9" x14ac:dyDescent="0.2">
      <c r="A173" s="15">
        <v>43934</v>
      </c>
      <c r="B173" s="16">
        <v>1.5516000000000001</v>
      </c>
      <c r="C173" s="73">
        <f t="shared" si="45"/>
        <v>-9.9999999999988987E-4</v>
      </c>
      <c r="D173" s="18">
        <f t="shared" si="46"/>
        <v>-9.9999999999988987E-4</v>
      </c>
      <c r="E173" s="18">
        <f ca="1">IF(表2_36716262930[[#This Row],[累计净值]]/MAX(INDIRECT("B21:B" &amp; ROW()))-1&lt;E172,表2_36716262930[[#This Row],[累计净值]]/MAX(INDIRECT("B21:B" &amp; ROW()))-1,E172)</f>
        <v>-1.2011210463098942E-2</v>
      </c>
      <c r="F173" s="62">
        <f>表2_36716262930[[#This Row],[累计净值]]-0.0836</f>
        <v>1.4680000000000002</v>
      </c>
      <c r="G173" s="20">
        <f>表2_36716262930[[#This Row],[单位净值]]/$F$21-1</f>
        <v>5.9163059163059417E-2</v>
      </c>
      <c r="I173" s="1">
        <f>500/F176</f>
        <v>339.21302578018992</v>
      </c>
    </row>
    <row r="174" spans="1:9" x14ac:dyDescent="0.2">
      <c r="A174" s="15">
        <v>43935</v>
      </c>
      <c r="B174" s="16">
        <v>1.5546</v>
      </c>
      <c r="C174" s="73">
        <f t="shared" si="45"/>
        <v>2.9999999999998916E-3</v>
      </c>
      <c r="D174" s="18" t="str">
        <f t="shared" si="46"/>
        <v>/</v>
      </c>
      <c r="E174" s="18">
        <f ca="1">IF(表2_36716262930[[#This Row],[累计净值]]/MAX(INDIRECT("B21:B" &amp; ROW()))-1&lt;E173,表2_36716262930[[#This Row],[累计净值]]/MAX(INDIRECT("B21:B" &amp; ROW()))-1,E173)</f>
        <v>-1.2011210463098942E-2</v>
      </c>
      <c r="F174" s="62">
        <f>表2_36716262930[[#This Row],[累计净值]]-0.0836</f>
        <v>1.4710000000000001</v>
      </c>
      <c r="G174" s="20">
        <f>表2_36716262930[[#This Row],[单位净值]]/$F$21-1</f>
        <v>6.1327561327561453E-2</v>
      </c>
    </row>
    <row r="175" spans="1:9" x14ac:dyDescent="0.2">
      <c r="A175" s="15">
        <v>43936</v>
      </c>
      <c r="B175" s="96">
        <v>1.5566</v>
      </c>
      <c r="C175" s="94">
        <f t="shared" si="45"/>
        <v>2.0000000000000018E-3</v>
      </c>
      <c r="D175" s="95" t="str">
        <f t="shared" si="46"/>
        <v>/</v>
      </c>
      <c r="E175" s="95">
        <f ca="1">IF(表2_36716262930[[#This Row],[累计净值]]/MAX(INDIRECT("B21:B" &amp; ROW()))-1&lt;E174,表2_36716262930[[#This Row],[累计净值]]/MAX(INDIRECT("B21:B" &amp; ROW()))-1,E174)</f>
        <v>-1.2011210463098942E-2</v>
      </c>
      <c r="F175" s="62">
        <f>表2_36716262930[[#This Row],[累计净值]]-0.0836</f>
        <v>1.4730000000000001</v>
      </c>
      <c r="G175" s="20">
        <f>表2_36716262930[[#This Row],[单位净值]]/$F$21-1</f>
        <v>6.277056277056281E-2</v>
      </c>
    </row>
    <row r="176" spans="1:9" x14ac:dyDescent="0.2">
      <c r="A176" s="15">
        <v>43937</v>
      </c>
      <c r="B176" s="96">
        <v>1.5576000000000001</v>
      </c>
      <c r="C176" s="94">
        <f t="shared" si="45"/>
        <v>1.0000000000001119E-3</v>
      </c>
      <c r="D176" s="95" t="str">
        <f t="shared" si="46"/>
        <v>/</v>
      </c>
      <c r="E176" s="95">
        <f ca="1">IF(表2_36716262930[[#This Row],[累计净值]]/MAX(INDIRECT("B21:B" &amp; ROW()))-1&lt;E175,表2_36716262930[[#This Row],[累计净值]]/MAX(INDIRECT("B21:B" &amp; ROW()))-1,E175)</f>
        <v>-1.2011210463098942E-2</v>
      </c>
      <c r="F176" s="62">
        <f>表2_36716262930[[#This Row],[累计净值]]-0.0836</f>
        <v>1.4740000000000002</v>
      </c>
      <c r="G176" s="20">
        <f>表2_36716262930[[#This Row],[单位净值]]/$F$21-1</f>
        <v>6.3492063492063711E-2</v>
      </c>
    </row>
    <row r="177" spans="1:7" x14ac:dyDescent="0.2">
      <c r="A177" s="15">
        <v>43938</v>
      </c>
      <c r="B177" s="96">
        <v>1.5586</v>
      </c>
      <c r="C177" s="94">
        <f t="shared" si="45"/>
        <v>9.9999999999988987E-4</v>
      </c>
      <c r="D177" s="95" t="str">
        <f t="shared" si="46"/>
        <v>/</v>
      </c>
      <c r="E177" s="95">
        <f ca="1">IF(表2_36716262930[[#This Row],[累计净值]]/MAX(INDIRECT("B21:B" &amp; ROW()))-1&lt;E176,表2_36716262930[[#This Row],[累计净值]]/MAX(INDIRECT("B21:B" &amp; ROW()))-1,E176)</f>
        <v>-1.2011210463098942E-2</v>
      </c>
      <c r="F177" s="62">
        <f>表2_36716262930[[#This Row],[累计净值]]-0.0836</f>
        <v>1.4750000000000001</v>
      </c>
      <c r="G177" s="20">
        <f>表2_36716262930[[#This Row],[单位净值]]/$F$21-1</f>
        <v>6.4213564213564389E-2</v>
      </c>
    </row>
    <row r="178" spans="1:7" x14ac:dyDescent="0.2">
      <c r="A178" s="15">
        <v>43941</v>
      </c>
      <c r="B178" s="96">
        <v>1.5586</v>
      </c>
      <c r="C178" s="94">
        <f t="shared" ref="C178:C183" si="47">IFERROR(B178-B177,0)</f>
        <v>0</v>
      </c>
      <c r="D178" s="95" t="str">
        <f t="shared" ref="D178:D183" si="48">IF(C178&lt;0,C178,"/")</f>
        <v>/</v>
      </c>
      <c r="E178" s="95">
        <f ca="1">IF(表2_36716262930[[#This Row],[累计净值]]/MAX(INDIRECT("B21:B" &amp; ROW()))-1&lt;E177,表2_36716262930[[#This Row],[累计净值]]/MAX(INDIRECT("B21:B" &amp; ROW()))-1,E177)</f>
        <v>-1.2011210463098942E-2</v>
      </c>
      <c r="F178" s="62">
        <f>表2_36716262930[[#This Row],[累计净值]]-0.0836</f>
        <v>1.4750000000000001</v>
      </c>
      <c r="G178" s="20">
        <f>表2_36716262930[[#This Row],[单位净值]]/$F$21-1</f>
        <v>6.4213564213564389E-2</v>
      </c>
    </row>
    <row r="179" spans="1:7" x14ac:dyDescent="0.2">
      <c r="A179" s="15">
        <v>43942</v>
      </c>
      <c r="B179" s="96">
        <v>1.5596000000000001</v>
      </c>
      <c r="C179" s="94">
        <f t="shared" si="47"/>
        <v>1.0000000000001119E-3</v>
      </c>
      <c r="D179" s="95" t="str">
        <f t="shared" si="48"/>
        <v>/</v>
      </c>
      <c r="E179" s="95">
        <f ca="1">IF(表2_36716262930[[#This Row],[累计净值]]/MAX(INDIRECT("B21:B" &amp; ROW()))-1&lt;E178,表2_36716262930[[#This Row],[累计净值]]/MAX(INDIRECT("B21:B" &amp; ROW()))-1,E178)</f>
        <v>-1.2011210463098942E-2</v>
      </c>
      <c r="F179" s="62">
        <f>表2_36716262930[[#This Row],[累计净值]]-0.0836</f>
        <v>1.4760000000000002</v>
      </c>
      <c r="G179" s="20">
        <f>表2_36716262930[[#This Row],[单位净值]]/$F$21-1</f>
        <v>6.4935064935065068E-2</v>
      </c>
    </row>
    <row r="180" spans="1:7" x14ac:dyDescent="0.2">
      <c r="A180" s="9">
        <v>43943</v>
      </c>
      <c r="B180" s="114">
        <v>1.5596000000000001</v>
      </c>
      <c r="C180" s="115">
        <f t="shared" si="47"/>
        <v>0</v>
      </c>
      <c r="D180" s="116" t="str">
        <f t="shared" si="48"/>
        <v>/</v>
      </c>
      <c r="E180" s="116">
        <f ca="1">IF(表2_36716262930[[#This Row],[累计净值]]/MAX(INDIRECT("B21:B" &amp; ROW()))-1&lt;E179,表2_36716262930[[#This Row],[累计净值]]/MAX(INDIRECT("B21:B" &amp; ROW()))-1,E179)</f>
        <v>-1.2011210463098942E-2</v>
      </c>
      <c r="F180" s="81">
        <f>表2_36716262930[[#This Row],[累计净值]]-0.0836</f>
        <v>1.4760000000000002</v>
      </c>
      <c r="G180" s="82">
        <f>表2_36716262930[[#This Row],[单位净值]]/$F$21-1</f>
        <v>6.4935064935065068E-2</v>
      </c>
    </row>
    <row r="181" spans="1:7" x14ac:dyDescent="0.2">
      <c r="A181" s="15">
        <v>43944</v>
      </c>
      <c r="B181" s="107">
        <v>1.5606</v>
      </c>
      <c r="C181" s="94">
        <f t="shared" si="47"/>
        <v>9.9999999999988987E-4</v>
      </c>
      <c r="D181" s="95" t="str">
        <f t="shared" si="48"/>
        <v>/</v>
      </c>
      <c r="E181" s="95">
        <f ca="1">IF(表2_36716262930[[#This Row],[累计净值]]/MAX(INDIRECT("B21:B" &amp; ROW()))-1&lt;E180,表2_36716262930[[#This Row],[累计净值]]/MAX(INDIRECT("B21:B" &amp; ROW()))-1,E180)</f>
        <v>-1.2011210463098942E-2</v>
      </c>
      <c r="F181" s="62">
        <f>表2_36716262930[[#This Row],[累计净值]]-0.0836</f>
        <v>1.4770000000000001</v>
      </c>
      <c r="G181" s="20">
        <f>表2_36716262930[[#This Row],[单位净值]]/$F$21-1</f>
        <v>6.5656565656565746E-2</v>
      </c>
    </row>
    <row r="182" spans="1:7" x14ac:dyDescent="0.2">
      <c r="A182" s="15">
        <v>43945</v>
      </c>
      <c r="B182" s="96">
        <v>1.5596000000000001</v>
      </c>
      <c r="C182" s="94">
        <f t="shared" si="47"/>
        <v>-9.9999999999988987E-4</v>
      </c>
      <c r="D182" s="95">
        <f t="shared" si="48"/>
        <v>-9.9999999999988987E-4</v>
      </c>
      <c r="E182" s="95">
        <f ca="1">IF(表2_36716262930[[#This Row],[累计净值]]/MAX(INDIRECT("B21:B" &amp; ROW()))-1&lt;E181,表2_36716262930[[#This Row],[累计净值]]/MAX(INDIRECT("B21:B" &amp; ROW()))-1,E181)</f>
        <v>-1.2011210463098942E-2</v>
      </c>
      <c r="F182" s="62">
        <f>表2_36716262930[[#This Row],[累计净值]]-0.0836</f>
        <v>1.4760000000000002</v>
      </c>
      <c r="G182" s="20">
        <f>表2_36716262930[[#This Row],[单位净值]]/$F$21-1</f>
        <v>6.4935064935065068E-2</v>
      </c>
    </row>
    <row r="183" spans="1:7" x14ac:dyDescent="0.2">
      <c r="A183" s="15">
        <v>43948</v>
      </c>
      <c r="B183" s="96">
        <v>1.5586</v>
      </c>
      <c r="C183" s="94">
        <f t="shared" si="47"/>
        <v>-1.0000000000001119E-3</v>
      </c>
      <c r="D183" s="95">
        <f t="shared" si="48"/>
        <v>-1.0000000000001119E-3</v>
      </c>
      <c r="E183" s="95">
        <f ca="1">IF(表2_36716262930[[#This Row],[累计净值]]/MAX(INDIRECT("B21:B" &amp; ROW()))-1&lt;E182,表2_36716262930[[#This Row],[累计净值]]/MAX(INDIRECT("B21:B" &amp; ROW()))-1,E182)</f>
        <v>-1.2011210463098942E-2</v>
      </c>
      <c r="F183" s="62">
        <f>表2_36716262930[[#This Row],[累计净值]]-0.0836</f>
        <v>1.4750000000000001</v>
      </c>
      <c r="G183" s="20">
        <f>表2_36716262930[[#This Row],[单位净值]]/$F$21-1</f>
        <v>6.4213564213564389E-2</v>
      </c>
    </row>
    <row r="184" spans="1:7" x14ac:dyDescent="0.2">
      <c r="A184" s="15">
        <v>43949</v>
      </c>
      <c r="B184" s="96">
        <v>1.5586</v>
      </c>
      <c r="C184" s="94">
        <f>IFERROR(B184-B183,0)</f>
        <v>0</v>
      </c>
      <c r="D184" s="95" t="str">
        <f>IF(C184&lt;0,C184,"/")</f>
        <v>/</v>
      </c>
      <c r="E184" s="95">
        <f ca="1">IF(表2_36716262930[[#This Row],[累计净值]]/MAX(INDIRECT("B21:B" &amp; ROW()))-1&lt;E183,表2_36716262930[[#This Row],[累计净值]]/MAX(INDIRECT("B21:B" &amp; ROW()))-1,E183)</f>
        <v>-1.2011210463098942E-2</v>
      </c>
      <c r="F184" s="62">
        <f>表2_36716262930[[#This Row],[累计净值]]-0.0836</f>
        <v>1.4750000000000001</v>
      </c>
      <c r="G184" s="20">
        <f>表2_36716262930[[#This Row],[单位净值]]/$F$21-1</f>
        <v>6.4213564213564389E-2</v>
      </c>
    </row>
    <row r="185" spans="1:7" x14ac:dyDescent="0.2">
      <c r="A185" s="15">
        <v>43950</v>
      </c>
      <c r="B185" s="96">
        <v>1.5596000000000001</v>
      </c>
      <c r="C185" s="94">
        <f>IFERROR(B185-B184,0)</f>
        <v>1.0000000000001119E-3</v>
      </c>
      <c r="D185" s="95" t="str">
        <f>IF(C185&lt;0,C185,"/")</f>
        <v>/</v>
      </c>
      <c r="E185" s="95">
        <f ca="1">IF(表2_36716262930[[#This Row],[累计净值]]/MAX(INDIRECT("B21:B" &amp; ROW()))-1&lt;E184,表2_36716262930[[#This Row],[累计净值]]/MAX(INDIRECT("B21:B" &amp; ROW()))-1,E184)</f>
        <v>-1.2011210463098942E-2</v>
      </c>
      <c r="F185" s="62">
        <f>表2_36716262930[[#This Row],[累计净值]]-0.0836</f>
        <v>1.4760000000000002</v>
      </c>
      <c r="G185" s="20">
        <f>表2_36716262930[[#This Row],[单位净值]]/$F$21-1</f>
        <v>6.4935064935065068E-2</v>
      </c>
    </row>
    <row r="186" spans="1:7" x14ac:dyDescent="0.2">
      <c r="A186" s="15">
        <v>43951</v>
      </c>
      <c r="B186" s="96">
        <v>1.5566</v>
      </c>
      <c r="C186" s="94">
        <f>IFERROR(B186-B185,0)</f>
        <v>-3.0000000000001137E-3</v>
      </c>
      <c r="D186" s="95">
        <f>IF(C186&lt;0,C186,"/")</f>
        <v>-3.0000000000001137E-3</v>
      </c>
      <c r="E186" s="95">
        <f ca="1">IF(表2_36716262930[[#This Row],[累计净值]]/MAX(INDIRECT("B21:B" &amp; ROW()))-1&lt;E185,表2_36716262930[[#This Row],[累计净值]]/MAX(INDIRECT("B21:B" &amp; ROW()))-1,E185)</f>
        <v>-1.2011210463098942E-2</v>
      </c>
      <c r="F186" s="62">
        <f>表2_36716262930[[#This Row],[累计净值]]-0.0836</f>
        <v>1.4730000000000001</v>
      </c>
      <c r="G186" s="20">
        <f>表2_36716262930[[#This Row],[单位净值]]/$F$21-1</f>
        <v>6.277056277056281E-2</v>
      </c>
    </row>
    <row r="187" spans="1:7" x14ac:dyDescent="0.2">
      <c r="A187" s="15">
        <v>43957</v>
      </c>
      <c r="B187" s="96">
        <v>1.5576000000000001</v>
      </c>
      <c r="C187" s="94">
        <f>IFERROR(B187-B186,0)</f>
        <v>1.0000000000001119E-3</v>
      </c>
      <c r="D187" s="95" t="str">
        <f>IF(C187&lt;0,C187,"/")</f>
        <v>/</v>
      </c>
      <c r="E187" s="95">
        <f ca="1">IF(表2_36716262930[[#This Row],[累计净值]]/MAX(INDIRECT("B21:B" &amp; ROW()))-1&lt;E186,表2_36716262930[[#This Row],[累计净值]]/MAX(INDIRECT("B21:B" &amp; ROW()))-1,E186)</f>
        <v>-1.2011210463098942E-2</v>
      </c>
      <c r="F187" s="62">
        <f>表2_36716262930[[#This Row],[累计净值]]-0.0836</f>
        <v>1.4740000000000002</v>
      </c>
      <c r="G187" s="20">
        <f>表2_36716262930[[#This Row],[单位净值]]/$F$21-1</f>
        <v>6.3492063492063711E-2</v>
      </c>
    </row>
    <row r="188" spans="1:7" x14ac:dyDescent="0.2">
      <c r="A188" s="15">
        <v>43958</v>
      </c>
      <c r="B188" s="104">
        <v>1.5586</v>
      </c>
      <c r="C188" s="101">
        <f t="shared" ref="C188:C193" si="49">IFERROR(B188-B187,0)</f>
        <v>9.9999999999988987E-4</v>
      </c>
      <c r="D188" s="102" t="str">
        <f t="shared" ref="D188:D193" si="50">IF(C188&lt;0,C188,"/")</f>
        <v>/</v>
      </c>
      <c r="E188" s="102">
        <f ca="1">IF(表2_36716262930[[#This Row],[累计净值]]/MAX(INDIRECT("B21:B" &amp; ROW()))-1&lt;E187,表2_36716262930[[#This Row],[累计净值]]/MAX(INDIRECT("B21:B" &amp; ROW()))-1,E187)</f>
        <v>-1.2011210463098942E-2</v>
      </c>
      <c r="F188" s="62">
        <f>表2_36716262930[[#This Row],[累计净值]]-0.0836</f>
        <v>1.4750000000000001</v>
      </c>
      <c r="G188" s="20">
        <f>表2_36716262930[[#This Row],[单位净值]]/$F$21-1</f>
        <v>6.4213564213564389E-2</v>
      </c>
    </row>
    <row r="189" spans="1:7" x14ac:dyDescent="0.2">
      <c r="A189" s="15">
        <v>43959</v>
      </c>
      <c r="B189" s="104">
        <v>1.5606</v>
      </c>
      <c r="C189" s="101">
        <f t="shared" si="49"/>
        <v>2.0000000000000018E-3</v>
      </c>
      <c r="D189" s="102" t="str">
        <f t="shared" si="50"/>
        <v>/</v>
      </c>
      <c r="E189" s="102">
        <f ca="1">IF(表2_36716262930[[#This Row],[累计净值]]/MAX(INDIRECT("B21:B" &amp; ROW()))-1&lt;E188,表2_36716262930[[#This Row],[累计净值]]/MAX(INDIRECT("B21:B" &amp; ROW()))-1,E188)</f>
        <v>-1.2011210463098942E-2</v>
      </c>
      <c r="F189" s="62">
        <f>表2_36716262930[[#This Row],[累计净值]]-0.0836</f>
        <v>1.4770000000000001</v>
      </c>
      <c r="G189" s="20">
        <f>表2_36716262930[[#This Row],[单位净值]]/$F$21-1</f>
        <v>6.5656565656565746E-2</v>
      </c>
    </row>
    <row r="190" spans="1:7" x14ac:dyDescent="0.2">
      <c r="A190" s="15">
        <v>43962</v>
      </c>
      <c r="B190" s="104">
        <v>1.5616000000000001</v>
      </c>
      <c r="C190" s="101">
        <f t="shared" si="49"/>
        <v>1.0000000000001119E-3</v>
      </c>
      <c r="D190" s="102" t="str">
        <f t="shared" si="50"/>
        <v>/</v>
      </c>
      <c r="E190" s="102">
        <f ca="1">IF(表2_36716262930[[#This Row],[累计净值]]/MAX(INDIRECT("B21:B" &amp; ROW()))-1&lt;E189,表2_36716262930[[#This Row],[累计净值]]/MAX(INDIRECT("B21:B" &amp; ROW()))-1,E189)</f>
        <v>-1.2011210463098942E-2</v>
      </c>
      <c r="F190" s="62">
        <f>表2_36716262930[[#This Row],[累计净值]]-0.0836</f>
        <v>1.4780000000000002</v>
      </c>
      <c r="G190" s="20">
        <f>表2_36716262930[[#This Row],[单位净值]]/$F$21-1</f>
        <v>6.6378066378066647E-2</v>
      </c>
    </row>
    <row r="191" spans="1:7" x14ac:dyDescent="0.2">
      <c r="A191" s="15">
        <v>43963</v>
      </c>
      <c r="B191" s="104">
        <v>1.5646</v>
      </c>
      <c r="C191" s="101">
        <f t="shared" si="49"/>
        <v>2.9999999999998916E-3</v>
      </c>
      <c r="D191" s="102" t="str">
        <f t="shared" si="50"/>
        <v>/</v>
      </c>
      <c r="E191" s="102">
        <f ca="1">IF(表2_36716262930[[#This Row],[累计净值]]/MAX(INDIRECT("B21:B" &amp; ROW()))-1&lt;E190,表2_36716262930[[#This Row],[累计净值]]/MAX(INDIRECT("B21:B" &amp; ROW()))-1,E190)</f>
        <v>-1.2011210463098942E-2</v>
      </c>
      <c r="F191" s="62">
        <f>表2_36716262930[[#This Row],[累计净值]]-0.0836</f>
        <v>1.4810000000000001</v>
      </c>
      <c r="G191" s="20">
        <f>表2_36716262930[[#This Row],[单位净值]]/$F$21-1</f>
        <v>6.8542568542568683E-2</v>
      </c>
    </row>
    <row r="192" spans="1:7" x14ac:dyDescent="0.2">
      <c r="A192" s="15">
        <v>43964</v>
      </c>
      <c r="B192" s="104">
        <v>1.5646</v>
      </c>
      <c r="C192" s="101">
        <f t="shared" si="49"/>
        <v>0</v>
      </c>
      <c r="D192" s="102" t="str">
        <f t="shared" si="50"/>
        <v>/</v>
      </c>
      <c r="E192" s="102">
        <f ca="1">IF(表2_36716262930[[#This Row],[累计净值]]/MAX(INDIRECT("B21:B" &amp; ROW()))-1&lt;E191,表2_36716262930[[#This Row],[累计净值]]/MAX(INDIRECT("B21:B" &amp; ROW()))-1,E191)</f>
        <v>-1.2011210463098942E-2</v>
      </c>
      <c r="F192" s="62">
        <f>表2_36716262930[[#This Row],[累计净值]]-0.0836</f>
        <v>1.4810000000000001</v>
      </c>
      <c r="G192" s="20">
        <f>表2_36716262930[[#This Row],[单位净值]]/$F$21-1</f>
        <v>6.8542568542568683E-2</v>
      </c>
    </row>
    <row r="193" spans="1:7" x14ac:dyDescent="0.2">
      <c r="A193" s="15">
        <v>43965</v>
      </c>
      <c r="B193" s="107">
        <v>1.5656000000000001</v>
      </c>
      <c r="C193" s="101">
        <f t="shared" si="49"/>
        <v>1.0000000000001119E-3</v>
      </c>
      <c r="D193" s="102" t="str">
        <f t="shared" si="50"/>
        <v>/</v>
      </c>
      <c r="E193" s="102">
        <f ca="1">IF(表2_36716262930[[#This Row],[累计净值]]/MAX(INDIRECT("B21:B" &amp; ROW()))-1&lt;E192,表2_36716262930[[#This Row],[累计净值]]/MAX(INDIRECT("B21:B" &amp; ROW()))-1,E192)</f>
        <v>-1.2011210463098942E-2</v>
      </c>
      <c r="F193" s="62">
        <f>表2_36716262930[[#This Row],[累计净值]]-0.0836</f>
        <v>1.4820000000000002</v>
      </c>
      <c r="G193" s="20">
        <f>表2_36716262930[[#This Row],[单位净值]]/$F$21-1</f>
        <v>6.9264069264069583E-2</v>
      </c>
    </row>
    <row r="194" spans="1:7" x14ac:dyDescent="0.2">
      <c r="A194" s="15">
        <v>43966</v>
      </c>
      <c r="B194" s="104">
        <v>1.5636000000000001</v>
      </c>
      <c r="C194" s="101">
        <f t="shared" ref="C194:C199" si="51">IFERROR(B194-B193,0)</f>
        <v>-2.0000000000000018E-3</v>
      </c>
      <c r="D194" s="102">
        <f t="shared" ref="D194:D199" si="52">IF(C194&lt;0,C194,"/")</f>
        <v>-2.0000000000000018E-3</v>
      </c>
      <c r="E194" s="102">
        <f ca="1">IF(表2_36716262930[[#This Row],[累计净值]]/MAX(INDIRECT("B21:B" &amp; ROW()))-1&lt;E193,表2_36716262930[[#This Row],[累计净值]]/MAX(INDIRECT("B21:B" &amp; ROW()))-1,E193)</f>
        <v>-1.2011210463098942E-2</v>
      </c>
      <c r="F194" s="62">
        <f>表2_36716262930[[#This Row],[累计净值]]-0.0836</f>
        <v>1.4800000000000002</v>
      </c>
      <c r="G194" s="20">
        <f>表2_36716262930[[#This Row],[单位净值]]/$F$21-1</f>
        <v>6.7821067821068004E-2</v>
      </c>
    </row>
    <row r="195" spans="1:7" x14ac:dyDescent="0.2">
      <c r="A195" s="15">
        <v>43969</v>
      </c>
      <c r="B195" s="104">
        <v>1.5636000000000001</v>
      </c>
      <c r="C195" s="101">
        <f t="shared" si="51"/>
        <v>0</v>
      </c>
      <c r="D195" s="102" t="str">
        <f t="shared" si="52"/>
        <v>/</v>
      </c>
      <c r="E195" s="102">
        <f ca="1">IF(表2_36716262930[[#This Row],[累计净值]]/MAX(INDIRECT("B21:B" &amp; ROW()))-1&lt;E194,表2_36716262930[[#This Row],[累计净值]]/MAX(INDIRECT("B21:B" &amp; ROW()))-1,E194)</f>
        <v>-1.2011210463098942E-2</v>
      </c>
      <c r="F195" s="62">
        <f>表2_36716262930[[#This Row],[累计净值]]-0.0836</f>
        <v>1.4800000000000002</v>
      </c>
      <c r="G195" s="20">
        <f>表2_36716262930[[#This Row],[单位净值]]/$F$21-1</f>
        <v>6.7821067821068004E-2</v>
      </c>
    </row>
    <row r="196" spans="1:7" x14ac:dyDescent="0.2">
      <c r="A196" s="15">
        <v>43970</v>
      </c>
      <c r="B196" s="104">
        <v>1.5646</v>
      </c>
      <c r="C196" s="101">
        <f t="shared" si="51"/>
        <v>9.9999999999988987E-4</v>
      </c>
      <c r="D196" s="102" t="str">
        <f t="shared" si="52"/>
        <v>/</v>
      </c>
      <c r="E196" s="102">
        <f ca="1">IF(表2_36716262930[[#This Row],[累计净值]]/MAX(INDIRECT("B21:B" &amp; ROW()))-1&lt;E195,表2_36716262930[[#This Row],[累计净值]]/MAX(INDIRECT("B21:B" &amp; ROW()))-1,E195)</f>
        <v>-1.2011210463098942E-2</v>
      </c>
      <c r="F196" s="62">
        <f>表2_36716262930[[#This Row],[累计净值]]-0.0836</f>
        <v>1.4810000000000001</v>
      </c>
      <c r="G196" s="20">
        <f>表2_36716262930[[#This Row],[单位净值]]/$F$21-1</f>
        <v>6.8542568542568683E-2</v>
      </c>
    </row>
    <row r="197" spans="1:7" x14ac:dyDescent="0.2">
      <c r="A197" s="15">
        <v>43971</v>
      </c>
      <c r="B197" s="104">
        <v>1.5656000000000001</v>
      </c>
      <c r="C197" s="101">
        <f t="shared" si="51"/>
        <v>1.0000000000001119E-3</v>
      </c>
      <c r="D197" s="102" t="str">
        <f t="shared" si="52"/>
        <v>/</v>
      </c>
      <c r="E197" s="102">
        <f ca="1">IF(表2_36716262930[[#This Row],[累计净值]]/MAX(INDIRECT("B21:B" &amp; ROW()))-1&lt;E196,表2_36716262930[[#This Row],[累计净值]]/MAX(INDIRECT("B21:B" &amp; ROW()))-1,E196)</f>
        <v>-1.2011210463098942E-2</v>
      </c>
      <c r="F197" s="62">
        <f>表2_36716262930[[#This Row],[累计净值]]-0.0836</f>
        <v>1.4820000000000002</v>
      </c>
      <c r="G197" s="20">
        <f>表2_36716262930[[#This Row],[单位净值]]/$F$21-1</f>
        <v>6.9264069264069583E-2</v>
      </c>
    </row>
    <row r="198" spans="1:7" x14ac:dyDescent="0.2">
      <c r="A198" s="15">
        <v>43972</v>
      </c>
      <c r="B198" s="112">
        <v>1.5646</v>
      </c>
      <c r="C198" s="108">
        <f t="shared" si="51"/>
        <v>-1.0000000000001119E-3</v>
      </c>
      <c r="D198" s="109">
        <f t="shared" si="52"/>
        <v>-1.0000000000001119E-3</v>
      </c>
      <c r="E198" s="109">
        <f ca="1">IF(表2_36716262930[[#This Row],[累计净值]]/MAX(INDIRECT("B21:B" &amp; ROW()))-1&lt;E197,表2_36716262930[[#This Row],[累计净值]]/MAX(INDIRECT("B21:B" &amp; ROW()))-1,E197)</f>
        <v>-1.2011210463098942E-2</v>
      </c>
      <c r="F198" s="62">
        <f>表2_36716262930[[#This Row],[累计净值]]-0.0836</f>
        <v>1.4810000000000001</v>
      </c>
      <c r="G198" s="20">
        <f>表2_36716262930[[#This Row],[单位净值]]/$F$21-1</f>
        <v>6.8542568542568683E-2</v>
      </c>
    </row>
    <row r="199" spans="1:7" x14ac:dyDescent="0.2">
      <c r="A199" s="15">
        <v>43973</v>
      </c>
      <c r="B199" s="112">
        <v>1.5626</v>
      </c>
      <c r="C199" s="108">
        <f t="shared" si="51"/>
        <v>-2.0000000000000018E-3</v>
      </c>
      <c r="D199" s="109">
        <f t="shared" si="52"/>
        <v>-2.0000000000000018E-3</v>
      </c>
      <c r="E199" s="109">
        <f ca="1">IF(表2_36716262930[[#This Row],[累计净值]]/MAX(INDIRECT("B21:B" &amp; ROW()))-1&lt;E198,表2_36716262930[[#This Row],[累计净值]]/MAX(INDIRECT("B21:B" &amp; ROW()))-1,E198)</f>
        <v>-1.2011210463098942E-2</v>
      </c>
      <c r="F199" s="62">
        <f>表2_36716262930[[#This Row],[累计净值]]-0.0836</f>
        <v>1.4790000000000001</v>
      </c>
      <c r="G199" s="20">
        <f>表2_36716262930[[#This Row],[单位净值]]/$F$21-1</f>
        <v>6.7099567099567325E-2</v>
      </c>
    </row>
    <row r="200" spans="1:7" x14ac:dyDescent="0.2">
      <c r="A200" s="15">
        <v>43976</v>
      </c>
      <c r="B200" s="112">
        <v>1.5606</v>
      </c>
      <c r="C200" s="108">
        <f t="shared" ref="C200:C205" si="53">IFERROR(B200-B199,0)</f>
        <v>-2.0000000000000018E-3</v>
      </c>
      <c r="D200" s="109">
        <f t="shared" ref="D200:D205" si="54">IF(C200&lt;0,C200,"/")</f>
        <v>-2.0000000000000018E-3</v>
      </c>
      <c r="E200" s="109">
        <f ca="1">IF(表2_36716262930[[#This Row],[累计净值]]/MAX(INDIRECT("B21:B" &amp; ROW()))-1&lt;E199,表2_36716262930[[#This Row],[累计净值]]/MAX(INDIRECT("B21:B" &amp; ROW()))-1,E199)</f>
        <v>-1.2011210463098942E-2</v>
      </c>
      <c r="F200" s="62">
        <f>表2_36716262930[[#This Row],[累计净值]]-0.0836</f>
        <v>1.4770000000000001</v>
      </c>
      <c r="G200" s="20">
        <f>表2_36716262930[[#This Row],[单位净值]]/$F$21-1</f>
        <v>6.5656565656565746E-2</v>
      </c>
    </row>
    <row r="201" spans="1:7" x14ac:dyDescent="0.2">
      <c r="A201" s="15">
        <v>43977</v>
      </c>
      <c r="B201" s="112">
        <v>1.5636000000000001</v>
      </c>
      <c r="C201" s="108">
        <f t="shared" si="53"/>
        <v>3.0000000000001137E-3</v>
      </c>
      <c r="D201" s="109" t="str">
        <f t="shared" si="54"/>
        <v>/</v>
      </c>
      <c r="E201" s="109">
        <f ca="1">IF(表2_36716262930[[#This Row],[累计净值]]/MAX(INDIRECT("B21:B" &amp; ROW()))-1&lt;E200,表2_36716262930[[#This Row],[累计净值]]/MAX(INDIRECT("B21:B" &amp; ROW()))-1,E200)</f>
        <v>-1.2011210463098942E-2</v>
      </c>
      <c r="F201" s="62">
        <f>表2_36716262930[[#This Row],[累计净值]]-0.0836</f>
        <v>1.4800000000000002</v>
      </c>
      <c r="G201" s="20">
        <f>表2_36716262930[[#This Row],[单位净值]]/$F$21-1</f>
        <v>6.7821067821068004E-2</v>
      </c>
    </row>
    <row r="202" spans="1:7" x14ac:dyDescent="0.2">
      <c r="A202" s="15">
        <v>43978</v>
      </c>
      <c r="B202" s="112">
        <v>1.5646</v>
      </c>
      <c r="C202" s="108">
        <f t="shared" si="53"/>
        <v>9.9999999999988987E-4</v>
      </c>
      <c r="D202" s="109" t="str">
        <f t="shared" si="54"/>
        <v>/</v>
      </c>
      <c r="E202" s="109">
        <f ca="1">IF(表2_36716262930[[#This Row],[累计净值]]/MAX(INDIRECT("B21:B" &amp; ROW()))-1&lt;E201,表2_36716262930[[#This Row],[累计净值]]/MAX(INDIRECT("B21:B" &amp; ROW()))-1,E201)</f>
        <v>-1.2011210463098942E-2</v>
      </c>
      <c r="F202" s="62">
        <f>表2_36716262930[[#This Row],[累计净值]]-0.0836</f>
        <v>1.4810000000000001</v>
      </c>
      <c r="G202" s="20">
        <f>表2_36716262930[[#This Row],[单位净值]]/$F$21-1</f>
        <v>6.8542568542568683E-2</v>
      </c>
    </row>
    <row r="203" spans="1:7" x14ac:dyDescent="0.2">
      <c r="A203" s="15">
        <v>43979</v>
      </c>
      <c r="B203" s="112">
        <v>1.5636000000000001</v>
      </c>
      <c r="C203" s="108">
        <f t="shared" si="53"/>
        <v>-9.9999999999988987E-4</v>
      </c>
      <c r="D203" s="109">
        <f t="shared" si="54"/>
        <v>-9.9999999999988987E-4</v>
      </c>
      <c r="E203" s="109">
        <f ca="1">IF(表2_36716262930[[#This Row],[累计净值]]/MAX(INDIRECT("B21:B" &amp; ROW()))-1&lt;E202,表2_36716262930[[#This Row],[累计净值]]/MAX(INDIRECT("B21:B" &amp; ROW()))-1,E202)</f>
        <v>-1.2011210463098942E-2</v>
      </c>
      <c r="F203" s="62">
        <f>表2_36716262930[[#This Row],[累计净值]]-0.0836</f>
        <v>1.4800000000000002</v>
      </c>
      <c r="G203" s="20">
        <f>表2_36716262930[[#This Row],[单位净值]]/$F$21-1</f>
        <v>6.7821067821068004E-2</v>
      </c>
    </row>
    <row r="204" spans="1:7" x14ac:dyDescent="0.2">
      <c r="A204" s="15">
        <v>43980</v>
      </c>
      <c r="B204" s="112">
        <v>1.5666</v>
      </c>
      <c r="C204" s="108">
        <f t="shared" si="53"/>
        <v>2.9999999999998916E-3</v>
      </c>
      <c r="D204" s="109" t="str">
        <f t="shared" si="54"/>
        <v>/</v>
      </c>
      <c r="E204" s="109">
        <f ca="1">IF(表2_36716262930[[#This Row],[累计净值]]/MAX(INDIRECT("B21:B" &amp; ROW()))-1&lt;E203,表2_36716262930[[#This Row],[累计净值]]/MAX(INDIRECT("B21:B" &amp; ROW()))-1,E203)</f>
        <v>-1.2011210463098942E-2</v>
      </c>
      <c r="F204" s="62">
        <f>表2_36716262930[[#This Row],[累计净值]]-0.0836</f>
        <v>1.4830000000000001</v>
      </c>
      <c r="G204" s="20">
        <f>表2_36716262930[[#This Row],[单位净值]]/$F$21-1</f>
        <v>6.998556998557004E-2</v>
      </c>
    </row>
    <row r="205" spans="1:7" x14ac:dyDescent="0.2">
      <c r="A205" s="15">
        <v>43983</v>
      </c>
      <c r="B205" s="112">
        <v>1.5686</v>
      </c>
      <c r="C205" s="108">
        <f t="shared" si="53"/>
        <v>2.0000000000000018E-3</v>
      </c>
      <c r="D205" s="109" t="str">
        <f t="shared" si="54"/>
        <v>/</v>
      </c>
      <c r="E205" s="109">
        <f ca="1">IF(表2_36716262930[[#This Row],[累计净值]]/MAX(INDIRECT("B21:B" &amp; ROW()))-1&lt;E204,表2_36716262930[[#This Row],[累计净值]]/MAX(INDIRECT("B21:B" &amp; ROW()))-1,E204)</f>
        <v>-1.2011210463098942E-2</v>
      </c>
      <c r="F205" s="62">
        <f>表2_36716262930[[#This Row],[累计净值]]-0.0836</f>
        <v>1.4850000000000001</v>
      </c>
      <c r="G205" s="20">
        <f>表2_36716262930[[#This Row],[单位净值]]/$F$21-1</f>
        <v>7.1428571428571619E-2</v>
      </c>
    </row>
    <row r="206" spans="1:7" x14ac:dyDescent="0.2">
      <c r="A206" s="15">
        <v>43984</v>
      </c>
      <c r="B206" s="112">
        <v>1.5686</v>
      </c>
      <c r="C206" s="108">
        <f t="shared" ref="C206:C212" si="55">IFERROR(B206-B205,0)</f>
        <v>0</v>
      </c>
      <c r="D206" s="109" t="str">
        <f t="shared" ref="D206:D212" si="56">IF(C206&lt;0,C206,"/")</f>
        <v>/</v>
      </c>
      <c r="E206" s="109">
        <f ca="1">IF(表2_36716262930[[#This Row],[累计净值]]/MAX(INDIRECT("B21:B" &amp; ROW()))-1&lt;E205,表2_36716262930[[#This Row],[累计净值]]/MAX(INDIRECT("B21:B" &amp; ROW()))-1,E205)</f>
        <v>-1.2011210463098942E-2</v>
      </c>
      <c r="F206" s="62">
        <f>表2_36716262930[[#This Row],[累计净值]]-0.0836</f>
        <v>1.4850000000000001</v>
      </c>
      <c r="G206" s="20">
        <f>表2_36716262930[[#This Row],[单位净值]]/$F$21-1</f>
        <v>7.1428571428571619E-2</v>
      </c>
    </row>
    <row r="207" spans="1:7" x14ac:dyDescent="0.2">
      <c r="A207" s="15">
        <v>43985</v>
      </c>
      <c r="B207" s="112">
        <v>1.5696000000000001</v>
      </c>
      <c r="C207" s="108">
        <f t="shared" si="55"/>
        <v>1.0000000000001119E-3</v>
      </c>
      <c r="D207" s="109" t="str">
        <f t="shared" si="56"/>
        <v>/</v>
      </c>
      <c r="E207" s="109">
        <f ca="1">IF(表2_36716262930[[#This Row],[累计净值]]/MAX(INDIRECT("B21:B" &amp; ROW()))-1&lt;E206,表2_36716262930[[#This Row],[累计净值]]/MAX(INDIRECT("B21:B" &amp; ROW()))-1,E206)</f>
        <v>-1.2011210463098942E-2</v>
      </c>
      <c r="F207" s="62">
        <f>表2_36716262930[[#This Row],[累计净值]]-0.0836</f>
        <v>1.4860000000000002</v>
      </c>
      <c r="G207" s="20">
        <f>表2_36716262930[[#This Row],[单位净值]]/$F$21-1</f>
        <v>7.2150072150072297E-2</v>
      </c>
    </row>
    <row r="208" spans="1:7" x14ac:dyDescent="0.2">
      <c r="A208" s="15">
        <v>43986</v>
      </c>
      <c r="B208" s="112">
        <v>1.5706</v>
      </c>
      <c r="C208" s="108">
        <f t="shared" si="55"/>
        <v>9.9999999999988987E-4</v>
      </c>
      <c r="D208" s="109" t="str">
        <f t="shared" si="56"/>
        <v>/</v>
      </c>
      <c r="E208" s="109">
        <f ca="1">IF(表2_36716262930[[#This Row],[累计净值]]/MAX(INDIRECT("B21:B" &amp; ROW()))-1&lt;E207,表2_36716262930[[#This Row],[累计净值]]/MAX(INDIRECT("B21:B" &amp; ROW()))-1,E207)</f>
        <v>-1.2011210463098942E-2</v>
      </c>
      <c r="F208" s="62">
        <f>表2_36716262930[[#This Row],[累计净值]]-0.0836</f>
        <v>1.4870000000000001</v>
      </c>
      <c r="G208" s="20">
        <f>表2_36716262930[[#This Row],[单位净值]]/$F$21-1</f>
        <v>7.2871572871572976E-2</v>
      </c>
    </row>
    <row r="209" spans="1:7" x14ac:dyDescent="0.2">
      <c r="A209" s="15">
        <v>43987</v>
      </c>
      <c r="B209" s="112">
        <v>1.5716000000000001</v>
      </c>
      <c r="C209" s="108">
        <f t="shared" si="55"/>
        <v>1.0000000000001119E-3</v>
      </c>
      <c r="D209" s="109" t="str">
        <f t="shared" si="56"/>
        <v>/</v>
      </c>
      <c r="E209" s="109">
        <f ca="1">IF(表2_36716262930[[#This Row],[累计净值]]/MAX(INDIRECT("B21:B" &amp; ROW()))-1&lt;E208,表2_36716262930[[#This Row],[累计净值]]/MAX(INDIRECT("B21:B" &amp; ROW()))-1,E208)</f>
        <v>-1.2011210463098942E-2</v>
      </c>
      <c r="F209" s="62">
        <f>表2_36716262930[[#This Row],[累计净值]]-0.0836</f>
        <v>1.4880000000000002</v>
      </c>
      <c r="G209" s="20">
        <f>表2_36716262930[[#This Row],[单位净值]]/$F$21-1</f>
        <v>7.3593073593073877E-2</v>
      </c>
    </row>
    <row r="210" spans="1:7" x14ac:dyDescent="0.2">
      <c r="A210" s="15">
        <v>43990</v>
      </c>
      <c r="B210" s="112">
        <v>1.5716000000000001</v>
      </c>
      <c r="C210" s="108">
        <f t="shared" si="55"/>
        <v>0</v>
      </c>
      <c r="D210" s="109" t="str">
        <f t="shared" si="56"/>
        <v>/</v>
      </c>
      <c r="E210" s="109">
        <f ca="1">IF(表2_36716262930[[#This Row],[累计净值]]/MAX(INDIRECT("B21:B" &amp; ROW()))-1&lt;E209,表2_36716262930[[#This Row],[累计净值]]/MAX(INDIRECT("B21:B" &amp; ROW()))-1,E209)</f>
        <v>-1.2011210463098942E-2</v>
      </c>
      <c r="F210" s="62">
        <f>表2_36716262930[[#This Row],[累计净值]]-0.0836</f>
        <v>1.4880000000000002</v>
      </c>
      <c r="G210" s="20">
        <f>表2_36716262930[[#This Row],[单位净值]]/$F$21-1</f>
        <v>7.3593073593073877E-2</v>
      </c>
    </row>
    <row r="211" spans="1:7" x14ac:dyDescent="0.2">
      <c r="A211" s="15">
        <v>43991</v>
      </c>
      <c r="B211" s="117">
        <v>1.5726</v>
      </c>
      <c r="C211" s="108">
        <f t="shared" si="55"/>
        <v>9.9999999999988987E-4</v>
      </c>
      <c r="D211" s="109" t="str">
        <f t="shared" si="56"/>
        <v>/</v>
      </c>
      <c r="E211" s="109">
        <f ca="1">IF(表2_36716262930[[#This Row],[累计净值]]/MAX(INDIRECT("B21:B" &amp; ROW()))-1&lt;E210,表2_36716262930[[#This Row],[累计净值]]/MAX(INDIRECT("B21:B" &amp; ROW()))-1,E210)</f>
        <v>-1.2011210463098942E-2</v>
      </c>
      <c r="F211" s="62">
        <f>表2_36716262930[[#This Row],[累计净值]]-0.0836</f>
        <v>1.4890000000000001</v>
      </c>
      <c r="G211" s="20">
        <f>表2_36716262930[[#This Row],[单位净值]]/$F$21-1</f>
        <v>7.4314574314574555E-2</v>
      </c>
    </row>
    <row r="212" spans="1:7" x14ac:dyDescent="0.2">
      <c r="A212" s="15">
        <v>43992</v>
      </c>
      <c r="B212" s="112">
        <v>1.5726</v>
      </c>
      <c r="C212" s="108">
        <f t="shared" si="55"/>
        <v>0</v>
      </c>
      <c r="D212" s="109" t="str">
        <f t="shared" si="56"/>
        <v>/</v>
      </c>
      <c r="E212" s="109">
        <f ca="1">IF(表2_36716262930[[#This Row],[累计净值]]/MAX(INDIRECT("B21:B" &amp; ROW()))-1&lt;E211,表2_36716262930[[#This Row],[累计净值]]/MAX(INDIRECT("B21:B" &amp; ROW()))-1,E211)</f>
        <v>-1.2011210463098942E-2</v>
      </c>
      <c r="F212" s="62">
        <f>表2_36716262930[[#This Row],[累计净值]]-0.0836</f>
        <v>1.4890000000000001</v>
      </c>
      <c r="G212" s="20">
        <f>表2_36716262930[[#This Row],[单位净值]]/$F$21-1</f>
        <v>7.4314574314574555E-2</v>
      </c>
    </row>
    <row r="213" spans="1:7" x14ac:dyDescent="0.2">
      <c r="A213" s="15">
        <v>43993</v>
      </c>
      <c r="B213" s="112">
        <v>1.5716000000000001</v>
      </c>
      <c r="C213" s="108">
        <f t="shared" ref="C213:C218" si="57">IFERROR(B213-B212,0)</f>
        <v>-9.9999999999988987E-4</v>
      </c>
      <c r="D213" s="109">
        <f t="shared" ref="D213:D218" si="58">IF(C213&lt;0,C213,"/")</f>
        <v>-9.9999999999988987E-4</v>
      </c>
      <c r="E213" s="109">
        <f ca="1">IF(表2_36716262930[[#This Row],[累计净值]]/MAX(INDIRECT("B21:B" &amp; ROW()))-1&lt;E212,表2_36716262930[[#This Row],[累计净值]]/MAX(INDIRECT("B21:B" &amp; ROW()))-1,E212)</f>
        <v>-1.2011210463098942E-2</v>
      </c>
      <c r="F213" s="62">
        <f>表2_36716262930[[#This Row],[累计净值]]-0.0836</f>
        <v>1.4880000000000002</v>
      </c>
      <c r="G213" s="20">
        <f>表2_36716262930[[#This Row],[单位净值]]/$F$21-1</f>
        <v>7.3593073593073877E-2</v>
      </c>
    </row>
    <row r="214" spans="1:7" x14ac:dyDescent="0.2">
      <c r="A214" s="15">
        <v>43994</v>
      </c>
      <c r="B214" s="112">
        <v>1.5716000000000001</v>
      </c>
      <c r="C214" s="108">
        <f t="shared" si="57"/>
        <v>0</v>
      </c>
      <c r="D214" s="109" t="str">
        <f t="shared" si="58"/>
        <v>/</v>
      </c>
      <c r="E214" s="109">
        <f ca="1">IF(表2_36716262930[[#This Row],[累计净值]]/MAX(INDIRECT("B21:B" &amp; ROW()))-1&lt;E213,表2_36716262930[[#This Row],[累计净值]]/MAX(INDIRECT("B21:B" &amp; ROW()))-1,E213)</f>
        <v>-1.2011210463098942E-2</v>
      </c>
      <c r="F214" s="62">
        <f>表2_36716262930[[#This Row],[累计净值]]-0.0836</f>
        <v>1.4880000000000002</v>
      </c>
      <c r="G214" s="20">
        <f>表2_36716262930[[#This Row],[单位净值]]/$F$21-1</f>
        <v>7.3593073593073877E-2</v>
      </c>
    </row>
    <row r="215" spans="1:7" x14ac:dyDescent="0.2">
      <c r="A215" s="15">
        <v>43997</v>
      </c>
      <c r="B215" s="112">
        <v>1.5726</v>
      </c>
      <c r="C215" s="108">
        <f t="shared" si="57"/>
        <v>9.9999999999988987E-4</v>
      </c>
      <c r="D215" s="109" t="str">
        <f t="shared" si="58"/>
        <v>/</v>
      </c>
      <c r="E215" s="109">
        <f ca="1">IF(表2_36716262930[[#This Row],[累计净值]]/MAX(INDIRECT("B21:B" &amp; ROW()))-1&lt;E214,表2_36716262930[[#This Row],[累计净值]]/MAX(INDIRECT("B21:B" &amp; ROW()))-1,E214)</f>
        <v>-1.2011210463098942E-2</v>
      </c>
      <c r="F215" s="62">
        <f>表2_36716262930[[#This Row],[累计净值]]-0.0836</f>
        <v>1.4890000000000001</v>
      </c>
      <c r="G215" s="20">
        <f>表2_36716262930[[#This Row],[单位净值]]/$F$21-1</f>
        <v>7.4314574314574555E-2</v>
      </c>
    </row>
    <row r="216" spans="1:7" x14ac:dyDescent="0.2">
      <c r="A216" s="15">
        <v>43998</v>
      </c>
      <c r="B216" s="112">
        <v>1.5706</v>
      </c>
      <c r="C216" s="108">
        <f t="shared" si="57"/>
        <v>-2.0000000000000018E-3</v>
      </c>
      <c r="D216" s="109">
        <f t="shared" si="58"/>
        <v>-2.0000000000000018E-3</v>
      </c>
      <c r="E216" s="109">
        <f ca="1">IF(表2_36716262930[[#This Row],[累计净值]]/MAX(INDIRECT("B21:B" &amp; ROW()))-1&lt;E215,表2_36716262930[[#This Row],[累计净值]]/MAX(INDIRECT("B21:B" &amp; ROW()))-1,E215)</f>
        <v>-1.2011210463098942E-2</v>
      </c>
      <c r="F216" s="62">
        <f>表2_36716262930[[#This Row],[累计净值]]-0.0836</f>
        <v>1.4870000000000001</v>
      </c>
      <c r="G216" s="20">
        <f>表2_36716262930[[#This Row],[单位净值]]/$F$21-1</f>
        <v>7.2871572871572976E-2</v>
      </c>
    </row>
    <row r="217" spans="1:7" x14ac:dyDescent="0.2">
      <c r="A217" s="15">
        <v>43999</v>
      </c>
      <c r="B217" s="112">
        <v>1.5696000000000001</v>
      </c>
      <c r="C217" s="108">
        <f t="shared" si="57"/>
        <v>-9.9999999999988987E-4</v>
      </c>
      <c r="D217" s="109">
        <f t="shared" si="58"/>
        <v>-9.9999999999988987E-4</v>
      </c>
      <c r="E217" s="109">
        <f ca="1">IF(表2_36716262930[[#This Row],[累计净值]]/MAX(INDIRECT("B21:B" &amp; ROW()))-1&lt;E216,表2_36716262930[[#This Row],[累计净值]]/MAX(INDIRECT("B21:B" &amp; ROW()))-1,E216)</f>
        <v>-1.2011210463098942E-2</v>
      </c>
      <c r="F217" s="62">
        <f>表2_36716262930[[#This Row],[累计净值]]-0.0836</f>
        <v>1.4860000000000002</v>
      </c>
      <c r="G217" s="20">
        <f>表2_36716262930[[#This Row],[单位净值]]/$F$21-1</f>
        <v>7.2150072150072297E-2</v>
      </c>
    </row>
    <row r="218" spans="1:7" x14ac:dyDescent="0.2">
      <c r="A218" s="15">
        <v>44000</v>
      </c>
      <c r="B218" s="112">
        <v>1.5676000000000001</v>
      </c>
      <c r="C218" s="108">
        <f t="shared" si="57"/>
        <v>-2.0000000000000018E-3</v>
      </c>
      <c r="D218" s="109">
        <f t="shared" si="58"/>
        <v>-2.0000000000000018E-3</v>
      </c>
      <c r="E218" s="109">
        <f ca="1">IF(表2_36716262930[[#This Row],[累计净值]]/MAX(INDIRECT("B21:B" &amp; ROW()))-1&lt;E217,表2_36716262930[[#This Row],[累计净值]]/MAX(INDIRECT("B21:B" &amp; ROW()))-1,E217)</f>
        <v>-1.2011210463098942E-2</v>
      </c>
      <c r="F218" s="62">
        <f>表2_36716262930[[#This Row],[累计净值]]-0.0836</f>
        <v>1.4840000000000002</v>
      </c>
      <c r="G218" s="20">
        <f>表2_36716262930[[#This Row],[单位净值]]/$F$21-1</f>
        <v>7.070707070707094E-2</v>
      </c>
    </row>
    <row r="219" spans="1:7" x14ac:dyDescent="0.2">
      <c r="A219" s="15">
        <v>44001</v>
      </c>
      <c r="B219" s="112">
        <v>1.5536000000000001</v>
      </c>
      <c r="C219" s="108">
        <f t="shared" ref="C219:C224" si="59">IFERROR(B219-B218,0)</f>
        <v>-1.4000000000000012E-2</v>
      </c>
      <c r="D219" s="109">
        <f t="shared" ref="D219:D224" si="60">IF(C219&lt;0,C219,"/")</f>
        <v>-1.4000000000000012E-2</v>
      </c>
      <c r="E219" s="109">
        <f ca="1">IF(表2_36716262930[[#This Row],[累计净值]]/MAX(INDIRECT("B21:B" &amp; ROW()))-1&lt;E218,表2_36716262930[[#This Row],[累计净值]]/MAX(INDIRECT("B21:B" &amp; ROW()))-1,E218)</f>
        <v>-1.2081902581711712E-2</v>
      </c>
      <c r="F219" s="62">
        <f>表2_36716262930[[#This Row],[累计净值]]-0.0836</f>
        <v>1.4700000000000002</v>
      </c>
      <c r="G219" s="20">
        <f>表2_36716262930[[#This Row],[单位净值]]/$F$21-1</f>
        <v>6.0606060606060774E-2</v>
      </c>
    </row>
    <row r="220" spans="1:7" x14ac:dyDescent="0.2">
      <c r="A220" s="15">
        <v>44004</v>
      </c>
      <c r="B220" s="112">
        <v>1.5416000000000001</v>
      </c>
      <c r="C220" s="108">
        <f t="shared" si="59"/>
        <v>-1.2000000000000011E-2</v>
      </c>
      <c r="D220" s="109">
        <f t="shared" si="60"/>
        <v>-1.2000000000000011E-2</v>
      </c>
      <c r="E220" s="109">
        <f ca="1">IF(表2_36716262930[[#This Row],[累计净值]]/MAX(INDIRECT("B21:B" &amp; ROW()))-1&lt;E219,表2_36716262930[[#This Row],[累计净值]]/MAX(INDIRECT("B21:B" &amp; ROW()))-1,E219)</f>
        <v>-1.9712577896477068E-2</v>
      </c>
      <c r="F220" s="62">
        <f>表2_36716262930[[#This Row],[累计净值]]-0.0836</f>
        <v>1.4580000000000002</v>
      </c>
      <c r="G220" s="20">
        <f>表2_36716262930[[#This Row],[单位净值]]/$F$21-1</f>
        <v>5.1948051948052187E-2</v>
      </c>
    </row>
    <row r="221" spans="1:7" x14ac:dyDescent="0.2">
      <c r="A221" s="15">
        <v>44005</v>
      </c>
      <c r="B221" s="112">
        <v>1.5426</v>
      </c>
      <c r="C221" s="108">
        <f t="shared" si="59"/>
        <v>9.9999999999988987E-4</v>
      </c>
      <c r="D221" s="109" t="str">
        <f t="shared" si="60"/>
        <v>/</v>
      </c>
      <c r="E221" s="109">
        <f ca="1">IF(表2_36716262930[[#This Row],[累计净值]]/MAX(INDIRECT("B21:B" &amp; ROW()))-1&lt;E220,表2_36716262930[[#This Row],[累计净值]]/MAX(INDIRECT("B21:B" &amp; ROW()))-1,E220)</f>
        <v>-1.9712577896477068E-2</v>
      </c>
      <c r="F221" s="62">
        <f>表2_36716262930[[#This Row],[累计净值]]-0.0836</f>
        <v>1.4590000000000001</v>
      </c>
      <c r="G221" s="20">
        <f>表2_36716262930[[#This Row],[单位净值]]/$F$21-1</f>
        <v>5.2669552669552866E-2</v>
      </c>
    </row>
    <row r="222" spans="1:7" x14ac:dyDescent="0.2">
      <c r="A222" s="15">
        <v>44006</v>
      </c>
      <c r="B222" s="112">
        <v>1.5426</v>
      </c>
      <c r="C222" s="108">
        <f t="shared" si="59"/>
        <v>0</v>
      </c>
      <c r="D222" s="109" t="str">
        <f t="shared" si="60"/>
        <v>/</v>
      </c>
      <c r="E222" s="109">
        <f ca="1">IF(表2_36716262930[[#This Row],[累计净值]]/MAX(INDIRECT("B21:B" &amp; ROW()))-1&lt;E221,表2_36716262930[[#This Row],[累计净值]]/MAX(INDIRECT("B21:B" &amp; ROW()))-1,E221)</f>
        <v>-1.9712577896477068E-2</v>
      </c>
      <c r="F222" s="62">
        <f>表2_36716262930[[#This Row],[累计净值]]-0.0836</f>
        <v>1.4590000000000001</v>
      </c>
      <c r="G222" s="20">
        <f>表2_36716262930[[#This Row],[单位净值]]/$F$21-1</f>
        <v>5.2669552669552866E-2</v>
      </c>
    </row>
    <row r="223" spans="1:7" x14ac:dyDescent="0.2">
      <c r="A223" s="15">
        <v>44011</v>
      </c>
      <c r="B223" s="112">
        <v>1.5436000000000001</v>
      </c>
      <c r="C223" s="108">
        <f t="shared" si="59"/>
        <v>1.0000000000001119E-3</v>
      </c>
      <c r="D223" s="109" t="str">
        <f t="shared" si="60"/>
        <v>/</v>
      </c>
      <c r="E223" s="109">
        <f ca="1">IF(表2_36716262930[[#This Row],[累计净值]]/MAX(INDIRECT("B21:B" &amp; ROW()))-1&lt;E222,表2_36716262930[[#This Row],[累计净值]]/MAX(INDIRECT("B21:B" &amp; ROW()))-1,E222)</f>
        <v>-1.9712577896477068E-2</v>
      </c>
      <c r="F223" s="62">
        <f>表2_36716262930[[#This Row],[累计净值]]-0.0836</f>
        <v>1.4600000000000002</v>
      </c>
      <c r="G223" s="20">
        <f>表2_36716262930[[#This Row],[单位净值]]/$F$21-1</f>
        <v>5.3391053391053545E-2</v>
      </c>
    </row>
    <row r="224" spans="1:7" x14ac:dyDescent="0.2">
      <c r="A224" s="15">
        <v>44012</v>
      </c>
      <c r="B224" s="112">
        <v>1.5446</v>
      </c>
      <c r="C224" s="108">
        <f t="shared" si="59"/>
        <v>9.9999999999988987E-4</v>
      </c>
      <c r="D224" s="109" t="str">
        <f t="shared" si="60"/>
        <v>/</v>
      </c>
      <c r="E224" s="109">
        <f ca="1">IF(表2_36716262930[[#This Row],[累计净值]]/MAX(INDIRECT("B21:B" &amp; ROW()))-1&lt;E223,表2_36716262930[[#This Row],[累计净值]]/MAX(INDIRECT("B21:B" &amp; ROW()))-1,E223)</f>
        <v>-1.9712577896477068E-2</v>
      </c>
      <c r="F224" s="62">
        <f>表2_36716262930[[#This Row],[累计净值]]-0.0836</f>
        <v>1.4610000000000001</v>
      </c>
      <c r="G224" s="20">
        <f>表2_36716262930[[#This Row],[单位净值]]/$F$21-1</f>
        <v>5.4112554112554223E-2</v>
      </c>
    </row>
    <row r="225" spans="1:7" x14ac:dyDescent="0.2">
      <c r="A225" s="15">
        <v>44013</v>
      </c>
      <c r="B225" s="112">
        <v>1.5446</v>
      </c>
      <c r="C225" s="108">
        <f>IFERROR(B225-B224,0)</f>
        <v>0</v>
      </c>
      <c r="D225" s="109" t="str">
        <f>IF(C225&lt;0,C225,"/")</f>
        <v>/</v>
      </c>
      <c r="E225" s="109">
        <f ca="1">IF(表2_36716262930[[#This Row],[累计净值]]/MAX(INDIRECT("B21:B" &amp; ROW()))-1&lt;E224,表2_36716262930[[#This Row],[累计净值]]/MAX(INDIRECT("B21:B" &amp; ROW()))-1,E224)</f>
        <v>-1.9712577896477068E-2</v>
      </c>
      <c r="F225" s="62">
        <f>表2_36716262930[[#This Row],[累计净值]]-0.0836</f>
        <v>1.4610000000000001</v>
      </c>
      <c r="G225" s="20">
        <f>表2_36716262930[[#This Row],[单位净值]]/$F$21-1</f>
        <v>5.4112554112554223E-2</v>
      </c>
    </row>
    <row r="226" spans="1:7" x14ac:dyDescent="0.2">
      <c r="A226" s="15">
        <v>44014</v>
      </c>
      <c r="B226" s="112">
        <v>1.5416000000000001</v>
      </c>
      <c r="C226" s="108">
        <f>IFERROR(B226-B225,0)</f>
        <v>-2.9999999999998916E-3</v>
      </c>
      <c r="D226" s="109">
        <f>IF(C226&lt;0,C226,"/")</f>
        <v>-2.9999999999998916E-3</v>
      </c>
      <c r="E226" s="109">
        <f ca="1">IF(表2_36716262930[[#This Row],[累计净值]]/MAX(INDIRECT("B21:B" &amp; ROW()))-1&lt;E225,表2_36716262930[[#This Row],[累计净值]]/MAX(INDIRECT("B21:B" &amp; ROW()))-1,E225)</f>
        <v>-1.9712577896477068E-2</v>
      </c>
      <c r="F226" s="62">
        <f>表2_36716262930[[#This Row],[累计净值]]-0.0836</f>
        <v>1.4580000000000002</v>
      </c>
      <c r="G226" s="20">
        <f>表2_36716262930[[#This Row],[单位净值]]/$F$21-1</f>
        <v>5.1948051948052187E-2</v>
      </c>
    </row>
    <row r="227" spans="1:7" x14ac:dyDescent="0.2">
      <c r="A227" s="15">
        <v>44015</v>
      </c>
      <c r="B227" s="112">
        <v>1.5396000000000001</v>
      </c>
      <c r="C227" s="108">
        <f>IFERROR(B227-B226,0)</f>
        <v>-2.0000000000000018E-3</v>
      </c>
      <c r="D227" s="109">
        <f>IF(C227&lt;0,C227,"/")</f>
        <v>-2.0000000000000018E-3</v>
      </c>
      <c r="E227" s="109">
        <f ca="1">IF(表2_36716262930[[#This Row],[累计净值]]/MAX(INDIRECT("B21:B" &amp; ROW()))-1&lt;E226,表2_36716262930[[#This Row],[累计净值]]/MAX(INDIRECT("B21:B" &amp; ROW()))-1,E226)</f>
        <v>-2.0984357115604646E-2</v>
      </c>
      <c r="F227" s="62">
        <f>表2_36716262930[[#This Row],[累计净值]]-0.0836</f>
        <v>1.4560000000000002</v>
      </c>
      <c r="G227" s="20">
        <f>表2_36716262930[[#This Row],[单位净值]]/$F$21-1</f>
        <v>5.0505050505050608E-2</v>
      </c>
    </row>
    <row r="228" spans="1:7" x14ac:dyDescent="0.2">
      <c r="A228" s="15">
        <v>44018</v>
      </c>
      <c r="B228" s="112">
        <v>1.5386</v>
      </c>
      <c r="C228" s="108">
        <f>IFERROR(B228-B227,0)</f>
        <v>-1.0000000000001119E-3</v>
      </c>
      <c r="D228" s="109">
        <f>IF(C228&lt;0,C228,"/")</f>
        <v>-1.0000000000001119E-3</v>
      </c>
      <c r="E228" s="109">
        <f ca="1">IF(表2_36716262930[[#This Row],[累计净值]]/MAX(INDIRECT("B21:B" &amp; ROW()))-1&lt;E227,表2_36716262930[[#This Row],[累计净值]]/MAX(INDIRECT("B21:B" &amp; ROW()))-1,E227)</f>
        <v>-2.162024672516849E-2</v>
      </c>
      <c r="F228" s="62">
        <f>表2_36716262930[[#This Row],[累计净值]]-0.0836</f>
        <v>1.4550000000000001</v>
      </c>
      <c r="G228" s="20">
        <f>表2_36716262930[[#This Row],[单位净值]]/$F$21-1</f>
        <v>4.978354978354993E-2</v>
      </c>
    </row>
    <row r="229" spans="1:7" x14ac:dyDescent="0.2">
      <c r="A229" s="15">
        <v>44019</v>
      </c>
      <c r="B229" s="112">
        <v>1.5416000000000001</v>
      </c>
      <c r="C229" s="108">
        <f t="shared" ref="C229:C234" si="61">IFERROR(B229-B228,0)</f>
        <v>3.0000000000001137E-3</v>
      </c>
      <c r="D229" s="109" t="str">
        <f t="shared" ref="D229:D234" si="62">IF(C229&lt;0,C229,"/")</f>
        <v>/</v>
      </c>
      <c r="E229" s="109">
        <f ca="1">IF(表2_36716262930[[#This Row],[累计净值]]/MAX(INDIRECT("B21:B" &amp; ROW()))-1&lt;E228,表2_36716262930[[#This Row],[累计净值]]/MAX(INDIRECT("B21:B" &amp; ROW()))-1,E228)</f>
        <v>-2.162024672516849E-2</v>
      </c>
      <c r="F229" s="62">
        <f>表2_36716262930[[#This Row],[累计净值]]-0.0836</f>
        <v>1.4580000000000002</v>
      </c>
      <c r="G229" s="20">
        <f>表2_36716262930[[#This Row],[单位净值]]/$F$21-1</f>
        <v>5.1948051948052187E-2</v>
      </c>
    </row>
    <row r="230" spans="1:7" x14ac:dyDescent="0.2">
      <c r="A230" s="15">
        <v>44020</v>
      </c>
      <c r="B230" s="112">
        <v>1.5416000000000001</v>
      </c>
      <c r="C230" s="108">
        <f t="shared" si="61"/>
        <v>0</v>
      </c>
      <c r="D230" s="109" t="str">
        <f t="shared" si="62"/>
        <v>/</v>
      </c>
      <c r="E230" s="109">
        <f ca="1">IF(表2_36716262930[[#This Row],[累计净值]]/MAX(INDIRECT("B21:B" &amp; ROW()))-1&lt;E229,表2_36716262930[[#This Row],[累计净值]]/MAX(INDIRECT("B21:B" &amp; ROW()))-1,E229)</f>
        <v>-2.162024672516849E-2</v>
      </c>
      <c r="F230" s="62">
        <f>表2_36716262930[[#This Row],[累计净值]]-0.0836</f>
        <v>1.4580000000000002</v>
      </c>
      <c r="G230" s="20">
        <f>表2_36716262930[[#This Row],[单位净值]]/$F$21-1</f>
        <v>5.1948051948052187E-2</v>
      </c>
    </row>
    <row r="231" spans="1:7" x14ac:dyDescent="0.2">
      <c r="A231" s="15">
        <v>44021</v>
      </c>
      <c r="B231" s="112">
        <v>1.5416000000000001</v>
      </c>
      <c r="C231" s="108">
        <f t="shared" si="61"/>
        <v>0</v>
      </c>
      <c r="D231" s="109" t="str">
        <f t="shared" si="62"/>
        <v>/</v>
      </c>
      <c r="E231" s="109">
        <f ca="1">IF(表2_36716262930[[#This Row],[累计净值]]/MAX(INDIRECT("B21:B" &amp; ROW()))-1&lt;E230,表2_36716262930[[#This Row],[累计净值]]/MAX(INDIRECT("B21:B" &amp; ROW()))-1,E230)</f>
        <v>-2.162024672516849E-2</v>
      </c>
      <c r="F231" s="62">
        <f>表2_36716262930[[#This Row],[累计净值]]-0.0836</f>
        <v>1.4580000000000002</v>
      </c>
      <c r="G231" s="20">
        <f>表2_36716262930[[#This Row],[单位净值]]/$F$21-1</f>
        <v>5.1948051948052187E-2</v>
      </c>
    </row>
    <row r="232" spans="1:7" x14ac:dyDescent="0.2">
      <c r="A232" s="15">
        <v>44022</v>
      </c>
      <c r="B232" s="112">
        <v>1.5426</v>
      </c>
      <c r="C232" s="108">
        <f t="shared" si="61"/>
        <v>9.9999999999988987E-4</v>
      </c>
      <c r="D232" s="109" t="str">
        <f t="shared" si="62"/>
        <v>/</v>
      </c>
      <c r="E232" s="109">
        <f ca="1">IF(表2_36716262930[[#This Row],[累计净值]]/MAX(INDIRECT("B21:B" &amp; ROW()))-1&lt;E231,表2_36716262930[[#This Row],[累计净值]]/MAX(INDIRECT("B21:B" &amp; ROW()))-1,E231)</f>
        <v>-2.162024672516849E-2</v>
      </c>
      <c r="F232" s="62">
        <f>表2_36716262930[[#This Row],[累计净值]]-0.0836</f>
        <v>1.4590000000000001</v>
      </c>
      <c r="G232" s="20">
        <f>表2_36716262930[[#This Row],[单位净值]]/$F$21-1</f>
        <v>5.2669552669552866E-2</v>
      </c>
    </row>
    <row r="233" spans="1:7" x14ac:dyDescent="0.2">
      <c r="A233" s="15">
        <v>44025</v>
      </c>
      <c r="B233" s="112">
        <v>1.5476000000000001</v>
      </c>
      <c r="C233" s="108">
        <f t="shared" si="61"/>
        <v>5.0000000000001155E-3</v>
      </c>
      <c r="D233" s="109" t="str">
        <f t="shared" si="62"/>
        <v>/</v>
      </c>
      <c r="E233" s="109">
        <f ca="1">IF(表2_36716262930[[#This Row],[累计净值]]/MAX(INDIRECT("B21:B" &amp; ROW()))-1&lt;E232,表2_36716262930[[#This Row],[累计净值]]/MAX(INDIRECT("B21:B" &amp; ROW()))-1,E232)</f>
        <v>-2.162024672516849E-2</v>
      </c>
      <c r="F233" s="62">
        <f>表2_36716262930[[#This Row],[累计净值]]-0.0836</f>
        <v>1.4640000000000002</v>
      </c>
      <c r="G233" s="20">
        <f>表2_36716262930[[#This Row],[单位净值]]/$F$21-1</f>
        <v>5.6277056277056481E-2</v>
      </c>
    </row>
    <row r="234" spans="1:7" x14ac:dyDescent="0.2">
      <c r="A234" s="15">
        <v>44026</v>
      </c>
      <c r="B234" s="112">
        <v>1.5486</v>
      </c>
      <c r="C234" s="108">
        <f t="shared" si="61"/>
        <v>9.9999999999988987E-4</v>
      </c>
      <c r="D234" s="109" t="str">
        <f t="shared" si="62"/>
        <v>/</v>
      </c>
      <c r="E234" s="109">
        <f ca="1">IF(表2_36716262930[[#This Row],[累计净值]]/MAX(INDIRECT("B21:B" &amp; ROW()))-1&lt;E233,表2_36716262930[[#This Row],[累计净值]]/MAX(INDIRECT("B21:B" &amp; ROW()))-1,E233)</f>
        <v>-2.162024672516849E-2</v>
      </c>
      <c r="F234" s="62">
        <f>表2_36716262930[[#This Row],[累计净值]]-0.0836</f>
        <v>1.4650000000000001</v>
      </c>
      <c r="G234" s="20">
        <f>表2_36716262930[[#This Row],[单位净值]]/$F$21-1</f>
        <v>5.6998556998557159E-2</v>
      </c>
    </row>
    <row r="235" spans="1:7" x14ac:dyDescent="0.2">
      <c r="A235" s="15">
        <v>44027</v>
      </c>
      <c r="B235" s="112">
        <v>1.5486</v>
      </c>
      <c r="C235" s="108">
        <f t="shared" ref="C235:C252" si="63">IFERROR(B235-B234,0)</f>
        <v>0</v>
      </c>
      <c r="D235" s="109" t="str">
        <f t="shared" ref="D235:D252" si="64">IF(C235&lt;0,C235,"/")</f>
        <v>/</v>
      </c>
      <c r="E235" s="109">
        <f ca="1">IF(表2_36716262930[[#This Row],[累计净值]]/MAX(INDIRECT("B21:B" &amp; ROW()))-1&lt;E234,表2_36716262930[[#This Row],[累计净值]]/MAX(INDIRECT("B21:B" &amp; ROW()))-1,E234)</f>
        <v>-2.162024672516849E-2</v>
      </c>
      <c r="F235" s="62">
        <f>表2_36716262930[[#This Row],[累计净值]]-0.0836</f>
        <v>1.4650000000000001</v>
      </c>
      <c r="G235" s="20">
        <f>表2_36716262930[[#This Row],[单位净值]]/$F$21-1</f>
        <v>5.6998556998557159E-2</v>
      </c>
    </row>
    <row r="236" spans="1:7" x14ac:dyDescent="0.2">
      <c r="A236" s="15">
        <v>44028</v>
      </c>
      <c r="B236" s="112">
        <v>1.5536000000000001</v>
      </c>
      <c r="C236" s="108">
        <f t="shared" si="63"/>
        <v>5.0000000000001155E-3</v>
      </c>
      <c r="D236" s="109" t="str">
        <f t="shared" si="64"/>
        <v>/</v>
      </c>
      <c r="E236" s="109">
        <f ca="1">IF(表2_36716262930[[#This Row],[累计净值]]/MAX(INDIRECT("B21:B" &amp; ROW()))-1&lt;E235,表2_36716262930[[#This Row],[累计净值]]/MAX(INDIRECT("B21:B" &amp; ROW()))-1,E235)</f>
        <v>-2.162024672516849E-2</v>
      </c>
      <c r="F236" s="62">
        <f>表2_36716262930[[#This Row],[累计净值]]-0.0836</f>
        <v>1.4700000000000002</v>
      </c>
      <c r="G236" s="20">
        <f>表2_36716262930[[#This Row],[单位净值]]/$F$21-1</f>
        <v>6.0606060606060774E-2</v>
      </c>
    </row>
    <row r="237" spans="1:7" x14ac:dyDescent="0.2">
      <c r="A237" s="15">
        <v>44029</v>
      </c>
      <c r="B237" s="112">
        <v>1.5566</v>
      </c>
      <c r="C237" s="108">
        <f t="shared" si="63"/>
        <v>2.9999999999998916E-3</v>
      </c>
      <c r="D237" s="109" t="str">
        <f t="shared" si="64"/>
        <v>/</v>
      </c>
      <c r="E237" s="109">
        <f ca="1">IF(表2_36716262930[[#This Row],[累计净值]]/MAX(INDIRECT("B21:B" &amp; ROW()))-1&lt;E236,表2_36716262930[[#This Row],[累计净值]]/MAX(INDIRECT("B21:B" &amp; ROW()))-1,E236)</f>
        <v>-2.162024672516849E-2</v>
      </c>
      <c r="F237" s="62">
        <f>表2_36716262930[[#This Row],[累计净值]]-0.0836</f>
        <v>1.4730000000000001</v>
      </c>
      <c r="G237" s="20">
        <f>表2_36716262930[[#This Row],[单位净值]]/$F$21-1</f>
        <v>6.277056277056281E-2</v>
      </c>
    </row>
    <row r="238" spans="1:7" x14ac:dyDescent="0.2">
      <c r="A238" s="15">
        <v>44032</v>
      </c>
      <c r="B238" s="112">
        <v>1.5556000000000001</v>
      </c>
      <c r="C238" s="108">
        <f t="shared" si="63"/>
        <v>-9.9999999999988987E-4</v>
      </c>
      <c r="D238" s="109">
        <f t="shared" si="64"/>
        <v>-9.9999999999988987E-4</v>
      </c>
      <c r="E238" s="109">
        <f ca="1">IF(表2_36716262930[[#This Row],[累计净值]]/MAX(INDIRECT("B21:B" &amp; ROW()))-1&lt;E237,表2_36716262930[[#This Row],[累计净值]]/MAX(INDIRECT("B21:B" &amp; ROW()))-1,E237)</f>
        <v>-2.162024672516849E-2</v>
      </c>
      <c r="F238" s="62">
        <f>表2_36716262930[[#This Row],[累计净值]]-0.0836</f>
        <v>1.4720000000000002</v>
      </c>
      <c r="G238" s="20">
        <f>表2_36716262930[[#This Row],[单位净值]]/$F$21-1</f>
        <v>6.2049062049062353E-2</v>
      </c>
    </row>
    <row r="239" spans="1:7" x14ac:dyDescent="0.2">
      <c r="A239" s="15">
        <v>44033</v>
      </c>
      <c r="B239" s="112">
        <v>1.5566</v>
      </c>
      <c r="C239" s="108">
        <f t="shared" si="63"/>
        <v>9.9999999999988987E-4</v>
      </c>
      <c r="D239" s="109" t="str">
        <f t="shared" si="64"/>
        <v>/</v>
      </c>
      <c r="E239" s="109">
        <f ca="1">IF(表2_36716262930[[#This Row],[累计净值]]/MAX(INDIRECT("B21:B" &amp; ROW()))-1&lt;E238,表2_36716262930[[#This Row],[累计净值]]/MAX(INDIRECT("B21:B" &amp; ROW()))-1,E238)</f>
        <v>-2.162024672516849E-2</v>
      </c>
      <c r="F239" s="62">
        <f>表2_36716262930[[#This Row],[累计净值]]-0.0836</f>
        <v>1.4730000000000001</v>
      </c>
      <c r="G239" s="20">
        <f>表2_36716262930[[#This Row],[单位净值]]/$F$21-1</f>
        <v>6.277056277056281E-2</v>
      </c>
    </row>
    <row r="240" spans="1:7" x14ac:dyDescent="0.2">
      <c r="A240" s="15">
        <v>44034</v>
      </c>
      <c r="B240" s="112">
        <v>1.5566</v>
      </c>
      <c r="C240" s="108">
        <f t="shared" si="63"/>
        <v>0</v>
      </c>
      <c r="D240" s="109" t="str">
        <f t="shared" si="64"/>
        <v>/</v>
      </c>
      <c r="E240" s="109">
        <f ca="1">IF(表2_36716262930[[#This Row],[累计净值]]/MAX(INDIRECT("B21:B" &amp; ROW()))-1&lt;E239,表2_36716262930[[#This Row],[累计净值]]/MAX(INDIRECT("B21:B" &amp; ROW()))-1,E239)</f>
        <v>-2.162024672516849E-2</v>
      </c>
      <c r="F240" s="62">
        <f>表2_36716262930[[#This Row],[累计净值]]-0.0836</f>
        <v>1.4730000000000001</v>
      </c>
      <c r="G240" s="20">
        <f>表2_36716262930[[#This Row],[单位净值]]/$F$21-1</f>
        <v>6.277056277056281E-2</v>
      </c>
    </row>
    <row r="241" spans="1:7" x14ac:dyDescent="0.2">
      <c r="A241" s="15">
        <v>44035</v>
      </c>
      <c r="B241" s="112">
        <v>1.5576000000000001</v>
      </c>
      <c r="C241" s="108">
        <f t="shared" si="63"/>
        <v>1.0000000000001119E-3</v>
      </c>
      <c r="D241" s="109" t="str">
        <f t="shared" si="64"/>
        <v>/</v>
      </c>
      <c r="E241" s="109">
        <f ca="1">IF(表2_36716262930[[#This Row],[累计净值]]/MAX(INDIRECT("B21:B" &amp; ROW()))-1&lt;E240,表2_36716262930[[#This Row],[累计净值]]/MAX(INDIRECT("B21:B" &amp; ROW()))-1,E240)</f>
        <v>-2.162024672516849E-2</v>
      </c>
      <c r="F241" s="62">
        <f>表2_36716262930[[#This Row],[累计净值]]-0.0836</f>
        <v>1.4740000000000002</v>
      </c>
      <c r="G241" s="20">
        <f>表2_36716262930[[#This Row],[单位净值]]/$F$21-1</f>
        <v>6.3492063492063711E-2</v>
      </c>
    </row>
    <row r="242" spans="1:7" x14ac:dyDescent="0.2">
      <c r="A242" s="15">
        <v>44036</v>
      </c>
      <c r="B242" s="112">
        <v>1.5566</v>
      </c>
      <c r="C242" s="108">
        <f t="shared" si="63"/>
        <v>-1.0000000000001119E-3</v>
      </c>
      <c r="D242" s="109">
        <f t="shared" si="64"/>
        <v>-1.0000000000001119E-3</v>
      </c>
      <c r="E242" s="109">
        <f ca="1">IF(表2_36716262930[[#This Row],[累计净值]]/MAX(INDIRECT("B21:B" &amp; ROW()))-1&lt;E241,表2_36716262930[[#This Row],[累计净值]]/MAX(INDIRECT("B21:B" &amp; ROW()))-1,E241)</f>
        <v>-2.162024672516849E-2</v>
      </c>
      <c r="F242" s="62">
        <f>表2_36716262930[[#This Row],[累计净值]]-0.0836</f>
        <v>1.4730000000000001</v>
      </c>
      <c r="G242" s="20">
        <f>表2_36716262930[[#This Row],[单位净值]]/$F$21-1</f>
        <v>6.277056277056281E-2</v>
      </c>
    </row>
    <row r="243" spans="1:7" x14ac:dyDescent="0.2">
      <c r="A243" s="15">
        <v>44039</v>
      </c>
      <c r="B243" s="112">
        <v>1.5576000000000001</v>
      </c>
      <c r="C243" s="108">
        <f t="shared" si="63"/>
        <v>1.0000000000001119E-3</v>
      </c>
      <c r="D243" s="109" t="str">
        <f t="shared" si="64"/>
        <v>/</v>
      </c>
      <c r="E243" s="109">
        <f ca="1">IF(表2_36716262930[[#This Row],[累计净值]]/MAX(INDIRECT("B21:B" &amp; ROW()))-1&lt;E242,表2_36716262930[[#This Row],[累计净值]]/MAX(INDIRECT("B21:B" &amp; ROW()))-1,E242)</f>
        <v>-2.162024672516849E-2</v>
      </c>
      <c r="F243" s="62">
        <f>表2_36716262930[[#This Row],[累计净值]]-0.0836</f>
        <v>1.4740000000000002</v>
      </c>
      <c r="G243" s="20">
        <f>表2_36716262930[[#This Row],[单位净值]]/$F$21-1</f>
        <v>6.3492063492063711E-2</v>
      </c>
    </row>
    <row r="244" spans="1:7" x14ac:dyDescent="0.2">
      <c r="A244" s="15">
        <v>44040</v>
      </c>
      <c r="B244" s="112">
        <v>1.5576000000000001</v>
      </c>
      <c r="C244" s="108">
        <f t="shared" si="63"/>
        <v>0</v>
      </c>
      <c r="D244" s="109" t="str">
        <f t="shared" si="64"/>
        <v>/</v>
      </c>
      <c r="E244" s="109">
        <f ca="1">IF(表2_36716262930[[#This Row],[累计净值]]/MAX(INDIRECT("B21:B" &amp; ROW()))-1&lt;E243,表2_36716262930[[#This Row],[累计净值]]/MAX(INDIRECT("B21:B" &amp; ROW()))-1,E243)</f>
        <v>-2.162024672516849E-2</v>
      </c>
      <c r="F244" s="62">
        <f>表2_36716262930[[#This Row],[累计净值]]-0.0836</f>
        <v>1.4740000000000002</v>
      </c>
      <c r="G244" s="20">
        <f>表2_36716262930[[#This Row],[单位净值]]/$F$21-1</f>
        <v>6.3492063492063711E-2</v>
      </c>
    </row>
    <row r="245" spans="1:7" x14ac:dyDescent="0.2">
      <c r="A245" s="15">
        <v>44041</v>
      </c>
      <c r="B245" s="112">
        <v>1.5566</v>
      </c>
      <c r="C245" s="108">
        <f t="shared" si="63"/>
        <v>-1.0000000000001119E-3</v>
      </c>
      <c r="D245" s="109">
        <f t="shared" si="64"/>
        <v>-1.0000000000001119E-3</v>
      </c>
      <c r="E245" s="109">
        <f ca="1">IF(表2_36716262930[[#This Row],[累计净值]]/MAX(INDIRECT("B21:B" &amp; ROW()))-1&lt;E244,表2_36716262930[[#This Row],[累计净值]]/MAX(INDIRECT("B21:B" &amp; ROW()))-1,E244)</f>
        <v>-2.162024672516849E-2</v>
      </c>
      <c r="F245" s="62">
        <f>表2_36716262930[[#This Row],[累计净值]]-0.0836</f>
        <v>1.4730000000000001</v>
      </c>
      <c r="G245" s="20">
        <f>表2_36716262930[[#This Row],[单位净值]]/$F$21-1</f>
        <v>6.277056277056281E-2</v>
      </c>
    </row>
    <row r="246" spans="1:7" x14ac:dyDescent="0.2">
      <c r="A246" s="15">
        <v>44042</v>
      </c>
      <c r="B246" s="112">
        <v>1.5576000000000001</v>
      </c>
      <c r="C246" s="108">
        <f t="shared" si="63"/>
        <v>1.0000000000001119E-3</v>
      </c>
      <c r="D246" s="109" t="str">
        <f t="shared" si="64"/>
        <v>/</v>
      </c>
      <c r="E246" s="109">
        <f ca="1">IF(表2_36716262930[[#This Row],[累计净值]]/MAX(INDIRECT("B21:B" &amp; ROW()))-1&lt;E245,表2_36716262930[[#This Row],[累计净值]]/MAX(INDIRECT("B21:B" &amp; ROW()))-1,E245)</f>
        <v>-2.162024672516849E-2</v>
      </c>
      <c r="F246" s="62">
        <f>表2_36716262930[[#This Row],[累计净值]]-0.0836</f>
        <v>1.4740000000000002</v>
      </c>
      <c r="G246" s="20">
        <f>表2_36716262930[[#This Row],[单位净值]]/$F$21-1</f>
        <v>6.3492063492063711E-2</v>
      </c>
    </row>
    <row r="247" spans="1:7" x14ac:dyDescent="0.2">
      <c r="A247" s="15">
        <v>44043</v>
      </c>
      <c r="B247" s="112">
        <v>1.5596000000000001</v>
      </c>
      <c r="C247" s="108">
        <f t="shared" si="63"/>
        <v>2.0000000000000018E-3</v>
      </c>
      <c r="D247" s="109" t="str">
        <f t="shared" si="64"/>
        <v>/</v>
      </c>
      <c r="E247" s="109">
        <f ca="1">IF(表2_36716262930[[#This Row],[累计净值]]/MAX(INDIRECT("B21:B" &amp; ROW()))-1&lt;E246,表2_36716262930[[#This Row],[累计净值]]/MAX(INDIRECT("B21:B" &amp; ROW()))-1,E246)</f>
        <v>-2.162024672516849E-2</v>
      </c>
      <c r="F247" s="62">
        <f>表2_36716262930[[#This Row],[累计净值]]-0.0836</f>
        <v>1.4760000000000002</v>
      </c>
      <c r="G247" s="20">
        <f>表2_36716262930[[#This Row],[单位净值]]/$F$21-1</f>
        <v>6.4935064935065068E-2</v>
      </c>
    </row>
    <row r="248" spans="1:7" x14ac:dyDescent="0.2">
      <c r="A248" s="15">
        <v>44046</v>
      </c>
      <c r="B248" s="112">
        <v>1.5606</v>
      </c>
      <c r="C248" s="108">
        <f t="shared" si="63"/>
        <v>9.9999999999988987E-4</v>
      </c>
      <c r="D248" s="109" t="str">
        <f t="shared" si="64"/>
        <v>/</v>
      </c>
      <c r="E248" s="109">
        <f ca="1">IF(表2_36716262930[[#This Row],[累计净值]]/MAX(INDIRECT("B21:B" &amp; ROW()))-1&lt;E247,表2_36716262930[[#This Row],[累计净值]]/MAX(INDIRECT("B21:B" &amp; ROW()))-1,E247)</f>
        <v>-2.162024672516849E-2</v>
      </c>
      <c r="F248" s="62">
        <f>表2_36716262930[[#This Row],[累计净值]]-0.0836</f>
        <v>1.4770000000000001</v>
      </c>
      <c r="G248" s="20">
        <f>表2_36716262930[[#This Row],[单位净值]]/$F$21-1</f>
        <v>6.5656565656565746E-2</v>
      </c>
    </row>
    <row r="249" spans="1:7" x14ac:dyDescent="0.2">
      <c r="A249" s="15">
        <v>44047</v>
      </c>
      <c r="B249" s="112">
        <v>1.5596000000000001</v>
      </c>
      <c r="C249" s="108">
        <f t="shared" si="63"/>
        <v>-9.9999999999988987E-4</v>
      </c>
      <c r="D249" s="109">
        <f t="shared" si="64"/>
        <v>-9.9999999999988987E-4</v>
      </c>
      <c r="E249" s="109">
        <f ca="1">IF(表2_36716262930[[#This Row],[累计净值]]/MAX(INDIRECT("B21:B" &amp; ROW()))-1&lt;E248,表2_36716262930[[#This Row],[累计净值]]/MAX(INDIRECT("B21:B" &amp; ROW()))-1,E248)</f>
        <v>-2.162024672516849E-2</v>
      </c>
      <c r="F249" s="62">
        <f>表2_36716262930[[#This Row],[累计净值]]-0.0836</f>
        <v>1.4760000000000002</v>
      </c>
      <c r="G249" s="20">
        <f>表2_36716262930[[#This Row],[单位净值]]/$F$21-1</f>
        <v>6.4935064935065068E-2</v>
      </c>
    </row>
    <row r="250" spans="1:7" x14ac:dyDescent="0.2">
      <c r="A250" s="15">
        <v>44048</v>
      </c>
      <c r="B250" s="112">
        <v>1.5596000000000001</v>
      </c>
      <c r="C250" s="108">
        <f t="shared" si="63"/>
        <v>0</v>
      </c>
      <c r="D250" s="109" t="str">
        <f t="shared" si="64"/>
        <v>/</v>
      </c>
      <c r="E250" s="109">
        <f ca="1">IF(表2_36716262930[[#This Row],[累计净值]]/MAX(INDIRECT("B21:B" &amp; ROW()))-1&lt;E249,表2_36716262930[[#This Row],[累计净值]]/MAX(INDIRECT("B21:B" &amp; ROW()))-1,E249)</f>
        <v>-2.162024672516849E-2</v>
      </c>
      <c r="F250" s="62">
        <f>表2_36716262930[[#This Row],[累计净值]]-0.0836</f>
        <v>1.4760000000000002</v>
      </c>
      <c r="G250" s="20">
        <f>表2_36716262930[[#This Row],[单位净值]]/$F$21-1</f>
        <v>6.4935064935065068E-2</v>
      </c>
    </row>
    <row r="251" spans="1:7" x14ac:dyDescent="0.2">
      <c r="A251" s="15">
        <v>44049</v>
      </c>
      <c r="B251" s="63">
        <v>1.5596000000000001</v>
      </c>
      <c r="C251" s="64">
        <f t="shared" si="63"/>
        <v>0</v>
      </c>
      <c r="D251" s="65" t="str">
        <f t="shared" si="64"/>
        <v>/</v>
      </c>
      <c r="E251" s="65">
        <f ca="1">IF(表2_36716262930[[#This Row],[累计净值]]/MAX(INDIRECT("B21:B" &amp; ROW()))-1&lt;E250,表2_36716262930[[#This Row],[累计净值]]/MAX(INDIRECT("B21:B" &amp; ROW()))-1,E250)</f>
        <v>-2.162024672516849E-2</v>
      </c>
      <c r="F251" s="62">
        <f>表2_36716262930[[#This Row],[累计净值]]-0.0836</f>
        <v>1.4760000000000002</v>
      </c>
      <c r="G251" s="20">
        <f>表2_36716262930[[#This Row],[单位净值]]/$F$21-1</f>
        <v>6.4935064935065068E-2</v>
      </c>
    </row>
    <row r="252" spans="1:7" x14ac:dyDescent="0.2">
      <c r="A252" s="15">
        <v>44050</v>
      </c>
      <c r="B252" s="112">
        <v>1.5586</v>
      </c>
      <c r="C252" s="108">
        <f t="shared" si="63"/>
        <v>-1.0000000000001119E-3</v>
      </c>
      <c r="D252" s="109">
        <f t="shared" si="64"/>
        <v>-1.0000000000001119E-3</v>
      </c>
      <c r="E252" s="109">
        <f ca="1">IF(表2_36716262930[[#This Row],[累计净值]]/MAX(INDIRECT("B21:B" &amp; ROW()))-1&lt;E251,表2_36716262930[[#This Row],[累计净值]]/MAX(INDIRECT("B21:B" &amp; ROW()))-1,E251)</f>
        <v>-2.162024672516849E-2</v>
      </c>
      <c r="F252" s="62">
        <f>表2_36716262930[[#This Row],[累计净值]]-0.0836</f>
        <v>1.4750000000000001</v>
      </c>
      <c r="G252" s="20">
        <f>表2_36716262930[[#This Row],[单位净值]]/$F$21-1</f>
        <v>6.4213564213564389E-2</v>
      </c>
    </row>
  </sheetData>
  <mergeCells count="1">
    <mergeCell ref="G2:G3"/>
  </mergeCells>
  <phoneticPr fontId="24" type="noConversion"/>
  <pageMargins left="0.7" right="0.7" top="0.75" bottom="0.75" header="0.3" footer="0.3"/>
  <pageSetup paperSize="9" orientation="portrait" horizontalDpi="200" verticalDpi="200" r:id="rId1"/>
  <drawing r:id="rId2"/>
  <tableParts count="1">
    <tablePart r:id="rId3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1"/>
  </sheetPr>
  <dimension ref="A1:G107"/>
  <sheetViews>
    <sheetView workbookViewId="0">
      <pane xSplit="1" ySplit="20" topLeftCell="B100" activePane="bottomRight" state="frozen"/>
      <selection pane="topRight" activeCell="B1" sqref="B1"/>
      <selection pane="bottomLeft" activeCell="A21" sqref="A21"/>
      <selection pane="bottomRight" activeCell="H106" sqref="H106"/>
    </sheetView>
  </sheetViews>
  <sheetFormatPr defaultColWidth="9" defaultRowHeight="14.25" x14ac:dyDescent="0.2"/>
  <cols>
    <col min="1" max="1" width="11.625" style="1" bestFit="1" customWidth="1"/>
    <col min="2" max="2" width="13" style="1" customWidth="1"/>
    <col min="3" max="4" width="13.5" style="1" bestFit="1" customWidth="1"/>
    <col min="5" max="5" width="10.75" style="1" customWidth="1"/>
    <col min="6" max="6" width="11.125" style="1" customWidth="1"/>
    <col min="7" max="7" width="18.875" style="2" customWidth="1"/>
    <col min="8" max="8" width="14.25" style="1" customWidth="1"/>
    <col min="9" max="9" width="12" style="1" bestFit="1" customWidth="1"/>
    <col min="10" max="16384" width="9" style="1"/>
  </cols>
  <sheetData>
    <row r="1" spans="1:7" ht="15" thickBot="1" x14ac:dyDescent="0.25"/>
    <row r="2" spans="1:7" ht="15" thickBot="1" x14ac:dyDescent="0.25">
      <c r="A2" s="23" t="s">
        <v>0</v>
      </c>
      <c r="B2" s="24">
        <f>COUNT(表2_3671626293038912131415[每日盈亏])</f>
        <v>87</v>
      </c>
      <c r="C2" s="27"/>
      <c r="D2" s="3" t="s">
        <v>1</v>
      </c>
      <c r="E2" s="28"/>
      <c r="F2" s="1" t="s">
        <v>2</v>
      </c>
      <c r="G2" s="394" t="s">
        <v>3</v>
      </c>
    </row>
    <row r="3" spans="1:7" x14ac:dyDescent="0.2">
      <c r="A3" s="25" t="s">
        <v>4</v>
      </c>
      <c r="B3" s="26">
        <f>COUNTIF(表2_3671626293038912131415[每日盈亏],"&gt;0")</f>
        <v>44</v>
      </c>
      <c r="C3" s="29"/>
      <c r="D3" s="30" t="s">
        <v>5</v>
      </c>
      <c r="E3" s="31">
        <f>245^0.5*(B10-0.025/365)/E10</f>
        <v>-1.731133111335545</v>
      </c>
      <c r="G3" s="394"/>
    </row>
    <row r="4" spans="1:7" x14ac:dyDescent="0.2">
      <c r="A4" s="25" t="s">
        <v>6</v>
      </c>
      <c r="B4" s="26">
        <f>COUNTIF(表2_3671626293038912131415[每日盈亏],"&lt;0")</f>
        <v>36</v>
      </c>
      <c r="C4" s="29"/>
      <c r="D4" s="32" t="s">
        <v>7</v>
      </c>
      <c r="E4" s="31">
        <f ca="1">-B9/E8</f>
        <v>-2.1915954022988497</v>
      </c>
      <c r="G4" s="2">
        <f>LOOKUP(999^10,表2_3671626293038912131415[累计净值])</f>
        <v>0.92400000000000004</v>
      </c>
    </row>
    <row r="5" spans="1:7" x14ac:dyDescent="0.2">
      <c r="A5" s="25" t="s">
        <v>8</v>
      </c>
      <c r="B5" s="26">
        <f>B2-B3-B4</f>
        <v>7</v>
      </c>
      <c r="C5" s="29"/>
      <c r="D5" s="33" t="s">
        <v>9</v>
      </c>
      <c r="E5" s="4">
        <f>245^0.5*(B10-0.025/365)/E9</f>
        <v>-1.6096890183015105</v>
      </c>
    </row>
    <row r="6" spans="1:7" ht="15" thickBot="1" x14ac:dyDescent="0.25">
      <c r="A6" s="34"/>
      <c r="B6" s="35"/>
      <c r="C6" s="35"/>
      <c r="D6" s="35"/>
      <c r="E6" s="36"/>
    </row>
    <row r="7" spans="1:7" ht="15" thickBot="1" x14ac:dyDescent="0.25">
      <c r="A7" s="5" t="s">
        <v>10</v>
      </c>
      <c r="B7" s="35"/>
      <c r="C7" s="35"/>
      <c r="D7" s="3" t="s">
        <v>11</v>
      </c>
      <c r="E7" s="37"/>
    </row>
    <row r="8" spans="1:7" x14ac:dyDescent="0.2">
      <c r="A8" s="38" t="s">
        <v>12</v>
      </c>
      <c r="B8" s="39">
        <f>LOOKUP(999^10,表2_3671626293038912131415[累计净值])/$B$21-1</f>
        <v>-7.5999999999999956E-2</v>
      </c>
      <c r="C8" s="40"/>
      <c r="D8" s="30" t="s">
        <v>13</v>
      </c>
      <c r="E8" s="41">
        <f ca="1">MIN(表2_3671626293038912131415[最大回撤])</f>
        <v>-9.765625E-2</v>
      </c>
    </row>
    <row r="9" spans="1:7" x14ac:dyDescent="0.2">
      <c r="A9" s="25" t="s">
        <v>14</v>
      </c>
      <c r="B9" s="32">
        <f>B8*245/B2</f>
        <v>-0.21402298850574702</v>
      </c>
      <c r="C9" s="40"/>
      <c r="D9" s="33" t="s">
        <v>15</v>
      </c>
      <c r="E9" s="6">
        <f>STDEV(表2_3671626293038912131415[下跌幅度])</f>
        <v>9.1604740987726932E-3</v>
      </c>
    </row>
    <row r="10" spans="1:7" x14ac:dyDescent="0.2">
      <c r="A10" s="42" t="s">
        <v>16</v>
      </c>
      <c r="B10" s="43">
        <f>AVERAGE(表2_3671626293038912131415[每日盈亏])</f>
        <v>-8.7356321839080408E-4</v>
      </c>
      <c r="C10" s="44"/>
      <c r="D10" s="33" t="s">
        <v>17</v>
      </c>
      <c r="E10" s="6">
        <f>STDEV(表2_3671626293038912131415[每日盈亏])</f>
        <v>8.5178398256468401E-3</v>
      </c>
    </row>
    <row r="11" spans="1:7" x14ac:dyDescent="0.2">
      <c r="A11" s="7" t="s">
        <v>18</v>
      </c>
      <c r="B11" s="32">
        <f>B3/B2</f>
        <v>0.50574712643678166</v>
      </c>
      <c r="C11" s="40"/>
      <c r="D11" s="32" t="s">
        <v>19</v>
      </c>
      <c r="E11" s="41">
        <f>245^0.5*E10</f>
        <v>0.13332528210120903</v>
      </c>
    </row>
    <row r="12" spans="1:7" ht="15" thickBot="1" x14ac:dyDescent="0.25">
      <c r="A12" s="45" t="s">
        <v>20</v>
      </c>
      <c r="B12" s="46">
        <f>-(SUMIF(表2_3671626293038912131415[每日盈亏],"&gt;=0")/B3)/(SUMIF(表2_3671626293038912131415[每日盈亏],"&lt;0")/B4)</f>
        <v>0.56541019955654126</v>
      </c>
      <c r="C12" s="47"/>
      <c r="D12" s="48"/>
      <c r="E12" s="49"/>
    </row>
    <row r="14" spans="1:7" ht="28.5" x14ac:dyDescent="0.2">
      <c r="A14" s="50" t="s">
        <v>21</v>
      </c>
      <c r="B14" s="50" t="s">
        <v>14</v>
      </c>
      <c r="C14" s="51" t="s">
        <v>19</v>
      </c>
      <c r="D14" s="51" t="s">
        <v>13</v>
      </c>
      <c r="E14" s="51" t="s">
        <v>5</v>
      </c>
      <c r="F14" s="51" t="s">
        <v>7</v>
      </c>
    </row>
    <row r="15" spans="1:7" x14ac:dyDescent="0.2">
      <c r="A15" s="78">
        <f>B2</f>
        <v>87</v>
      </c>
      <c r="B15" s="53">
        <f>B9</f>
        <v>-0.21402298850574702</v>
      </c>
      <c r="C15" s="53">
        <f>E11</f>
        <v>0.13332528210120903</v>
      </c>
      <c r="D15" s="53">
        <f ca="1">E8</f>
        <v>-9.765625E-2</v>
      </c>
      <c r="E15" s="54">
        <f>E3</f>
        <v>-1.731133111335545</v>
      </c>
      <c r="F15" s="54">
        <f ca="1">E4</f>
        <v>-2.1915954022988497</v>
      </c>
    </row>
    <row r="19" spans="1:7" x14ac:dyDescent="0.2">
      <c r="A19" s="8"/>
      <c r="B19" s="1" t="s">
        <v>22</v>
      </c>
    </row>
    <row r="20" spans="1:7" ht="15.75" x14ac:dyDescent="0.2">
      <c r="A20" s="22" t="s">
        <v>23</v>
      </c>
      <c r="B20" s="22" t="s">
        <v>24</v>
      </c>
      <c r="C20" s="22" t="s">
        <v>25</v>
      </c>
      <c r="D20" s="22" t="s">
        <v>26</v>
      </c>
      <c r="E20" s="22" t="s">
        <v>27</v>
      </c>
      <c r="F20" s="22" t="s">
        <v>28</v>
      </c>
      <c r="G20" s="22" t="s">
        <v>29</v>
      </c>
    </row>
    <row r="21" spans="1:7" x14ac:dyDescent="0.2">
      <c r="A21" s="15">
        <v>43928</v>
      </c>
      <c r="B21" s="16">
        <v>1</v>
      </c>
      <c r="C21" s="11">
        <f t="shared" ref="C21:C50" si="0">IFERROR(B21-B20,0)</f>
        <v>0</v>
      </c>
      <c r="D21" s="12" t="str">
        <f t="shared" ref="D21:D50" si="1">IF(C21&lt;0,C21,"/")</f>
        <v>/</v>
      </c>
      <c r="E21" s="12">
        <f ca="1">IF(表2_3671626293038912131415[[#This Row],[累计净值]]/MAX(INDIRECT("B21:B" &amp; ROW()))-1&lt;E20,表2_3671626293038912131415[[#This Row],[累计净值]]/MAX(INDIRECT("B21:B" &amp; ROW()))-1,E20)</f>
        <v>0</v>
      </c>
      <c r="F21" s="13">
        <f>表2_3671626293038912131415[[#This Row],[累计净值]]</f>
        <v>1</v>
      </c>
      <c r="G21" s="14"/>
    </row>
    <row r="22" spans="1:7" x14ac:dyDescent="0.2">
      <c r="A22" s="15">
        <v>43929</v>
      </c>
      <c r="B22" s="16">
        <v>0.999</v>
      </c>
      <c r="C22" s="17">
        <f t="shared" si="0"/>
        <v>-1.0000000000000009E-3</v>
      </c>
      <c r="D22" s="18">
        <f t="shared" si="1"/>
        <v>-1.0000000000000009E-3</v>
      </c>
      <c r="E22" s="18">
        <f ca="1">IF(表2_3671626293038912131415[[#This Row],[累计净值]]/MAX(INDIRECT("B21:B" &amp; ROW()))-1&lt;E21,表2_3671626293038912131415[[#This Row],[累计净值]]/MAX(INDIRECT("B21:B" &amp; ROW()))-1,E21)</f>
        <v>-1.0000000000000009E-3</v>
      </c>
      <c r="F22" s="19">
        <f>表2_3671626293038912131415[[#This Row],[累计净值]]</f>
        <v>0.999</v>
      </c>
      <c r="G22" s="20"/>
    </row>
    <row r="23" spans="1:7" x14ac:dyDescent="0.2">
      <c r="A23" s="15">
        <v>43930</v>
      </c>
      <c r="B23" s="16">
        <v>0.999</v>
      </c>
      <c r="C23" s="73">
        <f t="shared" si="0"/>
        <v>0</v>
      </c>
      <c r="D23" s="18" t="str">
        <f t="shared" si="1"/>
        <v>/</v>
      </c>
      <c r="E23" s="18">
        <f ca="1">IF(表2_3671626293038912131415[[#This Row],[累计净值]]/MAX(INDIRECT("B21:B" &amp; ROW()))-1&lt;E22,表2_3671626293038912131415[[#This Row],[累计净值]]/MAX(INDIRECT("B21:B" &amp; ROW()))-1,E22)</f>
        <v>-1.0000000000000009E-3</v>
      </c>
      <c r="F23" s="62">
        <f>表2_3671626293038912131415[[#This Row],[累计净值]]</f>
        <v>0.999</v>
      </c>
      <c r="G23" s="20"/>
    </row>
    <row r="24" spans="1:7" x14ac:dyDescent="0.2">
      <c r="A24" s="15">
        <v>43931</v>
      </c>
      <c r="B24" s="16">
        <v>0.999</v>
      </c>
      <c r="C24" s="73">
        <f t="shared" si="0"/>
        <v>0</v>
      </c>
      <c r="D24" s="18" t="str">
        <f t="shared" si="1"/>
        <v>/</v>
      </c>
      <c r="E24" s="18">
        <f ca="1">IF(表2_3671626293038912131415[[#This Row],[累计净值]]/MAX(INDIRECT("B21:B" &amp; ROW()))-1&lt;E23,表2_3671626293038912131415[[#This Row],[累计净值]]/MAX(INDIRECT("B21:B" &amp; ROW()))-1,E23)</f>
        <v>-1.0000000000000009E-3</v>
      </c>
      <c r="F24" s="62">
        <f>表2_3671626293038912131415[[#This Row],[累计净值]]</f>
        <v>0.999</v>
      </c>
      <c r="G24" s="20"/>
    </row>
    <row r="25" spans="1:7" x14ac:dyDescent="0.2">
      <c r="A25" s="15">
        <v>43934</v>
      </c>
      <c r="B25" s="16">
        <v>1</v>
      </c>
      <c r="C25" s="73">
        <f t="shared" si="0"/>
        <v>1.0000000000000009E-3</v>
      </c>
      <c r="D25" s="18" t="str">
        <f t="shared" si="1"/>
        <v>/</v>
      </c>
      <c r="E25" s="18">
        <f ca="1">IF(表2_3671626293038912131415[[#This Row],[累计净值]]/MAX(INDIRECT("B21:B" &amp; ROW()))-1&lt;E24,表2_3671626293038912131415[[#This Row],[累计净值]]/MAX(INDIRECT("B21:B" &amp; ROW()))-1,E24)</f>
        <v>-1.0000000000000009E-3</v>
      </c>
      <c r="F25" s="62">
        <f>表2_3671626293038912131415[[#This Row],[累计净值]]</f>
        <v>1</v>
      </c>
      <c r="G25" s="20"/>
    </row>
    <row r="26" spans="1:7" x14ac:dyDescent="0.2">
      <c r="A26" s="15">
        <v>43935</v>
      </c>
      <c r="B26" s="96">
        <v>1</v>
      </c>
      <c r="C26" s="94">
        <f t="shared" si="0"/>
        <v>0</v>
      </c>
      <c r="D26" s="95" t="str">
        <f t="shared" si="1"/>
        <v>/</v>
      </c>
      <c r="E26" s="95">
        <f ca="1">IF(表2_3671626293038912131415[[#This Row],[累计净值]]/MAX(INDIRECT("B21:B" &amp; ROW()))-1&lt;E25,表2_3671626293038912131415[[#This Row],[累计净值]]/MAX(INDIRECT("B21:B" &amp; ROW()))-1,E25)</f>
        <v>-1.0000000000000009E-3</v>
      </c>
      <c r="F26" s="97">
        <f>表2_3671626293038912131415[[#This Row],[累计净值]]</f>
        <v>1</v>
      </c>
      <c r="G26" s="20"/>
    </row>
    <row r="27" spans="1:7" x14ac:dyDescent="0.2">
      <c r="A27" s="15">
        <v>43936</v>
      </c>
      <c r="B27" s="96">
        <v>0.998</v>
      </c>
      <c r="C27" s="94">
        <f t="shared" si="0"/>
        <v>-2.0000000000000018E-3</v>
      </c>
      <c r="D27" s="95">
        <f t="shared" si="1"/>
        <v>-2.0000000000000018E-3</v>
      </c>
      <c r="E27" s="95">
        <f ca="1">IF(表2_3671626293038912131415[[#This Row],[累计净值]]/MAX(INDIRECT("B21:B" &amp; ROW()))-1&lt;E26,表2_3671626293038912131415[[#This Row],[累计净值]]/MAX(INDIRECT("B21:B" &amp; ROW()))-1,E26)</f>
        <v>-2.0000000000000018E-3</v>
      </c>
      <c r="F27" s="97">
        <f>表2_3671626293038912131415[[#This Row],[累计净值]]</f>
        <v>0.998</v>
      </c>
      <c r="G27" s="20"/>
    </row>
    <row r="28" spans="1:7" x14ac:dyDescent="0.2">
      <c r="A28" s="15">
        <v>43937</v>
      </c>
      <c r="B28" s="96">
        <v>0.998</v>
      </c>
      <c r="C28" s="94">
        <f t="shared" si="0"/>
        <v>0</v>
      </c>
      <c r="D28" s="95" t="str">
        <f t="shared" si="1"/>
        <v>/</v>
      </c>
      <c r="E28" s="95">
        <f ca="1">IF(表2_3671626293038912131415[[#This Row],[累计净值]]/MAX(INDIRECT("B21:B" &amp; ROW()))-1&lt;E27,表2_3671626293038912131415[[#This Row],[累计净值]]/MAX(INDIRECT("B21:B" &amp; ROW()))-1,E27)</f>
        <v>-2.0000000000000018E-3</v>
      </c>
      <c r="F28" s="97">
        <f>表2_3671626293038912131415[[#This Row],[累计净值]]</f>
        <v>0.998</v>
      </c>
      <c r="G28" s="20"/>
    </row>
    <row r="29" spans="1:7" x14ac:dyDescent="0.2">
      <c r="A29" s="15">
        <v>43938</v>
      </c>
      <c r="B29" s="96">
        <v>1.0029999999999999</v>
      </c>
      <c r="C29" s="94">
        <f t="shared" si="0"/>
        <v>4.9999999999998934E-3</v>
      </c>
      <c r="D29" s="95" t="str">
        <f t="shared" si="1"/>
        <v>/</v>
      </c>
      <c r="E29" s="95">
        <f ca="1">IF(表2_3671626293038912131415[[#This Row],[累计净值]]/MAX(INDIRECT("B21:B" &amp; ROW()))-1&lt;E28,表2_3671626293038912131415[[#This Row],[累计净值]]/MAX(INDIRECT("B21:B" &amp; ROW()))-1,E28)</f>
        <v>-2.0000000000000018E-3</v>
      </c>
      <c r="F29" s="97">
        <f>表2_3671626293038912131415[[#This Row],[累计净值]]</f>
        <v>1.0029999999999999</v>
      </c>
      <c r="G29" s="20"/>
    </row>
    <row r="30" spans="1:7" x14ac:dyDescent="0.2">
      <c r="A30" s="15">
        <v>43941</v>
      </c>
      <c r="B30" s="96">
        <v>1.002</v>
      </c>
      <c r="C30" s="94">
        <f t="shared" si="0"/>
        <v>-9.9999999999988987E-4</v>
      </c>
      <c r="D30" s="95">
        <f t="shared" si="1"/>
        <v>-9.9999999999988987E-4</v>
      </c>
      <c r="E30" s="95">
        <f ca="1">IF(表2_3671626293038912131415[[#This Row],[累计净值]]/MAX(INDIRECT("B21:B" &amp; ROW()))-1&lt;E29,表2_3671626293038912131415[[#This Row],[累计净值]]/MAX(INDIRECT("B21:B" &amp; ROW()))-1,E29)</f>
        <v>-2.0000000000000018E-3</v>
      </c>
      <c r="F30" s="97">
        <f>表2_3671626293038912131415[[#This Row],[累计净值]]</f>
        <v>1.002</v>
      </c>
      <c r="G30" s="20"/>
    </row>
    <row r="31" spans="1:7" x14ac:dyDescent="0.2">
      <c r="A31" s="15">
        <v>43942</v>
      </c>
      <c r="B31" s="96">
        <v>1.0069999999999999</v>
      </c>
      <c r="C31" s="94">
        <f t="shared" si="0"/>
        <v>4.9999999999998934E-3</v>
      </c>
      <c r="D31" s="95" t="str">
        <f t="shared" si="1"/>
        <v>/</v>
      </c>
      <c r="E31" s="95">
        <f ca="1">IF(表2_3671626293038912131415[[#This Row],[累计净值]]/MAX(INDIRECT("B21:B" &amp; ROW()))-1&lt;E30,表2_3671626293038912131415[[#This Row],[累计净值]]/MAX(INDIRECT("B21:B" &amp; ROW()))-1,E30)</f>
        <v>-2.0000000000000018E-3</v>
      </c>
      <c r="F31" s="97">
        <f>表2_3671626293038912131415[[#This Row],[累计净值]]</f>
        <v>1.0069999999999999</v>
      </c>
      <c r="G31" s="20"/>
    </row>
    <row r="32" spans="1:7" x14ac:dyDescent="0.2">
      <c r="A32" s="15">
        <v>43943</v>
      </c>
      <c r="B32" s="96">
        <v>1.004</v>
      </c>
      <c r="C32" s="94">
        <f t="shared" si="0"/>
        <v>-2.9999999999998916E-3</v>
      </c>
      <c r="D32" s="95">
        <f t="shared" si="1"/>
        <v>-2.9999999999998916E-3</v>
      </c>
      <c r="E32" s="95">
        <f ca="1">IF(表2_3671626293038912131415[[#This Row],[累计净值]]/MAX(INDIRECT("B21:B" &amp; ROW()))-1&lt;E31,表2_3671626293038912131415[[#This Row],[累计净值]]/MAX(INDIRECT("B21:B" &amp; ROW()))-1,E31)</f>
        <v>-2.9791459781528529E-3</v>
      </c>
      <c r="F32" s="97">
        <f>表2_3671626293038912131415[[#This Row],[累计净值]]</f>
        <v>1.004</v>
      </c>
      <c r="G32" s="20"/>
    </row>
    <row r="33" spans="1:7" x14ac:dyDescent="0.2">
      <c r="A33" s="15">
        <v>43944</v>
      </c>
      <c r="B33" s="96">
        <v>1.0049999999999999</v>
      </c>
      <c r="C33" s="94">
        <f t="shared" si="0"/>
        <v>9.9999999999988987E-4</v>
      </c>
      <c r="D33" s="95" t="str">
        <f t="shared" si="1"/>
        <v>/</v>
      </c>
      <c r="E33" s="95">
        <f ca="1">IF(表2_3671626293038912131415[[#This Row],[累计净值]]/MAX(INDIRECT("B21:B" &amp; ROW()))-1&lt;E32,表2_3671626293038912131415[[#This Row],[累计净值]]/MAX(INDIRECT("B21:B" &amp; ROW()))-1,E32)</f>
        <v>-2.9791459781528529E-3</v>
      </c>
      <c r="F33" s="97">
        <f>表2_3671626293038912131415[[#This Row],[累计净值]]</f>
        <v>1.0049999999999999</v>
      </c>
      <c r="G33" s="20"/>
    </row>
    <row r="34" spans="1:7" x14ac:dyDescent="0.2">
      <c r="A34" s="15">
        <v>43945</v>
      </c>
      <c r="B34" s="96">
        <v>1.006</v>
      </c>
      <c r="C34" s="94">
        <f t="shared" si="0"/>
        <v>1.0000000000001119E-3</v>
      </c>
      <c r="D34" s="95" t="str">
        <f t="shared" si="1"/>
        <v>/</v>
      </c>
      <c r="E34" s="95">
        <f ca="1">IF(表2_3671626293038912131415[[#This Row],[累计净值]]/MAX(INDIRECT("B21:B" &amp; ROW()))-1&lt;E33,表2_3671626293038912131415[[#This Row],[累计净值]]/MAX(INDIRECT("B21:B" &amp; ROW()))-1,E33)</f>
        <v>-2.9791459781528529E-3</v>
      </c>
      <c r="F34" s="97">
        <f>表2_3671626293038912131415[[#This Row],[累计净值]]</f>
        <v>1.006</v>
      </c>
      <c r="G34" s="20"/>
    </row>
    <row r="35" spans="1:7" x14ac:dyDescent="0.2">
      <c r="A35" s="15">
        <v>43948</v>
      </c>
      <c r="B35" s="96">
        <v>1.0049999999999999</v>
      </c>
      <c r="C35" s="94">
        <f t="shared" si="0"/>
        <v>-1.0000000000001119E-3</v>
      </c>
      <c r="D35" s="95">
        <f t="shared" si="1"/>
        <v>-1.0000000000001119E-3</v>
      </c>
      <c r="E35" s="95">
        <f ca="1">IF(表2_3671626293038912131415[[#This Row],[累计净值]]/MAX(INDIRECT("B21:B" &amp; ROW()))-1&lt;E34,表2_3671626293038912131415[[#This Row],[累计净值]]/MAX(INDIRECT("B21:B" &amp; ROW()))-1,E34)</f>
        <v>-2.9791459781528529E-3</v>
      </c>
      <c r="F35" s="97">
        <f>表2_3671626293038912131415[[#This Row],[累计净值]]</f>
        <v>1.0049999999999999</v>
      </c>
      <c r="G35" s="20"/>
    </row>
    <row r="36" spans="1:7" x14ac:dyDescent="0.2">
      <c r="A36" s="15">
        <v>43949</v>
      </c>
      <c r="B36" s="96">
        <v>1.006</v>
      </c>
      <c r="C36" s="94">
        <f t="shared" si="0"/>
        <v>1.0000000000001119E-3</v>
      </c>
      <c r="D36" s="95" t="str">
        <f t="shared" si="1"/>
        <v>/</v>
      </c>
      <c r="E36" s="95">
        <f ca="1">IF(表2_3671626293038912131415[[#This Row],[累计净值]]/MAX(INDIRECT("B21:B" &amp; ROW()))-1&lt;E35,表2_3671626293038912131415[[#This Row],[累计净值]]/MAX(INDIRECT("B21:B" &amp; ROW()))-1,E35)</f>
        <v>-2.9791459781528529E-3</v>
      </c>
      <c r="F36" s="97">
        <f>表2_3671626293038912131415[[#This Row],[累计净值]]</f>
        <v>1.006</v>
      </c>
      <c r="G36" s="20"/>
    </row>
    <row r="37" spans="1:7" x14ac:dyDescent="0.2">
      <c r="A37" s="15">
        <v>43950</v>
      </c>
      <c r="B37" s="96">
        <v>1.0049999999999999</v>
      </c>
      <c r="C37" s="94">
        <f t="shared" si="0"/>
        <v>-1.0000000000001119E-3</v>
      </c>
      <c r="D37" s="95">
        <f t="shared" si="1"/>
        <v>-1.0000000000001119E-3</v>
      </c>
      <c r="E37" s="95">
        <f ca="1">IF(表2_3671626293038912131415[[#This Row],[累计净值]]/MAX(INDIRECT("B21:B" &amp; ROW()))-1&lt;E36,表2_3671626293038912131415[[#This Row],[累计净值]]/MAX(INDIRECT("B21:B" &amp; ROW()))-1,E36)</f>
        <v>-2.9791459781528529E-3</v>
      </c>
      <c r="F37" s="97">
        <f>表2_3671626293038912131415[[#This Row],[累计净值]]</f>
        <v>1.0049999999999999</v>
      </c>
      <c r="G37" s="20"/>
    </row>
    <row r="38" spans="1:7" x14ac:dyDescent="0.2">
      <c r="A38" s="15">
        <v>43951</v>
      </c>
      <c r="B38" s="96">
        <v>1.006</v>
      </c>
      <c r="C38" s="94">
        <f t="shared" si="0"/>
        <v>1.0000000000001119E-3</v>
      </c>
      <c r="D38" s="95" t="str">
        <f t="shared" si="1"/>
        <v>/</v>
      </c>
      <c r="E38" s="95">
        <f ca="1">IF(表2_3671626293038912131415[[#This Row],[累计净值]]/MAX(INDIRECT("B21:B" &amp; ROW()))-1&lt;E37,表2_3671626293038912131415[[#This Row],[累计净值]]/MAX(INDIRECT("B21:B" &amp; ROW()))-1,E37)</f>
        <v>-2.9791459781528529E-3</v>
      </c>
      <c r="F38" s="97">
        <f>表2_3671626293038912131415[[#This Row],[累计净值]]</f>
        <v>1.006</v>
      </c>
      <c r="G38" s="20"/>
    </row>
    <row r="39" spans="1:7" x14ac:dyDescent="0.2">
      <c r="A39" s="15">
        <v>43957</v>
      </c>
      <c r="B39" s="104">
        <v>1.0049999999999999</v>
      </c>
      <c r="C39" s="101">
        <f t="shared" si="0"/>
        <v>-1.0000000000001119E-3</v>
      </c>
      <c r="D39" s="102">
        <f t="shared" si="1"/>
        <v>-1.0000000000001119E-3</v>
      </c>
      <c r="E39" s="102">
        <f ca="1">IF(表2_3671626293038912131415[[#This Row],[累计净值]]/MAX(INDIRECT("B21:B" &amp; ROW()))-1&lt;E38,表2_3671626293038912131415[[#This Row],[累计净值]]/MAX(INDIRECT("B21:B" &amp; ROW()))-1,E38)</f>
        <v>-2.9791459781528529E-3</v>
      </c>
      <c r="F39" s="103">
        <f>表2_3671626293038912131415[[#This Row],[累计净值]]</f>
        <v>1.0049999999999999</v>
      </c>
      <c r="G39" s="20"/>
    </row>
    <row r="40" spans="1:7" x14ac:dyDescent="0.2">
      <c r="A40" s="15">
        <v>43958</v>
      </c>
      <c r="B40" s="104">
        <v>1.006</v>
      </c>
      <c r="C40" s="101">
        <f t="shared" si="0"/>
        <v>1.0000000000001119E-3</v>
      </c>
      <c r="D40" s="102" t="str">
        <f t="shared" si="1"/>
        <v>/</v>
      </c>
      <c r="E40" s="102">
        <f ca="1">IF(表2_3671626293038912131415[[#This Row],[累计净值]]/MAX(INDIRECT("B21:B" &amp; ROW()))-1&lt;E39,表2_3671626293038912131415[[#This Row],[累计净值]]/MAX(INDIRECT("B21:B" &amp; ROW()))-1,E39)</f>
        <v>-2.9791459781528529E-3</v>
      </c>
      <c r="F40" s="103">
        <f>表2_3671626293038912131415[[#This Row],[累计净值]]</f>
        <v>1.006</v>
      </c>
      <c r="G40" s="20"/>
    </row>
    <row r="41" spans="1:7" x14ac:dyDescent="0.2">
      <c r="A41" s="15">
        <v>43959</v>
      </c>
      <c r="B41" s="104">
        <v>1.006</v>
      </c>
      <c r="C41" s="101">
        <f t="shared" si="0"/>
        <v>0</v>
      </c>
      <c r="D41" s="102" t="str">
        <f t="shared" si="1"/>
        <v>/</v>
      </c>
      <c r="E41" s="102">
        <f ca="1">IF(表2_3671626293038912131415[[#This Row],[累计净值]]/MAX(INDIRECT("B21:B" &amp; ROW()))-1&lt;E40,表2_3671626293038912131415[[#This Row],[累计净值]]/MAX(INDIRECT("B21:B" &amp; ROW()))-1,E40)</f>
        <v>-2.9791459781528529E-3</v>
      </c>
      <c r="F41" s="103">
        <f>表2_3671626293038912131415[[#This Row],[累计净值]]</f>
        <v>1.006</v>
      </c>
      <c r="G41" s="20"/>
    </row>
    <row r="42" spans="1:7" x14ac:dyDescent="0.2">
      <c r="A42" s="15">
        <v>43962</v>
      </c>
      <c r="B42" s="104">
        <v>1.008</v>
      </c>
      <c r="C42" s="101">
        <f t="shared" si="0"/>
        <v>2.0000000000000018E-3</v>
      </c>
      <c r="D42" s="102" t="str">
        <f t="shared" si="1"/>
        <v>/</v>
      </c>
      <c r="E42" s="102">
        <f ca="1">IF(表2_3671626293038912131415[[#This Row],[累计净值]]/MAX(INDIRECT("B21:B" &amp; ROW()))-1&lt;E41,表2_3671626293038912131415[[#This Row],[累计净值]]/MAX(INDIRECT("B21:B" &amp; ROW()))-1,E41)</f>
        <v>-2.9791459781528529E-3</v>
      </c>
      <c r="F42" s="103">
        <f>表2_3671626293038912131415[[#This Row],[累计净值]]</f>
        <v>1.008</v>
      </c>
      <c r="G42" s="20"/>
    </row>
    <row r="43" spans="1:7" x14ac:dyDescent="0.2">
      <c r="A43" s="15">
        <v>43963</v>
      </c>
      <c r="B43" s="104">
        <v>1.0069999999999999</v>
      </c>
      <c r="C43" s="101">
        <f t="shared" si="0"/>
        <v>-1.0000000000001119E-3</v>
      </c>
      <c r="D43" s="102">
        <f t="shared" si="1"/>
        <v>-1.0000000000001119E-3</v>
      </c>
      <c r="E43" s="102">
        <f ca="1">IF(表2_3671626293038912131415[[#This Row],[累计净值]]/MAX(INDIRECT("B21:B" &amp; ROW()))-1&lt;E42,表2_3671626293038912131415[[#This Row],[累计净值]]/MAX(INDIRECT("B21:B" &amp; ROW()))-1,E42)</f>
        <v>-2.9791459781528529E-3</v>
      </c>
      <c r="F43" s="103">
        <f>表2_3671626293038912131415[[#This Row],[累计净值]]</f>
        <v>1.0069999999999999</v>
      </c>
      <c r="G43" s="20"/>
    </row>
    <row r="44" spans="1:7" x14ac:dyDescent="0.2">
      <c r="A44" s="15">
        <v>43964</v>
      </c>
      <c r="B44" s="104">
        <v>1.006</v>
      </c>
      <c r="C44" s="101">
        <f t="shared" si="0"/>
        <v>-9.9999999999988987E-4</v>
      </c>
      <c r="D44" s="102">
        <f t="shared" si="1"/>
        <v>-9.9999999999988987E-4</v>
      </c>
      <c r="E44" s="102">
        <f ca="1">IF(表2_3671626293038912131415[[#This Row],[累计净值]]/MAX(INDIRECT("B21:B" &amp; ROW()))-1&lt;E43,表2_3671626293038912131415[[#This Row],[累计净值]]/MAX(INDIRECT("B21:B" &amp; ROW()))-1,E43)</f>
        <v>-2.9791459781528529E-3</v>
      </c>
      <c r="F44" s="103">
        <f>表2_3671626293038912131415[[#This Row],[累计净值]]</f>
        <v>1.006</v>
      </c>
      <c r="G44" s="20"/>
    </row>
    <row r="45" spans="1:7" x14ac:dyDescent="0.2">
      <c r="A45" s="15">
        <v>43965</v>
      </c>
      <c r="B45" s="104">
        <v>1.01</v>
      </c>
      <c r="C45" s="101">
        <f t="shared" si="0"/>
        <v>4.0000000000000036E-3</v>
      </c>
      <c r="D45" s="102" t="str">
        <f t="shared" si="1"/>
        <v>/</v>
      </c>
      <c r="E45" s="102">
        <f ca="1">IF(表2_3671626293038912131415[[#This Row],[累计净值]]/MAX(INDIRECT("B21:B" &amp; ROW()))-1&lt;E44,表2_3671626293038912131415[[#This Row],[累计净值]]/MAX(INDIRECT("B21:B" &amp; ROW()))-1,E44)</f>
        <v>-2.9791459781528529E-3</v>
      </c>
      <c r="F45" s="103">
        <f>表2_3671626293038912131415[[#This Row],[累计净值]]</f>
        <v>1.01</v>
      </c>
      <c r="G45" s="20"/>
    </row>
    <row r="46" spans="1:7" x14ac:dyDescent="0.2">
      <c r="A46" s="15">
        <v>43966</v>
      </c>
      <c r="B46" s="104">
        <v>1.0109999999999999</v>
      </c>
      <c r="C46" s="101">
        <f t="shared" si="0"/>
        <v>9.9999999999988987E-4</v>
      </c>
      <c r="D46" s="102" t="str">
        <f t="shared" si="1"/>
        <v>/</v>
      </c>
      <c r="E46" s="102">
        <f ca="1">IF(表2_3671626293038912131415[[#This Row],[累计净值]]/MAX(INDIRECT("B21:B" &amp; ROW()))-1&lt;E45,表2_3671626293038912131415[[#This Row],[累计净值]]/MAX(INDIRECT("B21:B" &amp; ROW()))-1,E45)</f>
        <v>-2.9791459781528529E-3</v>
      </c>
      <c r="F46" s="103">
        <f>表2_3671626293038912131415[[#This Row],[累计净值]]</f>
        <v>1.0109999999999999</v>
      </c>
      <c r="G46" s="20"/>
    </row>
    <row r="47" spans="1:7" x14ac:dyDescent="0.2">
      <c r="A47" s="15">
        <v>43969</v>
      </c>
      <c r="B47" s="104">
        <v>1.012</v>
      </c>
      <c r="C47" s="101">
        <f t="shared" si="0"/>
        <v>1.0000000000001119E-3</v>
      </c>
      <c r="D47" s="102" t="str">
        <f t="shared" si="1"/>
        <v>/</v>
      </c>
      <c r="E47" s="102">
        <f ca="1">IF(表2_3671626293038912131415[[#This Row],[累计净值]]/MAX(INDIRECT("B21:B" &amp; ROW()))-1&lt;E46,表2_3671626293038912131415[[#This Row],[累计净值]]/MAX(INDIRECT("B21:B" &amp; ROW()))-1,E46)</f>
        <v>-2.9791459781528529E-3</v>
      </c>
      <c r="F47" s="103">
        <f>表2_3671626293038912131415[[#This Row],[累计净值]]</f>
        <v>1.012</v>
      </c>
      <c r="G47" s="20"/>
    </row>
    <row r="48" spans="1:7" x14ac:dyDescent="0.2">
      <c r="A48" s="15">
        <v>43970</v>
      </c>
      <c r="B48" s="104">
        <v>1.01</v>
      </c>
      <c r="C48" s="101">
        <f t="shared" si="0"/>
        <v>-2.0000000000000018E-3</v>
      </c>
      <c r="D48" s="102">
        <f t="shared" si="1"/>
        <v>-2.0000000000000018E-3</v>
      </c>
      <c r="E48" s="102">
        <f ca="1">IF(表2_3671626293038912131415[[#This Row],[累计净值]]/MAX(INDIRECT("B21:B" &amp; ROW()))-1&lt;E47,表2_3671626293038912131415[[#This Row],[累计净值]]/MAX(INDIRECT("B21:B" &amp; ROW()))-1,E47)</f>
        <v>-2.9791459781528529E-3</v>
      </c>
      <c r="F48" s="103">
        <f>表2_3671626293038912131415[[#This Row],[累计净值]]</f>
        <v>1.01</v>
      </c>
      <c r="G48" s="20"/>
    </row>
    <row r="49" spans="1:7" x14ac:dyDescent="0.2">
      <c r="A49" s="15">
        <v>43971</v>
      </c>
      <c r="B49" s="104">
        <v>1.012</v>
      </c>
      <c r="C49" s="101">
        <f t="shared" si="0"/>
        <v>2.0000000000000018E-3</v>
      </c>
      <c r="D49" s="102" t="str">
        <f t="shared" si="1"/>
        <v>/</v>
      </c>
      <c r="E49" s="102">
        <f ca="1">IF(表2_3671626293038912131415[[#This Row],[累计净值]]/MAX(INDIRECT("B21:B" &amp; ROW()))-1&lt;E48,表2_3671626293038912131415[[#This Row],[累计净值]]/MAX(INDIRECT("B21:B" &amp; ROW()))-1,E48)</f>
        <v>-2.9791459781528529E-3</v>
      </c>
      <c r="F49" s="103">
        <f>表2_3671626293038912131415[[#This Row],[累计净值]]</f>
        <v>1.012</v>
      </c>
      <c r="G49" s="20"/>
    </row>
    <row r="50" spans="1:7" x14ac:dyDescent="0.2">
      <c r="A50" s="15">
        <v>43972</v>
      </c>
      <c r="B50" s="104">
        <v>1.0149999999999999</v>
      </c>
      <c r="C50" s="101">
        <f t="shared" si="0"/>
        <v>2.9999999999998916E-3</v>
      </c>
      <c r="D50" s="102" t="str">
        <f t="shared" si="1"/>
        <v>/</v>
      </c>
      <c r="E50" s="102">
        <f ca="1">IF(表2_3671626293038912131415[[#This Row],[累计净值]]/MAX(INDIRECT("B21:B" &amp; ROW()))-1&lt;E49,表2_3671626293038912131415[[#This Row],[累计净值]]/MAX(INDIRECT("B21:B" &amp; ROW()))-1,E49)</f>
        <v>-2.9791459781528529E-3</v>
      </c>
      <c r="F50" s="103">
        <f>表2_3671626293038912131415[[#This Row],[累计净值]]</f>
        <v>1.0149999999999999</v>
      </c>
      <c r="G50" s="20"/>
    </row>
    <row r="51" spans="1:7" x14ac:dyDescent="0.2">
      <c r="A51" s="15">
        <v>43973</v>
      </c>
      <c r="B51" s="112">
        <v>1.016</v>
      </c>
      <c r="C51" s="108">
        <f t="shared" ref="C51:C57" si="2">IFERROR(B51-B50,0)</f>
        <v>1.0000000000001119E-3</v>
      </c>
      <c r="D51" s="109" t="str">
        <f t="shared" ref="D51:D57" si="3">IF(C51&lt;0,C51,"/")</f>
        <v>/</v>
      </c>
      <c r="E51" s="109">
        <f ca="1">IF(表2_3671626293038912131415[[#This Row],[累计净值]]/MAX(INDIRECT("B21:B" &amp; ROW()))-1&lt;E50,表2_3671626293038912131415[[#This Row],[累计净值]]/MAX(INDIRECT("B21:B" &amp; ROW()))-1,E50)</f>
        <v>-2.9791459781528529E-3</v>
      </c>
      <c r="F51" s="110">
        <f>表2_3671626293038912131415[[#This Row],[累计净值]]</f>
        <v>1.016</v>
      </c>
      <c r="G51" s="20"/>
    </row>
    <row r="52" spans="1:7" x14ac:dyDescent="0.2">
      <c r="A52" s="15">
        <v>43976</v>
      </c>
      <c r="B52" s="112">
        <v>1.012</v>
      </c>
      <c r="C52" s="108">
        <f t="shared" si="2"/>
        <v>-4.0000000000000036E-3</v>
      </c>
      <c r="D52" s="109">
        <f t="shared" si="3"/>
        <v>-4.0000000000000036E-3</v>
      </c>
      <c r="E52" s="109">
        <f ca="1">IF(表2_3671626293038912131415[[#This Row],[累计净值]]/MAX(INDIRECT("B21:B" &amp; ROW()))-1&lt;E51,表2_3671626293038912131415[[#This Row],[累计净值]]/MAX(INDIRECT("B21:B" &amp; ROW()))-1,E51)</f>
        <v>-3.937007874015741E-3</v>
      </c>
      <c r="F52" s="110">
        <f>表2_3671626293038912131415[[#This Row],[累计净值]]</f>
        <v>1.012</v>
      </c>
      <c r="G52" s="20"/>
    </row>
    <row r="53" spans="1:7" x14ac:dyDescent="0.2">
      <c r="A53" s="15">
        <v>43977</v>
      </c>
      <c r="B53" s="112">
        <v>1.014</v>
      </c>
      <c r="C53" s="108">
        <f t="shared" si="2"/>
        <v>2.0000000000000018E-3</v>
      </c>
      <c r="D53" s="109" t="str">
        <f t="shared" si="3"/>
        <v>/</v>
      </c>
      <c r="E53" s="109">
        <f ca="1">IF(表2_3671626293038912131415[[#This Row],[累计净值]]/MAX(INDIRECT("B21:B" &amp; ROW()))-1&lt;E52,表2_3671626293038912131415[[#This Row],[累计净值]]/MAX(INDIRECT("B21:B" &amp; ROW()))-1,E52)</f>
        <v>-3.937007874015741E-3</v>
      </c>
      <c r="F53" s="110">
        <f>表2_3671626293038912131415[[#This Row],[累计净值]]</f>
        <v>1.014</v>
      </c>
      <c r="G53" s="20"/>
    </row>
    <row r="54" spans="1:7" x14ac:dyDescent="0.2">
      <c r="A54" s="15">
        <v>43978</v>
      </c>
      <c r="B54" s="112">
        <v>1.0149999999999999</v>
      </c>
      <c r="C54" s="108">
        <f t="shared" si="2"/>
        <v>9.9999999999988987E-4</v>
      </c>
      <c r="D54" s="109" t="str">
        <f t="shared" si="3"/>
        <v>/</v>
      </c>
      <c r="E54" s="109">
        <f ca="1">IF(表2_3671626293038912131415[[#This Row],[累计净值]]/MAX(INDIRECT("B21:B" &amp; ROW()))-1&lt;E53,表2_3671626293038912131415[[#This Row],[累计净值]]/MAX(INDIRECT("B21:B" &amp; ROW()))-1,E53)</f>
        <v>-3.937007874015741E-3</v>
      </c>
      <c r="F54" s="110">
        <f>表2_3671626293038912131415[[#This Row],[累计净值]]</f>
        <v>1.0149999999999999</v>
      </c>
      <c r="G54" s="20"/>
    </row>
    <row r="55" spans="1:7" x14ac:dyDescent="0.2">
      <c r="A55" s="15">
        <v>43979</v>
      </c>
      <c r="B55" s="112">
        <v>1.016</v>
      </c>
      <c r="C55" s="108">
        <f t="shared" si="2"/>
        <v>1.0000000000001119E-3</v>
      </c>
      <c r="D55" s="109" t="str">
        <f t="shared" si="3"/>
        <v>/</v>
      </c>
      <c r="E55" s="109">
        <f ca="1">IF(表2_3671626293038912131415[[#This Row],[累计净值]]/MAX(INDIRECT("B21:B" &amp; ROW()))-1&lt;E54,表2_3671626293038912131415[[#This Row],[累计净值]]/MAX(INDIRECT("B21:B" &amp; ROW()))-1,E54)</f>
        <v>-3.937007874015741E-3</v>
      </c>
      <c r="F55" s="110">
        <f>表2_3671626293038912131415[[#This Row],[累计净值]]</f>
        <v>1.016</v>
      </c>
      <c r="G55" s="20"/>
    </row>
    <row r="56" spans="1:7" x14ac:dyDescent="0.2">
      <c r="A56" s="15">
        <v>43980</v>
      </c>
      <c r="B56" s="112">
        <v>1.0169999999999999</v>
      </c>
      <c r="C56" s="108">
        <f t="shared" si="2"/>
        <v>9.9999999999988987E-4</v>
      </c>
      <c r="D56" s="109" t="str">
        <f t="shared" si="3"/>
        <v>/</v>
      </c>
      <c r="E56" s="109">
        <f ca="1">IF(表2_3671626293038912131415[[#This Row],[累计净值]]/MAX(INDIRECT("B21:B" &amp; ROW()))-1&lt;E55,表2_3671626293038912131415[[#This Row],[累计净值]]/MAX(INDIRECT("B21:B" &amp; ROW()))-1,E55)</f>
        <v>-3.937007874015741E-3</v>
      </c>
      <c r="F56" s="110">
        <f>表2_3671626293038912131415[[#This Row],[累计净值]]</f>
        <v>1.0169999999999999</v>
      </c>
      <c r="G56" s="20"/>
    </row>
    <row r="57" spans="1:7" x14ac:dyDescent="0.2">
      <c r="A57" s="15">
        <v>43983</v>
      </c>
      <c r="B57" s="117">
        <v>1.018</v>
      </c>
      <c r="C57" s="108">
        <f t="shared" si="2"/>
        <v>1.0000000000001119E-3</v>
      </c>
      <c r="D57" s="109" t="str">
        <f t="shared" si="3"/>
        <v>/</v>
      </c>
      <c r="E57" s="109">
        <f ca="1">IF(表2_3671626293038912131415[[#This Row],[累计净值]]/MAX(INDIRECT("B21:B" &amp; ROW()))-1&lt;E56,表2_3671626293038912131415[[#This Row],[累计净值]]/MAX(INDIRECT("B21:B" &amp; ROW()))-1,E56)</f>
        <v>-3.937007874015741E-3</v>
      </c>
      <c r="F57" s="110">
        <f>表2_3671626293038912131415[[#This Row],[累计净值]]</f>
        <v>1.018</v>
      </c>
      <c r="G57" s="20"/>
    </row>
    <row r="58" spans="1:7" x14ac:dyDescent="0.2">
      <c r="A58" s="15">
        <v>43984</v>
      </c>
      <c r="B58" s="112">
        <v>1.0149999999999999</v>
      </c>
      <c r="C58" s="108">
        <f t="shared" ref="C58:C63" si="4">IFERROR(B58-B57,0)</f>
        <v>-3.0000000000001137E-3</v>
      </c>
      <c r="D58" s="109">
        <f t="shared" ref="D58:D63" si="5">IF(C58&lt;0,C58,"/")</f>
        <v>-3.0000000000001137E-3</v>
      </c>
      <c r="E58" s="109">
        <f ca="1">IF(表2_3671626293038912131415[[#This Row],[累计净值]]/MAX(INDIRECT("B21:B" &amp; ROW()))-1&lt;E57,表2_3671626293038912131415[[#This Row],[累计净值]]/MAX(INDIRECT("B21:B" &amp; ROW()))-1,E57)</f>
        <v>-3.937007874015741E-3</v>
      </c>
      <c r="F58" s="110">
        <f>表2_3671626293038912131415[[#This Row],[累计净值]]</f>
        <v>1.0149999999999999</v>
      </c>
      <c r="G58" s="20"/>
    </row>
    <row r="59" spans="1:7" x14ac:dyDescent="0.2">
      <c r="A59" s="15">
        <v>43985</v>
      </c>
      <c r="B59" s="112">
        <v>1.0089999999999999</v>
      </c>
      <c r="C59" s="108">
        <f t="shared" si="4"/>
        <v>-6.0000000000000053E-3</v>
      </c>
      <c r="D59" s="109">
        <f t="shared" si="5"/>
        <v>-6.0000000000000053E-3</v>
      </c>
      <c r="E59" s="109">
        <f ca="1">IF(表2_3671626293038912131415[[#This Row],[累计净值]]/MAX(INDIRECT("B21:B" &amp; ROW()))-1&lt;E58,表2_3671626293038912131415[[#This Row],[累计净值]]/MAX(INDIRECT("B21:B" &amp; ROW()))-1,E58)</f>
        <v>-8.8408644400786995E-3</v>
      </c>
      <c r="F59" s="110">
        <f>表2_3671626293038912131415[[#This Row],[累计净值]]</f>
        <v>1.0089999999999999</v>
      </c>
      <c r="G59" s="20"/>
    </row>
    <row r="60" spans="1:7" x14ac:dyDescent="0.2">
      <c r="A60" s="15">
        <v>43986</v>
      </c>
      <c r="B60" s="112">
        <v>1.016</v>
      </c>
      <c r="C60" s="108">
        <f t="shared" si="4"/>
        <v>7.0000000000001172E-3</v>
      </c>
      <c r="D60" s="109" t="str">
        <f t="shared" si="5"/>
        <v>/</v>
      </c>
      <c r="E60" s="109">
        <f ca="1">IF(表2_3671626293038912131415[[#This Row],[累计净值]]/MAX(INDIRECT("B21:B" &amp; ROW()))-1&lt;E59,表2_3671626293038912131415[[#This Row],[累计净值]]/MAX(INDIRECT("B21:B" &amp; ROW()))-1,E59)</f>
        <v>-8.8408644400786995E-3</v>
      </c>
      <c r="F60" s="110">
        <f>表2_3671626293038912131415[[#This Row],[累计净值]]</f>
        <v>1.016</v>
      </c>
      <c r="G60" s="20"/>
    </row>
    <row r="61" spans="1:7" x14ac:dyDescent="0.2">
      <c r="A61" s="15">
        <v>43987</v>
      </c>
      <c r="B61" s="112">
        <v>1.022</v>
      </c>
      <c r="C61" s="108">
        <f t="shared" si="4"/>
        <v>6.0000000000000053E-3</v>
      </c>
      <c r="D61" s="109" t="str">
        <f t="shared" si="5"/>
        <v>/</v>
      </c>
      <c r="E61" s="109">
        <f ca="1">IF(表2_3671626293038912131415[[#This Row],[累计净值]]/MAX(INDIRECT("B21:B" &amp; ROW()))-1&lt;E60,表2_3671626293038912131415[[#This Row],[累计净值]]/MAX(INDIRECT("B21:B" &amp; ROW()))-1,E60)</f>
        <v>-8.8408644400786995E-3</v>
      </c>
      <c r="F61" s="110">
        <f>表2_3671626293038912131415[[#This Row],[累计净值]]</f>
        <v>1.022</v>
      </c>
      <c r="G61" s="20"/>
    </row>
    <row r="62" spans="1:7" x14ac:dyDescent="0.2">
      <c r="A62" s="15">
        <v>43990</v>
      </c>
      <c r="B62" s="112">
        <v>1.0189999999999999</v>
      </c>
      <c r="C62" s="108">
        <f t="shared" si="4"/>
        <v>-3.0000000000001137E-3</v>
      </c>
      <c r="D62" s="109">
        <f t="shared" si="5"/>
        <v>-3.0000000000001137E-3</v>
      </c>
      <c r="E62" s="109">
        <f ca="1">IF(表2_3671626293038912131415[[#This Row],[累计净值]]/MAX(INDIRECT("B21:B" &amp; ROW()))-1&lt;E61,表2_3671626293038912131415[[#This Row],[累计净值]]/MAX(INDIRECT("B21:B" &amp; ROW()))-1,E61)</f>
        <v>-8.8408644400786995E-3</v>
      </c>
      <c r="F62" s="110">
        <f>表2_3671626293038912131415[[#This Row],[累计净值]]</f>
        <v>1.0189999999999999</v>
      </c>
      <c r="G62" s="20"/>
    </row>
    <row r="63" spans="1:7" x14ac:dyDescent="0.2">
      <c r="A63" s="15">
        <v>43991</v>
      </c>
      <c r="B63" s="112">
        <v>1.024</v>
      </c>
      <c r="C63" s="108">
        <f t="shared" si="4"/>
        <v>5.0000000000001155E-3</v>
      </c>
      <c r="D63" s="109" t="str">
        <f t="shared" si="5"/>
        <v>/</v>
      </c>
      <c r="E63" s="109">
        <f ca="1">IF(表2_3671626293038912131415[[#This Row],[累计净值]]/MAX(INDIRECT("B21:B" &amp; ROW()))-1&lt;E62,表2_3671626293038912131415[[#This Row],[累计净值]]/MAX(INDIRECT("B21:B" &amp; ROW()))-1,E62)</f>
        <v>-8.8408644400786995E-3</v>
      </c>
      <c r="F63" s="110">
        <f>表2_3671626293038912131415[[#This Row],[累计净值]]</f>
        <v>1.024</v>
      </c>
      <c r="G63" s="20"/>
    </row>
    <row r="64" spans="1:7" x14ac:dyDescent="0.2">
      <c r="A64" s="15">
        <v>43992</v>
      </c>
      <c r="B64" s="112">
        <v>1.0209999999999999</v>
      </c>
      <c r="C64" s="108">
        <f t="shared" ref="C64:C69" si="6">IFERROR(B64-B63,0)</f>
        <v>-3.0000000000001137E-3</v>
      </c>
      <c r="D64" s="109">
        <f t="shared" ref="D64:D69" si="7">IF(C64&lt;0,C64,"/")</f>
        <v>-3.0000000000001137E-3</v>
      </c>
      <c r="E64" s="109">
        <f ca="1">IF(表2_3671626293038912131415[[#This Row],[累计净值]]/MAX(INDIRECT("B21:B" &amp; ROW()))-1&lt;E63,表2_3671626293038912131415[[#This Row],[累计净值]]/MAX(INDIRECT("B21:B" &amp; ROW()))-1,E63)</f>
        <v>-8.8408644400786995E-3</v>
      </c>
      <c r="F64" s="110">
        <f>表2_3671626293038912131415[[#This Row],[累计净值]]</f>
        <v>1.0209999999999999</v>
      </c>
      <c r="G64" s="20"/>
    </row>
    <row r="65" spans="1:7" x14ac:dyDescent="0.2">
      <c r="A65" s="15">
        <v>43993</v>
      </c>
      <c r="B65" s="112">
        <v>1.024</v>
      </c>
      <c r="C65" s="108">
        <f t="shared" si="6"/>
        <v>3.0000000000001137E-3</v>
      </c>
      <c r="D65" s="109" t="str">
        <f t="shared" si="7"/>
        <v>/</v>
      </c>
      <c r="E65" s="109">
        <f ca="1">IF(表2_3671626293038912131415[[#This Row],[累计净值]]/MAX(INDIRECT("B21:B" &amp; ROW()))-1&lt;E64,表2_3671626293038912131415[[#This Row],[累计净值]]/MAX(INDIRECT("B21:B" &amp; ROW()))-1,E64)</f>
        <v>-8.8408644400786995E-3</v>
      </c>
      <c r="F65" s="110">
        <f>表2_3671626293038912131415[[#This Row],[累计净值]]</f>
        <v>1.024</v>
      </c>
      <c r="G65" s="20"/>
    </row>
    <row r="66" spans="1:7" x14ac:dyDescent="0.2">
      <c r="A66" s="15">
        <v>43994</v>
      </c>
      <c r="B66" s="112">
        <v>1.018</v>
      </c>
      <c r="C66" s="108">
        <f t="shared" si="6"/>
        <v>-6.0000000000000053E-3</v>
      </c>
      <c r="D66" s="109">
        <f t="shared" si="7"/>
        <v>-6.0000000000000053E-3</v>
      </c>
      <c r="E66" s="109">
        <f ca="1">IF(表2_3671626293038912131415[[#This Row],[累计净值]]/MAX(INDIRECT("B21:B" &amp; ROW()))-1&lt;E65,表2_3671626293038912131415[[#This Row],[累计净值]]/MAX(INDIRECT("B21:B" &amp; ROW()))-1,E65)</f>
        <v>-8.8408644400786995E-3</v>
      </c>
      <c r="F66" s="110">
        <f>表2_3671626293038912131415[[#This Row],[累计净值]]</f>
        <v>1.018</v>
      </c>
      <c r="G66" s="20"/>
    </row>
    <row r="67" spans="1:7" x14ac:dyDescent="0.2">
      <c r="A67" s="15">
        <v>43997</v>
      </c>
      <c r="B67" s="112">
        <v>1.0049999999999999</v>
      </c>
      <c r="C67" s="108">
        <f t="shared" si="6"/>
        <v>-1.3000000000000123E-2</v>
      </c>
      <c r="D67" s="109">
        <f t="shared" si="7"/>
        <v>-1.3000000000000123E-2</v>
      </c>
      <c r="E67" s="109">
        <f ca="1">IF(表2_3671626293038912131415[[#This Row],[累计净值]]/MAX(INDIRECT("B21:B" &amp; ROW()))-1&lt;E66,表2_3671626293038912131415[[#This Row],[累计净值]]/MAX(INDIRECT("B21:B" &amp; ROW()))-1,E66)</f>
        <v>-1.8554687500000111E-2</v>
      </c>
      <c r="F67" s="110">
        <f>表2_3671626293038912131415[[#This Row],[累计净值]]</f>
        <v>1.0049999999999999</v>
      </c>
      <c r="G67" s="14" t="s">
        <v>30</v>
      </c>
    </row>
    <row r="68" spans="1:7" x14ac:dyDescent="0.2">
      <c r="A68" s="15">
        <v>43998</v>
      </c>
      <c r="B68" s="112">
        <v>1.0169999999999999</v>
      </c>
      <c r="C68" s="108">
        <f t="shared" si="6"/>
        <v>1.2000000000000011E-2</v>
      </c>
      <c r="D68" s="109" t="str">
        <f t="shared" si="7"/>
        <v>/</v>
      </c>
      <c r="E68" s="109">
        <f ca="1">IF(表2_3671626293038912131415[[#This Row],[累计净值]]/MAX(INDIRECT("B21:B" &amp; ROW()))-1&lt;E67,表2_3671626293038912131415[[#This Row],[累计净值]]/MAX(INDIRECT("B21:B" &amp; ROW()))-1,E67)</f>
        <v>-1.8554687500000111E-2</v>
      </c>
      <c r="F68" s="110">
        <f>表2_3671626293038912131415[[#This Row],[累计净值]]</f>
        <v>1.0169999999999999</v>
      </c>
      <c r="G68" s="20">
        <f>IF(表2_3671626293038912131415[[#This Row],[累计净值]]&gt;1.005,0.8*(表2_3671626293038912131415[[#This Row],[累计净值]]/1.005-1),(表2_3671626293038912131415[[#This Row],[累计净值]]/1.005-1))</f>
        <v>9.5522388059700713E-3</v>
      </c>
    </row>
    <row r="69" spans="1:7" x14ac:dyDescent="0.2">
      <c r="A69" s="15">
        <v>43999</v>
      </c>
      <c r="B69" s="112">
        <v>1.014</v>
      </c>
      <c r="C69" s="108">
        <f t="shared" si="6"/>
        <v>-2.9999999999998916E-3</v>
      </c>
      <c r="D69" s="109">
        <f t="shared" si="7"/>
        <v>-2.9999999999998916E-3</v>
      </c>
      <c r="E69" s="109">
        <f ca="1">IF(表2_3671626293038912131415[[#This Row],[累计净值]]/MAX(INDIRECT("B21:B" &amp; ROW()))-1&lt;E68,表2_3671626293038912131415[[#This Row],[累计净值]]/MAX(INDIRECT("B21:B" &amp; ROW()))-1,E68)</f>
        <v>-1.8554687500000111E-2</v>
      </c>
      <c r="F69" s="110">
        <f>表2_3671626293038912131415[[#This Row],[累计净值]]</f>
        <v>1.014</v>
      </c>
      <c r="G69" s="20">
        <f>IF(表2_3671626293038912131415[[#This Row],[累计净值]]&gt;1.005,0.8*(表2_3671626293038912131415[[#This Row],[累计净值]]/1.005-1),(表2_3671626293038912131415[[#This Row],[累计净值]]/1.005-1))</f>
        <v>7.1641791044777751E-3</v>
      </c>
    </row>
    <row r="70" spans="1:7" x14ac:dyDescent="0.2">
      <c r="A70" s="15">
        <v>44000</v>
      </c>
      <c r="B70" s="112">
        <v>1.01</v>
      </c>
      <c r="C70" s="108">
        <f t="shared" ref="C70:C76" si="8">IFERROR(B70-B69,0)</f>
        <v>-4.0000000000000036E-3</v>
      </c>
      <c r="D70" s="109">
        <f t="shared" ref="D70:D76" si="9">IF(C70&lt;0,C70,"/")</f>
        <v>-4.0000000000000036E-3</v>
      </c>
      <c r="E70" s="109">
        <f ca="1">IF(表2_3671626293038912131415[[#This Row],[累计净值]]/MAX(INDIRECT("B21:B" &amp; ROW()))-1&lt;E69,表2_3671626293038912131415[[#This Row],[累计净值]]/MAX(INDIRECT("B21:B" &amp; ROW()))-1,E69)</f>
        <v>-1.8554687500000111E-2</v>
      </c>
      <c r="F70" s="110">
        <f>表2_3671626293038912131415[[#This Row],[累计净值]]</f>
        <v>1.01</v>
      </c>
      <c r="G70" s="20">
        <f>IF(表2_3671626293038912131415[[#This Row],[累计净值]]&gt;1.005,0.8*(表2_3671626293038912131415[[#This Row],[累计净值]]/1.005-1),(表2_3671626293038912131415[[#This Row],[累计净值]]/1.005-1))</f>
        <v>3.9800995024876331E-3</v>
      </c>
    </row>
    <row r="71" spans="1:7" x14ac:dyDescent="0.2">
      <c r="A71" s="15">
        <v>44001</v>
      </c>
      <c r="B71" s="112">
        <v>0.997</v>
      </c>
      <c r="C71" s="108">
        <f t="shared" si="8"/>
        <v>-1.3000000000000012E-2</v>
      </c>
      <c r="D71" s="109">
        <f t="shared" si="9"/>
        <v>-1.3000000000000012E-2</v>
      </c>
      <c r="E71" s="109">
        <f ca="1">IF(表2_3671626293038912131415[[#This Row],[累计净值]]/MAX(INDIRECT("B21:B" &amp; ROW()))-1&lt;E70,表2_3671626293038912131415[[#This Row],[累计净值]]/MAX(INDIRECT("B21:B" &amp; ROW()))-1,E70)</f>
        <v>-2.63671875E-2</v>
      </c>
      <c r="F71" s="110">
        <f>表2_3671626293038912131415[[#This Row],[累计净值]]</f>
        <v>0.997</v>
      </c>
      <c r="G71" s="20">
        <f>IF(表2_3671626293038912131415[[#This Row],[累计净值]]&gt;1.005,0.8*(表2_3671626293038912131415[[#This Row],[累计净值]]/1.005-1),(表2_3671626293038912131415[[#This Row],[累计净值]]/1.005-1))</f>
        <v>-7.9601990049750215E-3</v>
      </c>
    </row>
    <row r="72" spans="1:7" x14ac:dyDescent="0.2">
      <c r="A72" s="15">
        <v>44004</v>
      </c>
      <c r="B72" s="112">
        <v>1.0049999999999999</v>
      </c>
      <c r="C72" s="108">
        <f t="shared" si="8"/>
        <v>7.9999999999998961E-3</v>
      </c>
      <c r="D72" s="109" t="str">
        <f t="shared" si="9"/>
        <v>/</v>
      </c>
      <c r="E72" s="109">
        <f ca="1">IF(表2_3671626293038912131415[[#This Row],[累计净值]]/MAX(INDIRECT("B21:B" &amp; ROW()))-1&lt;E71,表2_3671626293038912131415[[#This Row],[累计净值]]/MAX(INDIRECT("B21:B" &amp; ROW()))-1,E71)</f>
        <v>-2.63671875E-2</v>
      </c>
      <c r="F72" s="110">
        <f>表2_3671626293038912131415[[#This Row],[累计净值]]</f>
        <v>1.0049999999999999</v>
      </c>
      <c r="G72" s="20">
        <f>IF(表2_3671626293038912131415[[#This Row],[累计净值]]&gt;1.005,0.8*(表2_3671626293038912131415[[#This Row],[累计净值]]/1.005-1),(表2_3671626293038912131415[[#This Row],[累计净值]]/1.005-1))</f>
        <v>0</v>
      </c>
    </row>
    <row r="73" spans="1:7" x14ac:dyDescent="0.2">
      <c r="A73" s="15">
        <v>44005</v>
      </c>
      <c r="B73" s="112">
        <v>1.0069999999999999</v>
      </c>
      <c r="C73" s="108">
        <f t="shared" si="8"/>
        <v>2.0000000000000018E-3</v>
      </c>
      <c r="D73" s="109" t="str">
        <f t="shared" si="9"/>
        <v>/</v>
      </c>
      <c r="E73" s="109">
        <f ca="1">IF(表2_3671626293038912131415[[#This Row],[累计净值]]/MAX(INDIRECT("B21:B" &amp; ROW()))-1&lt;E72,表2_3671626293038912131415[[#This Row],[累计净值]]/MAX(INDIRECT("B21:B" &amp; ROW()))-1,E72)</f>
        <v>-2.63671875E-2</v>
      </c>
      <c r="F73" s="110">
        <f>表2_3671626293038912131415[[#This Row],[累计净值]]</f>
        <v>1.0069999999999999</v>
      </c>
      <c r="G73" s="20">
        <f>IF(表2_3671626293038912131415[[#This Row],[累计净值]]&gt;1.005,0.8*(表2_3671626293038912131415[[#This Row],[累计净值]]/1.005-1),(表2_3671626293038912131415[[#This Row],[累计净值]]/1.005-1))</f>
        <v>1.5920398009949821E-3</v>
      </c>
    </row>
    <row r="74" spans="1:7" x14ac:dyDescent="0.2">
      <c r="A74" s="15">
        <v>44006</v>
      </c>
      <c r="B74" s="112">
        <v>1.006</v>
      </c>
      <c r="C74" s="108">
        <f t="shared" si="8"/>
        <v>-9.9999999999988987E-4</v>
      </c>
      <c r="D74" s="109">
        <f t="shared" si="9"/>
        <v>-9.9999999999988987E-4</v>
      </c>
      <c r="E74" s="109">
        <f ca="1">IF(表2_3671626293038912131415[[#This Row],[累计净值]]/MAX(INDIRECT("B21:B" &amp; ROW()))-1&lt;E73,表2_3671626293038912131415[[#This Row],[累计净值]]/MAX(INDIRECT("B21:B" &amp; ROW()))-1,E73)</f>
        <v>-2.63671875E-2</v>
      </c>
      <c r="F74" s="110">
        <f>表2_3671626293038912131415[[#This Row],[累计净值]]</f>
        <v>1.006</v>
      </c>
      <c r="G74" s="20">
        <f>IF(表2_3671626293038912131415[[#This Row],[累计净值]]&gt;1.005,0.8*(表2_3671626293038912131415[[#This Row],[累计净值]]/1.005-1),(表2_3671626293038912131415[[#This Row],[累计净值]]/1.005-1))</f>
        <v>7.9601990049766875E-4</v>
      </c>
    </row>
    <row r="75" spans="1:7" x14ac:dyDescent="0.2">
      <c r="A75" s="15">
        <v>44011</v>
      </c>
      <c r="B75" s="112">
        <v>1.0149999999999999</v>
      </c>
      <c r="C75" s="108">
        <f t="shared" si="8"/>
        <v>8.999999999999897E-3</v>
      </c>
      <c r="D75" s="109" t="str">
        <f t="shared" si="9"/>
        <v>/</v>
      </c>
      <c r="E75" s="109">
        <f ca="1">IF(表2_3671626293038912131415[[#This Row],[累计净值]]/MAX(INDIRECT("B21:B" &amp; ROW()))-1&lt;E74,表2_3671626293038912131415[[#This Row],[累计净值]]/MAX(INDIRECT("B21:B" &amp; ROW()))-1,E74)</f>
        <v>-2.63671875E-2</v>
      </c>
      <c r="F75" s="110">
        <f>表2_3671626293038912131415[[#This Row],[累计净值]]</f>
        <v>1.0149999999999999</v>
      </c>
      <c r="G75" s="20">
        <f>IF(表2_3671626293038912131415[[#This Row],[累计净值]]&gt;1.005,0.8*(表2_3671626293038912131415[[#This Row],[累计净值]]/1.005-1),(表2_3671626293038912131415[[#This Row],[累计净值]]/1.005-1))</f>
        <v>7.9601990049750892E-3</v>
      </c>
    </row>
    <row r="76" spans="1:7" x14ac:dyDescent="0.2">
      <c r="A76" s="15">
        <v>44012</v>
      </c>
      <c r="B76" s="112">
        <v>1.0089999999999999</v>
      </c>
      <c r="C76" s="108">
        <f t="shared" si="8"/>
        <v>-6.0000000000000053E-3</v>
      </c>
      <c r="D76" s="109">
        <f t="shared" si="9"/>
        <v>-6.0000000000000053E-3</v>
      </c>
      <c r="E76" s="109">
        <f ca="1">IF(表2_3671626293038912131415[[#This Row],[累计净值]]/MAX(INDIRECT("B21:B" &amp; ROW()))-1&lt;E75,表2_3671626293038912131415[[#This Row],[累计净值]]/MAX(INDIRECT("B21:B" &amp; ROW()))-1,E75)</f>
        <v>-2.63671875E-2</v>
      </c>
      <c r="F76" s="110">
        <f>表2_3671626293038912131415[[#This Row],[累计净值]]</f>
        <v>1.0089999999999999</v>
      </c>
      <c r="G76" s="20">
        <f>IF(表2_3671626293038912131415[[#This Row],[累计净值]]&gt;1.005,0.8*(表2_3671626293038912131415[[#This Row],[累计净值]]/1.005-1),(表2_3671626293038912131415[[#This Row],[累计净值]]/1.005-1))</f>
        <v>3.1840796019899642E-3</v>
      </c>
    </row>
    <row r="77" spans="1:7" x14ac:dyDescent="0.2">
      <c r="A77" s="15">
        <v>44013</v>
      </c>
      <c r="B77" s="112">
        <v>1.0109999999999999</v>
      </c>
      <c r="C77" s="108">
        <f>IFERROR(B77-B76,0)</f>
        <v>2.0000000000000018E-3</v>
      </c>
      <c r="D77" s="109" t="str">
        <f>IF(C77&lt;0,C77,"/")</f>
        <v>/</v>
      </c>
      <c r="E77" s="109">
        <f ca="1">IF(表2_3671626293038912131415[[#This Row],[累计净值]]/MAX(INDIRECT("B21:B" &amp; ROW()))-1&lt;E76,表2_3671626293038912131415[[#This Row],[累计净值]]/MAX(INDIRECT("B21:B" &amp; ROW()))-1,E76)</f>
        <v>-2.63671875E-2</v>
      </c>
      <c r="F77" s="110">
        <f>表2_3671626293038912131415[[#This Row],[累计净值]]</f>
        <v>1.0109999999999999</v>
      </c>
      <c r="G77" s="20">
        <f>IF(表2_3671626293038912131415[[#This Row],[累计净值]]&gt;1.005,0.8*(表2_3671626293038912131415[[#This Row],[累计净值]]/1.005-1),(表2_3671626293038912131415[[#This Row],[累计净值]]/1.005-1))</f>
        <v>4.7761194029851241E-3</v>
      </c>
    </row>
    <row r="78" spans="1:7" x14ac:dyDescent="0.2">
      <c r="A78" s="15">
        <v>44014</v>
      </c>
      <c r="B78" s="112">
        <v>0.97099999999999997</v>
      </c>
      <c r="C78" s="108">
        <f>IFERROR(B78-B77,0)</f>
        <v>-3.9999999999999925E-2</v>
      </c>
      <c r="D78" s="109">
        <f>IF(C78&lt;0,C78,"/")</f>
        <v>-3.9999999999999925E-2</v>
      </c>
      <c r="E78" s="109">
        <f ca="1">IF(表2_3671626293038912131415[[#This Row],[累计净值]]/MAX(INDIRECT("B21:B" &amp; ROW()))-1&lt;E77,表2_3671626293038912131415[[#This Row],[累计净值]]/MAX(INDIRECT("B21:B" &amp; ROW()))-1,E77)</f>
        <v>-5.17578125E-2</v>
      </c>
      <c r="F78" s="110">
        <f>表2_3671626293038912131415[[#This Row],[累计净值]]</f>
        <v>0.97099999999999997</v>
      </c>
      <c r="G78" s="20">
        <f>IF(表2_3671626293038912131415[[#This Row],[累计净值]]&gt;1.005,0.8*(表2_3671626293038912131415[[#This Row],[累计净值]]/1.005-1),(表2_3671626293038912131415[[#This Row],[累计净值]]/1.005-1))</f>
        <v>-3.3830845771144147E-2</v>
      </c>
    </row>
    <row r="79" spans="1:7" x14ac:dyDescent="0.2">
      <c r="A79" s="15">
        <v>44015</v>
      </c>
      <c r="B79" s="112">
        <v>0.97199999999999998</v>
      </c>
      <c r="C79" s="108">
        <f>IFERROR(B79-B78,0)</f>
        <v>1.0000000000000009E-3</v>
      </c>
      <c r="D79" s="109" t="str">
        <f>IF(C79&lt;0,C79,"/")</f>
        <v>/</v>
      </c>
      <c r="E79" s="109">
        <f ca="1">IF(表2_3671626293038912131415[[#This Row],[累计净值]]/MAX(INDIRECT("B21:B" &amp; ROW()))-1&lt;E78,表2_3671626293038912131415[[#This Row],[累计净值]]/MAX(INDIRECT("B21:B" &amp; ROW()))-1,E78)</f>
        <v>-5.17578125E-2</v>
      </c>
      <c r="F79" s="110">
        <f>表2_3671626293038912131415[[#This Row],[累计净值]]</f>
        <v>0.97199999999999998</v>
      </c>
      <c r="G79" s="20">
        <f>IF(表2_3671626293038912131415[[#This Row],[累计净值]]&gt;1.005,0.8*(表2_3671626293038912131415[[#This Row],[累计净值]]/1.005-1),(表2_3671626293038912131415[[#This Row],[累计净值]]/1.005-1))</f>
        <v>-3.2835820895522283E-2</v>
      </c>
    </row>
    <row r="80" spans="1:7" x14ac:dyDescent="0.2">
      <c r="A80" s="15">
        <v>44018</v>
      </c>
      <c r="B80" s="112">
        <v>0.97099999999999997</v>
      </c>
      <c r="C80" s="108">
        <f>IFERROR(B80-B79,0)</f>
        <v>-1.0000000000000009E-3</v>
      </c>
      <c r="D80" s="109">
        <f>IF(C80&lt;0,C80,"/")</f>
        <v>-1.0000000000000009E-3</v>
      </c>
      <c r="E80" s="109">
        <f ca="1">IF(表2_3671626293038912131415[[#This Row],[累计净值]]/MAX(INDIRECT("B21:B" &amp; ROW()))-1&lt;E79,表2_3671626293038912131415[[#This Row],[累计净值]]/MAX(INDIRECT("B21:B" &amp; ROW()))-1,E79)</f>
        <v>-5.17578125E-2</v>
      </c>
      <c r="F80" s="110">
        <f>表2_3671626293038912131415[[#This Row],[累计净值]]</f>
        <v>0.97099999999999997</v>
      </c>
      <c r="G80" s="20">
        <f>IF(表2_3671626293038912131415[[#This Row],[累计净值]]&gt;1.005,0.8*(表2_3671626293038912131415[[#This Row],[累计净值]]/1.005-1),(表2_3671626293038912131415[[#This Row],[累计净值]]/1.005-1))</f>
        <v>-3.3830845771144147E-2</v>
      </c>
    </row>
    <row r="81" spans="1:7" x14ac:dyDescent="0.2">
      <c r="A81" s="15">
        <v>44019</v>
      </c>
      <c r="B81" s="112">
        <v>0.95499999999999996</v>
      </c>
      <c r="C81" s="108">
        <f t="shared" ref="C81:C86" si="10">IFERROR(B81-B80,0)</f>
        <v>-1.6000000000000014E-2</v>
      </c>
      <c r="D81" s="109">
        <f t="shared" ref="D81:D86" si="11">IF(C81&lt;0,C81,"/")</f>
        <v>-1.6000000000000014E-2</v>
      </c>
      <c r="E81" s="109">
        <f ca="1">IF(表2_3671626293038912131415[[#This Row],[累计净值]]/MAX(INDIRECT("B21:B" &amp; ROW()))-1&lt;E80,表2_3671626293038912131415[[#This Row],[累计净值]]/MAX(INDIRECT("B21:B" &amp; ROW()))-1,E80)</f>
        <v>-6.7382812500000111E-2</v>
      </c>
      <c r="F81" s="110">
        <f>表2_3671626293038912131415[[#This Row],[累计净值]]</f>
        <v>0.95499999999999996</v>
      </c>
      <c r="G81" s="20">
        <f>IF(表2_3671626293038912131415[[#This Row],[累计净值]]&gt;1.005,0.8*(表2_3671626293038912131415[[#This Row],[累计净值]]/1.005-1),(表2_3671626293038912131415[[#This Row],[累计净值]]/1.005-1))</f>
        <v>-4.9751243781094412E-2</v>
      </c>
    </row>
    <row r="82" spans="1:7" x14ac:dyDescent="0.2">
      <c r="A82" s="15">
        <v>44020</v>
      </c>
      <c r="B82" s="112">
        <v>0.95599999999999996</v>
      </c>
      <c r="C82" s="108">
        <f t="shared" si="10"/>
        <v>1.0000000000000009E-3</v>
      </c>
      <c r="D82" s="109" t="str">
        <f t="shared" si="11"/>
        <v>/</v>
      </c>
      <c r="E82" s="109">
        <f ca="1">IF(表2_3671626293038912131415[[#This Row],[累计净值]]/MAX(INDIRECT("B21:B" &amp; ROW()))-1&lt;E81,表2_3671626293038912131415[[#This Row],[累计净值]]/MAX(INDIRECT("B21:B" &amp; ROW()))-1,E81)</f>
        <v>-6.7382812500000111E-2</v>
      </c>
      <c r="F82" s="110">
        <f>表2_3671626293038912131415[[#This Row],[累计净值]]</f>
        <v>0.95599999999999996</v>
      </c>
      <c r="G82" s="20">
        <f>IF(表2_3671626293038912131415[[#This Row],[累计净值]]&gt;1.005,0.8*(表2_3671626293038912131415[[#This Row],[累计净值]]/1.005-1),(表2_3671626293038912131415[[#This Row],[累计净值]]/1.005-1))</f>
        <v>-4.8756218905472548E-2</v>
      </c>
    </row>
    <row r="83" spans="1:7" x14ac:dyDescent="0.2">
      <c r="A83" s="15">
        <v>44021</v>
      </c>
      <c r="B83" s="112">
        <v>0.95699999999999996</v>
      </c>
      <c r="C83" s="108">
        <f t="shared" si="10"/>
        <v>1.0000000000000009E-3</v>
      </c>
      <c r="D83" s="109" t="str">
        <f t="shared" si="11"/>
        <v>/</v>
      </c>
      <c r="E83" s="109">
        <f ca="1">IF(表2_3671626293038912131415[[#This Row],[累计净值]]/MAX(INDIRECT("B21:B" &amp; ROW()))-1&lt;E82,表2_3671626293038912131415[[#This Row],[累计净值]]/MAX(INDIRECT("B21:B" &amp; ROW()))-1,E82)</f>
        <v>-6.7382812500000111E-2</v>
      </c>
      <c r="F83" s="110">
        <f>表2_3671626293038912131415[[#This Row],[累计净值]]</f>
        <v>0.95699999999999996</v>
      </c>
      <c r="G83" s="20">
        <f>IF(表2_3671626293038912131415[[#This Row],[累计净值]]&gt;1.005,0.8*(表2_3671626293038912131415[[#This Row],[累计净值]]/1.005-1),(表2_3671626293038912131415[[#This Row],[累计净值]]/1.005-1))</f>
        <v>-4.7761194029850684E-2</v>
      </c>
    </row>
    <row r="84" spans="1:7" x14ac:dyDescent="0.2">
      <c r="A84" s="15">
        <v>44022</v>
      </c>
      <c r="B84" s="112">
        <v>0.95599999999999996</v>
      </c>
      <c r="C84" s="108">
        <f t="shared" si="10"/>
        <v>-1.0000000000000009E-3</v>
      </c>
      <c r="D84" s="109">
        <f t="shared" si="11"/>
        <v>-1.0000000000000009E-3</v>
      </c>
      <c r="E84" s="109">
        <f ca="1">IF(表2_3671626293038912131415[[#This Row],[累计净值]]/MAX(INDIRECT("B21:B" &amp; ROW()))-1&lt;E83,表2_3671626293038912131415[[#This Row],[累计净值]]/MAX(INDIRECT("B21:B" &amp; ROW()))-1,E83)</f>
        <v>-6.7382812500000111E-2</v>
      </c>
      <c r="F84" s="110">
        <f>表2_3671626293038912131415[[#This Row],[累计净值]]</f>
        <v>0.95599999999999996</v>
      </c>
      <c r="G84" s="20">
        <f>IF(表2_3671626293038912131415[[#This Row],[累计净值]]&gt;1.005,0.8*(表2_3671626293038912131415[[#This Row],[累计净值]]/1.005-1),(表2_3671626293038912131415[[#This Row],[累计净值]]/1.005-1))</f>
        <v>-4.8756218905472548E-2</v>
      </c>
    </row>
    <row r="85" spans="1:7" x14ac:dyDescent="0.2">
      <c r="A85" s="15">
        <v>44025</v>
      </c>
      <c r="B85" s="112">
        <v>0.95699999999999996</v>
      </c>
      <c r="C85" s="108">
        <f t="shared" si="10"/>
        <v>1.0000000000000009E-3</v>
      </c>
      <c r="D85" s="109" t="str">
        <f t="shared" si="11"/>
        <v>/</v>
      </c>
      <c r="E85" s="109">
        <f ca="1">IF(表2_3671626293038912131415[[#This Row],[累计净值]]/MAX(INDIRECT("B21:B" &amp; ROW()))-1&lt;E84,表2_3671626293038912131415[[#This Row],[累计净值]]/MAX(INDIRECT("B21:B" &amp; ROW()))-1,E84)</f>
        <v>-6.7382812500000111E-2</v>
      </c>
      <c r="F85" s="110">
        <f>表2_3671626293038912131415[[#This Row],[累计净值]]</f>
        <v>0.95699999999999996</v>
      </c>
      <c r="G85" s="20">
        <f>IF(表2_3671626293038912131415[[#This Row],[累计净值]]&gt;1.005,0.8*(表2_3671626293038912131415[[#This Row],[累计净值]]/1.005-1),(表2_3671626293038912131415[[#This Row],[累计净值]]/1.005-1))</f>
        <v>-4.7761194029850684E-2</v>
      </c>
    </row>
    <row r="86" spans="1:7" x14ac:dyDescent="0.2">
      <c r="A86" s="15">
        <v>44026</v>
      </c>
      <c r="B86" s="112">
        <v>0.95599999999999996</v>
      </c>
      <c r="C86" s="108">
        <f t="shared" si="10"/>
        <v>-1.0000000000000009E-3</v>
      </c>
      <c r="D86" s="109">
        <f t="shared" si="11"/>
        <v>-1.0000000000000009E-3</v>
      </c>
      <c r="E86" s="109">
        <f ca="1">IF(表2_3671626293038912131415[[#This Row],[累计净值]]/MAX(INDIRECT("B21:B" &amp; ROW()))-1&lt;E85,表2_3671626293038912131415[[#This Row],[累计净值]]/MAX(INDIRECT("B21:B" &amp; ROW()))-1,E85)</f>
        <v>-6.7382812500000111E-2</v>
      </c>
      <c r="F86" s="110">
        <f>表2_3671626293038912131415[[#This Row],[累计净值]]</f>
        <v>0.95599999999999996</v>
      </c>
      <c r="G86" s="20">
        <f>IF(表2_3671626293038912131415[[#This Row],[累计净值]]&gt;1.005,0.8*(表2_3671626293038912131415[[#This Row],[累计净值]]/1.005-1),(表2_3671626293038912131415[[#This Row],[累计净值]]/1.005-1))</f>
        <v>-4.8756218905472548E-2</v>
      </c>
    </row>
    <row r="87" spans="1:7" x14ac:dyDescent="0.2">
      <c r="A87" s="15">
        <v>44027</v>
      </c>
      <c r="B87" s="112">
        <v>0.95699999999999996</v>
      </c>
      <c r="C87" s="108">
        <f t="shared" ref="C87:C92" si="12">IFERROR(B87-B86,0)</f>
        <v>1.0000000000000009E-3</v>
      </c>
      <c r="D87" s="109" t="str">
        <f t="shared" ref="D87:D92" si="13">IF(C87&lt;0,C87,"/")</f>
        <v>/</v>
      </c>
      <c r="E87" s="109">
        <f ca="1">IF(表2_3671626293038912131415[[#This Row],[累计净值]]/MAX(INDIRECT("B21:B" &amp; ROW()))-1&lt;E86,表2_3671626293038912131415[[#This Row],[累计净值]]/MAX(INDIRECT("B21:B" &amp; ROW()))-1,E86)</f>
        <v>-6.7382812500000111E-2</v>
      </c>
      <c r="F87" s="110">
        <f>表2_3671626293038912131415[[#This Row],[累计净值]]</f>
        <v>0.95699999999999996</v>
      </c>
      <c r="G87" s="20">
        <f>IF(表2_3671626293038912131415[[#This Row],[累计净值]]&gt;1.005,0.8*(表2_3671626293038912131415[[#This Row],[累计净值]]/1.005-1),(表2_3671626293038912131415[[#This Row],[累计净值]]/1.005-1))</f>
        <v>-4.7761194029850684E-2</v>
      </c>
    </row>
    <row r="88" spans="1:7" x14ac:dyDescent="0.2">
      <c r="A88" s="15">
        <v>44028</v>
      </c>
      <c r="B88" s="112">
        <v>0.96299999999999997</v>
      </c>
      <c r="C88" s="108">
        <f t="shared" si="12"/>
        <v>6.0000000000000053E-3</v>
      </c>
      <c r="D88" s="109" t="str">
        <f t="shared" si="13"/>
        <v>/</v>
      </c>
      <c r="E88" s="109">
        <f ca="1">IF(表2_3671626293038912131415[[#This Row],[累计净值]]/MAX(INDIRECT("B21:B" &amp; ROW()))-1&lt;E87,表2_3671626293038912131415[[#This Row],[累计净值]]/MAX(INDIRECT("B21:B" &amp; ROW()))-1,E87)</f>
        <v>-6.7382812500000111E-2</v>
      </c>
      <c r="F88" s="110">
        <f>表2_3671626293038912131415[[#This Row],[累计净值]]</f>
        <v>0.96299999999999997</v>
      </c>
      <c r="G88" s="20">
        <f>IF(表2_3671626293038912131415[[#This Row],[累计净值]]&gt;1.005,0.8*(表2_3671626293038912131415[[#This Row],[累计净值]]/1.005-1),(表2_3671626293038912131415[[#This Row],[累计净值]]/1.005-1))</f>
        <v>-4.1791044776119279E-2</v>
      </c>
    </row>
    <row r="89" spans="1:7" x14ac:dyDescent="0.2">
      <c r="A89" s="15">
        <v>44029</v>
      </c>
      <c r="B89" s="112">
        <v>0.94799999999999995</v>
      </c>
      <c r="C89" s="108">
        <f t="shared" si="12"/>
        <v>-1.5000000000000013E-2</v>
      </c>
      <c r="D89" s="109">
        <f t="shared" si="13"/>
        <v>-1.5000000000000013E-2</v>
      </c>
      <c r="E89" s="109">
        <f ca="1">IF(表2_3671626293038912131415[[#This Row],[累计净值]]/MAX(INDIRECT("B21:B" &amp; ROW()))-1&lt;E88,表2_3671626293038912131415[[#This Row],[累计净值]]/MAX(INDIRECT("B21:B" &amp; ROW()))-1,E88)</f>
        <v>-7.4218750000000111E-2</v>
      </c>
      <c r="F89" s="110">
        <f>表2_3671626293038912131415[[#This Row],[累计净值]]</f>
        <v>0.94799999999999995</v>
      </c>
      <c r="G89" s="20">
        <f>IF(表2_3671626293038912131415[[#This Row],[累计净值]]&gt;1.005,0.8*(表2_3671626293038912131415[[#This Row],[累计净值]]/1.005-1),(表2_3671626293038912131415[[#This Row],[累计净值]]/1.005-1))</f>
        <v>-5.6716417910447681E-2</v>
      </c>
    </row>
    <row r="90" spans="1:7" x14ac:dyDescent="0.2">
      <c r="A90" s="15">
        <v>44032</v>
      </c>
      <c r="B90" s="112">
        <v>0.95</v>
      </c>
      <c r="C90" s="108">
        <f t="shared" si="12"/>
        <v>2.0000000000000018E-3</v>
      </c>
      <c r="D90" s="109" t="str">
        <f t="shared" si="13"/>
        <v>/</v>
      </c>
      <c r="E90" s="109">
        <f ca="1">IF(表2_3671626293038912131415[[#This Row],[累计净值]]/MAX(INDIRECT("B21:B" &amp; ROW()))-1&lt;E89,表2_3671626293038912131415[[#This Row],[累计净值]]/MAX(INDIRECT("B21:B" &amp; ROW()))-1,E89)</f>
        <v>-7.4218750000000111E-2</v>
      </c>
      <c r="F90" s="110">
        <f>表2_3671626293038912131415[[#This Row],[累计净值]]</f>
        <v>0.95</v>
      </c>
      <c r="G90" s="20">
        <f>IF(表2_3671626293038912131415[[#This Row],[累计净值]]&gt;1.005,0.8*(表2_3671626293038912131415[[#This Row],[累计净值]]/1.005-1),(表2_3671626293038912131415[[#This Row],[累计净值]]/1.005-1))</f>
        <v>-5.4726368159203953E-2</v>
      </c>
    </row>
    <row r="91" spans="1:7" x14ac:dyDescent="0.2">
      <c r="A91" s="15">
        <v>44033</v>
      </c>
      <c r="B91" s="112">
        <v>0.95199999999999996</v>
      </c>
      <c r="C91" s="108">
        <f t="shared" si="12"/>
        <v>2.0000000000000018E-3</v>
      </c>
      <c r="D91" s="109" t="str">
        <f t="shared" si="13"/>
        <v>/</v>
      </c>
      <c r="E91" s="109">
        <f ca="1">IF(表2_3671626293038912131415[[#This Row],[累计净值]]/MAX(INDIRECT("B21:B" &amp; ROW()))-1&lt;E90,表2_3671626293038912131415[[#This Row],[累计净值]]/MAX(INDIRECT("B21:B" &amp; ROW()))-1,E90)</f>
        <v>-7.4218750000000111E-2</v>
      </c>
      <c r="F91" s="110">
        <f>表2_3671626293038912131415[[#This Row],[累计净值]]</f>
        <v>0.95199999999999996</v>
      </c>
      <c r="G91" s="20">
        <f>IF(表2_3671626293038912131415[[#This Row],[累计净值]]&gt;1.005,0.8*(表2_3671626293038912131415[[#This Row],[累计净值]]/1.005-1),(表2_3671626293038912131415[[#This Row],[累计净值]]/1.005-1))</f>
        <v>-5.2736318407960114E-2</v>
      </c>
    </row>
    <row r="92" spans="1:7" x14ac:dyDescent="0.2">
      <c r="A92" s="15">
        <v>44034</v>
      </c>
      <c r="B92" s="112">
        <v>0.95399999999999996</v>
      </c>
      <c r="C92" s="108">
        <f t="shared" si="12"/>
        <v>2.0000000000000018E-3</v>
      </c>
      <c r="D92" s="109" t="str">
        <f t="shared" si="13"/>
        <v>/</v>
      </c>
      <c r="E92" s="109">
        <f ca="1">IF(表2_3671626293038912131415[[#This Row],[累计净值]]/MAX(INDIRECT("B21:B" &amp; ROW()))-1&lt;E91,表2_3671626293038912131415[[#This Row],[累计净值]]/MAX(INDIRECT("B21:B" &amp; ROW()))-1,E91)</f>
        <v>-7.4218750000000111E-2</v>
      </c>
      <c r="F92" s="110">
        <f>表2_3671626293038912131415[[#This Row],[累计净值]]</f>
        <v>0.95399999999999996</v>
      </c>
      <c r="G92" s="20">
        <f>IF(表2_3671626293038912131415[[#This Row],[累计净值]]&gt;1.005,0.8*(表2_3671626293038912131415[[#This Row],[累计净值]]/1.005-1),(表2_3671626293038912131415[[#This Row],[累计净值]]/1.005-1))</f>
        <v>-5.0746268656716387E-2</v>
      </c>
    </row>
    <row r="93" spans="1:7" x14ac:dyDescent="0.2">
      <c r="A93" s="15">
        <v>44035</v>
      </c>
      <c r="B93" s="112">
        <v>0.94899999999999995</v>
      </c>
      <c r="C93" s="108">
        <f>IFERROR(B93-B92,0)</f>
        <v>-5.0000000000000044E-3</v>
      </c>
      <c r="D93" s="109">
        <f>IF(C93&lt;0,C93,"/")</f>
        <v>-5.0000000000000044E-3</v>
      </c>
      <c r="E93" s="109">
        <f ca="1">IF(表2_3671626293038912131415[[#This Row],[累计净值]]/MAX(INDIRECT("B21:B" &amp; ROW()))-1&lt;E92,表2_3671626293038912131415[[#This Row],[累计净值]]/MAX(INDIRECT("B21:B" &amp; ROW()))-1,E92)</f>
        <v>-7.4218750000000111E-2</v>
      </c>
      <c r="F93" s="110">
        <f>表2_3671626293038912131415[[#This Row],[累计净值]]</f>
        <v>0.94899999999999995</v>
      </c>
      <c r="G93" s="20">
        <f>IF(表2_3671626293038912131415[[#This Row],[累计净值]]&gt;1.005,0.8*(表2_3671626293038912131415[[#This Row],[累计净值]]/1.005-1),(表2_3671626293038912131415[[#This Row],[累计净值]]/1.005-1))</f>
        <v>-5.5721393034825817E-2</v>
      </c>
    </row>
    <row r="94" spans="1:7" x14ac:dyDescent="0.2">
      <c r="A94" s="15">
        <v>44036</v>
      </c>
      <c r="B94" s="112">
        <v>0.93899999999999995</v>
      </c>
      <c r="C94" s="108">
        <f>IFERROR(B94-B93,0)</f>
        <v>-1.0000000000000009E-2</v>
      </c>
      <c r="D94" s="109">
        <f>IF(C94&lt;0,C94,"/")</f>
        <v>-1.0000000000000009E-2</v>
      </c>
      <c r="E94" s="109">
        <f ca="1">IF(表2_3671626293038912131415[[#This Row],[累计净值]]/MAX(INDIRECT("B21:B" &amp; ROW()))-1&lt;E93,表2_3671626293038912131415[[#This Row],[累计净值]]/MAX(INDIRECT("B21:B" &amp; ROW()))-1,E93)</f>
        <v>-8.3007812500000111E-2</v>
      </c>
      <c r="F94" s="110">
        <f>表2_3671626293038912131415[[#This Row],[累计净值]]</f>
        <v>0.93899999999999995</v>
      </c>
      <c r="G94" s="20">
        <f>IF(表2_3671626293038912131415[[#This Row],[累计净值]]&gt;1.005,0.8*(表2_3671626293038912131415[[#This Row],[累计净值]]/1.005-1),(表2_3671626293038912131415[[#This Row],[累计净值]]/1.005-1))</f>
        <v>-6.5671641791044677E-2</v>
      </c>
    </row>
    <row r="95" spans="1:7" x14ac:dyDescent="0.2">
      <c r="A95" s="15">
        <v>44039</v>
      </c>
      <c r="B95" s="112">
        <v>0.93400000000000005</v>
      </c>
      <c r="C95" s="108">
        <f t="shared" ref="C95:C100" si="14">IFERROR(B95-B94,0)</f>
        <v>-4.9999999999998934E-3</v>
      </c>
      <c r="D95" s="109">
        <f t="shared" ref="D95:D100" si="15">IF(C95&lt;0,C95,"/")</f>
        <v>-4.9999999999998934E-3</v>
      </c>
      <c r="E95" s="109">
        <f ca="1">IF(表2_3671626293038912131415[[#This Row],[累计净值]]/MAX(INDIRECT("B21:B" &amp; ROW()))-1&lt;E94,表2_3671626293038912131415[[#This Row],[累计净值]]/MAX(INDIRECT("B21:B" &amp; ROW()))-1,E94)</f>
        <v>-8.7890625E-2</v>
      </c>
      <c r="F95" s="110">
        <f>表2_3671626293038912131415[[#This Row],[累计净值]]</f>
        <v>0.93400000000000005</v>
      </c>
      <c r="G95" s="20">
        <f>IF(表2_3671626293038912131415[[#This Row],[累计净值]]&gt;1.005,0.8*(表2_3671626293038912131415[[#This Row],[累计净值]]/1.005-1),(表2_3671626293038912131415[[#This Row],[累计净值]]/1.005-1))</f>
        <v>-7.0646766169154107E-2</v>
      </c>
    </row>
    <row r="96" spans="1:7" x14ac:dyDescent="0.2">
      <c r="A96" s="15">
        <v>44040</v>
      </c>
      <c r="B96" s="112">
        <v>0.92900000000000005</v>
      </c>
      <c r="C96" s="108">
        <f t="shared" si="14"/>
        <v>-5.0000000000000044E-3</v>
      </c>
      <c r="D96" s="109">
        <f t="shared" si="15"/>
        <v>-5.0000000000000044E-3</v>
      </c>
      <c r="E96" s="109">
        <f ca="1">IF(表2_3671626293038912131415[[#This Row],[累计净值]]/MAX(INDIRECT("B21:B" &amp; ROW()))-1&lt;E95,表2_3671626293038912131415[[#This Row],[累计净值]]/MAX(INDIRECT("B21:B" &amp; ROW()))-1,E95)</f>
        <v>-9.27734375E-2</v>
      </c>
      <c r="F96" s="110">
        <f>表2_3671626293038912131415[[#This Row],[累计净值]]</f>
        <v>0.92900000000000005</v>
      </c>
      <c r="G96" s="20">
        <f>IF(表2_3671626293038912131415[[#This Row],[累计净值]]&gt;1.005,0.8*(表2_3671626293038912131415[[#This Row],[累计净值]]/1.005-1),(表2_3671626293038912131415[[#This Row],[累计净值]]/1.005-1))</f>
        <v>-7.5621890547263537E-2</v>
      </c>
    </row>
    <row r="97" spans="1:7" x14ac:dyDescent="0.2">
      <c r="A97" s="15">
        <v>44041</v>
      </c>
      <c r="B97" s="112">
        <v>0.93300000000000005</v>
      </c>
      <c r="C97" s="108">
        <f t="shared" si="14"/>
        <v>4.0000000000000036E-3</v>
      </c>
      <c r="D97" s="109" t="str">
        <f t="shared" si="15"/>
        <v>/</v>
      </c>
      <c r="E97" s="109">
        <f ca="1">IF(表2_3671626293038912131415[[#This Row],[累计净值]]/MAX(INDIRECT("B21:B" &amp; ROW()))-1&lt;E96,表2_3671626293038912131415[[#This Row],[累计净值]]/MAX(INDIRECT("B21:B" &amp; ROW()))-1,E96)</f>
        <v>-9.27734375E-2</v>
      </c>
      <c r="F97" s="110">
        <f>表2_3671626293038912131415[[#This Row],[累计净值]]</f>
        <v>0.93300000000000005</v>
      </c>
      <c r="G97" s="20">
        <f>IF(表2_3671626293038912131415[[#This Row],[累计净值]]&gt;1.005,0.8*(表2_3671626293038912131415[[#This Row],[累计净值]]/1.005-1),(表2_3671626293038912131415[[#This Row],[累计净值]]/1.005-1))</f>
        <v>-7.1641791044775971E-2</v>
      </c>
    </row>
    <row r="98" spans="1:7" x14ac:dyDescent="0.2">
      <c r="A98" s="15">
        <v>44042</v>
      </c>
      <c r="B98" s="112">
        <v>0.95099999999999996</v>
      </c>
      <c r="C98" s="108">
        <f t="shared" si="14"/>
        <v>1.7999999999999905E-2</v>
      </c>
      <c r="D98" s="109" t="str">
        <f t="shared" si="15"/>
        <v>/</v>
      </c>
      <c r="E98" s="109">
        <f ca="1">IF(表2_3671626293038912131415[[#This Row],[累计净值]]/MAX(INDIRECT("B21:B" &amp; ROW()))-1&lt;E97,表2_3671626293038912131415[[#This Row],[累计净值]]/MAX(INDIRECT("B21:B" &amp; ROW()))-1,E97)</f>
        <v>-9.27734375E-2</v>
      </c>
      <c r="F98" s="110">
        <f>表2_3671626293038912131415[[#This Row],[累计净值]]</f>
        <v>0.95099999999999996</v>
      </c>
      <c r="G98" s="20">
        <f>IF(表2_3671626293038912131415[[#This Row],[累计净值]]&gt;1.005,0.8*(表2_3671626293038912131415[[#This Row],[累计净值]]/1.005-1),(表2_3671626293038912131415[[#This Row],[累计净值]]/1.005-1))</f>
        <v>-5.3731343283581978E-2</v>
      </c>
    </row>
    <row r="99" spans="1:7" x14ac:dyDescent="0.2">
      <c r="A99" s="15">
        <v>44043</v>
      </c>
      <c r="B99" s="112">
        <v>0.96299999999999997</v>
      </c>
      <c r="C99" s="108">
        <f t="shared" si="14"/>
        <v>1.2000000000000011E-2</v>
      </c>
      <c r="D99" s="109" t="str">
        <f t="shared" si="15"/>
        <v>/</v>
      </c>
      <c r="E99" s="109">
        <f ca="1">IF(表2_3671626293038912131415[[#This Row],[累计净值]]/MAX(INDIRECT("B21:B" &amp; ROW()))-1&lt;E98,表2_3671626293038912131415[[#This Row],[累计净值]]/MAX(INDIRECT("B21:B" &amp; ROW()))-1,E98)</f>
        <v>-9.27734375E-2</v>
      </c>
      <c r="F99" s="110">
        <f>表2_3671626293038912131415[[#This Row],[累计净值]]</f>
        <v>0.96299999999999997</v>
      </c>
      <c r="G99" s="20">
        <f>IF(表2_3671626293038912131415[[#This Row],[累计净值]]&gt;1.005,0.8*(表2_3671626293038912131415[[#This Row],[累计净值]]/1.005-1),(表2_3671626293038912131415[[#This Row],[累计净值]]/1.005-1))</f>
        <v>-4.1791044776119279E-2</v>
      </c>
    </row>
    <row r="100" spans="1:7" x14ac:dyDescent="0.2">
      <c r="A100" s="15">
        <v>44046</v>
      </c>
      <c r="B100" s="112">
        <v>0.92600000000000005</v>
      </c>
      <c r="C100" s="108">
        <f t="shared" si="14"/>
        <v>-3.6999999999999922E-2</v>
      </c>
      <c r="D100" s="109">
        <f t="shared" si="15"/>
        <v>-3.6999999999999922E-2</v>
      </c>
      <c r="E100" s="109">
        <f ca="1">IF(表2_3671626293038912131415[[#This Row],[累计净值]]/MAX(INDIRECT("B21:B" &amp; ROW()))-1&lt;E99,表2_3671626293038912131415[[#This Row],[累计净值]]/MAX(INDIRECT("B21:B" &amp; ROW()))-1,E99)</f>
        <v>-9.5703125E-2</v>
      </c>
      <c r="F100" s="110">
        <f>表2_3671626293038912131415[[#This Row],[累计净值]]</f>
        <v>0.92600000000000005</v>
      </c>
      <c r="G100" s="20">
        <f>IF(表2_3671626293038912131415[[#This Row],[累计净值]]&gt;1.005,0.8*(表2_3671626293038912131415[[#This Row],[累计净值]]/1.005-1),(表2_3671626293038912131415[[#This Row],[累计净值]]/1.005-1))</f>
        <v>-7.860696517412924E-2</v>
      </c>
    </row>
    <row r="101" spans="1:7" x14ac:dyDescent="0.2">
      <c r="A101" s="15">
        <v>44047</v>
      </c>
      <c r="B101" s="112">
        <v>0.92900000000000005</v>
      </c>
      <c r="C101" s="108">
        <f t="shared" ref="C101:C107" si="16">IFERROR(B101-B100,0)</f>
        <v>3.0000000000000027E-3</v>
      </c>
      <c r="D101" s="109" t="str">
        <f t="shared" ref="D101:D107" si="17">IF(C101&lt;0,C101,"/")</f>
        <v>/</v>
      </c>
      <c r="E101" s="109">
        <f ca="1">IF(表2_3671626293038912131415[[#This Row],[累计净值]]/MAX(INDIRECT("B21:B" &amp; ROW()))-1&lt;E100,表2_3671626293038912131415[[#This Row],[累计净值]]/MAX(INDIRECT("B21:B" &amp; ROW()))-1,E100)</f>
        <v>-9.5703125E-2</v>
      </c>
      <c r="F101" s="110">
        <f>表2_3671626293038912131415[[#This Row],[累计净值]]</f>
        <v>0.92900000000000005</v>
      </c>
      <c r="G101" s="20">
        <f>IF(表2_3671626293038912131415[[#This Row],[累计净值]]&gt;1.005,0.8*(表2_3671626293038912131415[[#This Row],[累计净值]]/1.005-1),(表2_3671626293038912131415[[#This Row],[累计净值]]/1.005-1))</f>
        <v>-7.5621890547263537E-2</v>
      </c>
    </row>
    <row r="102" spans="1:7" x14ac:dyDescent="0.2">
      <c r="A102" s="15">
        <v>44048</v>
      </c>
      <c r="B102" s="112">
        <v>0.93</v>
      </c>
      <c r="C102" s="108">
        <f t="shared" si="16"/>
        <v>1.0000000000000009E-3</v>
      </c>
      <c r="D102" s="109" t="str">
        <f t="shared" si="17"/>
        <v>/</v>
      </c>
      <c r="E102" s="109">
        <f ca="1">IF(表2_3671626293038912131415[[#This Row],[累计净值]]/MAX(INDIRECT("B21:B" &amp; ROW()))-1&lt;E101,表2_3671626293038912131415[[#This Row],[累计净值]]/MAX(INDIRECT("B21:B" &amp; ROW()))-1,E101)</f>
        <v>-9.5703125E-2</v>
      </c>
      <c r="F102" s="110">
        <f>表2_3671626293038912131415[[#This Row],[累计净值]]</f>
        <v>0.93</v>
      </c>
      <c r="G102" s="20">
        <f>IF(表2_3671626293038912131415[[#This Row],[累计净值]]&gt;1.005,0.8*(表2_3671626293038912131415[[#This Row],[累计净值]]/1.005-1),(表2_3671626293038912131415[[#This Row],[累计净值]]/1.005-1))</f>
        <v>-7.4626865671641673E-2</v>
      </c>
    </row>
    <row r="103" spans="1:7" x14ac:dyDescent="0.2">
      <c r="A103" s="15">
        <v>44049</v>
      </c>
      <c r="B103" s="112">
        <v>0.92900000000000005</v>
      </c>
      <c r="C103" s="108">
        <f t="shared" si="16"/>
        <v>-1.0000000000000009E-3</v>
      </c>
      <c r="D103" s="109">
        <f t="shared" si="17"/>
        <v>-1.0000000000000009E-3</v>
      </c>
      <c r="E103" s="109">
        <f ca="1">IF(表2_3671626293038912131415[[#This Row],[累计净值]]/MAX(INDIRECT("B21:B" &amp; ROW()))-1&lt;E102,表2_3671626293038912131415[[#This Row],[累计净值]]/MAX(INDIRECT("B21:B" &amp; ROW()))-1,E102)</f>
        <v>-9.5703125E-2</v>
      </c>
      <c r="F103" s="110">
        <f>表2_3671626293038912131415[[#This Row],[累计净值]]</f>
        <v>0.92900000000000005</v>
      </c>
      <c r="G103" s="20">
        <f>IF(表2_3671626293038912131415[[#This Row],[累计净值]]&gt;1.005,0.8*(表2_3671626293038912131415[[#This Row],[累计净值]]/1.005-1),(表2_3671626293038912131415[[#This Row],[累计净值]]/1.005-1))</f>
        <v>-7.5621890547263537E-2</v>
      </c>
    </row>
    <row r="104" spans="1:7" x14ac:dyDescent="0.2">
      <c r="A104" s="15">
        <v>44050</v>
      </c>
      <c r="B104" s="112">
        <v>0.95399999999999996</v>
      </c>
      <c r="C104" s="108">
        <f t="shared" si="16"/>
        <v>2.4999999999999911E-2</v>
      </c>
      <c r="D104" s="109" t="str">
        <f t="shared" si="17"/>
        <v>/</v>
      </c>
      <c r="E104" s="109">
        <f ca="1">IF(表2_3671626293038912131415[[#This Row],[累计净值]]/MAX(INDIRECT("B21:B" &amp; ROW()))-1&lt;E103,表2_3671626293038912131415[[#This Row],[累计净值]]/MAX(INDIRECT("B21:B" &amp; ROW()))-1,E103)</f>
        <v>-9.5703125E-2</v>
      </c>
      <c r="F104" s="110">
        <f>表2_3671626293038912131415[[#This Row],[累计净值]]</f>
        <v>0.95399999999999996</v>
      </c>
      <c r="G104" s="20">
        <f>IF(表2_3671626293038912131415[[#This Row],[累计净值]]&gt;1.005,0.8*(表2_3671626293038912131415[[#This Row],[累计净值]]/1.005-1),(表2_3671626293038912131415[[#This Row],[累计净值]]/1.005-1))</f>
        <v>-5.0746268656716387E-2</v>
      </c>
    </row>
    <row r="105" spans="1:7" x14ac:dyDescent="0.2">
      <c r="A105" s="15">
        <v>44053</v>
      </c>
      <c r="B105" s="112">
        <v>0.93899999999999995</v>
      </c>
      <c r="C105" s="108">
        <f t="shared" si="16"/>
        <v>-1.5000000000000013E-2</v>
      </c>
      <c r="D105" s="109">
        <f t="shared" si="17"/>
        <v>-1.5000000000000013E-2</v>
      </c>
      <c r="E105" s="109">
        <f ca="1">IF(表2_3671626293038912131415[[#This Row],[累计净值]]/MAX(INDIRECT("B21:B" &amp; ROW()))-1&lt;E104,表2_3671626293038912131415[[#This Row],[累计净值]]/MAX(INDIRECT("B21:B" &amp; ROW()))-1,E104)</f>
        <v>-9.5703125E-2</v>
      </c>
      <c r="F105" s="110">
        <f>表2_3671626293038912131415[[#This Row],[累计净值]]</f>
        <v>0.93899999999999995</v>
      </c>
      <c r="G105" s="20">
        <f>IF(表2_3671626293038912131415[[#This Row],[累计净值]]&gt;1.005,0.8*(表2_3671626293038912131415[[#This Row],[累计净值]]/1.005-1),(表2_3671626293038912131415[[#This Row],[累计净值]]/1.005-1))</f>
        <v>-6.5671641791044677E-2</v>
      </c>
    </row>
    <row r="106" spans="1:7" x14ac:dyDescent="0.2">
      <c r="A106" s="15">
        <v>44054</v>
      </c>
      <c r="B106" s="112">
        <v>0.92400000000000004</v>
      </c>
      <c r="C106" s="108">
        <f t="shared" si="16"/>
        <v>-1.4999999999999902E-2</v>
      </c>
      <c r="D106" s="109">
        <f t="shared" si="17"/>
        <v>-1.4999999999999902E-2</v>
      </c>
      <c r="E106" s="109">
        <f ca="1">IF(表2_3671626293038912131415[[#This Row],[累计净值]]/MAX(INDIRECT("B21:B" &amp; ROW()))-1&lt;E105,表2_3671626293038912131415[[#This Row],[累计净值]]/MAX(INDIRECT("B21:B" &amp; ROW()))-1,E105)</f>
        <v>-9.765625E-2</v>
      </c>
      <c r="F106" s="110">
        <f>表2_3671626293038912131415[[#This Row],[累计净值]]</f>
        <v>0.92400000000000004</v>
      </c>
      <c r="G106" s="20">
        <f>IF(表2_3671626293038912131415[[#This Row],[累计净值]]&gt;1.005,0.8*(表2_3671626293038912131415[[#This Row],[累计净值]]/1.005-1),(表2_3671626293038912131415[[#This Row],[累计净值]]/1.005-1))</f>
        <v>-8.0597014925372967E-2</v>
      </c>
    </row>
    <row r="107" spans="1:7" x14ac:dyDescent="0.2">
      <c r="A107" s="15">
        <v>44055</v>
      </c>
      <c r="B107" s="112">
        <v>0.92400000000000004</v>
      </c>
      <c r="C107" s="108">
        <f t="shared" si="16"/>
        <v>0</v>
      </c>
      <c r="D107" s="109" t="str">
        <f t="shared" si="17"/>
        <v>/</v>
      </c>
      <c r="E107" s="109">
        <f ca="1">IF(表2_3671626293038912131415[[#This Row],[累计净值]]/MAX(INDIRECT("B21:B" &amp; ROW()))-1&lt;E106,表2_3671626293038912131415[[#This Row],[累计净值]]/MAX(INDIRECT("B21:B" &amp; ROW()))-1,E106)</f>
        <v>-9.765625E-2</v>
      </c>
      <c r="F107" s="110">
        <f>表2_3671626293038912131415[[#This Row],[累计净值]]</f>
        <v>0.92400000000000004</v>
      </c>
      <c r="G107" s="20">
        <f>IF(表2_3671626293038912131415[[#This Row],[累计净值]]&gt;1.005,0.8*(表2_3671626293038912131415[[#This Row],[累计净值]]/1.005-1),(表2_3671626293038912131415[[#This Row],[累计净值]]/1.005-1))</f>
        <v>-8.0597014925372967E-2</v>
      </c>
    </row>
  </sheetData>
  <mergeCells count="1">
    <mergeCell ref="G2:G3"/>
  </mergeCells>
  <phoneticPr fontId="24" type="noConversion"/>
  <pageMargins left="0.7" right="0.7" top="0.75" bottom="0.75" header="0.3" footer="0.3"/>
  <pageSetup paperSize="9" orientation="portrait" horizontalDpi="200" verticalDpi="200" r:id="rId1"/>
  <drawing r:id="rId2"/>
  <tableParts count="1">
    <tablePart r:id="rId3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1"/>
  </sheetPr>
  <dimension ref="A1:N174"/>
  <sheetViews>
    <sheetView workbookViewId="0">
      <pane xSplit="1" ySplit="20" topLeftCell="B167" activePane="bottomRight" state="frozen"/>
      <selection pane="topRight" activeCell="B1" sqref="B1"/>
      <selection pane="bottomLeft" activeCell="A21" sqref="A21"/>
      <selection pane="bottomRight" activeCell="J173" sqref="J173"/>
    </sheetView>
  </sheetViews>
  <sheetFormatPr defaultColWidth="9" defaultRowHeight="14.25" x14ac:dyDescent="0.2"/>
  <cols>
    <col min="1" max="1" width="11.625" style="120" bestFit="1" customWidth="1"/>
    <col min="2" max="2" width="13" style="120" customWidth="1"/>
    <col min="3" max="4" width="13.5" style="120" bestFit="1" customWidth="1"/>
    <col min="5" max="5" width="10.25" style="120" customWidth="1"/>
    <col min="6" max="6" width="11.125" style="120" customWidth="1"/>
    <col min="7" max="7" width="18.875" style="121" customWidth="1"/>
    <col min="8" max="8" width="9" style="120"/>
    <col min="9" max="9" width="14.25" style="120" customWidth="1"/>
    <col min="10" max="10" width="12" style="120" bestFit="1" customWidth="1"/>
    <col min="11" max="16384" width="9" style="120"/>
  </cols>
  <sheetData>
    <row r="1" spans="1:7" ht="15" thickBot="1" x14ac:dyDescent="0.25"/>
    <row r="2" spans="1:7" ht="15" thickBot="1" x14ac:dyDescent="0.25">
      <c r="A2" s="122" t="s">
        <v>0</v>
      </c>
      <c r="B2" s="123">
        <f>COUNT(表2_3671626293034522[每日盈亏])</f>
        <v>154</v>
      </c>
      <c r="C2" s="124"/>
      <c r="D2" s="125" t="s">
        <v>1</v>
      </c>
      <c r="E2" s="126"/>
      <c r="F2" s="136" t="s">
        <v>2</v>
      </c>
      <c r="G2" s="395" t="s">
        <v>3</v>
      </c>
    </row>
    <row r="3" spans="1:7" x14ac:dyDescent="0.2">
      <c r="A3" s="127" t="s">
        <v>4</v>
      </c>
      <c r="B3" s="128">
        <f>COUNTIF(表2_3671626293034522[每日盈亏],"&gt;0")</f>
        <v>84</v>
      </c>
      <c r="C3" s="129"/>
      <c r="D3" s="130" t="s">
        <v>5</v>
      </c>
      <c r="E3" s="131">
        <f>245^0.5*(B10-0.025/365)/E10</f>
        <v>1.9902445824599571</v>
      </c>
      <c r="F3" s="136"/>
      <c r="G3" s="395"/>
    </row>
    <row r="4" spans="1:7" x14ac:dyDescent="0.2">
      <c r="A4" s="127" t="s">
        <v>6</v>
      </c>
      <c r="B4" s="128">
        <f>COUNTIF(表2_3671626293034522[每日盈亏],"&lt;0")</f>
        <v>65</v>
      </c>
      <c r="C4" s="129"/>
      <c r="D4" s="132" t="s">
        <v>7</v>
      </c>
      <c r="E4" s="131">
        <f ca="1">-B9/E8</f>
        <v>6.2273382611369295</v>
      </c>
      <c r="F4" s="136"/>
      <c r="G4" s="121">
        <f>LOOKUP(999^10,表2_3671626293034522[累计净值])</f>
        <v>1.3221000000000001</v>
      </c>
    </row>
    <row r="5" spans="1:7" x14ac:dyDescent="0.2">
      <c r="A5" s="127" t="s">
        <v>8</v>
      </c>
      <c r="B5" s="128">
        <f>B2-B3-B4</f>
        <v>5</v>
      </c>
      <c r="C5" s="129"/>
      <c r="D5" s="133" t="s">
        <v>9</v>
      </c>
      <c r="E5" s="134">
        <f>245^0.5*(B10-0.025/365)/E9</f>
        <v>4.4125916091759718</v>
      </c>
      <c r="F5" s="136"/>
    </row>
    <row r="6" spans="1:7" ht="15" thickBot="1" x14ac:dyDescent="0.25">
      <c r="A6" s="135"/>
      <c r="B6" s="136"/>
      <c r="C6" s="136"/>
      <c r="D6" s="136"/>
      <c r="E6" s="137"/>
      <c r="F6" s="136"/>
    </row>
    <row r="7" spans="1:7" ht="15" thickBot="1" x14ac:dyDescent="0.25">
      <c r="A7" s="138" t="s">
        <v>10</v>
      </c>
      <c r="B7" s="136"/>
      <c r="C7" s="136"/>
      <c r="D7" s="125" t="s">
        <v>11</v>
      </c>
      <c r="E7" s="139"/>
      <c r="F7" s="136"/>
    </row>
    <row r="8" spans="1:7" x14ac:dyDescent="0.2">
      <c r="A8" s="140" t="s">
        <v>12</v>
      </c>
      <c r="B8" s="141">
        <f>LOOKUP(999^10,表2_3671626293034522[累计净值])/$B$21-1</f>
        <v>0.10524995820096983</v>
      </c>
      <c r="C8" s="142"/>
      <c r="D8" s="130" t="s">
        <v>13</v>
      </c>
      <c r="E8" s="143">
        <f ca="1">MIN(表2_3671626293034522[最大回撤])</f>
        <v>-2.6888392487796953E-2</v>
      </c>
      <c r="F8" s="136"/>
    </row>
    <row r="9" spans="1:7" x14ac:dyDescent="0.2">
      <c r="A9" s="127" t="s">
        <v>14</v>
      </c>
      <c r="B9" s="132">
        <f>B8*245/B2</f>
        <v>0.16744311531972475</v>
      </c>
      <c r="C9" s="142"/>
      <c r="D9" s="133" t="s">
        <v>15</v>
      </c>
      <c r="E9" s="144">
        <f>STDEV(表2_3671626293034522[下跌幅度])</f>
        <v>2.6570144827490903E-3</v>
      </c>
      <c r="F9" s="136"/>
    </row>
    <row r="10" spans="1:7" x14ac:dyDescent="0.2">
      <c r="A10" s="145" t="s">
        <v>16</v>
      </c>
      <c r="B10" s="146">
        <f>AVERAGE(表2_3671626293034522[每日盈亏])</f>
        <v>8.175324675324683E-4</v>
      </c>
      <c r="C10" s="147"/>
      <c r="D10" s="133" t="s">
        <v>17</v>
      </c>
      <c r="E10" s="144">
        <f>STDEV(表2_3671626293034522[每日盈亏])</f>
        <v>5.8908939712054506E-3</v>
      </c>
      <c r="F10" s="136"/>
    </row>
    <row r="11" spans="1:7" x14ac:dyDescent="0.2">
      <c r="A11" s="148" t="s">
        <v>18</v>
      </c>
      <c r="B11" s="132">
        <f>B3/B2</f>
        <v>0.54545454545454541</v>
      </c>
      <c r="C11" s="142"/>
      <c r="D11" s="132" t="s">
        <v>19</v>
      </c>
      <c r="E11" s="143">
        <f>245^0.5*E10</f>
        <v>9.2207075575013536E-2</v>
      </c>
      <c r="F11" s="136"/>
    </row>
    <row r="12" spans="1:7" ht="15" thickBot="1" x14ac:dyDescent="0.25">
      <c r="A12" s="149" t="s">
        <v>20</v>
      </c>
      <c r="B12" s="150">
        <f>-(SUMIF(表2_3671626293034522[每日盈亏],"&gt;=0")/B3)/(SUMIF(表2_3671626293034522[每日盈亏],"&lt;0")/B4)</f>
        <v>1.27521260691616</v>
      </c>
      <c r="C12" s="151"/>
      <c r="D12" s="152"/>
      <c r="E12" s="153"/>
      <c r="F12" s="136"/>
    </row>
    <row r="13" spans="1:7" x14ac:dyDescent="0.2">
      <c r="A13" s="136"/>
      <c r="B13" s="136"/>
      <c r="C13" s="136"/>
      <c r="D13" s="136"/>
      <c r="E13" s="136"/>
      <c r="F13" s="136"/>
    </row>
    <row r="14" spans="1:7" ht="28.5" x14ac:dyDescent="0.2">
      <c r="A14" s="154" t="s">
        <v>21</v>
      </c>
      <c r="B14" s="154" t="s">
        <v>14</v>
      </c>
      <c r="C14" s="155" t="s">
        <v>19</v>
      </c>
      <c r="D14" s="155" t="s">
        <v>13</v>
      </c>
      <c r="E14" s="155" t="s">
        <v>5</v>
      </c>
      <c r="F14" s="155" t="s">
        <v>7</v>
      </c>
    </row>
    <row r="15" spans="1:7" x14ac:dyDescent="0.2">
      <c r="A15" s="156">
        <f>B2</f>
        <v>154</v>
      </c>
      <c r="B15" s="157">
        <f>B9</f>
        <v>0.16744311531972475</v>
      </c>
      <c r="C15" s="157">
        <f>E11</f>
        <v>9.2207075575013536E-2</v>
      </c>
      <c r="D15" s="157">
        <f ca="1">E8</f>
        <v>-2.6888392487796953E-2</v>
      </c>
      <c r="E15" s="158">
        <f>E3</f>
        <v>1.9902445824599571</v>
      </c>
      <c r="F15" s="158">
        <f ca="1">E4</f>
        <v>6.2273382611369295</v>
      </c>
    </row>
    <row r="19" spans="1:14" x14ac:dyDescent="0.2">
      <c r="A19" s="159"/>
      <c r="B19" s="120" t="s">
        <v>22</v>
      </c>
    </row>
    <row r="20" spans="1:14" ht="15.75" x14ac:dyDescent="0.2">
      <c r="A20" s="160" t="s">
        <v>23</v>
      </c>
      <c r="B20" s="160" t="s">
        <v>24</v>
      </c>
      <c r="C20" s="160" t="s">
        <v>25</v>
      </c>
      <c r="D20" s="160" t="s">
        <v>26</v>
      </c>
      <c r="E20" s="160" t="s">
        <v>27</v>
      </c>
      <c r="F20" s="160" t="s">
        <v>28</v>
      </c>
      <c r="G20" s="160" t="s">
        <v>29</v>
      </c>
    </row>
    <row r="21" spans="1:14" x14ac:dyDescent="0.2">
      <c r="A21" s="161">
        <v>43781</v>
      </c>
      <c r="B21" s="174">
        <v>1.1961999999999999</v>
      </c>
      <c r="C21" s="163">
        <f>IFERROR(B21-#REF!,0)</f>
        <v>0</v>
      </c>
      <c r="D21" s="164" t="str">
        <f>IF(C21&lt;0,C21,"/")</f>
        <v>/</v>
      </c>
      <c r="E21" s="164">
        <v>0</v>
      </c>
      <c r="F21" s="165">
        <f>表2_3671626293034522[[#This Row],[累计净值]]</f>
        <v>1.1961999999999999</v>
      </c>
      <c r="G21" s="166" t="s">
        <v>30</v>
      </c>
    </row>
    <row r="22" spans="1:14" x14ac:dyDescent="0.2">
      <c r="A22" s="161">
        <v>43782</v>
      </c>
      <c r="B22" s="162">
        <v>1.1961999999999999</v>
      </c>
      <c r="C22" s="167">
        <f>IFERROR(B22-B21,0)</f>
        <v>0</v>
      </c>
      <c r="D22" s="168" t="str">
        <f>IF(C22&lt;0,C22,"/")</f>
        <v>/</v>
      </c>
      <c r="E22" s="168">
        <f ca="1">IF(表2_3671626293034522[[#This Row],[累计净值]]/MAX(INDIRECT("B21:B" &amp; ROW()))-1&lt;E21,表2_3671626293034522[[#This Row],[累计净值]]/MAX(INDIRECT("B21:B" &amp; ROW()))-1,E21)</f>
        <v>0</v>
      </c>
      <c r="F22" s="169">
        <f>表2_3671626293034522[[#This Row],[累计净值]]</f>
        <v>1.1961999999999999</v>
      </c>
      <c r="G22" s="170">
        <f>表2_3671626293034522[[#This Row],[累计净值]]/$B$21-1</f>
        <v>0</v>
      </c>
    </row>
    <row r="23" spans="1:14" x14ac:dyDescent="0.2">
      <c r="A23" s="161">
        <v>43783</v>
      </c>
      <c r="B23" s="169">
        <v>1.1912</v>
      </c>
      <c r="C23" s="167">
        <f>IFERROR(B23-B22,0)</f>
        <v>-4.9999999999998934E-3</v>
      </c>
      <c r="D23" s="168">
        <f>IF(C23&lt;0,C23,"/")</f>
        <v>-4.9999999999998934E-3</v>
      </c>
      <c r="E23" s="168">
        <f ca="1">IF(表2_3671626293034522[[#This Row],[累计净值]]/MAX(INDIRECT("B21:B" &amp; ROW()))-1&lt;E22,表2_3671626293034522[[#This Row],[累计净值]]/MAX(INDIRECT("B21:B" &amp; ROW()))-1,E22)</f>
        <v>-4.1799030262497094E-3</v>
      </c>
      <c r="F23" s="169">
        <f>表2_3671626293034522[[#This Row],[累计净值]]</f>
        <v>1.1912</v>
      </c>
      <c r="G23" s="170">
        <f>表2_3671626293034522[[#This Row],[累计净值]]/$B$21-1</f>
        <v>-4.1799030262497094E-3</v>
      </c>
    </row>
    <row r="24" spans="1:14" x14ac:dyDescent="0.2">
      <c r="A24" s="161">
        <v>43784</v>
      </c>
      <c r="B24" s="162">
        <v>1.196</v>
      </c>
      <c r="C24" s="167">
        <f t="shared" ref="C24:C87" si="0">IFERROR(B24-B23,0)</f>
        <v>4.7999999999999154E-3</v>
      </c>
      <c r="D24" s="168" t="str">
        <f>IF(C24&lt;0,C24,"/")</f>
        <v>/</v>
      </c>
      <c r="E24" s="168">
        <f ca="1">IF(表2_3671626293034522[[#This Row],[累计净值]]/MAX(INDIRECT("B21:B" &amp; ROW()))-1&lt;E23,表2_3671626293034522[[#This Row],[累计净值]]/MAX(INDIRECT("B21:B" &amp; ROW()))-1,E23)</f>
        <v>-4.1799030262497094E-3</v>
      </c>
      <c r="F24" s="169">
        <f>表2_3671626293034522[[#This Row],[累计净值]]</f>
        <v>1.196</v>
      </c>
      <c r="G24" s="170">
        <f>表2_3671626293034522[[#This Row],[累计净值]]/$B$21-1</f>
        <v>-1.6719612104998394E-4</v>
      </c>
    </row>
    <row r="25" spans="1:14" x14ac:dyDescent="0.2">
      <c r="A25" s="161">
        <v>43787</v>
      </c>
      <c r="B25" s="162">
        <v>1.1921999999999999</v>
      </c>
      <c r="C25" s="167">
        <f t="shared" si="0"/>
        <v>-3.8000000000000256E-3</v>
      </c>
      <c r="D25" s="168">
        <f>IF(C25&lt;0,C25,"/")</f>
        <v>-3.8000000000000256E-3</v>
      </c>
      <c r="E25" s="168">
        <f ca="1">IF(表2_3671626293034522[[#This Row],[累计净值]]/MAX(INDIRECT("B21:B" &amp; ROW()))-1&lt;E24,表2_3671626293034522[[#This Row],[累计净值]]/MAX(INDIRECT("B21:B" &amp; ROW()))-1,E24)</f>
        <v>-4.1799030262497094E-3</v>
      </c>
      <c r="F25" s="169">
        <f>表2_3671626293034522[[#This Row],[累计净值]]</f>
        <v>1.1921999999999999</v>
      </c>
      <c r="G25" s="170">
        <f>表2_3671626293034522[[#This Row],[累计净值]]/$B$21-1</f>
        <v>-3.3439224209997898E-3</v>
      </c>
    </row>
    <row r="26" spans="1:14" x14ac:dyDescent="0.2">
      <c r="A26" s="161">
        <v>43788</v>
      </c>
      <c r="B26" s="162">
        <v>1.1972</v>
      </c>
      <c r="C26" s="171">
        <f t="shared" si="0"/>
        <v>5.0000000000001155E-3</v>
      </c>
      <c r="D26" s="168" t="str">
        <f t="shared" ref="D26:D89" si="1">IF(C26&lt;0,C26,"/")</f>
        <v>/</v>
      </c>
      <c r="E26" s="168">
        <f ca="1">IF(表2_3671626293034522[[#This Row],[累计净值]]/MAX(INDIRECT("B21:B" &amp; ROW()))-1&lt;E25,表2_3671626293034522[[#This Row],[累计净值]]/MAX(INDIRECT("B21:B" &amp; ROW()))-1,E25)</f>
        <v>-4.1799030262497094E-3</v>
      </c>
      <c r="F26" s="172">
        <f>表2_3671626293034522[[#This Row],[累计净值]]</f>
        <v>1.1972</v>
      </c>
      <c r="G26" s="170">
        <f>表2_3671626293034522[[#This Row],[累计净值]]/$B$21-1</f>
        <v>8.3598060525003071E-4</v>
      </c>
      <c r="J26" s="187"/>
      <c r="K26" s="188"/>
      <c r="L26" s="188"/>
      <c r="M26" s="188"/>
      <c r="N26" s="188"/>
    </row>
    <row r="27" spans="1:14" x14ac:dyDescent="0.2">
      <c r="A27" s="161">
        <v>43789</v>
      </c>
      <c r="B27" s="189">
        <v>1.2014</v>
      </c>
      <c r="C27" s="171">
        <f t="shared" si="0"/>
        <v>4.1999999999999815E-3</v>
      </c>
      <c r="D27" s="168" t="str">
        <f t="shared" si="1"/>
        <v>/</v>
      </c>
      <c r="E27" s="168">
        <f ca="1">IF(表2_3671626293034522[[#This Row],[累计净值]]/MAX(INDIRECT("B21:B" &amp; ROW()))-1&lt;E26,表2_3671626293034522[[#This Row],[累计净值]]/MAX(INDIRECT("B21:B" &amp; ROW()))-1,E26)</f>
        <v>-4.1799030262497094E-3</v>
      </c>
      <c r="F27" s="172">
        <f>表2_3671626293034522[[#This Row],[累计净值]]</f>
        <v>1.2014</v>
      </c>
      <c r="G27" s="170">
        <f>表2_3671626293034522[[#This Row],[累计净值]]/$B$21-1</f>
        <v>4.3470991472998044E-3</v>
      </c>
      <c r="J27" s="187"/>
      <c r="K27" s="188"/>
      <c r="L27" s="188"/>
      <c r="M27" s="188"/>
      <c r="N27" s="188"/>
    </row>
    <row r="28" spans="1:14" x14ac:dyDescent="0.2">
      <c r="A28" s="161">
        <v>43790</v>
      </c>
      <c r="B28" s="162">
        <v>1.1992</v>
      </c>
      <c r="C28" s="171">
        <f t="shared" si="0"/>
        <v>-2.1999999999999797E-3</v>
      </c>
      <c r="D28" s="168">
        <f t="shared" si="1"/>
        <v>-2.1999999999999797E-3</v>
      </c>
      <c r="E28" s="168">
        <f ca="1">IF(表2_3671626293034522[[#This Row],[累计净值]]/MAX(INDIRECT("B21:B" &amp; ROW()))-1&lt;E27,表2_3671626293034522[[#This Row],[累计净值]]/MAX(INDIRECT("B21:B" &amp; ROW()))-1,E27)</f>
        <v>-4.1799030262497094E-3</v>
      </c>
      <c r="F28" s="172">
        <f>表2_3671626293034522[[#This Row],[累计净值]]</f>
        <v>1.1992</v>
      </c>
      <c r="G28" s="170">
        <f>表2_3671626293034522[[#This Row],[累计净值]]/$B$21-1</f>
        <v>2.5079418157498701E-3</v>
      </c>
      <c r="J28" s="187"/>
      <c r="K28" s="188"/>
      <c r="L28" s="188"/>
      <c r="M28" s="188"/>
      <c r="N28" s="188"/>
    </row>
    <row r="29" spans="1:14" x14ac:dyDescent="0.2">
      <c r="A29" s="161">
        <v>43791</v>
      </c>
      <c r="B29" s="162">
        <v>1.2028000000000001</v>
      </c>
      <c r="C29" s="171">
        <f t="shared" si="0"/>
        <v>3.6000000000000476E-3</v>
      </c>
      <c r="D29" s="168" t="str">
        <f t="shared" si="1"/>
        <v>/</v>
      </c>
      <c r="E29" s="168">
        <f ca="1">IF(表2_3671626293034522[[#This Row],[累计净值]]/MAX(INDIRECT("B21:B" &amp; ROW()))-1&lt;E28,表2_3671626293034522[[#This Row],[累计净值]]/MAX(INDIRECT("B21:B" &amp; ROW()))-1,E28)</f>
        <v>-4.1799030262497094E-3</v>
      </c>
      <c r="F29" s="172">
        <f>表2_3671626293034522[[#This Row],[累计净值]]</f>
        <v>1.2028000000000001</v>
      </c>
      <c r="G29" s="170">
        <f>表2_3671626293034522[[#This Row],[累计净值]]/$B$21-1</f>
        <v>5.517471994649803E-3</v>
      </c>
      <c r="J29" s="187"/>
      <c r="K29" s="188"/>
      <c r="L29" s="188"/>
      <c r="M29" s="188"/>
      <c r="N29" s="188"/>
    </row>
    <row r="30" spans="1:14" x14ac:dyDescent="0.2">
      <c r="A30" s="161">
        <v>43794</v>
      </c>
      <c r="B30" s="162">
        <v>1.2021999999999999</v>
      </c>
      <c r="C30" s="171">
        <f t="shared" si="0"/>
        <v>-6.0000000000015596E-4</v>
      </c>
      <c r="D30" s="168">
        <f t="shared" si="1"/>
        <v>-6.0000000000015596E-4</v>
      </c>
      <c r="E30" s="168">
        <f ca="1">IF(表2_3671626293034522[[#This Row],[累计净值]]/MAX(INDIRECT("B21:B" &amp; ROW()))-1&lt;E29,表2_3671626293034522[[#This Row],[累计净值]]/MAX(INDIRECT("B21:B" &amp; ROW()))-1,E29)</f>
        <v>-4.1799030262497094E-3</v>
      </c>
      <c r="F30" s="172">
        <f>表2_3671626293034522[[#This Row],[累计净值]]</f>
        <v>1.2021999999999999</v>
      </c>
      <c r="G30" s="170">
        <f>表2_3671626293034522[[#This Row],[累计净值]]/$B$21-1</f>
        <v>5.0158836314997401E-3</v>
      </c>
      <c r="J30" s="187"/>
      <c r="K30" s="188"/>
      <c r="L30" s="188"/>
      <c r="M30" s="188"/>
      <c r="N30" s="188"/>
    </row>
    <row r="31" spans="1:14" x14ac:dyDescent="0.2">
      <c r="A31" s="161">
        <v>43795</v>
      </c>
      <c r="B31" s="162">
        <v>1.2044999999999999</v>
      </c>
      <c r="C31" s="171">
        <f t="shared" si="0"/>
        <v>2.2999999999999687E-3</v>
      </c>
      <c r="D31" s="168" t="str">
        <f t="shared" si="1"/>
        <v>/</v>
      </c>
      <c r="E31" s="168">
        <f ca="1">IF(表2_3671626293034522[[#This Row],[累计净值]]/MAX(INDIRECT("B21:B" &amp; ROW()))-1&lt;E30,表2_3671626293034522[[#This Row],[累计净值]]/MAX(INDIRECT("B21:B" &amp; ROW()))-1,E30)</f>
        <v>-4.1799030262497094E-3</v>
      </c>
      <c r="F31" s="172">
        <f>表2_3671626293034522[[#This Row],[累计净值]]</f>
        <v>1.2044999999999999</v>
      </c>
      <c r="G31" s="170">
        <f>表2_3671626293034522[[#This Row],[累计净值]]/$B$21-1</f>
        <v>6.9386390235746109E-3</v>
      </c>
      <c r="J31" s="187"/>
      <c r="K31" s="188"/>
      <c r="L31" s="188"/>
      <c r="M31" s="188"/>
      <c r="N31" s="188"/>
    </row>
    <row r="32" spans="1:14" x14ac:dyDescent="0.2">
      <c r="A32" s="161">
        <v>43796</v>
      </c>
      <c r="B32" s="162">
        <v>1.2031000000000001</v>
      </c>
      <c r="C32" s="171">
        <f t="shared" si="0"/>
        <v>-1.3999999999998458E-3</v>
      </c>
      <c r="D32" s="168">
        <f t="shared" si="1"/>
        <v>-1.3999999999998458E-3</v>
      </c>
      <c r="E32" s="168">
        <f ca="1">IF(表2_3671626293034522[[#This Row],[累计净值]]/MAX(INDIRECT("B21:B" &amp; ROW()))-1&lt;E31,表2_3671626293034522[[#This Row],[累计净值]]/MAX(INDIRECT("B21:B" &amp; ROW()))-1,E31)</f>
        <v>-4.1799030262497094E-3</v>
      </c>
      <c r="F32" s="172">
        <f>表2_3671626293034522[[#This Row],[累计净值]]</f>
        <v>1.2031000000000001</v>
      </c>
      <c r="G32" s="170">
        <f>表2_3671626293034522[[#This Row],[累计净值]]/$B$21-1</f>
        <v>5.7682661762248344E-3</v>
      </c>
      <c r="J32" s="187"/>
      <c r="K32" s="188"/>
      <c r="L32" s="188"/>
      <c r="M32" s="188"/>
      <c r="N32" s="188"/>
    </row>
    <row r="33" spans="1:14" x14ac:dyDescent="0.2">
      <c r="A33" s="161">
        <v>43797</v>
      </c>
      <c r="B33" s="162">
        <v>1.2036</v>
      </c>
      <c r="C33" s="171">
        <f t="shared" si="0"/>
        <v>4.9999999999994493E-4</v>
      </c>
      <c r="D33" s="168" t="str">
        <f t="shared" si="1"/>
        <v>/</v>
      </c>
      <c r="E33" s="168">
        <f ca="1">IF(表2_3671626293034522[[#This Row],[累计净值]]/MAX(INDIRECT("B21:B" &amp; ROW()))-1&lt;E32,表2_3671626293034522[[#This Row],[累计净值]]/MAX(INDIRECT("B21:B" &amp; ROW()))-1,E32)</f>
        <v>-4.1799030262497094E-3</v>
      </c>
      <c r="F33" s="172">
        <f>表2_3671626293034522[[#This Row],[累计净值]]</f>
        <v>1.2036</v>
      </c>
      <c r="G33" s="170">
        <f>表2_3671626293034522[[#This Row],[累计净值]]/$B$21-1</f>
        <v>6.1862564788497387E-3</v>
      </c>
      <c r="J33" s="187"/>
      <c r="K33" s="188"/>
      <c r="L33" s="188"/>
      <c r="M33" s="188"/>
      <c r="N33" s="188"/>
    </row>
    <row r="34" spans="1:14" x14ac:dyDescent="0.2">
      <c r="A34" s="161">
        <v>43798</v>
      </c>
      <c r="B34" s="162">
        <v>1.2087000000000001</v>
      </c>
      <c r="C34" s="171">
        <f t="shared" si="0"/>
        <v>5.1000000000001044E-3</v>
      </c>
      <c r="D34" s="168" t="str">
        <f t="shared" si="1"/>
        <v>/</v>
      </c>
      <c r="E34" s="168">
        <f ca="1">IF(表2_3671626293034522[[#This Row],[累计净值]]/MAX(INDIRECT("B21:B" &amp; ROW()))-1&lt;E33,表2_3671626293034522[[#This Row],[累计净值]]/MAX(INDIRECT("B21:B" &amp; ROW()))-1,E33)</f>
        <v>-4.1799030262497094E-3</v>
      </c>
      <c r="F34" s="172">
        <f>表2_3671626293034522[[#This Row],[累计净值]]</f>
        <v>1.2087000000000001</v>
      </c>
      <c r="G34" s="170">
        <f>表2_3671626293034522[[#This Row],[累计净值]]/$B$21-1</f>
        <v>1.0449757565624607E-2</v>
      </c>
      <c r="J34" s="187"/>
      <c r="K34" s="188"/>
      <c r="L34" s="188"/>
      <c r="M34" s="188"/>
      <c r="N34" s="188"/>
    </row>
    <row r="35" spans="1:14" x14ac:dyDescent="0.2">
      <c r="A35" s="161">
        <v>43801</v>
      </c>
      <c r="B35" s="162">
        <v>1.1996</v>
      </c>
      <c r="C35" s="171">
        <f t="shared" si="0"/>
        <v>-9.100000000000108E-3</v>
      </c>
      <c r="D35" s="168">
        <f t="shared" si="1"/>
        <v>-9.100000000000108E-3</v>
      </c>
      <c r="E35" s="168">
        <f ca="1">IF(表2_3671626293034522[[#This Row],[累计净值]]/MAX(INDIRECT("B21:B" &amp; ROW()))-1&lt;E34,表2_3671626293034522[[#This Row],[累计净值]]/MAX(INDIRECT("B21:B" &amp; ROW()))-1,E34)</f>
        <v>-7.5287498965831423E-3</v>
      </c>
      <c r="F35" s="172">
        <f>表2_3671626293034522[[#This Row],[累计净值]]</f>
        <v>1.1996</v>
      </c>
      <c r="G35" s="170">
        <f>表2_3671626293034522[[#This Row],[累计净值]]/$B$21-1</f>
        <v>2.8423340578498379E-3</v>
      </c>
      <c r="J35" s="187"/>
      <c r="K35" s="188"/>
      <c r="L35" s="188"/>
      <c r="M35" s="188"/>
      <c r="N35" s="188"/>
    </row>
    <row r="36" spans="1:14" x14ac:dyDescent="0.2">
      <c r="A36" s="161">
        <v>43802</v>
      </c>
      <c r="B36" s="162">
        <v>1.2012</v>
      </c>
      <c r="C36" s="171">
        <f t="shared" si="0"/>
        <v>1.6000000000000458E-3</v>
      </c>
      <c r="D36" s="168" t="str">
        <f t="shared" si="1"/>
        <v>/</v>
      </c>
      <c r="E36" s="168">
        <f ca="1">IF(表2_3671626293034522[[#This Row],[累计净值]]/MAX(INDIRECT("B21:B" &amp; ROW()))-1&lt;E35,表2_3671626293034522[[#This Row],[累计净值]]/MAX(INDIRECT("B21:B" &amp; ROW()))-1,E35)</f>
        <v>-7.5287498965831423E-3</v>
      </c>
      <c r="F36" s="172">
        <f>表2_3671626293034522[[#This Row],[累计净值]]</f>
        <v>1.2012</v>
      </c>
      <c r="G36" s="170">
        <f>表2_3671626293034522[[#This Row],[累计净值]]/$B$21-1</f>
        <v>4.1799030262499315E-3</v>
      </c>
      <c r="J36" s="187"/>
      <c r="K36" s="188"/>
      <c r="L36" s="188"/>
      <c r="M36" s="188"/>
      <c r="N36" s="188"/>
    </row>
    <row r="37" spans="1:14" x14ac:dyDescent="0.2">
      <c r="A37" s="161">
        <v>43803</v>
      </c>
      <c r="B37" s="162">
        <v>1.1994</v>
      </c>
      <c r="C37" s="171">
        <f t="shared" si="0"/>
        <v>-1.8000000000000238E-3</v>
      </c>
      <c r="D37" s="168">
        <f t="shared" si="1"/>
        <v>-1.8000000000000238E-3</v>
      </c>
      <c r="E37" s="168">
        <f ca="1">IF(表2_3671626293034522[[#This Row],[累计净值]]/MAX(INDIRECT("B21:B" &amp; ROW()))-1&lt;E36,表2_3671626293034522[[#This Row],[累计净值]]/MAX(INDIRECT("B21:B" &amp; ROW()))-1,E36)</f>
        <v>-7.694216927277342E-3</v>
      </c>
      <c r="F37" s="172">
        <f>表2_3671626293034522[[#This Row],[累计净值]]</f>
        <v>1.1994</v>
      </c>
      <c r="G37" s="170">
        <f>表2_3671626293034522[[#This Row],[累计净值]]/$B$21-1</f>
        <v>2.675137936799965E-3</v>
      </c>
      <c r="J37" s="187"/>
      <c r="K37" s="188"/>
      <c r="L37" s="188"/>
      <c r="M37" s="188"/>
      <c r="N37" s="188"/>
    </row>
    <row r="38" spans="1:14" x14ac:dyDescent="0.2">
      <c r="A38" s="161">
        <v>43804</v>
      </c>
      <c r="B38" s="162">
        <v>1.1962999999999999</v>
      </c>
      <c r="C38" s="171">
        <f t="shared" si="0"/>
        <v>-3.1000000000001027E-3</v>
      </c>
      <c r="D38" s="168">
        <f t="shared" si="1"/>
        <v>-3.1000000000001027E-3</v>
      </c>
      <c r="E38" s="168">
        <f ca="1">IF(表2_3671626293034522[[#This Row],[累计净值]]/MAX(INDIRECT("B21:B" &amp; ROW()))-1&lt;E37,表2_3671626293034522[[#This Row],[累计净值]]/MAX(INDIRECT("B21:B" &amp; ROW()))-1,E37)</f>
        <v>-1.0258955903036493E-2</v>
      </c>
      <c r="F38" s="172">
        <f>表2_3671626293034522[[#This Row],[累计净值]]</f>
        <v>1.1962999999999999</v>
      </c>
      <c r="G38" s="170">
        <f>表2_3671626293034522[[#This Row],[累计净值]]/$B$21-1</f>
        <v>8.3598060524936457E-5</v>
      </c>
      <c r="J38" s="187"/>
      <c r="K38" s="188"/>
      <c r="L38" s="188"/>
      <c r="M38" s="188"/>
      <c r="N38" s="188"/>
    </row>
    <row r="39" spans="1:14" x14ac:dyDescent="0.2">
      <c r="A39" s="161">
        <v>43805</v>
      </c>
      <c r="B39" s="162">
        <v>1.1924999999999999</v>
      </c>
      <c r="C39" s="171">
        <f t="shared" si="0"/>
        <v>-3.8000000000000256E-3</v>
      </c>
      <c r="D39" s="168">
        <f t="shared" si="1"/>
        <v>-3.8000000000000256E-3</v>
      </c>
      <c r="E39" s="168">
        <f ca="1">IF(表2_3671626293034522[[#This Row],[累计净值]]/MAX(INDIRECT("B21:B" &amp; ROW()))-1&lt;E38,表2_3671626293034522[[#This Row],[累计净值]]/MAX(INDIRECT("B21:B" &amp; ROW()))-1,E38)</f>
        <v>-1.3402829486225065E-2</v>
      </c>
      <c r="F39" s="172">
        <f>表2_3671626293034522[[#This Row],[累计净值]]</f>
        <v>1.1924999999999999</v>
      </c>
      <c r="G39" s="170">
        <f>表2_3671626293034522[[#This Row],[累计净值]]/$B$21-1</f>
        <v>-3.0931282394248694E-3</v>
      </c>
      <c r="J39" s="187"/>
      <c r="K39" s="188"/>
      <c r="L39" s="188"/>
      <c r="M39" s="188"/>
      <c r="N39" s="188"/>
    </row>
    <row r="40" spans="1:14" x14ac:dyDescent="0.2">
      <c r="A40" s="161">
        <v>43808</v>
      </c>
      <c r="B40" s="162">
        <v>1.1928000000000001</v>
      </c>
      <c r="C40" s="171">
        <f t="shared" si="0"/>
        <v>3.00000000000189E-4</v>
      </c>
      <c r="D40" s="168" t="str">
        <f t="shared" si="1"/>
        <v>/</v>
      </c>
      <c r="E40" s="168">
        <f ca="1">IF(表2_3671626293034522[[#This Row],[累计净值]]/MAX(INDIRECT("B21:B" &amp; ROW()))-1&lt;E39,表2_3671626293034522[[#This Row],[累计净值]]/MAX(INDIRECT("B21:B" &amp; ROW()))-1,E39)</f>
        <v>-1.3402829486225065E-2</v>
      </c>
      <c r="F40" s="172">
        <f>表2_3671626293034522[[#This Row],[累计净值]]</f>
        <v>1.1928000000000001</v>
      </c>
      <c r="G40" s="170">
        <f>表2_3671626293034522[[#This Row],[累计净值]]/$B$21-1</f>
        <v>-2.8423340578497269E-3</v>
      </c>
      <c r="J40" s="187"/>
      <c r="K40" s="188"/>
      <c r="L40" s="188"/>
      <c r="M40" s="188"/>
      <c r="N40" s="188"/>
    </row>
    <row r="41" spans="1:14" x14ac:dyDescent="0.2">
      <c r="A41" s="161">
        <v>43809</v>
      </c>
      <c r="B41" s="162">
        <v>1.1875</v>
      </c>
      <c r="C41" s="171">
        <f t="shared" si="0"/>
        <v>-5.3000000000000824E-3</v>
      </c>
      <c r="D41" s="168">
        <f t="shared" si="1"/>
        <v>-5.3000000000000824E-3</v>
      </c>
      <c r="E41" s="168">
        <f ca="1">IF(表2_3671626293034522[[#This Row],[累计净值]]/MAX(INDIRECT("B21:B" &amp; ROW()))-1&lt;E40,表2_3671626293034522[[#This Row],[累计净值]]/MAX(INDIRECT("B21:B" &amp; ROW()))-1,E40)</f>
        <v>-1.753950525357828E-2</v>
      </c>
      <c r="F41" s="172">
        <f>表2_3671626293034522[[#This Row],[累计净值]]</f>
        <v>1.1875</v>
      </c>
      <c r="G41" s="170">
        <f>表2_3671626293034522[[#This Row],[累计净值]]/$B$21-1</f>
        <v>-7.2730312656745788E-3</v>
      </c>
      <c r="J41" s="187"/>
      <c r="K41" s="188"/>
      <c r="L41" s="188"/>
      <c r="M41" s="188"/>
      <c r="N41" s="188"/>
    </row>
    <row r="42" spans="1:14" x14ac:dyDescent="0.2">
      <c r="A42" s="161">
        <v>43810</v>
      </c>
      <c r="B42" s="162">
        <v>1.1827000000000001</v>
      </c>
      <c r="C42" s="171">
        <f t="shared" si="0"/>
        <v>-4.7999999999999154E-3</v>
      </c>
      <c r="D42" s="168">
        <f t="shared" si="1"/>
        <v>-4.7999999999999154E-3</v>
      </c>
      <c r="E42" s="168">
        <f ca="1">IF(表2_3671626293034522[[#This Row],[累计净值]]/MAX(INDIRECT("B21:B" &amp; ROW()))-1&lt;E41,表2_3671626293034522[[#This Row],[累计净值]]/MAX(INDIRECT("B21:B" &amp; ROW()))-1,E41)</f>
        <v>-2.1510713990237518E-2</v>
      </c>
      <c r="F42" s="172">
        <f>表2_3671626293034522[[#This Row],[累计净值]]</f>
        <v>1.1827000000000001</v>
      </c>
      <c r="G42" s="170">
        <f>表2_3671626293034522[[#This Row],[累计净值]]/$B$21-1</f>
        <v>-1.1285738170874304E-2</v>
      </c>
      <c r="J42" s="187"/>
      <c r="K42" s="188"/>
      <c r="L42" s="188"/>
      <c r="M42" s="188"/>
      <c r="N42" s="188"/>
    </row>
    <row r="43" spans="1:14" x14ac:dyDescent="0.2">
      <c r="A43" s="161">
        <v>43811</v>
      </c>
      <c r="B43" s="162">
        <v>1.1843999999999999</v>
      </c>
      <c r="C43" s="171">
        <f t="shared" si="0"/>
        <v>1.6999999999998128E-3</v>
      </c>
      <c r="D43" s="168" t="str">
        <f t="shared" si="1"/>
        <v>/</v>
      </c>
      <c r="E43" s="168">
        <f ca="1">IF(表2_3671626293034522[[#This Row],[累计净值]]/MAX(INDIRECT("B21:B" &amp; ROW()))-1&lt;E42,表2_3671626293034522[[#This Row],[累计净值]]/MAX(INDIRECT("B21:B" &amp; ROW()))-1,E42)</f>
        <v>-2.1510713990237518E-2</v>
      </c>
      <c r="F43" s="172">
        <f>表2_3671626293034522[[#This Row],[累计净值]]</f>
        <v>1.1843999999999999</v>
      </c>
      <c r="G43" s="170">
        <f>表2_3671626293034522[[#This Row],[累计净值]]/$B$21-1</f>
        <v>-9.8645711419494964E-3</v>
      </c>
      <c r="J43" s="187"/>
      <c r="K43" s="188"/>
      <c r="L43" s="188"/>
      <c r="M43" s="188"/>
      <c r="N43" s="188"/>
    </row>
    <row r="44" spans="1:14" x14ac:dyDescent="0.2">
      <c r="A44" s="161">
        <v>43812</v>
      </c>
      <c r="B44" s="162">
        <v>1.1776</v>
      </c>
      <c r="C44" s="171">
        <f t="shared" si="0"/>
        <v>-6.7999999999999172E-3</v>
      </c>
      <c r="D44" s="168">
        <f t="shared" si="1"/>
        <v>-6.7999999999999172E-3</v>
      </c>
      <c r="E44" s="168">
        <f ca="1">IF(表2_3671626293034522[[#This Row],[累计净值]]/MAX(INDIRECT("B21:B" &amp; ROW()))-1&lt;E43,表2_3671626293034522[[#This Row],[累计净值]]/MAX(INDIRECT("B21:B" &amp; ROW()))-1,E43)</f>
        <v>-2.5730123272937999E-2</v>
      </c>
      <c r="F44" s="172">
        <f>表2_3671626293034522[[#This Row],[累计净值]]</f>
        <v>1.1776</v>
      </c>
      <c r="G44" s="170">
        <f>表2_3671626293034522[[#This Row],[累计净值]]/$B$21-1</f>
        <v>-1.5549239257649172E-2</v>
      </c>
      <c r="J44" s="187"/>
      <c r="K44" s="188"/>
      <c r="L44" s="188"/>
      <c r="M44" s="188"/>
      <c r="N44" s="188"/>
    </row>
    <row r="45" spans="1:14" x14ac:dyDescent="0.2">
      <c r="A45" s="161">
        <v>43815</v>
      </c>
      <c r="B45" s="162">
        <v>1.1777</v>
      </c>
      <c r="C45" s="171">
        <f t="shared" si="0"/>
        <v>9.9999999999988987E-5</v>
      </c>
      <c r="D45" s="168" t="str">
        <f t="shared" si="1"/>
        <v>/</v>
      </c>
      <c r="E45" s="168">
        <f ca="1">IF(表2_3671626293034522[[#This Row],[累计净值]]/MAX(INDIRECT("B21:B" &amp; ROW()))-1&lt;E44,表2_3671626293034522[[#This Row],[累计净值]]/MAX(INDIRECT("B21:B" &amp; ROW()))-1,E44)</f>
        <v>-2.5730123272937999E-2</v>
      </c>
      <c r="F45" s="172">
        <f>表2_3671626293034522[[#This Row],[累计净值]]</f>
        <v>1.1777</v>
      </c>
      <c r="G45" s="170">
        <f>表2_3671626293034522[[#This Row],[累计净值]]/$B$21-1</f>
        <v>-1.5465641197124236E-2</v>
      </c>
      <c r="J45" s="187"/>
      <c r="K45" s="188"/>
      <c r="L45" s="188"/>
      <c r="M45" s="188"/>
      <c r="N45" s="188"/>
    </row>
    <row r="46" spans="1:14" x14ac:dyDescent="0.2">
      <c r="A46" s="161">
        <v>43816</v>
      </c>
      <c r="B46" s="162">
        <v>1.1778</v>
      </c>
      <c r="C46" s="171">
        <f t="shared" si="0"/>
        <v>9.9999999999988987E-5</v>
      </c>
      <c r="D46" s="168" t="str">
        <f t="shared" si="1"/>
        <v>/</v>
      </c>
      <c r="E46" s="168">
        <f ca="1">IF(表2_3671626293034522[[#This Row],[累计净值]]/MAX(INDIRECT("B21:B" &amp; ROW()))-1&lt;E45,表2_3671626293034522[[#This Row],[累计净值]]/MAX(INDIRECT("B21:B" &amp; ROW()))-1,E45)</f>
        <v>-2.5730123272937999E-2</v>
      </c>
      <c r="F46" s="172">
        <f>表2_3671626293034522[[#This Row],[累计净值]]</f>
        <v>1.1778</v>
      </c>
      <c r="G46" s="170">
        <f>表2_3671626293034522[[#This Row],[累计净值]]/$B$21-1</f>
        <v>-1.5382043136599188E-2</v>
      </c>
      <c r="J46" s="187"/>
      <c r="K46" s="188"/>
      <c r="L46" s="188"/>
      <c r="M46" s="188"/>
      <c r="N46" s="188"/>
    </row>
    <row r="47" spans="1:14" x14ac:dyDescent="0.2">
      <c r="A47" s="161">
        <v>43817</v>
      </c>
      <c r="B47" s="162">
        <v>1.1767000000000001</v>
      </c>
      <c r="C47" s="171">
        <f t="shared" si="0"/>
        <v>-1.0999999999998789E-3</v>
      </c>
      <c r="D47" s="168">
        <f t="shared" si="1"/>
        <v>-1.0999999999998789E-3</v>
      </c>
      <c r="E47" s="168">
        <f ca="1">IF(表2_3671626293034522[[#This Row],[累计净值]]/MAX(INDIRECT("B21:B" &amp; ROW()))-1&lt;E46,表2_3671626293034522[[#This Row],[累计净值]]/MAX(INDIRECT("B21:B" &amp; ROW()))-1,E46)</f>
        <v>-2.6474724911061509E-2</v>
      </c>
      <c r="F47" s="172">
        <f>表2_3671626293034522[[#This Row],[累计净值]]</f>
        <v>1.1767000000000001</v>
      </c>
      <c r="G47" s="170">
        <f>表2_3671626293034522[[#This Row],[累计净值]]/$B$21-1</f>
        <v>-1.6301621802374044E-2</v>
      </c>
      <c r="J47" s="187"/>
      <c r="K47" s="188"/>
      <c r="L47" s="188"/>
      <c r="M47" s="188"/>
      <c r="N47" s="188"/>
    </row>
    <row r="48" spans="1:14" x14ac:dyDescent="0.2">
      <c r="A48" s="161">
        <v>43818</v>
      </c>
      <c r="B48" s="162">
        <v>1.1761999999999999</v>
      </c>
      <c r="C48" s="171">
        <f t="shared" si="0"/>
        <v>-5.0000000000016698E-4</v>
      </c>
      <c r="D48" s="168">
        <f t="shared" si="1"/>
        <v>-5.0000000000016698E-4</v>
      </c>
      <c r="E48" s="168">
        <f ca="1">IF(表2_3671626293034522[[#This Row],[累计净值]]/MAX(INDIRECT("B21:B" &amp; ROW()))-1&lt;E47,表2_3671626293034522[[#This Row],[累计净值]]/MAX(INDIRECT("B21:B" &amp; ROW()))-1,E47)</f>
        <v>-2.6888392487796953E-2</v>
      </c>
      <c r="F48" s="172">
        <f>表2_3671626293034522[[#This Row],[累计净值]]</f>
        <v>1.1761999999999999</v>
      </c>
      <c r="G48" s="170">
        <f>表2_3671626293034522[[#This Row],[累计净值]]/$B$21-1</f>
        <v>-1.6719612104999171E-2</v>
      </c>
      <c r="J48" s="187"/>
      <c r="K48" s="188"/>
      <c r="L48" s="188"/>
      <c r="M48" s="188"/>
      <c r="N48" s="188"/>
    </row>
    <row r="49" spans="1:14" x14ac:dyDescent="0.2">
      <c r="A49" s="161">
        <v>43819</v>
      </c>
      <c r="B49" s="162">
        <v>1.179</v>
      </c>
      <c r="C49" s="171">
        <f t="shared" si="0"/>
        <v>2.8000000000001357E-3</v>
      </c>
      <c r="D49" s="168" t="str">
        <f t="shared" si="1"/>
        <v>/</v>
      </c>
      <c r="E49" s="168">
        <f ca="1">IF(表2_3671626293034522[[#This Row],[累计净值]]/MAX(INDIRECT("B21:B" &amp; ROW()))-1&lt;E48,表2_3671626293034522[[#This Row],[累计净值]]/MAX(INDIRECT("B21:B" &amp; ROW()))-1,E48)</f>
        <v>-2.6888392487796953E-2</v>
      </c>
      <c r="F49" s="172">
        <f>表2_3671626293034522[[#This Row],[累计净值]]</f>
        <v>1.179</v>
      </c>
      <c r="G49" s="170">
        <f>表2_3671626293034522[[#This Row],[累计净值]]/$B$21-1</f>
        <v>-1.4378866410299174E-2</v>
      </c>
      <c r="J49" s="187"/>
      <c r="K49" s="188"/>
      <c r="L49" s="188"/>
      <c r="M49" s="188"/>
      <c r="N49" s="188"/>
    </row>
    <row r="50" spans="1:14" x14ac:dyDescent="0.2">
      <c r="A50" s="161">
        <v>43822</v>
      </c>
      <c r="B50" s="162">
        <v>1.1828000000000001</v>
      </c>
      <c r="C50" s="171">
        <f t="shared" si="0"/>
        <v>3.8000000000000256E-3</v>
      </c>
      <c r="D50" s="168" t="str">
        <f t="shared" si="1"/>
        <v>/</v>
      </c>
      <c r="E50" s="168">
        <f ca="1">IF(表2_3671626293034522[[#This Row],[累计净值]]/MAX(INDIRECT("B21:B" &amp; ROW()))-1&lt;E49,表2_3671626293034522[[#This Row],[累计净值]]/MAX(INDIRECT("B21:B" &amp; ROW()))-1,E49)</f>
        <v>-2.6888392487796953E-2</v>
      </c>
      <c r="F50" s="172">
        <f>表2_3671626293034522[[#This Row],[累计净值]]</f>
        <v>1.1828000000000001</v>
      </c>
      <c r="G50" s="170">
        <f>表2_3671626293034522[[#This Row],[累计净值]]/$B$21-1</f>
        <v>-1.1202140110349368E-2</v>
      </c>
      <c r="J50" s="187"/>
      <c r="K50" s="188"/>
      <c r="L50" s="188"/>
      <c r="M50" s="188"/>
      <c r="N50" s="188"/>
    </row>
    <row r="51" spans="1:14" x14ac:dyDescent="0.2">
      <c r="A51" s="161">
        <v>43823</v>
      </c>
      <c r="B51" s="162">
        <v>1.1860999999999999</v>
      </c>
      <c r="C51" s="171">
        <f t="shared" si="0"/>
        <v>3.2999999999998586E-3</v>
      </c>
      <c r="D51" s="168" t="str">
        <f t="shared" si="1"/>
        <v>/</v>
      </c>
      <c r="E51" s="168">
        <f ca="1">IF(表2_3671626293034522[[#This Row],[累计净值]]/MAX(INDIRECT("B21:B" &amp; ROW()))-1&lt;E50,表2_3671626293034522[[#This Row],[累计净值]]/MAX(INDIRECT("B21:B" &amp; ROW()))-1,E50)</f>
        <v>-2.6888392487796953E-2</v>
      </c>
      <c r="F51" s="172">
        <f>表2_3671626293034522[[#This Row],[累计净值]]</f>
        <v>1.1860999999999999</v>
      </c>
      <c r="G51" s="170">
        <f>表2_3671626293034522[[#This Row],[累计净值]]/$B$21-1</f>
        <v>-8.4434041130245774E-3</v>
      </c>
      <c r="J51" s="187"/>
      <c r="K51" s="188"/>
      <c r="L51" s="188"/>
      <c r="M51" s="188"/>
      <c r="N51" s="188"/>
    </row>
    <row r="52" spans="1:14" x14ac:dyDescent="0.2">
      <c r="A52" s="161">
        <v>43824</v>
      </c>
      <c r="B52" s="162">
        <v>1.1855</v>
      </c>
      <c r="C52" s="171">
        <f t="shared" si="0"/>
        <v>-5.9999999999993392E-4</v>
      </c>
      <c r="D52" s="168">
        <f t="shared" si="1"/>
        <v>-5.9999999999993392E-4</v>
      </c>
      <c r="E52" s="168">
        <f ca="1">IF(表2_3671626293034522[[#This Row],[累计净值]]/MAX(INDIRECT("B21:B" &amp; ROW()))-1&lt;E51,表2_3671626293034522[[#This Row],[累计净值]]/MAX(INDIRECT("B21:B" &amp; ROW()))-1,E51)</f>
        <v>-2.6888392487796953E-2</v>
      </c>
      <c r="F52" s="172">
        <f>表2_3671626293034522[[#This Row],[累计净值]]</f>
        <v>1.1855</v>
      </c>
      <c r="G52" s="170">
        <f>表2_3671626293034522[[#This Row],[累计净值]]/$B$21-1</f>
        <v>-8.9449924761745292E-3</v>
      </c>
      <c r="J52" s="187"/>
      <c r="K52" s="188"/>
      <c r="L52" s="188"/>
      <c r="M52" s="188"/>
      <c r="N52" s="188"/>
    </row>
    <row r="53" spans="1:14" x14ac:dyDescent="0.2">
      <c r="A53" s="161">
        <v>43825</v>
      </c>
      <c r="B53" s="162">
        <v>1.1831</v>
      </c>
      <c r="C53" s="171">
        <f t="shared" si="0"/>
        <v>-2.3999999999999577E-3</v>
      </c>
      <c r="D53" s="168">
        <f t="shared" si="1"/>
        <v>-2.3999999999999577E-3</v>
      </c>
      <c r="E53" s="168">
        <f ca="1">IF(表2_3671626293034522[[#This Row],[累计净值]]/MAX(INDIRECT("B21:B" &amp; ROW()))-1&lt;E52,表2_3671626293034522[[#This Row],[累计净值]]/MAX(INDIRECT("B21:B" &amp; ROW()))-1,E52)</f>
        <v>-2.6888392487796953E-2</v>
      </c>
      <c r="F53" s="172">
        <f>表2_3671626293034522[[#This Row],[累计净值]]</f>
        <v>1.1831</v>
      </c>
      <c r="G53" s="170">
        <f>表2_3671626293034522[[#This Row],[累计净值]]/$B$21-1</f>
        <v>-1.0951345928774336E-2</v>
      </c>
      <c r="J53" s="187"/>
      <c r="K53" s="188"/>
      <c r="L53" s="188"/>
      <c r="M53" s="188"/>
      <c r="N53" s="188"/>
    </row>
    <row r="54" spans="1:14" x14ac:dyDescent="0.2">
      <c r="A54" s="161">
        <v>43826</v>
      </c>
      <c r="B54" s="162">
        <v>1.1812</v>
      </c>
      <c r="C54" s="171">
        <f t="shared" si="0"/>
        <v>-1.9000000000000128E-3</v>
      </c>
      <c r="D54" s="168">
        <f t="shared" si="1"/>
        <v>-1.9000000000000128E-3</v>
      </c>
      <c r="E54" s="168">
        <f ca="1">IF(表2_3671626293034522[[#This Row],[累计净值]]/MAX(INDIRECT("B21:B" &amp; ROW()))-1&lt;E53,表2_3671626293034522[[#This Row],[累计净值]]/MAX(INDIRECT("B21:B" &amp; ROW()))-1,E53)</f>
        <v>-2.6888392487796953E-2</v>
      </c>
      <c r="F54" s="172">
        <f>表2_3671626293034522[[#This Row],[累计净值]]</f>
        <v>1.1812</v>
      </c>
      <c r="G54" s="170">
        <f>表2_3671626293034522[[#This Row],[累计净值]]/$B$21-1</f>
        <v>-1.2539709078749239E-2</v>
      </c>
      <c r="J54" s="187"/>
      <c r="K54" s="188"/>
      <c r="L54" s="188"/>
      <c r="M54" s="188"/>
      <c r="N54" s="188"/>
    </row>
    <row r="55" spans="1:14" x14ac:dyDescent="0.2">
      <c r="A55" s="161">
        <v>43829</v>
      </c>
      <c r="B55" s="162">
        <v>1.1851</v>
      </c>
      <c r="C55" s="171">
        <f t="shared" si="0"/>
        <v>3.9000000000000146E-3</v>
      </c>
      <c r="D55" s="168" t="str">
        <f t="shared" si="1"/>
        <v>/</v>
      </c>
      <c r="E55" s="168">
        <f ca="1">IF(表2_3671626293034522[[#This Row],[累计净值]]/MAX(INDIRECT("B21:B" &amp; ROW()))-1&lt;E54,表2_3671626293034522[[#This Row],[累计净值]]/MAX(INDIRECT("B21:B" &amp; ROW()))-1,E54)</f>
        <v>-2.6888392487796953E-2</v>
      </c>
      <c r="F55" s="172">
        <f>表2_3671626293034522[[#This Row],[累计净值]]</f>
        <v>1.1851</v>
      </c>
      <c r="G55" s="170">
        <f>表2_3671626293034522[[#This Row],[累计净值]]/$B$21-1</f>
        <v>-9.2793847182744971E-3</v>
      </c>
      <c r="J55" s="187"/>
      <c r="K55" s="188"/>
      <c r="L55" s="188"/>
      <c r="M55" s="188"/>
      <c r="N55" s="188"/>
    </row>
    <row r="56" spans="1:14" x14ac:dyDescent="0.2">
      <c r="A56" s="161">
        <v>43830</v>
      </c>
      <c r="B56" s="162">
        <v>1.1888000000000001</v>
      </c>
      <c r="C56" s="171">
        <f t="shared" si="0"/>
        <v>3.7000000000000366E-3</v>
      </c>
      <c r="D56" s="168" t="str">
        <f t="shared" si="1"/>
        <v>/</v>
      </c>
      <c r="E56" s="168">
        <f ca="1">IF(表2_3671626293034522[[#This Row],[累计净值]]/MAX(INDIRECT("B21:B" &amp; ROW()))-1&lt;E55,表2_3671626293034522[[#This Row],[累计净值]]/MAX(INDIRECT("B21:B" &amp; ROW()))-1,E55)</f>
        <v>-2.6888392487796953E-2</v>
      </c>
      <c r="F56" s="172">
        <f>表2_3671626293034522[[#This Row],[累计净值]]</f>
        <v>1.1888000000000001</v>
      </c>
      <c r="G56" s="170">
        <f>表2_3671626293034522[[#This Row],[累计净值]]/$B$21-1</f>
        <v>-6.1862564788495167E-3</v>
      </c>
      <c r="J56" s="187"/>
      <c r="K56" s="188"/>
      <c r="L56" s="188"/>
      <c r="M56" s="188"/>
      <c r="N56" s="188"/>
    </row>
    <row r="57" spans="1:14" x14ac:dyDescent="0.2">
      <c r="A57" s="161">
        <v>43832</v>
      </c>
      <c r="B57" s="162">
        <v>1.1933</v>
      </c>
      <c r="C57" s="171">
        <f t="shared" si="0"/>
        <v>4.4999999999999485E-3</v>
      </c>
      <c r="D57" s="168" t="str">
        <f t="shared" si="1"/>
        <v>/</v>
      </c>
      <c r="E57" s="168">
        <f ca="1">IF(表2_3671626293034522[[#This Row],[累计净值]]/MAX(INDIRECT("B21:B" &amp; ROW()))-1&lt;E56,表2_3671626293034522[[#This Row],[累计净值]]/MAX(INDIRECT("B21:B" &amp; ROW()))-1,E56)</f>
        <v>-2.6888392487796953E-2</v>
      </c>
      <c r="F57" s="172">
        <f>表2_3671626293034522[[#This Row],[累计净值]]</f>
        <v>1.1933</v>
      </c>
      <c r="G57" s="170">
        <f>表2_3671626293034522[[#This Row],[累计净值]]/$B$21-1</f>
        <v>-2.4243437552248226E-3</v>
      </c>
      <c r="J57" s="187"/>
      <c r="K57" s="188"/>
      <c r="L57" s="188"/>
      <c r="M57" s="188"/>
      <c r="N57" s="188"/>
    </row>
    <row r="58" spans="1:14" x14ac:dyDescent="0.2">
      <c r="A58" s="161">
        <v>43833</v>
      </c>
      <c r="B58" s="162">
        <v>1.1892</v>
      </c>
      <c r="C58" s="171">
        <f t="shared" si="0"/>
        <v>-4.0999999999999925E-3</v>
      </c>
      <c r="D58" s="168">
        <f t="shared" si="1"/>
        <v>-4.0999999999999925E-3</v>
      </c>
      <c r="E58" s="168">
        <f ca="1">IF(表2_3671626293034522[[#This Row],[累计净值]]/MAX(INDIRECT("B21:B" &amp; ROW()))-1&lt;E57,表2_3671626293034522[[#This Row],[累计净值]]/MAX(INDIRECT("B21:B" &amp; ROW()))-1,E57)</f>
        <v>-2.6888392487796953E-2</v>
      </c>
      <c r="F58" s="172">
        <f>表2_3671626293034522[[#This Row],[累计净值]]</f>
        <v>1.1892</v>
      </c>
      <c r="G58" s="170">
        <f>表2_3671626293034522[[#This Row],[累计净值]]/$B$21-1</f>
        <v>-5.8518642367496598E-3</v>
      </c>
      <c r="J58" s="187"/>
      <c r="K58" s="188"/>
      <c r="L58" s="188"/>
      <c r="M58" s="188"/>
      <c r="N58" s="188"/>
    </row>
    <row r="59" spans="1:14" x14ac:dyDescent="0.2">
      <c r="A59" s="161">
        <v>43836</v>
      </c>
      <c r="B59" s="162">
        <v>1.1839</v>
      </c>
      <c r="C59" s="171">
        <f t="shared" si="0"/>
        <v>-5.3000000000000824E-3</v>
      </c>
      <c r="D59" s="168">
        <f t="shared" si="1"/>
        <v>-5.3000000000000824E-3</v>
      </c>
      <c r="E59" s="168">
        <f ca="1">IF(表2_3671626293034522[[#This Row],[累计净值]]/MAX(INDIRECT("B21:B" &amp; ROW()))-1&lt;E58,表2_3671626293034522[[#This Row],[累计净值]]/MAX(INDIRECT("B21:B" &amp; ROW()))-1,E58)</f>
        <v>-2.6888392487796953E-2</v>
      </c>
      <c r="F59" s="172">
        <f>表2_3671626293034522[[#This Row],[累计净值]]</f>
        <v>1.1839</v>
      </c>
      <c r="G59" s="170">
        <f>表2_3671626293034522[[#This Row],[累计净值]]/$B$21-1</f>
        <v>-1.0282561444574512E-2</v>
      </c>
      <c r="J59" s="187"/>
      <c r="K59" s="188"/>
      <c r="L59" s="188"/>
      <c r="M59" s="188"/>
      <c r="N59" s="188"/>
    </row>
    <row r="60" spans="1:14" x14ac:dyDescent="0.2">
      <c r="A60" s="161">
        <v>43837</v>
      </c>
      <c r="B60" s="162">
        <v>1.1901999999999999</v>
      </c>
      <c r="C60" s="171">
        <f t="shared" si="0"/>
        <v>6.2999999999999723E-3</v>
      </c>
      <c r="D60" s="168" t="str">
        <f t="shared" si="1"/>
        <v>/</v>
      </c>
      <c r="E60" s="168">
        <f ca="1">IF(表2_3671626293034522[[#This Row],[累计净值]]/MAX(INDIRECT("B21:B" &amp; ROW()))-1&lt;E59,表2_3671626293034522[[#This Row],[累计净值]]/MAX(INDIRECT("B21:B" &amp; ROW()))-1,E59)</f>
        <v>-2.6888392487796953E-2</v>
      </c>
      <c r="F60" s="172">
        <f>表2_3671626293034522[[#This Row],[累计净值]]</f>
        <v>1.1901999999999999</v>
      </c>
      <c r="G60" s="170">
        <f>表2_3671626293034522[[#This Row],[累计净值]]/$B$21-1</f>
        <v>-5.0158836314997401E-3</v>
      </c>
      <c r="J60" s="187"/>
      <c r="K60" s="188"/>
      <c r="L60" s="188"/>
      <c r="M60" s="188"/>
      <c r="N60" s="188"/>
    </row>
    <row r="61" spans="1:14" x14ac:dyDescent="0.2">
      <c r="A61" s="161">
        <v>43838</v>
      </c>
      <c r="B61" s="162">
        <v>1.1950000000000001</v>
      </c>
      <c r="C61" s="171">
        <f t="shared" si="0"/>
        <v>4.8000000000001375E-3</v>
      </c>
      <c r="D61" s="168" t="str">
        <f t="shared" si="1"/>
        <v>/</v>
      </c>
      <c r="E61" s="168">
        <f ca="1">IF(表2_3671626293034522[[#This Row],[累计净值]]/MAX(INDIRECT("B21:B" &amp; ROW()))-1&lt;E60,表2_3671626293034522[[#This Row],[累计净值]]/MAX(INDIRECT("B21:B" &amp; ROW()))-1,E60)</f>
        <v>-2.6888392487796953E-2</v>
      </c>
      <c r="F61" s="172">
        <f>表2_3671626293034522[[#This Row],[累计净值]]</f>
        <v>1.1950000000000001</v>
      </c>
      <c r="G61" s="170">
        <f>表2_3671626293034522[[#This Row],[累计净值]]/$B$21-1</f>
        <v>-1.0031767262997926E-3</v>
      </c>
      <c r="J61" s="187"/>
      <c r="K61" s="188"/>
      <c r="L61" s="188"/>
      <c r="M61" s="188"/>
      <c r="N61" s="188"/>
    </row>
    <row r="62" spans="1:14" x14ac:dyDescent="0.2">
      <c r="A62" s="161">
        <v>43839</v>
      </c>
      <c r="B62" s="162">
        <v>1.196</v>
      </c>
      <c r="C62" s="171">
        <f t="shared" si="0"/>
        <v>9.9999999999988987E-4</v>
      </c>
      <c r="D62" s="168" t="str">
        <f t="shared" si="1"/>
        <v>/</v>
      </c>
      <c r="E62" s="168">
        <f ca="1">IF(表2_3671626293034522[[#This Row],[累计净值]]/MAX(INDIRECT("B21:B" &amp; ROW()))-1&lt;E61,表2_3671626293034522[[#This Row],[累计净值]]/MAX(INDIRECT("B21:B" &amp; ROW()))-1,E61)</f>
        <v>-2.6888392487796953E-2</v>
      </c>
      <c r="F62" s="172">
        <f>表2_3671626293034522[[#This Row],[累计净值]]</f>
        <v>1.196</v>
      </c>
      <c r="G62" s="170">
        <f>表2_3671626293034522[[#This Row],[累计净值]]/$B$21-1</f>
        <v>-1.6719612104998394E-4</v>
      </c>
      <c r="J62" s="187"/>
      <c r="K62" s="188"/>
      <c r="L62" s="188"/>
      <c r="M62" s="188"/>
      <c r="N62" s="188"/>
    </row>
    <row r="63" spans="1:14" x14ac:dyDescent="0.2">
      <c r="A63" s="161">
        <v>43840</v>
      </c>
      <c r="B63" s="162">
        <v>1.196</v>
      </c>
      <c r="C63" s="171">
        <f t="shared" si="0"/>
        <v>0</v>
      </c>
      <c r="D63" s="168" t="str">
        <f t="shared" si="1"/>
        <v>/</v>
      </c>
      <c r="E63" s="168">
        <f ca="1">IF(表2_3671626293034522[[#This Row],[累计净值]]/MAX(INDIRECT("B21:B" &amp; ROW()))-1&lt;E62,表2_3671626293034522[[#This Row],[累计净值]]/MAX(INDIRECT("B21:B" &amp; ROW()))-1,E62)</f>
        <v>-2.6888392487796953E-2</v>
      </c>
      <c r="F63" s="172">
        <f>表2_3671626293034522[[#This Row],[累计净值]]</f>
        <v>1.196</v>
      </c>
      <c r="G63" s="170">
        <f>表2_3671626293034522[[#This Row],[累计净值]]/$B$21-1</f>
        <v>-1.6719612104998394E-4</v>
      </c>
      <c r="J63" s="187"/>
      <c r="K63" s="188"/>
      <c r="L63" s="188"/>
      <c r="M63" s="188"/>
      <c r="N63" s="188"/>
    </row>
    <row r="64" spans="1:14" x14ac:dyDescent="0.2">
      <c r="A64" s="161">
        <v>43843</v>
      </c>
      <c r="B64" s="162">
        <v>1.1966000000000001</v>
      </c>
      <c r="C64" s="171">
        <f t="shared" si="0"/>
        <v>6.0000000000015596E-4</v>
      </c>
      <c r="D64" s="168" t="str">
        <f t="shared" si="1"/>
        <v>/</v>
      </c>
      <c r="E64" s="168">
        <f ca="1">IF(表2_3671626293034522[[#This Row],[累计净值]]/MAX(INDIRECT("B21:B" &amp; ROW()))-1&lt;E63,表2_3671626293034522[[#This Row],[累计净值]]/MAX(INDIRECT("B21:B" &amp; ROW()))-1,E63)</f>
        <v>-2.6888392487796953E-2</v>
      </c>
      <c r="F64" s="172">
        <f>表2_3671626293034522[[#This Row],[累计净值]]</f>
        <v>1.1966000000000001</v>
      </c>
      <c r="G64" s="170">
        <f>表2_3671626293034522[[#This Row],[累计净值]]/$B$21-1</f>
        <v>3.3439224210018992E-4</v>
      </c>
      <c r="J64" s="187"/>
      <c r="K64" s="188"/>
      <c r="L64" s="188"/>
      <c r="M64" s="188"/>
      <c r="N64" s="188"/>
    </row>
    <row r="65" spans="1:14" x14ac:dyDescent="0.2">
      <c r="A65" s="161">
        <v>43844</v>
      </c>
      <c r="B65" s="162">
        <v>1.1983999999999999</v>
      </c>
      <c r="C65" s="171">
        <f t="shared" si="0"/>
        <v>1.7999999999998018E-3</v>
      </c>
      <c r="D65" s="168" t="str">
        <f t="shared" si="1"/>
        <v>/</v>
      </c>
      <c r="E65" s="168">
        <f ca="1">IF(表2_3671626293034522[[#This Row],[累计净值]]/MAX(INDIRECT("B21:B" &amp; ROW()))-1&lt;E64,表2_3671626293034522[[#This Row],[累计净值]]/MAX(INDIRECT("B21:B" &amp; ROW()))-1,E64)</f>
        <v>-2.6888392487796953E-2</v>
      </c>
      <c r="F65" s="172">
        <f>表2_3671626293034522[[#This Row],[累计净值]]</f>
        <v>1.1983999999999999</v>
      </c>
      <c r="G65" s="170">
        <f>表2_3671626293034522[[#This Row],[累计净值]]/$B$21-1</f>
        <v>1.8391573315499343E-3</v>
      </c>
      <c r="J65" s="187"/>
      <c r="K65" s="188"/>
      <c r="L65" s="188"/>
      <c r="M65" s="188"/>
      <c r="N65" s="188"/>
    </row>
    <row r="66" spans="1:14" x14ac:dyDescent="0.2">
      <c r="A66" s="161">
        <v>43845</v>
      </c>
      <c r="B66" s="162">
        <v>1.2019</v>
      </c>
      <c r="C66" s="171">
        <f t="shared" si="0"/>
        <v>3.5000000000000586E-3</v>
      </c>
      <c r="D66" s="168" t="str">
        <f t="shared" si="1"/>
        <v>/</v>
      </c>
      <c r="E66" s="168">
        <f ca="1">IF(表2_3671626293034522[[#This Row],[累计净值]]/MAX(INDIRECT("B21:B" &amp; ROW()))-1&lt;E65,表2_3671626293034522[[#This Row],[累计净值]]/MAX(INDIRECT("B21:B" &amp; ROW()))-1,E65)</f>
        <v>-2.6888392487796953E-2</v>
      </c>
      <c r="F66" s="172">
        <f>表2_3671626293034522[[#This Row],[累计净值]]</f>
        <v>1.2019</v>
      </c>
      <c r="G66" s="170">
        <f>表2_3671626293034522[[#This Row],[累计净值]]/$B$21-1</f>
        <v>4.7650894499247087E-3</v>
      </c>
      <c r="J66" s="187"/>
      <c r="K66" s="188"/>
      <c r="L66" s="188"/>
      <c r="M66" s="188"/>
      <c r="N66" s="188"/>
    </row>
    <row r="67" spans="1:14" x14ac:dyDescent="0.2">
      <c r="A67" s="161">
        <v>43846</v>
      </c>
      <c r="B67" s="162">
        <v>1.202</v>
      </c>
      <c r="C67" s="171">
        <f t="shared" si="0"/>
        <v>9.9999999999988987E-5</v>
      </c>
      <c r="D67" s="168" t="str">
        <f t="shared" si="1"/>
        <v>/</v>
      </c>
      <c r="E67" s="168">
        <f ca="1">IF(表2_3671626293034522[[#This Row],[累计净值]]/MAX(INDIRECT("B21:B" &amp; ROW()))-1&lt;E66,表2_3671626293034522[[#This Row],[累计净值]]/MAX(INDIRECT("B21:B" &amp; ROW()))-1,E66)</f>
        <v>-2.6888392487796953E-2</v>
      </c>
      <c r="F67" s="172">
        <f>表2_3671626293034522[[#This Row],[累计净值]]</f>
        <v>1.202</v>
      </c>
      <c r="G67" s="170">
        <f>表2_3671626293034522[[#This Row],[累计净值]]/$B$21-1</f>
        <v>4.8486875104498672E-3</v>
      </c>
      <c r="J67" s="187"/>
      <c r="K67" s="188"/>
      <c r="L67" s="188"/>
      <c r="M67" s="188"/>
      <c r="N67" s="188"/>
    </row>
    <row r="68" spans="1:14" x14ac:dyDescent="0.2">
      <c r="A68" s="161">
        <v>43847</v>
      </c>
      <c r="B68" s="162">
        <v>1.2013</v>
      </c>
      <c r="C68" s="171">
        <f t="shared" si="0"/>
        <v>-6.9999999999992291E-4</v>
      </c>
      <c r="D68" s="168">
        <f t="shared" si="1"/>
        <v>-6.9999999999992291E-4</v>
      </c>
      <c r="E68" s="168">
        <f ca="1">IF(表2_3671626293034522[[#This Row],[累计净值]]/MAX(INDIRECT("B21:B" &amp; ROW()))-1&lt;E67,表2_3671626293034522[[#This Row],[累计净值]]/MAX(INDIRECT("B21:B" &amp; ROW()))-1,E67)</f>
        <v>-2.6888392487796953E-2</v>
      </c>
      <c r="F68" s="172">
        <f>表2_3671626293034522[[#This Row],[累计净值]]</f>
        <v>1.2013</v>
      </c>
      <c r="G68" s="170">
        <f>表2_3671626293034522[[#This Row],[累计净值]]/$B$21-1</f>
        <v>4.2635010867748679E-3</v>
      </c>
      <c r="J68" s="187"/>
      <c r="K68" s="188"/>
      <c r="L68" s="188"/>
      <c r="M68" s="188"/>
      <c r="N68" s="188"/>
    </row>
    <row r="69" spans="1:14" x14ac:dyDescent="0.2">
      <c r="A69" s="161">
        <v>43850</v>
      </c>
      <c r="B69" s="162">
        <v>1.2002999999999999</v>
      </c>
      <c r="C69" s="171">
        <f t="shared" si="0"/>
        <v>-1.0000000000001119E-3</v>
      </c>
      <c r="D69" s="168">
        <f t="shared" si="1"/>
        <v>-1.0000000000001119E-3</v>
      </c>
      <c r="E69" s="168">
        <f ca="1">IF(表2_3671626293034522[[#This Row],[累计净值]]/MAX(INDIRECT("B21:B" &amp; ROW()))-1&lt;E68,表2_3671626293034522[[#This Row],[累计净值]]/MAX(INDIRECT("B21:B" &amp; ROW()))-1,E68)</f>
        <v>-2.6888392487796953E-2</v>
      </c>
      <c r="F69" s="172">
        <f>表2_3671626293034522[[#This Row],[累计净值]]</f>
        <v>1.2002999999999999</v>
      </c>
      <c r="G69" s="170">
        <f>表2_3671626293034522[[#This Row],[累计净值]]/$B$21-1</f>
        <v>3.4275204815248372E-3</v>
      </c>
      <c r="J69" s="187"/>
      <c r="K69" s="188"/>
      <c r="L69" s="188"/>
      <c r="M69" s="188"/>
      <c r="N69" s="188"/>
    </row>
    <row r="70" spans="1:14" x14ac:dyDescent="0.2">
      <c r="A70" s="161">
        <v>43851</v>
      </c>
      <c r="B70" s="162">
        <v>1.2024999999999999</v>
      </c>
      <c r="C70" s="171">
        <f t="shared" si="0"/>
        <v>2.1999999999999797E-3</v>
      </c>
      <c r="D70" s="168" t="str">
        <f t="shared" si="1"/>
        <v>/</v>
      </c>
      <c r="E70" s="168">
        <f ca="1">IF(表2_3671626293034522[[#This Row],[累计净值]]/MAX(INDIRECT("B21:B" &amp; ROW()))-1&lt;E69,表2_3671626293034522[[#This Row],[累计净值]]/MAX(INDIRECT("B21:B" &amp; ROW()))-1,E69)</f>
        <v>-2.6888392487796953E-2</v>
      </c>
      <c r="F70" s="172">
        <f>表2_3671626293034522[[#This Row],[累计净值]]</f>
        <v>1.2024999999999999</v>
      </c>
      <c r="G70" s="170">
        <f>表2_3671626293034522[[#This Row],[累计净值]]/$B$21-1</f>
        <v>5.2666778130747716E-3</v>
      </c>
      <c r="J70" s="187"/>
      <c r="K70" s="188"/>
      <c r="L70" s="188"/>
      <c r="M70" s="188"/>
      <c r="N70" s="188"/>
    </row>
    <row r="71" spans="1:14" x14ac:dyDescent="0.2">
      <c r="A71" s="161">
        <v>43852</v>
      </c>
      <c r="B71" s="162">
        <v>1.2052</v>
      </c>
      <c r="C71" s="171">
        <f t="shared" si="0"/>
        <v>2.7000000000001467E-3</v>
      </c>
      <c r="D71" s="168" t="str">
        <f t="shared" si="1"/>
        <v>/</v>
      </c>
      <c r="E71" s="168">
        <f ca="1">IF(表2_3671626293034522[[#This Row],[累计净值]]/MAX(INDIRECT("B21:B" &amp; ROW()))-1&lt;E70,表2_3671626293034522[[#This Row],[累计净值]]/MAX(INDIRECT("B21:B" &amp; ROW()))-1,E70)</f>
        <v>-2.6888392487796953E-2</v>
      </c>
      <c r="F71" s="172">
        <f>表2_3671626293034522[[#This Row],[累计净值]]</f>
        <v>1.2052</v>
      </c>
      <c r="G71" s="170">
        <f>表2_3671626293034522[[#This Row],[累计净值]]/$B$21-1</f>
        <v>7.5238254472498323E-3</v>
      </c>
      <c r="J71" s="187"/>
      <c r="K71" s="188"/>
      <c r="L71" s="188"/>
      <c r="M71" s="188"/>
      <c r="N71" s="188"/>
    </row>
    <row r="72" spans="1:14" x14ac:dyDescent="0.2">
      <c r="A72" s="161">
        <v>43853</v>
      </c>
      <c r="B72" s="162">
        <v>1.2038</v>
      </c>
      <c r="C72" s="171">
        <f t="shared" si="0"/>
        <v>-1.4000000000000679E-3</v>
      </c>
      <c r="D72" s="168">
        <f t="shared" si="1"/>
        <v>-1.4000000000000679E-3</v>
      </c>
      <c r="E72" s="168">
        <f ca="1">IF(表2_3671626293034522[[#This Row],[累计净值]]/MAX(INDIRECT("B21:B" &amp; ROW()))-1&lt;E71,表2_3671626293034522[[#This Row],[累计净值]]/MAX(INDIRECT("B21:B" &amp; ROW()))-1,E71)</f>
        <v>-2.6888392487796953E-2</v>
      </c>
      <c r="F72" s="172">
        <f>表2_3671626293034522[[#This Row],[累计净值]]</f>
        <v>1.2038</v>
      </c>
      <c r="G72" s="170">
        <f>表2_3671626293034522[[#This Row],[累计净值]]/$B$21-1</f>
        <v>6.3534525998998337E-3</v>
      </c>
      <c r="J72" s="187"/>
      <c r="K72" s="188"/>
      <c r="L72" s="188"/>
      <c r="M72" s="188"/>
      <c r="N72" s="188"/>
    </row>
    <row r="73" spans="1:14" x14ac:dyDescent="0.2">
      <c r="A73" s="161">
        <v>43864</v>
      </c>
      <c r="B73" s="162">
        <v>1.2490000000000001</v>
      </c>
      <c r="C73" s="171">
        <f t="shared" si="0"/>
        <v>4.5200000000000129E-2</v>
      </c>
      <c r="D73" s="168" t="str">
        <f t="shared" si="1"/>
        <v>/</v>
      </c>
      <c r="E73" s="168">
        <f ca="1">IF(表2_3671626293034522[[#This Row],[累计净值]]/MAX(INDIRECT("B21:B" &amp; ROW()))-1&lt;E72,表2_3671626293034522[[#This Row],[累计净值]]/MAX(INDIRECT("B21:B" &amp; ROW()))-1,E72)</f>
        <v>-2.6888392487796953E-2</v>
      </c>
      <c r="F73" s="172">
        <f>表2_3671626293034522[[#This Row],[累计净值]]</f>
        <v>1.2490000000000001</v>
      </c>
      <c r="G73" s="170">
        <f>表2_3671626293034522[[#This Row],[累计净值]]/$B$21-1</f>
        <v>4.413977595719798E-2</v>
      </c>
      <c r="J73" s="187"/>
      <c r="K73" s="188"/>
      <c r="L73" s="188"/>
      <c r="M73" s="188"/>
      <c r="N73" s="188"/>
    </row>
    <row r="74" spans="1:14" x14ac:dyDescent="0.2">
      <c r="A74" s="161">
        <v>43865</v>
      </c>
      <c r="B74" s="162">
        <v>1.2524</v>
      </c>
      <c r="C74" s="171">
        <f t="shared" si="0"/>
        <v>3.3999999999998476E-3</v>
      </c>
      <c r="D74" s="168" t="str">
        <f t="shared" si="1"/>
        <v>/</v>
      </c>
      <c r="E74" s="168">
        <f ca="1">IF(表2_3671626293034522[[#This Row],[累计净值]]/MAX(INDIRECT("B21:B" &amp; ROW()))-1&lt;E73,表2_3671626293034522[[#This Row],[累计净值]]/MAX(INDIRECT("B21:B" &amp; ROW()))-1,E73)</f>
        <v>-2.6888392487796953E-2</v>
      </c>
      <c r="F74" s="172">
        <f>表2_3671626293034522[[#This Row],[累计净值]]</f>
        <v>1.2524</v>
      </c>
      <c r="G74" s="170">
        <f>表2_3671626293034522[[#This Row],[累计净值]]/$B$21-1</f>
        <v>4.6982110015047596E-2</v>
      </c>
      <c r="J74" s="187"/>
      <c r="K74" s="188"/>
      <c r="L74" s="188"/>
      <c r="M74" s="188"/>
      <c r="N74" s="188"/>
    </row>
    <row r="75" spans="1:14" x14ac:dyDescent="0.2">
      <c r="A75" s="161">
        <v>43866</v>
      </c>
      <c r="B75" s="162">
        <v>1.2546999999999999</v>
      </c>
      <c r="C75" s="171">
        <f t="shared" si="0"/>
        <v>2.2999999999999687E-3</v>
      </c>
      <c r="D75" s="168" t="str">
        <f t="shared" si="1"/>
        <v>/</v>
      </c>
      <c r="E75" s="168">
        <f ca="1">IF(表2_3671626293034522[[#This Row],[累计净值]]/MAX(INDIRECT("B21:B" &amp; ROW()))-1&lt;E74,表2_3671626293034522[[#This Row],[累计净值]]/MAX(INDIRECT("B21:B" &amp; ROW()))-1,E74)</f>
        <v>-2.6888392487796953E-2</v>
      </c>
      <c r="F75" s="172">
        <f>表2_3671626293034522[[#This Row],[累计净值]]</f>
        <v>1.2546999999999999</v>
      </c>
      <c r="G75" s="170">
        <f>表2_3671626293034522[[#This Row],[累计净值]]/$B$21-1</f>
        <v>4.8904865407122466E-2</v>
      </c>
      <c r="J75" s="187"/>
      <c r="K75" s="188"/>
      <c r="L75" s="188"/>
      <c r="M75" s="188"/>
      <c r="N75" s="188"/>
    </row>
    <row r="76" spans="1:14" x14ac:dyDescent="0.2">
      <c r="A76" s="161">
        <v>43867</v>
      </c>
      <c r="B76" s="162">
        <v>1.2603</v>
      </c>
      <c r="C76" s="171">
        <f t="shared" si="0"/>
        <v>5.6000000000000494E-3</v>
      </c>
      <c r="D76" s="168" t="str">
        <f t="shared" si="1"/>
        <v>/</v>
      </c>
      <c r="E76" s="168">
        <f ca="1">IF(表2_3671626293034522[[#This Row],[累计净值]]/MAX(INDIRECT("B21:B" &amp; ROW()))-1&lt;E75,表2_3671626293034522[[#This Row],[累计净值]]/MAX(INDIRECT("B21:B" &amp; ROW()))-1,E75)</f>
        <v>-2.6888392487796953E-2</v>
      </c>
      <c r="F76" s="172">
        <f>表2_3671626293034522[[#This Row],[累计净值]]</f>
        <v>1.2603</v>
      </c>
      <c r="G76" s="170">
        <f>表2_3671626293034522[[#This Row],[累计净值]]/$B$21-1</f>
        <v>5.3586356796522461E-2</v>
      </c>
      <c r="J76" s="187"/>
      <c r="K76" s="188"/>
      <c r="L76" s="188"/>
      <c r="M76" s="188"/>
      <c r="N76" s="188"/>
    </row>
    <row r="77" spans="1:14" x14ac:dyDescent="0.2">
      <c r="A77" s="161">
        <v>43868</v>
      </c>
      <c r="B77" s="162">
        <v>1.2625999999999999</v>
      </c>
      <c r="C77" s="171">
        <f t="shared" si="0"/>
        <v>2.2999999999999687E-3</v>
      </c>
      <c r="D77" s="168" t="str">
        <f t="shared" si="1"/>
        <v>/</v>
      </c>
      <c r="E77" s="168">
        <f ca="1">IF(表2_3671626293034522[[#This Row],[累计净值]]/MAX(INDIRECT("B21:B" &amp; ROW()))-1&lt;E76,表2_3671626293034522[[#This Row],[累计净值]]/MAX(INDIRECT("B21:B" &amp; ROW()))-1,E76)</f>
        <v>-2.6888392487796953E-2</v>
      </c>
      <c r="F77" s="172">
        <f>表2_3671626293034522[[#This Row],[累计净值]]</f>
        <v>1.2625999999999999</v>
      </c>
      <c r="G77" s="170">
        <f>表2_3671626293034522[[#This Row],[累计净值]]/$B$21-1</f>
        <v>5.5509112188597332E-2</v>
      </c>
      <c r="J77" s="187"/>
      <c r="K77" s="188"/>
      <c r="L77" s="188"/>
      <c r="M77" s="188"/>
      <c r="N77" s="188"/>
    </row>
    <row r="78" spans="1:14" x14ac:dyDescent="0.2">
      <c r="A78" s="161">
        <v>43871</v>
      </c>
      <c r="B78" s="162">
        <v>1.2615000000000001</v>
      </c>
      <c r="C78" s="171">
        <f t="shared" si="0"/>
        <v>-1.0999999999998789E-3</v>
      </c>
      <c r="D78" s="168">
        <f t="shared" si="1"/>
        <v>-1.0999999999998789E-3</v>
      </c>
      <c r="E78" s="168">
        <f ca="1">IF(表2_3671626293034522[[#This Row],[累计净值]]/MAX(INDIRECT("B21:B" &amp; ROW()))-1&lt;E77,表2_3671626293034522[[#This Row],[累计净值]]/MAX(INDIRECT("B21:B" &amp; ROW()))-1,E77)</f>
        <v>-2.6888392487796953E-2</v>
      </c>
      <c r="F78" s="172">
        <f>表2_3671626293034522[[#This Row],[累计净值]]</f>
        <v>1.2615000000000001</v>
      </c>
      <c r="G78" s="170">
        <f>表2_3671626293034522[[#This Row],[累计净值]]/$B$21-1</f>
        <v>5.4589533522822364E-2</v>
      </c>
      <c r="J78" s="187"/>
      <c r="K78" s="188"/>
      <c r="L78" s="188"/>
      <c r="M78" s="188"/>
      <c r="N78" s="188"/>
    </row>
    <row r="79" spans="1:14" x14ac:dyDescent="0.2">
      <c r="A79" s="161">
        <v>43872</v>
      </c>
      <c r="B79" s="162">
        <v>1.2607999999999999</v>
      </c>
      <c r="C79" s="171">
        <f t="shared" si="0"/>
        <v>-7.0000000000014495E-4</v>
      </c>
      <c r="D79" s="168">
        <f t="shared" si="1"/>
        <v>-7.0000000000014495E-4</v>
      </c>
      <c r="E79" s="168">
        <f ca="1">IF(表2_3671626293034522[[#This Row],[累计净值]]/MAX(INDIRECT("B21:B" &amp; ROW()))-1&lt;E78,表2_3671626293034522[[#This Row],[累计净值]]/MAX(INDIRECT("B21:B" &amp; ROW()))-1,E78)</f>
        <v>-2.6888392487796953E-2</v>
      </c>
      <c r="F79" s="172">
        <f>表2_3671626293034522[[#This Row],[累计净值]]</f>
        <v>1.2607999999999999</v>
      </c>
      <c r="G79" s="170">
        <f>表2_3671626293034522[[#This Row],[累计净值]]/$B$21-1</f>
        <v>5.4004347099147365E-2</v>
      </c>
      <c r="J79" s="187"/>
      <c r="K79" s="188"/>
      <c r="L79" s="188"/>
      <c r="M79" s="188"/>
      <c r="N79" s="188"/>
    </row>
    <row r="80" spans="1:14" x14ac:dyDescent="0.2">
      <c r="A80" s="161">
        <v>43873</v>
      </c>
      <c r="B80" s="162">
        <v>1.2615000000000001</v>
      </c>
      <c r="C80" s="171">
        <f t="shared" si="0"/>
        <v>7.0000000000014495E-4</v>
      </c>
      <c r="D80" s="168" t="str">
        <f t="shared" si="1"/>
        <v>/</v>
      </c>
      <c r="E80" s="168">
        <f ca="1">IF(表2_3671626293034522[[#This Row],[累计净值]]/MAX(INDIRECT("B21:B" &amp; ROW()))-1&lt;E79,表2_3671626293034522[[#This Row],[累计净值]]/MAX(INDIRECT("B21:B" &amp; ROW()))-1,E79)</f>
        <v>-2.6888392487796953E-2</v>
      </c>
      <c r="F80" s="172">
        <f>表2_3671626293034522[[#This Row],[累计净值]]</f>
        <v>1.2615000000000001</v>
      </c>
      <c r="G80" s="170">
        <f>表2_3671626293034522[[#This Row],[累计净值]]/$B$21-1</f>
        <v>5.4589533522822364E-2</v>
      </c>
      <c r="J80" s="187"/>
      <c r="K80" s="188"/>
      <c r="L80" s="188"/>
      <c r="M80" s="188"/>
      <c r="N80" s="188"/>
    </row>
    <row r="81" spans="1:14" x14ac:dyDescent="0.2">
      <c r="A81" s="161">
        <v>43874</v>
      </c>
      <c r="B81" s="162">
        <v>1.2623</v>
      </c>
      <c r="C81" s="171">
        <f t="shared" si="0"/>
        <v>7.9999999999991189E-4</v>
      </c>
      <c r="D81" s="168" t="str">
        <f t="shared" si="1"/>
        <v>/</v>
      </c>
      <c r="E81" s="168">
        <f ca="1">IF(表2_3671626293034522[[#This Row],[累计净值]]/MAX(INDIRECT("B21:B" &amp; ROW()))-1&lt;E80,表2_3671626293034522[[#This Row],[累计净值]]/MAX(INDIRECT("B21:B" &amp; ROW()))-1,E80)</f>
        <v>-2.6888392487796953E-2</v>
      </c>
      <c r="F81" s="172">
        <f>表2_3671626293034522[[#This Row],[累计净值]]</f>
        <v>1.2623</v>
      </c>
      <c r="G81" s="170">
        <f>表2_3671626293034522[[#This Row],[累计净值]]/$B$21-1</f>
        <v>5.52583180070223E-2</v>
      </c>
      <c r="J81" s="187"/>
      <c r="K81" s="188"/>
      <c r="L81" s="188"/>
      <c r="M81" s="188"/>
      <c r="N81" s="188"/>
    </row>
    <row r="82" spans="1:14" x14ac:dyDescent="0.2">
      <c r="A82" s="161">
        <v>43875</v>
      </c>
      <c r="B82" s="162">
        <v>1.2633000000000001</v>
      </c>
      <c r="C82" s="171">
        <f t="shared" si="0"/>
        <v>1.0000000000001119E-3</v>
      </c>
      <c r="D82" s="168" t="str">
        <f t="shared" si="1"/>
        <v>/</v>
      </c>
      <c r="E82" s="168">
        <f ca="1">IF(表2_3671626293034522[[#This Row],[累计净值]]/MAX(INDIRECT("B21:B" &amp; ROW()))-1&lt;E81,表2_3671626293034522[[#This Row],[累计净值]]/MAX(INDIRECT("B21:B" &amp; ROW()))-1,E81)</f>
        <v>-2.6888392487796953E-2</v>
      </c>
      <c r="F82" s="172">
        <f>表2_3671626293034522[[#This Row],[累计净值]]</f>
        <v>1.2633000000000001</v>
      </c>
      <c r="G82" s="170">
        <f>表2_3671626293034522[[#This Row],[累计净值]]/$B$21-1</f>
        <v>5.6094298612272331E-2</v>
      </c>
      <c r="J82" s="187"/>
      <c r="K82" s="188"/>
      <c r="L82" s="188"/>
      <c r="M82" s="188"/>
      <c r="N82" s="188"/>
    </row>
    <row r="83" spans="1:14" x14ac:dyDescent="0.2">
      <c r="A83" s="161">
        <v>43878</v>
      </c>
      <c r="B83" s="162">
        <v>1.2654000000000001</v>
      </c>
      <c r="C83" s="171">
        <f t="shared" si="0"/>
        <v>2.0999999999999908E-3</v>
      </c>
      <c r="D83" s="168" t="str">
        <f t="shared" si="1"/>
        <v>/</v>
      </c>
      <c r="E83" s="168">
        <f ca="1">IF(表2_3671626293034522[[#This Row],[累计净值]]/MAX(INDIRECT("B21:B" &amp; ROW()))-1&lt;E82,表2_3671626293034522[[#This Row],[累计净值]]/MAX(INDIRECT("B21:B" &amp; ROW()))-1,E82)</f>
        <v>-2.6888392487796953E-2</v>
      </c>
      <c r="F83" s="172">
        <f>表2_3671626293034522[[#This Row],[累计净值]]</f>
        <v>1.2654000000000001</v>
      </c>
      <c r="G83" s="170">
        <f>表2_3671626293034522[[#This Row],[累计净值]]/$B$21-1</f>
        <v>5.7849857883297329E-2</v>
      </c>
      <c r="J83" s="187"/>
      <c r="K83" s="188"/>
      <c r="L83" s="188"/>
      <c r="M83" s="188"/>
      <c r="N83" s="188"/>
    </row>
    <row r="84" spans="1:14" x14ac:dyDescent="0.2">
      <c r="A84" s="161">
        <v>43879</v>
      </c>
      <c r="B84" s="162">
        <v>1.2645999999999999</v>
      </c>
      <c r="C84" s="171">
        <f t="shared" si="0"/>
        <v>-8.0000000000013394E-4</v>
      </c>
      <c r="D84" s="168">
        <f t="shared" si="1"/>
        <v>-8.0000000000013394E-4</v>
      </c>
      <c r="E84" s="168">
        <f ca="1">IF(表2_3671626293034522[[#This Row],[累计净值]]/MAX(INDIRECT("B21:B" &amp; ROW()))-1&lt;E83,表2_3671626293034522[[#This Row],[累计净值]]/MAX(INDIRECT("B21:B" &amp; ROW()))-1,E83)</f>
        <v>-2.6888392487796953E-2</v>
      </c>
      <c r="F84" s="172">
        <f>表2_3671626293034522[[#This Row],[累计净值]]</f>
        <v>1.2645999999999999</v>
      </c>
      <c r="G84" s="170">
        <f>表2_3671626293034522[[#This Row],[累计净值]]/$B$21-1</f>
        <v>5.7181073399097171E-2</v>
      </c>
      <c r="J84" s="187"/>
      <c r="K84" s="188"/>
      <c r="L84" s="188"/>
      <c r="M84" s="188"/>
      <c r="N84" s="188"/>
    </row>
    <row r="85" spans="1:14" x14ac:dyDescent="0.2">
      <c r="A85" s="161">
        <v>43880</v>
      </c>
      <c r="B85" s="162">
        <v>1.2643</v>
      </c>
      <c r="C85" s="171">
        <f t="shared" si="0"/>
        <v>-2.9999999999996696E-4</v>
      </c>
      <c r="D85" s="168">
        <f t="shared" si="1"/>
        <v>-2.9999999999996696E-4</v>
      </c>
      <c r="E85" s="168">
        <f ca="1">IF(表2_3671626293034522[[#This Row],[累计净值]]/MAX(INDIRECT("B21:B" &amp; ROW()))-1&lt;E84,表2_3671626293034522[[#This Row],[累计净值]]/MAX(INDIRECT("B21:B" &amp; ROW()))-1,E84)</f>
        <v>-2.6888392487796953E-2</v>
      </c>
      <c r="F85" s="172">
        <f>表2_3671626293034522[[#This Row],[累计净值]]</f>
        <v>1.2643</v>
      </c>
      <c r="G85" s="170">
        <f>表2_3671626293034522[[#This Row],[累计净值]]/$B$21-1</f>
        <v>5.6930279217522139E-2</v>
      </c>
      <c r="J85" s="187"/>
      <c r="K85" s="188"/>
      <c r="L85" s="188"/>
      <c r="M85" s="188"/>
      <c r="N85" s="188"/>
    </row>
    <row r="86" spans="1:14" x14ac:dyDescent="0.2">
      <c r="A86" s="161">
        <v>43881</v>
      </c>
      <c r="B86" s="162">
        <v>1.2701</v>
      </c>
      <c r="C86" s="171">
        <f t="shared" si="0"/>
        <v>5.8000000000000274E-3</v>
      </c>
      <c r="D86" s="168" t="str">
        <f t="shared" si="1"/>
        <v>/</v>
      </c>
      <c r="E86" s="168">
        <f ca="1">IF(表2_3671626293034522[[#This Row],[累计净值]]/MAX(INDIRECT("B21:B" &amp; ROW()))-1&lt;E85,表2_3671626293034522[[#This Row],[累计净值]]/MAX(INDIRECT("B21:B" &amp; ROW()))-1,E85)</f>
        <v>-2.6888392487796953E-2</v>
      </c>
      <c r="F86" s="172">
        <f>表2_3671626293034522[[#This Row],[累计净值]]</f>
        <v>1.2701</v>
      </c>
      <c r="G86" s="170">
        <f>表2_3671626293034522[[#This Row],[累计净值]]/$B$21-1</f>
        <v>6.1778966727972007E-2</v>
      </c>
      <c r="J86" s="187"/>
      <c r="K86" s="188"/>
      <c r="L86" s="188"/>
      <c r="M86" s="188"/>
      <c r="N86" s="188"/>
    </row>
    <row r="87" spans="1:14" x14ac:dyDescent="0.2">
      <c r="A87" s="161">
        <v>43882</v>
      </c>
      <c r="B87" s="162">
        <v>1.2710999999999999</v>
      </c>
      <c r="C87" s="171">
        <f t="shared" si="0"/>
        <v>9.9999999999988987E-4</v>
      </c>
      <c r="D87" s="168" t="str">
        <f t="shared" si="1"/>
        <v>/</v>
      </c>
      <c r="E87" s="168">
        <f ca="1">IF(表2_3671626293034522[[#This Row],[累计净值]]/MAX(INDIRECT("B21:B" &amp; ROW()))-1&lt;E86,表2_3671626293034522[[#This Row],[累计净值]]/MAX(INDIRECT("B21:B" &amp; ROW()))-1,E86)</f>
        <v>-2.6888392487796953E-2</v>
      </c>
      <c r="F87" s="172">
        <f>表2_3671626293034522[[#This Row],[累计净值]]</f>
        <v>1.2710999999999999</v>
      </c>
      <c r="G87" s="170">
        <f>表2_3671626293034522[[#This Row],[累计净值]]/$B$21-1</f>
        <v>6.2614947333221815E-2</v>
      </c>
      <c r="J87" s="187"/>
      <c r="K87" s="188"/>
      <c r="L87" s="188"/>
      <c r="M87" s="188"/>
      <c r="N87" s="188"/>
    </row>
    <row r="88" spans="1:14" x14ac:dyDescent="0.2">
      <c r="A88" s="161">
        <v>43885</v>
      </c>
      <c r="B88" s="162">
        <v>1.2777000000000001</v>
      </c>
      <c r="C88" s="171">
        <f t="shared" ref="C88:C151" si="2">IFERROR(B88-B87,0)</f>
        <v>6.6000000000001613E-3</v>
      </c>
      <c r="D88" s="168" t="str">
        <f t="shared" si="1"/>
        <v>/</v>
      </c>
      <c r="E88" s="168">
        <f ca="1">IF(表2_3671626293034522[[#This Row],[累计净值]]/MAX(INDIRECT("B21:B" &amp; ROW()))-1&lt;E87,表2_3671626293034522[[#This Row],[累计净值]]/MAX(INDIRECT("B21:B" &amp; ROW()))-1,E87)</f>
        <v>-2.6888392487796953E-2</v>
      </c>
      <c r="F88" s="172">
        <f>表2_3671626293034522[[#This Row],[累计净值]]</f>
        <v>1.2777000000000001</v>
      </c>
      <c r="G88" s="170">
        <f>表2_3671626293034522[[#This Row],[累计净值]]/$B$21-1</f>
        <v>6.8132419327871618E-2</v>
      </c>
      <c r="J88" s="187"/>
      <c r="K88" s="188"/>
      <c r="L88" s="188"/>
      <c r="M88" s="188"/>
      <c r="N88" s="188"/>
    </row>
    <row r="89" spans="1:14" x14ac:dyDescent="0.2">
      <c r="A89" s="161">
        <v>43886</v>
      </c>
      <c r="B89" s="162">
        <v>1.2786999999999999</v>
      </c>
      <c r="C89" s="171">
        <f t="shared" si="2"/>
        <v>9.9999999999988987E-4</v>
      </c>
      <c r="D89" s="168" t="str">
        <f t="shared" si="1"/>
        <v>/</v>
      </c>
      <c r="E89" s="168">
        <f ca="1">IF(表2_3671626293034522[[#This Row],[累计净值]]/MAX(INDIRECT("B21:B" &amp; ROW()))-1&lt;E88,表2_3671626293034522[[#This Row],[累计净值]]/MAX(INDIRECT("B21:B" &amp; ROW()))-1,E88)</f>
        <v>-2.6888392487796953E-2</v>
      </c>
      <c r="F89" s="172">
        <f>表2_3671626293034522[[#This Row],[累计净值]]</f>
        <v>1.2786999999999999</v>
      </c>
      <c r="G89" s="170">
        <f>表2_3671626293034522[[#This Row],[累计净值]]/$B$21-1</f>
        <v>6.8968399933121649E-2</v>
      </c>
      <c r="J89" s="187"/>
      <c r="K89" s="188"/>
      <c r="L89" s="188"/>
      <c r="M89" s="188"/>
      <c r="N89" s="188"/>
    </row>
    <row r="90" spans="1:14" x14ac:dyDescent="0.2">
      <c r="A90" s="161">
        <v>43887</v>
      </c>
      <c r="B90" s="162">
        <v>1.2794000000000001</v>
      </c>
      <c r="C90" s="171">
        <f t="shared" si="2"/>
        <v>7.0000000000014495E-4</v>
      </c>
      <c r="D90" s="168" t="str">
        <f t="shared" ref="D90:D153" si="3">IF(C90&lt;0,C90,"/")</f>
        <v>/</v>
      </c>
      <c r="E90" s="168">
        <f ca="1">IF(表2_3671626293034522[[#This Row],[累计净值]]/MAX(INDIRECT("B21:B" &amp; ROW()))-1&lt;E89,表2_3671626293034522[[#This Row],[累计净值]]/MAX(INDIRECT("B21:B" &amp; ROW()))-1,E89)</f>
        <v>-2.6888392487796953E-2</v>
      </c>
      <c r="F90" s="172">
        <f>表2_3671626293034522[[#This Row],[累计净值]]</f>
        <v>1.2794000000000001</v>
      </c>
      <c r="G90" s="170">
        <f>表2_3671626293034522[[#This Row],[累计净值]]/$B$21-1</f>
        <v>6.9553586356796648E-2</v>
      </c>
      <c r="J90" s="187"/>
      <c r="K90" s="188"/>
      <c r="L90" s="188"/>
      <c r="M90" s="188"/>
      <c r="N90" s="188"/>
    </row>
    <row r="91" spans="1:14" x14ac:dyDescent="0.2">
      <c r="A91" s="161">
        <v>43888</v>
      </c>
      <c r="B91" s="162">
        <v>1.2825</v>
      </c>
      <c r="C91" s="171">
        <f t="shared" si="2"/>
        <v>3.0999999999998806E-3</v>
      </c>
      <c r="D91" s="168" t="str">
        <f t="shared" si="3"/>
        <v>/</v>
      </c>
      <c r="E91" s="168">
        <f ca="1">IF(表2_3671626293034522[[#This Row],[累计净值]]/MAX(INDIRECT("B21:B" &amp; ROW()))-1&lt;E90,表2_3671626293034522[[#This Row],[累计净值]]/MAX(INDIRECT("B21:B" &amp; ROW()))-1,E90)</f>
        <v>-2.6888392487796953E-2</v>
      </c>
      <c r="F91" s="172">
        <f>表2_3671626293034522[[#This Row],[累计净值]]</f>
        <v>1.2825</v>
      </c>
      <c r="G91" s="170">
        <f>表2_3671626293034522[[#This Row],[累计净值]]/$B$21-1</f>
        <v>7.2145126233071455E-2</v>
      </c>
      <c r="J91" s="187"/>
      <c r="K91" s="188"/>
      <c r="L91" s="188"/>
      <c r="M91" s="188"/>
      <c r="N91" s="188"/>
    </row>
    <row r="92" spans="1:14" x14ac:dyDescent="0.2">
      <c r="A92" s="161">
        <v>43889</v>
      </c>
      <c r="B92" s="162">
        <v>1.2904</v>
      </c>
      <c r="C92" s="171">
        <f t="shared" si="2"/>
        <v>7.9000000000000181E-3</v>
      </c>
      <c r="D92" s="168" t="str">
        <f t="shared" si="3"/>
        <v>/</v>
      </c>
      <c r="E92" s="168">
        <f ca="1">IF(表2_3671626293034522[[#This Row],[累计净值]]/MAX(INDIRECT("B21:B" &amp; ROW()))-1&lt;E91,表2_3671626293034522[[#This Row],[累计净值]]/MAX(INDIRECT("B21:B" &amp; ROW()))-1,E91)</f>
        <v>-2.6888392487796953E-2</v>
      </c>
      <c r="F92" s="172">
        <f>表2_3671626293034522[[#This Row],[累计净值]]</f>
        <v>1.2904</v>
      </c>
      <c r="G92" s="170">
        <f>表2_3671626293034522[[#This Row],[累计净值]]/$B$21-1</f>
        <v>7.8749373014546098E-2</v>
      </c>
      <c r="J92" s="187"/>
      <c r="K92" s="188"/>
      <c r="L92" s="188"/>
      <c r="M92" s="188"/>
      <c r="N92" s="188"/>
    </row>
    <row r="93" spans="1:14" x14ac:dyDescent="0.2">
      <c r="A93" s="161">
        <v>43892</v>
      </c>
      <c r="B93" s="162">
        <v>1.2842</v>
      </c>
      <c r="C93" s="171">
        <f t="shared" si="2"/>
        <v>-6.1999999999999833E-3</v>
      </c>
      <c r="D93" s="168">
        <f t="shared" si="3"/>
        <v>-6.1999999999999833E-3</v>
      </c>
      <c r="E93" s="168">
        <f ca="1">IF(表2_3671626293034522[[#This Row],[累计净值]]/MAX(INDIRECT("B21:B" &amp; ROW()))-1&lt;E92,表2_3671626293034522[[#This Row],[累计净值]]/MAX(INDIRECT("B21:B" &amp; ROW()))-1,E92)</f>
        <v>-2.6888392487796953E-2</v>
      </c>
      <c r="F93" s="172">
        <f>表2_3671626293034522[[#This Row],[累计净值]]</f>
        <v>1.2842</v>
      </c>
      <c r="G93" s="170">
        <f>表2_3671626293034522[[#This Row],[累计净值]]/$B$21-1</f>
        <v>7.3566293261996485E-2</v>
      </c>
      <c r="J93" s="187"/>
      <c r="K93" s="188"/>
      <c r="L93" s="188"/>
      <c r="M93" s="188"/>
      <c r="N93" s="188"/>
    </row>
    <row r="94" spans="1:14" x14ac:dyDescent="0.2">
      <c r="A94" s="161">
        <v>43893</v>
      </c>
      <c r="B94" s="162">
        <v>1.3169999999999999</v>
      </c>
      <c r="C94" s="171">
        <f t="shared" si="2"/>
        <v>3.279999999999994E-2</v>
      </c>
      <c r="D94" s="168" t="str">
        <f t="shared" si="3"/>
        <v>/</v>
      </c>
      <c r="E94" s="168">
        <f ca="1">IF(表2_3671626293034522[[#This Row],[累计净值]]/MAX(INDIRECT("B21:B" &amp; ROW()))-1&lt;E93,表2_3671626293034522[[#This Row],[累计净值]]/MAX(INDIRECT("B21:B" &amp; ROW()))-1,E93)</f>
        <v>-2.6888392487796953E-2</v>
      </c>
      <c r="F94" s="172">
        <f>表2_3671626293034522[[#This Row],[累计净值]]</f>
        <v>1.3169999999999999</v>
      </c>
      <c r="G94" s="170">
        <f>表2_3671626293034522[[#This Row],[累计净值]]/$B$21-1</f>
        <v>0.10098645711419496</v>
      </c>
      <c r="J94" s="187"/>
      <c r="K94" s="188"/>
      <c r="L94" s="188"/>
      <c r="M94" s="188"/>
      <c r="N94" s="188"/>
    </row>
    <row r="95" spans="1:14" x14ac:dyDescent="0.2">
      <c r="A95" s="161">
        <v>43894</v>
      </c>
      <c r="B95" s="162">
        <v>1.3171999999999999</v>
      </c>
      <c r="C95" s="171">
        <f t="shared" si="2"/>
        <v>1.9999999999997797E-4</v>
      </c>
      <c r="D95" s="168" t="str">
        <f t="shared" si="3"/>
        <v>/</v>
      </c>
      <c r="E95" s="168">
        <f ca="1">IF(表2_3671626293034522[[#This Row],[累计净值]]/MAX(INDIRECT("B21:B" &amp; ROW()))-1&lt;E94,表2_3671626293034522[[#This Row],[累计净值]]/MAX(INDIRECT("B21:B" &amp; ROW()))-1,E94)</f>
        <v>-2.6888392487796953E-2</v>
      </c>
      <c r="F95" s="172">
        <f>表2_3671626293034522[[#This Row],[累计净值]]</f>
        <v>1.3171999999999999</v>
      </c>
      <c r="G95" s="170">
        <f>表2_3671626293034522[[#This Row],[累计净值]]/$B$21-1</f>
        <v>0.10115365323524506</v>
      </c>
      <c r="J95" s="187"/>
      <c r="K95" s="188"/>
      <c r="L95" s="188"/>
      <c r="M95" s="188"/>
      <c r="N95" s="188"/>
    </row>
    <row r="96" spans="1:14" x14ac:dyDescent="0.2">
      <c r="A96" s="161">
        <v>43895</v>
      </c>
      <c r="B96" s="178">
        <v>1.3209</v>
      </c>
      <c r="C96" s="171">
        <f t="shared" si="2"/>
        <v>3.7000000000000366E-3</v>
      </c>
      <c r="D96" s="168" t="str">
        <f t="shared" si="3"/>
        <v>/</v>
      </c>
      <c r="E96" s="168">
        <f ca="1">IF(表2_3671626293034522[[#This Row],[累计净值]]/MAX(INDIRECT("B21:B" &amp; ROW()))-1&lt;E95,表2_3671626293034522[[#This Row],[累计净值]]/MAX(INDIRECT("B21:B" &amp; ROW()))-1,E95)</f>
        <v>-2.6888392487796953E-2</v>
      </c>
      <c r="F96" s="172">
        <f>表2_3671626293034522[[#This Row],[累计净值]]</f>
        <v>1.3209</v>
      </c>
      <c r="G96" s="170">
        <f>表2_3671626293034522[[#This Row],[累计净值]]/$B$21-1</f>
        <v>0.10424678147466993</v>
      </c>
      <c r="J96" s="187"/>
      <c r="K96" s="188"/>
      <c r="L96" s="188"/>
      <c r="M96" s="188"/>
      <c r="N96" s="188"/>
    </row>
    <row r="97" spans="1:14" x14ac:dyDescent="0.2">
      <c r="A97" s="161">
        <v>43896</v>
      </c>
      <c r="B97" s="162">
        <v>1.3187</v>
      </c>
      <c r="C97" s="171">
        <f t="shared" si="2"/>
        <v>-2.1999999999999797E-3</v>
      </c>
      <c r="D97" s="168">
        <f t="shared" si="3"/>
        <v>-2.1999999999999797E-3</v>
      </c>
      <c r="E97" s="168">
        <f ca="1">IF(表2_3671626293034522[[#This Row],[累计净值]]/MAX(INDIRECT("B21:B" &amp; ROW()))-1&lt;E96,表2_3671626293034522[[#This Row],[累计净值]]/MAX(INDIRECT("B21:B" &amp; ROW()))-1,E96)</f>
        <v>-2.6888392487796953E-2</v>
      </c>
      <c r="F97" s="172">
        <f>表2_3671626293034522[[#This Row],[累计净值]]</f>
        <v>1.3187</v>
      </c>
      <c r="G97" s="170">
        <f>表2_3671626293034522[[#This Row],[累计净值]]/$B$21-1</f>
        <v>0.10240762414311999</v>
      </c>
      <c r="J97" s="187"/>
      <c r="K97" s="188"/>
      <c r="L97" s="188"/>
      <c r="M97" s="188"/>
      <c r="N97" s="188"/>
    </row>
    <row r="98" spans="1:14" x14ac:dyDescent="0.2">
      <c r="A98" s="161">
        <v>43899</v>
      </c>
      <c r="B98" s="162">
        <v>1.3113999999999999</v>
      </c>
      <c r="C98" s="171">
        <f t="shared" si="2"/>
        <v>-7.3000000000000842E-3</v>
      </c>
      <c r="D98" s="168">
        <f t="shared" si="3"/>
        <v>-7.3000000000000842E-3</v>
      </c>
      <c r="E98" s="168">
        <f ca="1">IF(表2_3671626293034522[[#This Row],[累计净值]]/MAX(INDIRECT("B21:B" &amp; ROW()))-1&lt;E97,表2_3671626293034522[[#This Row],[累计净值]]/MAX(INDIRECT("B21:B" &amp; ROW()))-1,E97)</f>
        <v>-2.6888392487796953E-2</v>
      </c>
      <c r="F98" s="172">
        <f>表2_3671626293034522[[#This Row],[累计净值]]</f>
        <v>1.3113999999999999</v>
      </c>
      <c r="G98" s="170">
        <f>表2_3671626293034522[[#This Row],[累计净值]]/$B$21-1</f>
        <v>9.6304965724795188E-2</v>
      </c>
      <c r="J98" s="187"/>
      <c r="K98" s="188"/>
      <c r="L98" s="188"/>
      <c r="M98" s="188"/>
      <c r="N98" s="188"/>
    </row>
    <row r="99" spans="1:14" x14ac:dyDescent="0.2">
      <c r="A99" s="161">
        <v>43900</v>
      </c>
      <c r="B99" s="162">
        <v>1.3037000000000001</v>
      </c>
      <c r="C99" s="171">
        <f t="shared" si="2"/>
        <v>-7.6999999999998181E-3</v>
      </c>
      <c r="D99" s="168">
        <f t="shared" si="3"/>
        <v>-7.6999999999998181E-3</v>
      </c>
      <c r="E99" s="168">
        <f ca="1">IF(表2_3671626293034522[[#This Row],[累计净值]]/MAX(INDIRECT("B21:B" &amp; ROW()))-1&lt;E98,表2_3671626293034522[[#This Row],[累计净值]]/MAX(INDIRECT("B21:B" &amp; ROW()))-1,E98)</f>
        <v>-2.6888392487796953E-2</v>
      </c>
      <c r="F99" s="172">
        <f>表2_3671626293034522[[#This Row],[累计净值]]</f>
        <v>1.3037000000000001</v>
      </c>
      <c r="G99" s="170">
        <f>表2_3671626293034522[[#This Row],[累计净值]]/$B$21-1</f>
        <v>8.986791506437064E-2</v>
      </c>
      <c r="J99" s="187"/>
      <c r="K99" s="188"/>
      <c r="L99" s="188"/>
      <c r="M99" s="188"/>
      <c r="N99" s="188"/>
    </row>
    <row r="100" spans="1:14" x14ac:dyDescent="0.2">
      <c r="A100" s="161">
        <v>43901</v>
      </c>
      <c r="B100" s="162">
        <v>1.3104</v>
      </c>
      <c r="C100" s="171">
        <f t="shared" si="2"/>
        <v>6.6999999999999282E-3</v>
      </c>
      <c r="D100" s="168" t="str">
        <f t="shared" si="3"/>
        <v>/</v>
      </c>
      <c r="E100" s="168">
        <f ca="1">IF(表2_3671626293034522[[#This Row],[累计净值]]/MAX(INDIRECT("B21:B" &amp; ROW()))-1&lt;E99,表2_3671626293034522[[#This Row],[累计净值]]/MAX(INDIRECT("B21:B" &amp; ROW()))-1,E99)</f>
        <v>-2.6888392487796953E-2</v>
      </c>
      <c r="F100" s="172">
        <f>表2_3671626293034522[[#This Row],[累计净值]]</f>
        <v>1.3104</v>
      </c>
      <c r="G100" s="170">
        <f>表2_3671626293034522[[#This Row],[累计净值]]/$B$21-1</f>
        <v>9.546898511954538E-2</v>
      </c>
      <c r="J100" s="187"/>
      <c r="K100" s="188"/>
      <c r="L100" s="188"/>
      <c r="M100" s="188"/>
      <c r="N100" s="188"/>
    </row>
    <row r="101" spans="1:14" x14ac:dyDescent="0.2">
      <c r="A101" s="161">
        <v>43902</v>
      </c>
      <c r="B101" s="162">
        <v>1.3166</v>
      </c>
      <c r="C101" s="171">
        <f t="shared" si="2"/>
        <v>6.1999999999999833E-3</v>
      </c>
      <c r="D101" s="168" t="str">
        <f t="shared" si="3"/>
        <v>/</v>
      </c>
      <c r="E101" s="168">
        <f ca="1">IF(表2_3671626293034522[[#This Row],[累计净值]]/MAX(INDIRECT("B21:B" &amp; ROW()))-1&lt;E100,表2_3671626293034522[[#This Row],[累计净值]]/MAX(INDIRECT("B21:B" &amp; ROW()))-1,E100)</f>
        <v>-2.6888392487796953E-2</v>
      </c>
      <c r="F101" s="172">
        <f>表2_3671626293034522[[#This Row],[累计净值]]</f>
        <v>1.3166</v>
      </c>
      <c r="G101" s="170">
        <f>表2_3671626293034522[[#This Row],[累计净值]]/$B$21-1</f>
        <v>0.10065206487209499</v>
      </c>
      <c r="J101" s="187"/>
      <c r="K101" s="188"/>
      <c r="L101" s="188"/>
      <c r="M101" s="188"/>
      <c r="N101" s="188"/>
    </row>
    <row r="102" spans="1:14" x14ac:dyDescent="0.2">
      <c r="A102" s="161">
        <v>43903</v>
      </c>
      <c r="B102" s="162">
        <v>1.3089</v>
      </c>
      <c r="C102" s="171">
        <f t="shared" si="2"/>
        <v>-7.7000000000000401E-3</v>
      </c>
      <c r="D102" s="168">
        <f t="shared" si="3"/>
        <v>-7.7000000000000401E-3</v>
      </c>
      <c r="E102" s="168">
        <f ca="1">IF(表2_3671626293034522[[#This Row],[累计净值]]/MAX(INDIRECT("B21:B" &amp; ROW()))-1&lt;E101,表2_3671626293034522[[#This Row],[累计净值]]/MAX(INDIRECT("B21:B" &amp; ROW()))-1,E101)</f>
        <v>-2.6888392487796953E-2</v>
      </c>
      <c r="F102" s="172">
        <f>表2_3671626293034522[[#This Row],[累计净值]]</f>
        <v>1.3089</v>
      </c>
      <c r="G102" s="170">
        <f>表2_3671626293034522[[#This Row],[累计净值]]/$B$21-1</f>
        <v>9.4215014211670223E-2</v>
      </c>
      <c r="J102" s="187"/>
      <c r="K102" s="188"/>
      <c r="L102" s="188"/>
      <c r="M102" s="188"/>
      <c r="N102" s="188"/>
    </row>
    <row r="103" spans="1:14" x14ac:dyDescent="0.2">
      <c r="A103" s="161">
        <v>43906</v>
      </c>
      <c r="B103" s="162">
        <v>1.3151999999999999</v>
      </c>
      <c r="C103" s="171">
        <f t="shared" si="2"/>
        <v>6.2999999999999723E-3</v>
      </c>
      <c r="D103" s="168" t="str">
        <f t="shared" si="3"/>
        <v>/</v>
      </c>
      <c r="E103" s="168">
        <f ca="1">IF(表2_3671626293034522[[#This Row],[累计净值]]/MAX(INDIRECT("B21:B" &amp; ROW()))-1&lt;E102,表2_3671626293034522[[#This Row],[累计净值]]/MAX(INDIRECT("B21:B" &amp; ROW()))-1,E102)</f>
        <v>-2.6888392487796953E-2</v>
      </c>
      <c r="F103" s="172">
        <f>表2_3671626293034522[[#This Row],[累计净值]]</f>
        <v>1.3151999999999999</v>
      </c>
      <c r="G103" s="170">
        <f>表2_3671626293034522[[#This Row],[累计净值]]/$B$21-1</f>
        <v>9.9481692024744994E-2</v>
      </c>
      <c r="J103" s="187"/>
      <c r="K103" s="188"/>
      <c r="L103" s="188"/>
      <c r="M103" s="188"/>
      <c r="N103" s="188"/>
    </row>
    <row r="104" spans="1:14" x14ac:dyDescent="0.2">
      <c r="A104" s="161">
        <v>43907</v>
      </c>
      <c r="B104" s="162">
        <v>1.3205</v>
      </c>
      <c r="C104" s="171">
        <f t="shared" si="2"/>
        <v>5.3000000000000824E-3</v>
      </c>
      <c r="D104" s="168" t="str">
        <f t="shared" si="3"/>
        <v>/</v>
      </c>
      <c r="E104" s="168">
        <f ca="1">IF(表2_3671626293034522[[#This Row],[累计净值]]/MAX(INDIRECT("B21:B" &amp; ROW()))-1&lt;E103,表2_3671626293034522[[#This Row],[累计净值]]/MAX(INDIRECT("B21:B" &amp; ROW()))-1,E103)</f>
        <v>-2.6888392487796953E-2</v>
      </c>
      <c r="F104" s="172">
        <f>表2_3671626293034522[[#This Row],[累计净值]]</f>
        <v>1.3205</v>
      </c>
      <c r="G104" s="170">
        <f>表2_3671626293034522[[#This Row],[累计净值]]/$B$21-1</f>
        <v>0.10391238923256996</v>
      </c>
      <c r="J104" s="187"/>
      <c r="K104" s="188"/>
      <c r="L104" s="188"/>
      <c r="M104" s="188"/>
      <c r="N104" s="188"/>
    </row>
    <row r="105" spans="1:14" x14ac:dyDescent="0.2">
      <c r="A105" s="161">
        <v>43908</v>
      </c>
      <c r="B105" s="162">
        <v>1.3258000000000001</v>
      </c>
      <c r="C105" s="171">
        <f t="shared" si="2"/>
        <v>5.3000000000000824E-3</v>
      </c>
      <c r="D105" s="168" t="str">
        <f t="shared" si="3"/>
        <v>/</v>
      </c>
      <c r="E105" s="168">
        <f ca="1">IF(表2_3671626293034522[[#This Row],[累计净值]]/MAX(INDIRECT("B21:B" &amp; ROW()))-1&lt;E104,表2_3671626293034522[[#This Row],[累计净值]]/MAX(INDIRECT("B21:B" &amp; ROW()))-1,E104)</f>
        <v>-2.6888392487796953E-2</v>
      </c>
      <c r="F105" s="172">
        <f>表2_3671626293034522[[#This Row],[累计净值]]</f>
        <v>1.3258000000000001</v>
      </c>
      <c r="G105" s="170">
        <f>表2_3671626293034522[[#This Row],[累计净值]]/$B$21-1</f>
        <v>0.1083430864403947</v>
      </c>
      <c r="J105" s="187"/>
      <c r="K105" s="188"/>
      <c r="L105" s="188"/>
      <c r="M105" s="188"/>
      <c r="N105" s="188"/>
    </row>
    <row r="106" spans="1:14" x14ac:dyDescent="0.2">
      <c r="A106" s="161">
        <v>43909</v>
      </c>
      <c r="B106" s="162">
        <v>1.3309</v>
      </c>
      <c r="C106" s="171">
        <f t="shared" si="2"/>
        <v>5.0999999999998824E-3</v>
      </c>
      <c r="D106" s="168" t="str">
        <f t="shared" si="3"/>
        <v>/</v>
      </c>
      <c r="E106" s="168">
        <f ca="1">IF(表2_3671626293034522[[#This Row],[累计净值]]/MAX(INDIRECT("B21:B" &amp; ROW()))-1&lt;E105,表2_3671626293034522[[#This Row],[累计净值]]/MAX(INDIRECT("B21:B" &amp; ROW()))-1,E105)</f>
        <v>-2.6888392487796953E-2</v>
      </c>
      <c r="F106" s="172">
        <f>表2_3671626293034522[[#This Row],[累计净值]]</f>
        <v>1.3309</v>
      </c>
      <c r="G106" s="170">
        <f>表2_3671626293034522[[#This Row],[累计净值]]/$B$21-1</f>
        <v>0.11260658752716934</v>
      </c>
      <c r="J106" s="187"/>
      <c r="K106" s="188"/>
      <c r="L106" s="188"/>
      <c r="M106" s="188"/>
      <c r="N106" s="188"/>
    </row>
    <row r="107" spans="1:14" x14ac:dyDescent="0.2">
      <c r="A107" s="161">
        <v>43910</v>
      </c>
      <c r="B107" s="162">
        <v>1.3187</v>
      </c>
      <c r="C107" s="171">
        <f t="shared" si="2"/>
        <v>-1.2199999999999989E-2</v>
      </c>
      <c r="D107" s="168">
        <f t="shared" si="3"/>
        <v>-1.2199999999999989E-2</v>
      </c>
      <c r="E107" s="168">
        <f ca="1">IF(表2_3671626293034522[[#This Row],[累计净值]]/MAX(INDIRECT("B21:B" &amp; ROW()))-1&lt;E106,表2_3671626293034522[[#This Row],[累计净值]]/MAX(INDIRECT("B21:B" &amp; ROW()))-1,E106)</f>
        <v>-2.6888392487796953E-2</v>
      </c>
      <c r="F107" s="172">
        <f>表2_3671626293034522[[#This Row],[累计净值]]</f>
        <v>1.3187</v>
      </c>
      <c r="G107" s="170">
        <f>表2_3671626293034522[[#This Row],[累计净值]]/$B$21-1</f>
        <v>0.10240762414311999</v>
      </c>
      <c r="J107" s="187"/>
      <c r="K107" s="188"/>
      <c r="L107" s="188"/>
      <c r="M107" s="188"/>
      <c r="N107" s="188"/>
    </row>
    <row r="108" spans="1:14" x14ac:dyDescent="0.2">
      <c r="A108" s="161">
        <v>43913</v>
      </c>
      <c r="B108" s="178">
        <v>1.3351</v>
      </c>
      <c r="C108" s="171">
        <f t="shared" si="2"/>
        <v>1.639999999999997E-2</v>
      </c>
      <c r="D108" s="168" t="str">
        <f t="shared" si="3"/>
        <v>/</v>
      </c>
      <c r="E108" s="168">
        <f ca="1">IF(表2_3671626293034522[[#This Row],[累计净值]]/MAX(INDIRECT("B21:B" &amp; ROW()))-1&lt;E107,表2_3671626293034522[[#This Row],[累计净值]]/MAX(INDIRECT("B21:B" &amp; ROW()))-1,E107)</f>
        <v>-2.6888392487796953E-2</v>
      </c>
      <c r="F108" s="172">
        <f>表2_3671626293034522[[#This Row],[累计净值]]</f>
        <v>1.3351</v>
      </c>
      <c r="G108" s="170">
        <f>表2_3671626293034522[[#This Row],[累计净值]]/$B$21-1</f>
        <v>0.11611770606921912</v>
      </c>
      <c r="J108" s="187"/>
      <c r="K108" s="188"/>
      <c r="L108" s="188"/>
      <c r="M108" s="188"/>
      <c r="N108" s="188"/>
    </row>
    <row r="109" spans="1:14" x14ac:dyDescent="0.2">
      <c r="A109" s="161">
        <v>43914</v>
      </c>
      <c r="B109" s="162">
        <v>1.3242</v>
      </c>
      <c r="C109" s="171">
        <f t="shared" si="2"/>
        <v>-1.089999999999991E-2</v>
      </c>
      <c r="D109" s="168">
        <f t="shared" si="3"/>
        <v>-1.089999999999991E-2</v>
      </c>
      <c r="E109" s="168">
        <f ca="1">IF(表2_3671626293034522[[#This Row],[累计净值]]/MAX(INDIRECT("B21:B" &amp; ROW()))-1&lt;E108,表2_3671626293034522[[#This Row],[累计净值]]/MAX(INDIRECT("B21:B" &amp; ROW()))-1,E108)</f>
        <v>-2.6888392487796953E-2</v>
      </c>
      <c r="F109" s="172">
        <f>表2_3671626293034522[[#This Row],[累计净值]]</f>
        <v>1.3242</v>
      </c>
      <c r="G109" s="170">
        <f>表2_3671626293034522[[#This Row],[累计净值]]/$B$21-1</f>
        <v>0.10700551747199483</v>
      </c>
      <c r="J109" s="187"/>
      <c r="K109" s="188"/>
      <c r="L109" s="188"/>
      <c r="M109" s="188"/>
      <c r="N109" s="188"/>
    </row>
    <row r="110" spans="1:14" x14ac:dyDescent="0.2">
      <c r="A110" s="161">
        <v>43915</v>
      </c>
      <c r="B110" s="162">
        <v>1.319</v>
      </c>
      <c r="C110" s="171">
        <f t="shared" si="2"/>
        <v>-5.2000000000000934E-3</v>
      </c>
      <c r="D110" s="168">
        <f t="shared" si="3"/>
        <v>-5.2000000000000934E-3</v>
      </c>
      <c r="E110" s="168">
        <f ca="1">IF(表2_3671626293034522[[#This Row],[累计净值]]/MAX(INDIRECT("B21:B" &amp; ROW()))-1&lt;E109,表2_3671626293034522[[#This Row],[累计净值]]/MAX(INDIRECT("B21:B" &amp; ROW()))-1,E109)</f>
        <v>-2.6888392487796953E-2</v>
      </c>
      <c r="F110" s="172">
        <f>表2_3671626293034522[[#This Row],[累计净值]]</f>
        <v>1.319</v>
      </c>
      <c r="G110" s="170">
        <f>表2_3671626293034522[[#This Row],[累计净值]]/$B$21-1</f>
        <v>0.1026584183246948</v>
      </c>
      <c r="J110" s="187"/>
      <c r="K110" s="188"/>
      <c r="L110" s="188"/>
      <c r="M110" s="188"/>
      <c r="N110" s="188"/>
    </row>
    <row r="111" spans="1:14" x14ac:dyDescent="0.2">
      <c r="A111" s="161">
        <v>43916</v>
      </c>
      <c r="B111" s="162">
        <v>1.3207</v>
      </c>
      <c r="C111" s="171">
        <f t="shared" si="2"/>
        <v>1.7000000000000348E-3</v>
      </c>
      <c r="D111" s="168" t="str">
        <f t="shared" si="3"/>
        <v>/</v>
      </c>
      <c r="E111" s="168">
        <f ca="1">IF(表2_3671626293034522[[#This Row],[累计净值]]/MAX(INDIRECT("B21:B" &amp; ROW()))-1&lt;E110,表2_3671626293034522[[#This Row],[累计净值]]/MAX(INDIRECT("B21:B" &amp; ROW()))-1,E110)</f>
        <v>-2.6888392487796953E-2</v>
      </c>
      <c r="F111" s="172">
        <f>表2_3671626293034522[[#This Row],[累计净值]]</f>
        <v>1.3207</v>
      </c>
      <c r="G111" s="170">
        <f>表2_3671626293034522[[#This Row],[累计净值]]/$B$21-1</f>
        <v>0.10407958535361983</v>
      </c>
      <c r="J111" s="187"/>
      <c r="K111" s="188"/>
      <c r="L111" s="188"/>
      <c r="M111" s="188"/>
      <c r="N111" s="188"/>
    </row>
    <row r="112" spans="1:14" x14ac:dyDescent="0.2">
      <c r="A112" s="161">
        <v>43917</v>
      </c>
      <c r="B112" s="162">
        <v>1.3211999999999999</v>
      </c>
      <c r="C112" s="171">
        <f t="shared" si="2"/>
        <v>4.9999999999994493E-4</v>
      </c>
      <c r="D112" s="168" t="str">
        <f t="shared" si="3"/>
        <v>/</v>
      </c>
      <c r="E112" s="168">
        <f ca="1">IF(表2_3671626293034522[[#This Row],[累计净值]]/MAX(INDIRECT("B21:B" &amp; ROW()))-1&lt;E111,表2_3671626293034522[[#This Row],[累计净值]]/MAX(INDIRECT("B21:B" &amp; ROW()))-1,E111)</f>
        <v>-2.6888392487796953E-2</v>
      </c>
      <c r="F112" s="172">
        <f>表2_3671626293034522[[#This Row],[累计净值]]</f>
        <v>1.3211999999999999</v>
      </c>
      <c r="G112" s="170">
        <f>表2_3671626293034522[[#This Row],[累计净值]]/$B$21-1</f>
        <v>0.10449757565624473</v>
      </c>
      <c r="J112" s="187"/>
      <c r="K112" s="188"/>
      <c r="L112" s="188"/>
      <c r="M112" s="188"/>
      <c r="N112" s="188"/>
    </row>
    <row r="113" spans="1:14" x14ac:dyDescent="0.2">
      <c r="A113" s="161">
        <v>43920</v>
      </c>
      <c r="B113" s="162">
        <v>1.3225</v>
      </c>
      <c r="C113" s="171">
        <f t="shared" si="2"/>
        <v>1.3000000000000789E-3</v>
      </c>
      <c r="D113" s="168" t="str">
        <f t="shared" si="3"/>
        <v>/</v>
      </c>
      <c r="E113" s="168">
        <f ca="1">IF(表2_3671626293034522[[#This Row],[累计净值]]/MAX(INDIRECT("B21:B" &amp; ROW()))-1&lt;E112,表2_3671626293034522[[#This Row],[累计净值]]/MAX(INDIRECT("B21:B" &amp; ROW()))-1,E112)</f>
        <v>-2.6888392487796953E-2</v>
      </c>
      <c r="F113" s="172">
        <f>表2_3671626293034522[[#This Row],[累计净值]]</f>
        <v>1.3225</v>
      </c>
      <c r="G113" s="170">
        <f>表2_3671626293034522[[#This Row],[累计净值]]/$B$21-1</f>
        <v>0.1055843504430698</v>
      </c>
      <c r="J113" s="187"/>
      <c r="K113" s="188"/>
      <c r="L113" s="188"/>
      <c r="M113" s="188"/>
      <c r="N113" s="188"/>
    </row>
    <row r="114" spans="1:14" x14ac:dyDescent="0.2">
      <c r="A114" s="161">
        <v>43921</v>
      </c>
      <c r="B114" s="162">
        <v>1.3230999999999999</v>
      </c>
      <c r="C114" s="171">
        <f t="shared" si="2"/>
        <v>5.9999999999993392E-4</v>
      </c>
      <c r="D114" s="168" t="str">
        <f t="shared" si="3"/>
        <v>/</v>
      </c>
      <c r="E114" s="168">
        <f ca="1">IF(表2_3671626293034522[[#This Row],[累计净值]]/MAX(INDIRECT("B21:B" &amp; ROW()))-1&lt;E113,表2_3671626293034522[[#This Row],[累计净值]]/MAX(INDIRECT("B21:B" &amp; ROW()))-1,E113)</f>
        <v>-2.6888392487796953E-2</v>
      </c>
      <c r="F114" s="172">
        <f>表2_3671626293034522[[#This Row],[累计净值]]</f>
        <v>1.3230999999999999</v>
      </c>
      <c r="G114" s="170">
        <f>表2_3671626293034522[[#This Row],[累计净值]]/$B$21-1</f>
        <v>0.10608593880621964</v>
      </c>
      <c r="J114" s="187"/>
      <c r="K114" s="188"/>
      <c r="L114" s="188"/>
      <c r="M114" s="188"/>
      <c r="N114" s="188"/>
    </row>
    <row r="115" spans="1:14" x14ac:dyDescent="0.2">
      <c r="A115" s="161">
        <v>43922</v>
      </c>
      <c r="B115" s="162">
        <v>1.3217000000000001</v>
      </c>
      <c r="C115" s="171">
        <f t="shared" si="2"/>
        <v>-1.3999999999998458E-3</v>
      </c>
      <c r="D115" s="168">
        <f t="shared" si="3"/>
        <v>-1.3999999999998458E-3</v>
      </c>
      <c r="E115" s="168">
        <f ca="1">IF(表2_3671626293034522[[#This Row],[累计净值]]/MAX(INDIRECT("B21:B" &amp; ROW()))-1&lt;E114,表2_3671626293034522[[#This Row],[累计净值]]/MAX(INDIRECT("B21:B" &amp; ROW()))-1,E114)</f>
        <v>-2.6888392487796953E-2</v>
      </c>
      <c r="F115" s="172">
        <f>表2_3671626293034522[[#This Row],[累计净值]]</f>
        <v>1.3217000000000001</v>
      </c>
      <c r="G115" s="170">
        <f>表2_3671626293034522[[#This Row],[累计净值]]/$B$21-1</f>
        <v>0.10491556595886986</v>
      </c>
      <c r="J115" s="187"/>
      <c r="K115" s="188"/>
      <c r="L115" s="188"/>
      <c r="M115" s="188"/>
      <c r="N115" s="188"/>
    </row>
    <row r="116" spans="1:14" x14ac:dyDescent="0.2">
      <c r="A116" s="161">
        <v>43923</v>
      </c>
      <c r="B116" s="162">
        <v>1.3267</v>
      </c>
      <c r="C116" s="171">
        <f t="shared" si="2"/>
        <v>4.9999999999998934E-3</v>
      </c>
      <c r="D116" s="168" t="str">
        <f t="shared" si="3"/>
        <v>/</v>
      </c>
      <c r="E116" s="168">
        <f ca="1">IF(表2_3671626293034522[[#This Row],[累计净值]]/MAX(INDIRECT("B21:B" &amp; ROW()))-1&lt;E115,表2_3671626293034522[[#This Row],[累计净值]]/MAX(INDIRECT("B21:B" &amp; ROW()))-1,E115)</f>
        <v>-2.6888392487796953E-2</v>
      </c>
      <c r="F116" s="172">
        <f>表2_3671626293034522[[#This Row],[累计净值]]</f>
        <v>1.3267</v>
      </c>
      <c r="G116" s="170">
        <f>表2_3671626293034522[[#This Row],[累计净值]]/$B$21-1</f>
        <v>0.10909546898511957</v>
      </c>
      <c r="J116" s="187"/>
      <c r="K116" s="188"/>
      <c r="L116" s="188"/>
      <c r="M116" s="188"/>
      <c r="N116" s="188"/>
    </row>
    <row r="117" spans="1:14" x14ac:dyDescent="0.2">
      <c r="A117" s="161">
        <v>43924</v>
      </c>
      <c r="B117" s="162">
        <v>1.3228</v>
      </c>
      <c r="C117" s="171">
        <f t="shared" si="2"/>
        <v>-3.9000000000000146E-3</v>
      </c>
      <c r="D117" s="168">
        <f t="shared" si="3"/>
        <v>-3.9000000000000146E-3</v>
      </c>
      <c r="E117" s="168">
        <f ca="1">IF(表2_3671626293034522[[#This Row],[累计净值]]/MAX(INDIRECT("B21:B" &amp; ROW()))-1&lt;E116,表2_3671626293034522[[#This Row],[累计净值]]/MAX(INDIRECT("B21:B" &amp; ROW()))-1,E116)</f>
        <v>-2.6888392487796953E-2</v>
      </c>
      <c r="F117" s="172">
        <f>表2_3671626293034522[[#This Row],[累计净值]]</f>
        <v>1.3228</v>
      </c>
      <c r="G117" s="170">
        <f>表2_3671626293034522[[#This Row],[累计净值]]/$B$21-1</f>
        <v>0.10583514462464483</v>
      </c>
      <c r="J117" s="187"/>
      <c r="K117" s="188"/>
      <c r="L117" s="188"/>
      <c r="M117" s="188"/>
      <c r="N117" s="188"/>
    </row>
    <row r="118" spans="1:14" x14ac:dyDescent="0.2">
      <c r="A118" s="161">
        <v>43928</v>
      </c>
      <c r="B118" s="162">
        <v>1.3214999999999999</v>
      </c>
      <c r="C118" s="171">
        <f t="shared" si="2"/>
        <v>-1.3000000000000789E-3</v>
      </c>
      <c r="D118" s="168">
        <f t="shared" si="3"/>
        <v>-1.3000000000000789E-3</v>
      </c>
      <c r="E118" s="168">
        <f ca="1">IF(表2_3671626293034522[[#This Row],[累计净值]]/MAX(INDIRECT("B21:B" &amp; ROW()))-1&lt;E117,表2_3671626293034522[[#This Row],[累计净值]]/MAX(INDIRECT("B21:B" &amp; ROW()))-1,E117)</f>
        <v>-2.6888392487796953E-2</v>
      </c>
      <c r="F118" s="172">
        <f>表2_3671626293034522[[#This Row],[累计净值]]</f>
        <v>1.3214999999999999</v>
      </c>
      <c r="G118" s="170">
        <f>表2_3671626293034522[[#This Row],[累计净值]]/$B$21-1</f>
        <v>0.10474836983781977</v>
      </c>
      <c r="J118" s="187"/>
      <c r="K118" s="188"/>
      <c r="L118" s="188"/>
      <c r="M118" s="188"/>
      <c r="N118" s="188"/>
    </row>
    <row r="119" spans="1:14" x14ac:dyDescent="0.2">
      <c r="A119" s="161">
        <v>43929</v>
      </c>
      <c r="B119" s="162">
        <v>1.3186</v>
      </c>
      <c r="C119" s="171">
        <f t="shared" si="2"/>
        <v>-2.8999999999999027E-3</v>
      </c>
      <c r="D119" s="168">
        <f t="shared" si="3"/>
        <v>-2.8999999999999027E-3</v>
      </c>
      <c r="E119" s="168">
        <f ca="1">IF(表2_3671626293034522[[#This Row],[累计净值]]/MAX(INDIRECT("B21:B" &amp; ROW()))-1&lt;E118,表2_3671626293034522[[#This Row],[累计净值]]/MAX(INDIRECT("B21:B" &amp; ROW()))-1,E118)</f>
        <v>-2.6888392487796953E-2</v>
      </c>
      <c r="F119" s="172">
        <f>表2_3671626293034522[[#This Row],[累计净值]]</f>
        <v>1.3186</v>
      </c>
      <c r="G119" s="170">
        <f>表2_3671626293034522[[#This Row],[累计净值]]/$B$21-1</f>
        <v>0.10232402608259505</v>
      </c>
      <c r="J119" s="187"/>
      <c r="K119" s="188"/>
      <c r="L119" s="188"/>
      <c r="M119" s="188"/>
      <c r="N119" s="188"/>
    </row>
    <row r="120" spans="1:14" x14ac:dyDescent="0.2">
      <c r="A120" s="161">
        <v>43930</v>
      </c>
      <c r="B120" s="162">
        <v>1.3190999999999999</v>
      </c>
      <c r="C120" s="171">
        <f t="shared" si="2"/>
        <v>4.9999999999994493E-4</v>
      </c>
      <c r="D120" s="168" t="str">
        <f t="shared" si="3"/>
        <v>/</v>
      </c>
      <c r="E120" s="168">
        <f ca="1">IF(表2_3671626293034522[[#This Row],[累计净值]]/MAX(INDIRECT("B21:B" &amp; ROW()))-1&lt;E119,表2_3671626293034522[[#This Row],[累计净值]]/MAX(INDIRECT("B21:B" &amp; ROW()))-1,E119)</f>
        <v>-2.6888392487796953E-2</v>
      </c>
      <c r="F120" s="172">
        <f>表2_3671626293034522[[#This Row],[累计净值]]</f>
        <v>1.3190999999999999</v>
      </c>
      <c r="G120" s="170">
        <f>表2_3671626293034522[[#This Row],[累计净值]]/$B$21-1</f>
        <v>0.10274201638521996</v>
      </c>
      <c r="J120" s="187"/>
      <c r="K120" s="188"/>
      <c r="L120" s="188"/>
      <c r="M120" s="188"/>
      <c r="N120" s="188"/>
    </row>
    <row r="121" spans="1:14" x14ac:dyDescent="0.2">
      <c r="A121" s="161">
        <v>43931</v>
      </c>
      <c r="B121" s="162">
        <v>1.3218000000000001</v>
      </c>
      <c r="C121" s="171">
        <f t="shared" si="2"/>
        <v>2.7000000000001467E-3</v>
      </c>
      <c r="D121" s="168" t="str">
        <f t="shared" si="3"/>
        <v>/</v>
      </c>
      <c r="E121" s="168">
        <f ca="1">IF(表2_3671626293034522[[#This Row],[累计净值]]/MAX(INDIRECT("B21:B" &amp; ROW()))-1&lt;E120,表2_3671626293034522[[#This Row],[累计净值]]/MAX(INDIRECT("B21:B" &amp; ROW()))-1,E120)</f>
        <v>-2.6888392487796953E-2</v>
      </c>
      <c r="F121" s="172">
        <f>表2_3671626293034522[[#This Row],[累计净值]]</f>
        <v>1.3218000000000001</v>
      </c>
      <c r="G121" s="170">
        <f>表2_3671626293034522[[#This Row],[累计净值]]/$B$21-1</f>
        <v>0.1049991640193948</v>
      </c>
      <c r="J121" s="187"/>
      <c r="K121" s="188"/>
      <c r="L121" s="188"/>
      <c r="M121" s="188"/>
      <c r="N121" s="188"/>
    </row>
    <row r="122" spans="1:14" x14ac:dyDescent="0.2">
      <c r="A122" s="161">
        <v>43934</v>
      </c>
      <c r="B122" s="162">
        <v>1.3221000000000001</v>
      </c>
      <c r="C122" s="171">
        <f t="shared" si="2"/>
        <v>2.9999999999996696E-4</v>
      </c>
      <c r="D122" s="168" t="str">
        <f t="shared" si="3"/>
        <v>/</v>
      </c>
      <c r="E122" s="168">
        <f ca="1">IF(表2_3671626293034522[[#This Row],[累计净值]]/MAX(INDIRECT("B21:B" &amp; ROW()))-1&lt;E121,表2_3671626293034522[[#This Row],[累计净值]]/MAX(INDIRECT("B21:B" &amp; ROW()))-1,E121)</f>
        <v>-2.6888392487796953E-2</v>
      </c>
      <c r="F122" s="172">
        <f>表2_3671626293034522[[#This Row],[累计净值]]</f>
        <v>1.3221000000000001</v>
      </c>
      <c r="G122" s="170">
        <f>表2_3671626293034522[[#This Row],[累计净值]]/$B$21-1</f>
        <v>0.10524995820096983</v>
      </c>
      <c r="J122" s="187"/>
      <c r="K122" s="188"/>
      <c r="L122" s="188"/>
      <c r="M122" s="188"/>
      <c r="N122" s="188"/>
    </row>
    <row r="123" spans="1:14" x14ac:dyDescent="0.2">
      <c r="A123" s="161">
        <v>43935</v>
      </c>
      <c r="B123" s="162">
        <v>1.3221000000000001</v>
      </c>
      <c r="C123" s="171">
        <f t="shared" si="2"/>
        <v>0</v>
      </c>
      <c r="D123" s="168" t="str">
        <f t="shared" si="3"/>
        <v>/</v>
      </c>
      <c r="E123" s="168">
        <f ca="1">IF(表2_3671626293034522[[#This Row],[累计净值]]/MAX(INDIRECT("B21:B" &amp; ROW()))-1&lt;E122,表2_3671626293034522[[#This Row],[累计净值]]/MAX(INDIRECT("B21:B" &amp; ROW()))-1,E122)</f>
        <v>-2.6888392487796953E-2</v>
      </c>
      <c r="F123" s="172">
        <f>表2_3671626293034522[[#This Row],[累计净值]]</f>
        <v>1.3221000000000001</v>
      </c>
      <c r="G123" s="170">
        <f>表2_3671626293034522[[#This Row],[累计净值]]/$B$21-1</f>
        <v>0.10524995820096983</v>
      </c>
      <c r="J123" s="187"/>
      <c r="K123" s="188"/>
      <c r="L123" s="188"/>
      <c r="M123" s="188"/>
      <c r="N123" s="188"/>
    </row>
    <row r="124" spans="1:14" x14ac:dyDescent="0.2">
      <c r="A124" s="161">
        <v>43936</v>
      </c>
      <c r="B124" s="162">
        <v>1.323</v>
      </c>
      <c r="C124" s="171">
        <f t="shared" si="2"/>
        <v>8.9999999999990088E-4</v>
      </c>
      <c r="D124" s="168" t="str">
        <f t="shared" si="3"/>
        <v>/</v>
      </c>
      <c r="E124" s="168">
        <f ca="1">IF(表2_3671626293034522[[#This Row],[累计净值]]/MAX(INDIRECT("B21:B" &amp; ROW()))-1&lt;E123,表2_3671626293034522[[#This Row],[累计净值]]/MAX(INDIRECT("B21:B" &amp; ROW()))-1,E123)</f>
        <v>-2.6888392487796953E-2</v>
      </c>
      <c r="F124" s="172">
        <f>表2_3671626293034522[[#This Row],[累计净值]]</f>
        <v>1.323</v>
      </c>
      <c r="G124" s="170">
        <f>表2_3671626293034522[[#This Row],[累计净值]]/$B$21-1</f>
        <v>0.1060023407456947</v>
      </c>
      <c r="J124" s="187"/>
      <c r="K124" s="188"/>
      <c r="L124" s="188"/>
      <c r="M124" s="188"/>
      <c r="N124" s="188"/>
    </row>
    <row r="125" spans="1:14" x14ac:dyDescent="0.2">
      <c r="A125" s="161">
        <v>43937</v>
      </c>
      <c r="B125" s="162">
        <v>1.3212999999999999</v>
      </c>
      <c r="C125" s="171">
        <f t="shared" si="2"/>
        <v>-1.7000000000000348E-3</v>
      </c>
      <c r="D125" s="168">
        <f t="shared" si="3"/>
        <v>-1.7000000000000348E-3</v>
      </c>
      <c r="E125" s="168">
        <f ca="1">IF(表2_3671626293034522[[#This Row],[累计净值]]/MAX(INDIRECT("B21:B" &amp; ROW()))-1&lt;E124,表2_3671626293034522[[#This Row],[累计净值]]/MAX(INDIRECT("B21:B" &amp; ROW()))-1,E124)</f>
        <v>-2.6888392487796953E-2</v>
      </c>
      <c r="F125" s="172">
        <f>表2_3671626293034522[[#This Row],[累计净值]]</f>
        <v>1.3212999999999999</v>
      </c>
      <c r="G125" s="170">
        <f>表2_3671626293034522[[#This Row],[累计净值]]/$B$21-1</f>
        <v>0.10458117371676967</v>
      </c>
      <c r="J125" s="187"/>
      <c r="K125" s="188"/>
      <c r="L125" s="188"/>
      <c r="M125" s="188"/>
      <c r="N125" s="188"/>
    </row>
    <row r="126" spans="1:14" x14ac:dyDescent="0.2">
      <c r="A126" s="161">
        <v>43938</v>
      </c>
      <c r="B126" s="162">
        <v>1.3288</v>
      </c>
      <c r="C126" s="171">
        <f t="shared" si="2"/>
        <v>7.5000000000000622E-3</v>
      </c>
      <c r="D126" s="168" t="str">
        <f t="shared" si="3"/>
        <v>/</v>
      </c>
      <c r="E126" s="168">
        <f ca="1">IF(表2_3671626293034522[[#This Row],[累计净值]]/MAX(INDIRECT("B21:B" &amp; ROW()))-1&lt;E125,表2_3671626293034522[[#This Row],[累计净值]]/MAX(INDIRECT("B21:B" &amp; ROW()))-1,E125)</f>
        <v>-2.6888392487796953E-2</v>
      </c>
      <c r="F126" s="172">
        <f>表2_3671626293034522[[#This Row],[累计净值]]</f>
        <v>1.3288</v>
      </c>
      <c r="G126" s="170">
        <f>表2_3671626293034522[[#This Row],[累计净值]]/$B$21-1</f>
        <v>0.11085102825614457</v>
      </c>
      <c r="J126" s="187"/>
      <c r="K126" s="188"/>
      <c r="L126" s="188"/>
      <c r="M126" s="188"/>
      <c r="N126" s="188"/>
    </row>
    <row r="127" spans="1:14" x14ac:dyDescent="0.2">
      <c r="A127" s="161">
        <v>43941</v>
      </c>
      <c r="B127" s="162">
        <v>1.3280000000000001</v>
      </c>
      <c r="C127" s="171">
        <f t="shared" si="2"/>
        <v>-7.9999999999991189E-4</v>
      </c>
      <c r="D127" s="168">
        <f t="shared" si="3"/>
        <v>-7.9999999999991189E-4</v>
      </c>
      <c r="E127" s="168">
        <f ca="1">IF(表2_3671626293034522[[#This Row],[累计净值]]/MAX(INDIRECT("B21:B" &amp; ROW()))-1&lt;E126,表2_3671626293034522[[#This Row],[累计净值]]/MAX(INDIRECT("B21:B" &amp; ROW()))-1,E126)</f>
        <v>-2.6888392487796953E-2</v>
      </c>
      <c r="F127" s="172">
        <f>表2_3671626293034522[[#This Row],[累计净值]]</f>
        <v>1.3280000000000001</v>
      </c>
      <c r="G127" s="170">
        <f>表2_3671626293034522[[#This Row],[累计净值]]/$B$21-1</f>
        <v>0.11018224377194463</v>
      </c>
      <c r="J127" s="187"/>
      <c r="K127" s="188"/>
      <c r="L127" s="188"/>
      <c r="M127" s="188"/>
      <c r="N127" s="188"/>
    </row>
    <row r="128" spans="1:14" x14ac:dyDescent="0.2">
      <c r="A128" s="161">
        <v>43942</v>
      </c>
      <c r="B128" s="162">
        <v>1.3273999999999999</v>
      </c>
      <c r="C128" s="171">
        <f t="shared" si="2"/>
        <v>-6.0000000000015596E-4</v>
      </c>
      <c r="D128" s="168">
        <f t="shared" si="3"/>
        <v>-6.0000000000015596E-4</v>
      </c>
      <c r="E128" s="168">
        <f ca="1">IF(表2_3671626293034522[[#This Row],[累计净值]]/MAX(INDIRECT("B21:B" &amp; ROW()))-1&lt;E127,表2_3671626293034522[[#This Row],[累计净值]]/MAX(INDIRECT("B21:B" &amp; ROW()))-1,E127)</f>
        <v>-2.6888392487796953E-2</v>
      </c>
      <c r="F128" s="172">
        <f>表2_3671626293034522[[#This Row],[累计净值]]</f>
        <v>1.3273999999999999</v>
      </c>
      <c r="G128" s="170">
        <f>表2_3671626293034522[[#This Row],[累计净值]]/$B$21-1</f>
        <v>0.10968065540879457</v>
      </c>
      <c r="J128" s="187"/>
      <c r="K128" s="188"/>
      <c r="L128" s="188"/>
      <c r="M128" s="188"/>
      <c r="N128" s="188"/>
    </row>
    <row r="129" spans="1:14" x14ac:dyDescent="0.2">
      <c r="A129" s="161">
        <v>43943</v>
      </c>
      <c r="B129" s="162">
        <v>1.3275999999999999</v>
      </c>
      <c r="C129" s="171">
        <f t="shared" si="2"/>
        <v>1.9999999999997797E-4</v>
      </c>
      <c r="D129" s="168" t="str">
        <f t="shared" si="3"/>
        <v>/</v>
      </c>
      <c r="E129" s="168">
        <f ca="1">IF(表2_3671626293034522[[#This Row],[累计净值]]/MAX(INDIRECT("B21:B" &amp; ROW()))-1&lt;E128,表2_3671626293034522[[#This Row],[累计净值]]/MAX(INDIRECT("B21:B" &amp; ROW()))-1,E128)</f>
        <v>-2.6888392487796953E-2</v>
      </c>
      <c r="F129" s="172">
        <f>表2_3671626293034522[[#This Row],[累计净值]]</f>
        <v>1.3275999999999999</v>
      </c>
      <c r="G129" s="170">
        <f>表2_3671626293034522[[#This Row],[累计净值]]/$B$21-1</f>
        <v>0.10984785152984444</v>
      </c>
      <c r="J129" s="187"/>
      <c r="K129" s="188"/>
      <c r="L129" s="188"/>
      <c r="M129" s="188"/>
      <c r="N129" s="188"/>
    </row>
    <row r="130" spans="1:14" x14ac:dyDescent="0.2">
      <c r="A130" s="161">
        <v>43944</v>
      </c>
      <c r="B130" s="162">
        <v>1.3232999999999999</v>
      </c>
      <c r="C130" s="171">
        <f t="shared" si="2"/>
        <v>-4.2999999999999705E-3</v>
      </c>
      <c r="D130" s="168">
        <f t="shared" si="3"/>
        <v>-4.2999999999999705E-3</v>
      </c>
      <c r="E130" s="168">
        <f ca="1">IF(表2_3671626293034522[[#This Row],[累计净值]]/MAX(INDIRECT("B21:B" &amp; ROW()))-1&lt;E129,表2_3671626293034522[[#This Row],[累计净值]]/MAX(INDIRECT("B21:B" &amp; ROW()))-1,E129)</f>
        <v>-2.6888392487796953E-2</v>
      </c>
      <c r="F130" s="172">
        <f>表2_3671626293034522[[#This Row],[累计净值]]</f>
        <v>1.3232999999999999</v>
      </c>
      <c r="G130" s="170">
        <f>表2_3671626293034522[[#This Row],[累计净值]]/$B$21-1</f>
        <v>0.10625313492726973</v>
      </c>
      <c r="J130" s="187"/>
      <c r="K130" s="188"/>
      <c r="L130" s="188"/>
      <c r="M130" s="188"/>
      <c r="N130" s="188"/>
    </row>
    <row r="131" spans="1:14" x14ac:dyDescent="0.2">
      <c r="A131" s="161">
        <v>43945</v>
      </c>
      <c r="B131" s="162">
        <v>1.3272999999999999</v>
      </c>
      <c r="C131" s="171">
        <f t="shared" si="2"/>
        <v>4.0000000000000036E-3</v>
      </c>
      <c r="D131" s="168" t="str">
        <f t="shared" si="3"/>
        <v>/</v>
      </c>
      <c r="E131" s="168">
        <f ca="1">IF(表2_3671626293034522[[#This Row],[累计净值]]/MAX(INDIRECT("B21:B" &amp; ROW()))-1&lt;E130,表2_3671626293034522[[#This Row],[累计净值]]/MAX(INDIRECT("B21:B" &amp; ROW()))-1,E130)</f>
        <v>-2.6888392487796953E-2</v>
      </c>
      <c r="F131" s="172">
        <f>表2_3671626293034522[[#This Row],[累计净值]]</f>
        <v>1.3272999999999999</v>
      </c>
      <c r="G131" s="170">
        <f>表2_3671626293034522[[#This Row],[累计净值]]/$B$21-1</f>
        <v>0.10959705734826941</v>
      </c>
      <c r="J131" s="187"/>
      <c r="K131" s="188"/>
      <c r="L131" s="188"/>
      <c r="M131" s="188"/>
      <c r="N131" s="188"/>
    </row>
    <row r="132" spans="1:14" x14ac:dyDescent="0.2">
      <c r="A132" s="161">
        <v>43948</v>
      </c>
      <c r="B132" s="162">
        <v>1.3302</v>
      </c>
      <c r="C132" s="171">
        <f t="shared" si="2"/>
        <v>2.9000000000001247E-3</v>
      </c>
      <c r="D132" s="168" t="str">
        <f t="shared" si="3"/>
        <v>/</v>
      </c>
      <c r="E132" s="168">
        <f ca="1">IF(表2_3671626293034522[[#This Row],[累计净值]]/MAX(INDIRECT("B21:B" &amp; ROW()))-1&lt;E131,表2_3671626293034522[[#This Row],[累计净值]]/MAX(INDIRECT("B21:B" &amp; ROW()))-1,E131)</f>
        <v>-2.6888392487796953E-2</v>
      </c>
      <c r="F132" s="172">
        <f>表2_3671626293034522[[#This Row],[累计净值]]</f>
        <v>1.3302</v>
      </c>
      <c r="G132" s="170">
        <f>表2_3671626293034522[[#This Row],[累计净值]]/$B$21-1</f>
        <v>0.11202140110349457</v>
      </c>
      <c r="J132" s="187"/>
      <c r="K132" s="188"/>
      <c r="L132" s="188"/>
      <c r="M132" s="188"/>
      <c r="N132" s="188"/>
    </row>
    <row r="133" spans="1:14" x14ac:dyDescent="0.2">
      <c r="A133" s="161">
        <v>43949</v>
      </c>
      <c r="B133" s="162">
        <v>1.3312999999999999</v>
      </c>
      <c r="C133" s="171">
        <f t="shared" si="2"/>
        <v>1.0999999999998789E-3</v>
      </c>
      <c r="D133" s="168" t="str">
        <f t="shared" si="3"/>
        <v>/</v>
      </c>
      <c r="E133" s="168">
        <f ca="1">IF(表2_3671626293034522[[#This Row],[累计净值]]/MAX(INDIRECT("B21:B" &amp; ROW()))-1&lt;E132,表2_3671626293034522[[#This Row],[累计净值]]/MAX(INDIRECT("B21:B" &amp; ROW()))-1,E132)</f>
        <v>-2.6888392487796953E-2</v>
      </c>
      <c r="F133" s="172">
        <f>表2_3671626293034522[[#This Row],[累计净值]]</f>
        <v>1.3312999999999999</v>
      </c>
      <c r="G133" s="170">
        <f>表2_3671626293034522[[#This Row],[累计净值]]/$B$21-1</f>
        <v>0.11294097976926931</v>
      </c>
      <c r="J133" s="187"/>
      <c r="K133" s="188"/>
      <c r="L133" s="188"/>
      <c r="M133" s="188"/>
      <c r="N133" s="188"/>
    </row>
    <row r="134" spans="1:14" x14ac:dyDescent="0.2">
      <c r="A134" s="161">
        <v>43950</v>
      </c>
      <c r="B134" s="162">
        <v>1.3340000000000001</v>
      </c>
      <c r="C134" s="171">
        <f t="shared" si="2"/>
        <v>2.7000000000001467E-3</v>
      </c>
      <c r="D134" s="168" t="str">
        <f t="shared" si="3"/>
        <v>/</v>
      </c>
      <c r="E134" s="168">
        <f ca="1">IF(表2_3671626293034522[[#This Row],[累计净值]]/MAX(INDIRECT("B21:B" &amp; ROW()))-1&lt;E133,表2_3671626293034522[[#This Row],[累计净值]]/MAX(INDIRECT("B21:B" &amp; ROW()))-1,E133)</f>
        <v>-2.6888392487796953E-2</v>
      </c>
      <c r="F134" s="172">
        <f>表2_3671626293034522[[#This Row],[累计净值]]</f>
        <v>1.3340000000000001</v>
      </c>
      <c r="G134" s="170">
        <f>表2_3671626293034522[[#This Row],[累计净值]]/$B$21-1</f>
        <v>0.11519812740344437</v>
      </c>
      <c r="J134" s="187"/>
      <c r="K134" s="188"/>
      <c r="L134" s="188"/>
      <c r="M134" s="188"/>
      <c r="N134" s="188"/>
    </row>
    <row r="135" spans="1:14" x14ac:dyDescent="0.2">
      <c r="A135" s="161">
        <v>43951</v>
      </c>
      <c r="B135" s="162">
        <v>1.3362000000000001</v>
      </c>
      <c r="C135" s="171">
        <f t="shared" si="2"/>
        <v>2.1999999999999797E-3</v>
      </c>
      <c r="D135" s="168" t="str">
        <f t="shared" si="3"/>
        <v>/</v>
      </c>
      <c r="E135" s="168">
        <f ca="1">IF(表2_3671626293034522[[#This Row],[累计净值]]/MAX(INDIRECT("B21:B" &amp; ROW()))-1&lt;E134,表2_3671626293034522[[#This Row],[累计净值]]/MAX(INDIRECT("B21:B" &amp; ROW()))-1,E134)</f>
        <v>-2.6888392487796953E-2</v>
      </c>
      <c r="F135" s="172">
        <f>表2_3671626293034522[[#This Row],[累计净值]]</f>
        <v>1.3362000000000001</v>
      </c>
      <c r="G135" s="170">
        <f>表2_3671626293034522[[#This Row],[累计净值]]/$B$21-1</f>
        <v>0.11703728473499431</v>
      </c>
      <c r="J135" s="187"/>
      <c r="K135" s="188"/>
      <c r="L135" s="188"/>
      <c r="M135" s="188"/>
      <c r="N135" s="188"/>
    </row>
    <row r="136" spans="1:14" x14ac:dyDescent="0.2">
      <c r="A136" s="161">
        <v>43957</v>
      </c>
      <c r="B136" s="162">
        <v>1.3363</v>
      </c>
      <c r="C136" s="171">
        <f t="shared" si="2"/>
        <v>9.9999999999988987E-5</v>
      </c>
      <c r="D136" s="168" t="str">
        <f t="shared" si="3"/>
        <v>/</v>
      </c>
      <c r="E136" s="168">
        <f ca="1">IF(表2_3671626293034522[[#This Row],[累计净值]]/MAX(INDIRECT("B21:B" &amp; ROW()))-1&lt;E135,表2_3671626293034522[[#This Row],[累计净值]]/MAX(INDIRECT("B21:B" &amp; ROW()))-1,E135)</f>
        <v>-2.6888392487796953E-2</v>
      </c>
      <c r="F136" s="172">
        <f>表2_3671626293034522[[#This Row],[累计净值]]</f>
        <v>1.3363</v>
      </c>
      <c r="G136" s="170">
        <f>表2_3671626293034522[[#This Row],[累计净值]]/$B$21-1</f>
        <v>0.11712088279551924</v>
      </c>
      <c r="J136" s="187"/>
      <c r="K136" s="188"/>
      <c r="L136" s="188"/>
      <c r="M136" s="188"/>
      <c r="N136" s="188"/>
    </row>
    <row r="137" spans="1:14" x14ac:dyDescent="0.2">
      <c r="A137" s="161">
        <v>43958</v>
      </c>
      <c r="B137" s="162">
        <v>1.3357000000000001</v>
      </c>
      <c r="C137" s="171">
        <f t="shared" si="2"/>
        <v>-5.9999999999993392E-4</v>
      </c>
      <c r="D137" s="168">
        <f t="shared" si="3"/>
        <v>-5.9999999999993392E-4</v>
      </c>
      <c r="E137" s="168">
        <f ca="1">IF(表2_3671626293034522[[#This Row],[累计净值]]/MAX(INDIRECT("B21:B" &amp; ROW()))-1&lt;E136,表2_3671626293034522[[#This Row],[累计净值]]/MAX(INDIRECT("B21:B" &amp; ROW()))-1,E136)</f>
        <v>-2.6888392487796953E-2</v>
      </c>
      <c r="F137" s="172">
        <f>表2_3671626293034522[[#This Row],[累计净值]]</f>
        <v>1.3357000000000001</v>
      </c>
      <c r="G137" s="170">
        <f>表2_3671626293034522[[#This Row],[累计净值]]/$B$21-1</f>
        <v>0.1166192944323694</v>
      </c>
      <c r="J137" s="187"/>
      <c r="K137" s="188"/>
      <c r="L137" s="188"/>
      <c r="M137" s="188"/>
      <c r="N137" s="188"/>
    </row>
    <row r="138" spans="1:14" x14ac:dyDescent="0.2">
      <c r="A138" s="161">
        <v>43959</v>
      </c>
      <c r="B138" s="178">
        <v>1.3396999999999999</v>
      </c>
      <c r="C138" s="171">
        <f t="shared" si="2"/>
        <v>3.9999999999997815E-3</v>
      </c>
      <c r="D138" s="168" t="str">
        <f t="shared" si="3"/>
        <v>/</v>
      </c>
      <c r="E138" s="168">
        <f ca="1">IF(表2_3671626293034522[[#This Row],[累计净值]]/MAX(INDIRECT("B21:B" &amp; ROW()))-1&lt;E137,表2_3671626293034522[[#This Row],[累计净值]]/MAX(INDIRECT("B21:B" &amp; ROW()))-1,E137)</f>
        <v>-2.6888392487796953E-2</v>
      </c>
      <c r="F138" s="172">
        <f>表2_3671626293034522[[#This Row],[累计净值]]</f>
        <v>1.3396999999999999</v>
      </c>
      <c r="G138" s="170">
        <f>表2_3671626293034522[[#This Row],[累计净值]]/$B$21-1</f>
        <v>0.11996321685336908</v>
      </c>
      <c r="J138" s="187"/>
      <c r="K138" s="188"/>
      <c r="L138" s="188"/>
      <c r="M138" s="188"/>
      <c r="N138" s="188"/>
    </row>
    <row r="139" spans="1:14" x14ac:dyDescent="0.2">
      <c r="A139" s="161">
        <v>43962</v>
      </c>
      <c r="B139" s="162">
        <v>1.3367</v>
      </c>
      <c r="C139" s="171">
        <f t="shared" si="2"/>
        <v>-2.9999999999998916E-3</v>
      </c>
      <c r="D139" s="168">
        <f t="shared" si="3"/>
        <v>-2.9999999999998916E-3</v>
      </c>
      <c r="E139" s="168">
        <f ca="1">IF(表2_3671626293034522[[#This Row],[累计净值]]/MAX(INDIRECT("B21:B" &amp; ROW()))-1&lt;E138,表2_3671626293034522[[#This Row],[累计净值]]/MAX(INDIRECT("B21:B" &amp; ROW()))-1,E138)</f>
        <v>-2.6888392487796953E-2</v>
      </c>
      <c r="F139" s="172">
        <f>表2_3671626293034522[[#This Row],[累计净值]]</f>
        <v>1.3367</v>
      </c>
      <c r="G139" s="170">
        <f>表2_3671626293034522[[#This Row],[累计净值]]/$B$21-1</f>
        <v>0.11745527503761921</v>
      </c>
      <c r="J139" s="187"/>
      <c r="K139" s="188"/>
      <c r="L139" s="188"/>
      <c r="M139" s="188"/>
      <c r="N139" s="188"/>
    </row>
    <row r="140" spans="1:14" x14ac:dyDescent="0.2">
      <c r="A140" s="161">
        <v>43963</v>
      </c>
      <c r="B140" s="162">
        <v>1.3374999999999999</v>
      </c>
      <c r="C140" s="171">
        <f t="shared" si="2"/>
        <v>7.9999999999991189E-4</v>
      </c>
      <c r="D140" s="168" t="str">
        <f t="shared" si="3"/>
        <v>/</v>
      </c>
      <c r="E140" s="168">
        <f ca="1">IF(表2_3671626293034522[[#This Row],[累计净值]]/MAX(INDIRECT("B21:B" &amp; ROW()))-1&lt;E139,表2_3671626293034522[[#This Row],[累计净值]]/MAX(INDIRECT("B21:B" &amp; ROW()))-1,E139)</f>
        <v>-2.6888392487796953E-2</v>
      </c>
      <c r="F140" s="172">
        <f>表2_3671626293034522[[#This Row],[累计净值]]</f>
        <v>1.3374999999999999</v>
      </c>
      <c r="G140" s="170">
        <f>表2_3671626293034522[[#This Row],[累计净值]]/$B$21-1</f>
        <v>0.11812405952181915</v>
      </c>
      <c r="J140" s="187"/>
      <c r="K140" s="188"/>
      <c r="L140" s="188"/>
      <c r="M140" s="188"/>
      <c r="N140" s="188"/>
    </row>
    <row r="141" spans="1:14" x14ac:dyDescent="0.2">
      <c r="A141" s="161">
        <v>43964</v>
      </c>
      <c r="B141" s="162">
        <v>1.3387</v>
      </c>
      <c r="C141" s="171">
        <f t="shared" si="2"/>
        <v>1.2000000000000899E-3</v>
      </c>
      <c r="D141" s="168" t="str">
        <f t="shared" si="3"/>
        <v>/</v>
      </c>
      <c r="E141" s="168">
        <f ca="1">IF(表2_3671626293034522[[#This Row],[累计净值]]/MAX(INDIRECT("B21:B" &amp; ROW()))-1&lt;E140,表2_3671626293034522[[#This Row],[累计净值]]/MAX(INDIRECT("B21:B" &amp; ROW()))-1,E140)</f>
        <v>-2.6888392487796953E-2</v>
      </c>
      <c r="F141" s="172">
        <f>表2_3671626293034522[[#This Row],[累计净值]]</f>
        <v>1.3387</v>
      </c>
      <c r="G141" s="170">
        <f>表2_3671626293034522[[#This Row],[累计净值]]/$B$21-1</f>
        <v>0.11912723624811905</v>
      </c>
      <c r="J141" s="187"/>
      <c r="K141" s="188"/>
      <c r="L141" s="188"/>
      <c r="M141" s="188"/>
      <c r="N141" s="188"/>
    </row>
    <row r="142" spans="1:14" x14ac:dyDescent="0.2">
      <c r="A142" s="161">
        <v>43965</v>
      </c>
      <c r="B142" s="162">
        <v>1.3368</v>
      </c>
      <c r="C142" s="171">
        <f t="shared" si="2"/>
        <v>-1.9000000000000128E-3</v>
      </c>
      <c r="D142" s="168">
        <f t="shared" si="3"/>
        <v>-1.9000000000000128E-3</v>
      </c>
      <c r="E142" s="168">
        <f ca="1">IF(表2_3671626293034522[[#This Row],[累计净值]]/MAX(INDIRECT("B21:B" &amp; ROW()))-1&lt;E141,表2_3671626293034522[[#This Row],[累计净值]]/MAX(INDIRECT("B21:B" &amp; ROW()))-1,E141)</f>
        <v>-2.6888392487796953E-2</v>
      </c>
      <c r="F142" s="172">
        <f>表2_3671626293034522[[#This Row],[累计净值]]</f>
        <v>1.3368</v>
      </c>
      <c r="G142" s="170">
        <f>表2_3671626293034522[[#This Row],[累计净值]]/$B$21-1</f>
        <v>0.11753887309814415</v>
      </c>
      <c r="J142" s="187"/>
      <c r="K142" s="188"/>
      <c r="L142" s="188"/>
      <c r="M142" s="188"/>
      <c r="N142" s="188"/>
    </row>
    <row r="143" spans="1:14" x14ac:dyDescent="0.2">
      <c r="A143" s="161">
        <v>43966</v>
      </c>
      <c r="B143" s="162">
        <v>1.3347</v>
      </c>
      <c r="C143" s="171">
        <f t="shared" si="2"/>
        <v>-2.0999999999999908E-3</v>
      </c>
      <c r="D143" s="168">
        <f t="shared" si="3"/>
        <v>-2.0999999999999908E-3</v>
      </c>
      <c r="E143" s="168">
        <f ca="1">IF(表2_3671626293034522[[#This Row],[累计净值]]/MAX(INDIRECT("B21:B" &amp; ROW()))-1&lt;E142,表2_3671626293034522[[#This Row],[累计净值]]/MAX(INDIRECT("B21:B" &amp; ROW()))-1,E142)</f>
        <v>-2.6888392487796953E-2</v>
      </c>
      <c r="F143" s="172">
        <f>表2_3671626293034522[[#This Row],[累计净值]]</f>
        <v>1.3347</v>
      </c>
      <c r="G143" s="170">
        <f>表2_3671626293034522[[#This Row],[累计净值]]/$B$21-1</f>
        <v>0.11578331382711937</v>
      </c>
      <c r="J143" s="187"/>
      <c r="K143" s="188"/>
      <c r="L143" s="188"/>
      <c r="M143" s="188"/>
      <c r="N143" s="188"/>
    </row>
    <row r="144" spans="1:14" x14ac:dyDescent="0.2">
      <c r="A144" s="161">
        <v>43969</v>
      </c>
      <c r="B144" s="162">
        <v>1.3289</v>
      </c>
      <c r="C144" s="171">
        <f t="shared" si="2"/>
        <v>-5.8000000000000274E-3</v>
      </c>
      <c r="D144" s="168">
        <f t="shared" si="3"/>
        <v>-5.8000000000000274E-3</v>
      </c>
      <c r="E144" s="168">
        <f ca="1">IF(表2_3671626293034522[[#This Row],[累计净值]]/MAX(INDIRECT("B21:B" &amp; ROW()))-1&lt;E143,表2_3671626293034522[[#This Row],[累计净值]]/MAX(INDIRECT("B21:B" &amp; ROW()))-1,E143)</f>
        <v>-2.6888392487796953E-2</v>
      </c>
      <c r="F144" s="172">
        <f>表2_3671626293034522[[#This Row],[累计净值]]</f>
        <v>1.3289</v>
      </c>
      <c r="G144" s="170">
        <f>表2_3671626293034522[[#This Row],[累计净值]]/$B$21-1</f>
        <v>0.1109346263166695</v>
      </c>
      <c r="J144" s="187"/>
      <c r="K144" s="188"/>
      <c r="L144" s="188"/>
      <c r="M144" s="188"/>
      <c r="N144" s="188"/>
    </row>
    <row r="145" spans="1:14" x14ac:dyDescent="0.2">
      <c r="A145" s="161">
        <v>43970</v>
      </c>
      <c r="B145" s="162">
        <v>1.3364</v>
      </c>
      <c r="C145" s="171">
        <f t="shared" si="2"/>
        <v>7.5000000000000622E-3</v>
      </c>
      <c r="D145" s="168" t="str">
        <f t="shared" si="3"/>
        <v>/</v>
      </c>
      <c r="E145" s="168">
        <f ca="1">IF(表2_3671626293034522[[#This Row],[累计净值]]/MAX(INDIRECT("B21:B" &amp; ROW()))-1&lt;E144,表2_3671626293034522[[#This Row],[累计净值]]/MAX(INDIRECT("B21:B" &amp; ROW()))-1,E144)</f>
        <v>-2.6888392487796953E-2</v>
      </c>
      <c r="F145" s="172">
        <f>表2_3671626293034522[[#This Row],[累计净值]]</f>
        <v>1.3364</v>
      </c>
      <c r="G145" s="170">
        <f>表2_3671626293034522[[#This Row],[累计净值]]/$B$21-1</f>
        <v>0.11720448085604418</v>
      </c>
      <c r="J145" s="187"/>
      <c r="K145" s="188"/>
      <c r="L145" s="188"/>
      <c r="M145" s="188"/>
      <c r="N145" s="188"/>
    </row>
    <row r="146" spans="1:14" x14ac:dyDescent="0.2">
      <c r="A146" s="161">
        <v>43971</v>
      </c>
      <c r="B146" s="162">
        <v>1.3344</v>
      </c>
      <c r="C146" s="171">
        <f t="shared" si="2"/>
        <v>-2.0000000000000018E-3</v>
      </c>
      <c r="D146" s="168">
        <f t="shared" si="3"/>
        <v>-2.0000000000000018E-3</v>
      </c>
      <c r="E146" s="168">
        <f ca="1">IF(表2_3671626293034522[[#This Row],[累计净值]]/MAX(INDIRECT("B21:B" &amp; ROW()))-1&lt;E145,表2_3671626293034522[[#This Row],[累计净值]]/MAX(INDIRECT("B21:B" &amp; ROW()))-1,E145)</f>
        <v>-2.6888392487796953E-2</v>
      </c>
      <c r="F146" s="172">
        <f>表2_3671626293034522[[#This Row],[累计净值]]</f>
        <v>1.3344</v>
      </c>
      <c r="G146" s="170">
        <f>表2_3671626293034522[[#This Row],[累计净值]]/$B$21-1</f>
        <v>0.11553251964554434</v>
      </c>
      <c r="J146" s="187"/>
      <c r="K146" s="188"/>
      <c r="L146" s="188"/>
      <c r="M146" s="188"/>
      <c r="N146" s="188"/>
    </row>
    <row r="147" spans="1:14" x14ac:dyDescent="0.2">
      <c r="A147" s="161">
        <v>43972</v>
      </c>
      <c r="B147" s="162">
        <v>1.3345</v>
      </c>
      <c r="C147" s="171">
        <f t="shared" si="2"/>
        <v>9.9999999999988987E-5</v>
      </c>
      <c r="D147" s="168" t="str">
        <f t="shared" si="3"/>
        <v>/</v>
      </c>
      <c r="E147" s="168">
        <f ca="1">IF(表2_3671626293034522[[#This Row],[累计净值]]/MAX(INDIRECT("B21:B" &amp; ROW()))-1&lt;E146,表2_3671626293034522[[#This Row],[累计净值]]/MAX(INDIRECT("B21:B" &amp; ROW()))-1,E146)</f>
        <v>-2.6888392487796953E-2</v>
      </c>
      <c r="F147" s="172">
        <f>表2_3671626293034522[[#This Row],[累计净值]]</f>
        <v>1.3345</v>
      </c>
      <c r="G147" s="170">
        <f>表2_3671626293034522[[#This Row],[累计净值]]/$B$21-1</f>
        <v>0.11561611770606928</v>
      </c>
      <c r="J147" s="187"/>
      <c r="K147" s="188"/>
      <c r="L147" s="188"/>
      <c r="M147" s="188"/>
      <c r="N147" s="188"/>
    </row>
    <row r="148" spans="1:14" x14ac:dyDescent="0.2">
      <c r="A148" s="161">
        <v>43973</v>
      </c>
      <c r="B148" s="162">
        <v>1.3340000000000001</v>
      </c>
      <c r="C148" s="171">
        <f t="shared" si="2"/>
        <v>-4.9999999999994493E-4</v>
      </c>
      <c r="D148" s="168">
        <f t="shared" si="3"/>
        <v>-4.9999999999994493E-4</v>
      </c>
      <c r="E148" s="168">
        <f ca="1">IF(表2_3671626293034522[[#This Row],[累计净值]]/MAX(INDIRECT("B21:B" &amp; ROW()))-1&lt;E147,表2_3671626293034522[[#This Row],[累计净值]]/MAX(INDIRECT("B21:B" &amp; ROW()))-1,E147)</f>
        <v>-2.6888392487796953E-2</v>
      </c>
      <c r="F148" s="172">
        <f>表2_3671626293034522[[#This Row],[累计净值]]</f>
        <v>1.3340000000000001</v>
      </c>
      <c r="G148" s="170">
        <f>表2_3671626293034522[[#This Row],[累计净值]]/$B$21-1</f>
        <v>0.11519812740344437</v>
      </c>
      <c r="J148" s="187"/>
      <c r="K148" s="188"/>
      <c r="L148" s="188"/>
      <c r="M148" s="188"/>
      <c r="N148" s="188"/>
    </row>
    <row r="149" spans="1:14" x14ac:dyDescent="0.2">
      <c r="A149" s="161">
        <v>43976</v>
      </c>
      <c r="B149" s="162">
        <v>1.335</v>
      </c>
      <c r="C149" s="171">
        <f t="shared" si="2"/>
        <v>9.9999999999988987E-4</v>
      </c>
      <c r="D149" s="168" t="str">
        <f t="shared" si="3"/>
        <v>/</v>
      </c>
      <c r="E149" s="168">
        <f ca="1">IF(表2_3671626293034522[[#This Row],[累计净值]]/MAX(INDIRECT("B21:B" &amp; ROW()))-1&lt;E148,表2_3671626293034522[[#This Row],[累计净值]]/MAX(INDIRECT("B21:B" &amp; ROW()))-1,E148)</f>
        <v>-2.6888392487796953E-2</v>
      </c>
      <c r="F149" s="172">
        <f>表2_3671626293034522[[#This Row],[累计净值]]</f>
        <v>1.335</v>
      </c>
      <c r="G149" s="170">
        <f>表2_3671626293034522[[#This Row],[累计净值]]/$B$21-1</f>
        <v>0.11603410800869418</v>
      </c>
      <c r="J149" s="187"/>
      <c r="K149" s="188"/>
      <c r="L149" s="188"/>
      <c r="M149" s="188"/>
      <c r="N149" s="188"/>
    </row>
    <row r="150" spans="1:14" x14ac:dyDescent="0.2">
      <c r="A150" s="161">
        <v>43977</v>
      </c>
      <c r="B150" s="162">
        <v>1.3343</v>
      </c>
      <c r="C150" s="171">
        <f t="shared" si="2"/>
        <v>-6.9999999999992291E-4</v>
      </c>
      <c r="D150" s="168">
        <f t="shared" si="3"/>
        <v>-6.9999999999992291E-4</v>
      </c>
      <c r="E150" s="168">
        <f ca="1">IF(表2_3671626293034522[[#This Row],[累计净值]]/MAX(INDIRECT("B21:B" &amp; ROW()))-1&lt;E149,表2_3671626293034522[[#This Row],[累计净值]]/MAX(INDIRECT("B21:B" &amp; ROW()))-1,E149)</f>
        <v>-2.6888392487796953E-2</v>
      </c>
      <c r="F150" s="172">
        <f>表2_3671626293034522[[#This Row],[累计净值]]</f>
        <v>1.3343</v>
      </c>
      <c r="G150" s="170">
        <f>表2_3671626293034522[[#This Row],[累计净值]]/$B$21-1</f>
        <v>0.1154489215850194</v>
      </c>
      <c r="J150" s="187"/>
      <c r="K150" s="188"/>
      <c r="L150" s="188"/>
      <c r="M150" s="188"/>
      <c r="N150" s="188"/>
    </row>
    <row r="151" spans="1:14" x14ac:dyDescent="0.2">
      <c r="A151" s="161">
        <v>43978</v>
      </c>
      <c r="B151" s="162">
        <v>1.3341000000000001</v>
      </c>
      <c r="C151" s="171">
        <f t="shared" si="2"/>
        <v>-1.9999999999997797E-4</v>
      </c>
      <c r="D151" s="168">
        <f t="shared" si="3"/>
        <v>-1.9999999999997797E-4</v>
      </c>
      <c r="E151" s="168">
        <f ca="1">IF(表2_3671626293034522[[#This Row],[累计净值]]/MAX(INDIRECT("B21:B" &amp; ROW()))-1&lt;E150,表2_3671626293034522[[#This Row],[累计净值]]/MAX(INDIRECT("B21:B" &amp; ROW()))-1,E150)</f>
        <v>-2.6888392487796953E-2</v>
      </c>
      <c r="F151" s="172">
        <f>表2_3671626293034522[[#This Row],[累计净值]]</f>
        <v>1.3341000000000001</v>
      </c>
      <c r="G151" s="170">
        <f>表2_3671626293034522[[#This Row],[累计净值]]/$B$21-1</f>
        <v>0.11528172546396931</v>
      </c>
      <c r="J151" s="187"/>
      <c r="K151" s="188"/>
      <c r="L151" s="188"/>
      <c r="M151" s="188"/>
      <c r="N151" s="188"/>
    </row>
    <row r="152" spans="1:14" x14ac:dyDescent="0.2">
      <c r="A152" s="161">
        <v>43979</v>
      </c>
      <c r="B152" s="162">
        <v>1.3331</v>
      </c>
      <c r="C152" s="171">
        <f t="shared" ref="C152:C163" si="4">IFERROR(B152-B151,0)</f>
        <v>-1.0000000000001119E-3</v>
      </c>
      <c r="D152" s="168">
        <f t="shared" si="3"/>
        <v>-1.0000000000001119E-3</v>
      </c>
      <c r="E152" s="168">
        <f ca="1">IF(表2_3671626293034522[[#This Row],[累计净值]]/MAX(INDIRECT("B21:B" &amp; ROW()))-1&lt;E151,表2_3671626293034522[[#This Row],[累计净值]]/MAX(INDIRECT("B21:B" &amp; ROW()))-1,E151)</f>
        <v>-2.6888392487796953E-2</v>
      </c>
      <c r="F152" s="172">
        <f>表2_3671626293034522[[#This Row],[累计净值]]</f>
        <v>1.3331</v>
      </c>
      <c r="G152" s="170">
        <f>表2_3671626293034522[[#This Row],[累计净值]]/$B$21-1</f>
        <v>0.11444574485871928</v>
      </c>
      <c r="J152" s="187"/>
      <c r="K152" s="188"/>
      <c r="L152" s="188"/>
      <c r="M152" s="188"/>
      <c r="N152" s="188"/>
    </row>
    <row r="153" spans="1:14" x14ac:dyDescent="0.2">
      <c r="A153" s="161">
        <v>43980</v>
      </c>
      <c r="B153" s="162">
        <v>1.3321000000000001</v>
      </c>
      <c r="C153" s="171">
        <f t="shared" si="4"/>
        <v>-9.9999999999988987E-4</v>
      </c>
      <c r="D153" s="168">
        <f t="shared" si="3"/>
        <v>-9.9999999999988987E-4</v>
      </c>
      <c r="E153" s="168">
        <f ca="1">IF(表2_3671626293034522[[#This Row],[累计净值]]/MAX(INDIRECT("B21:B" &amp; ROW()))-1&lt;E152,表2_3671626293034522[[#This Row],[累计净值]]/MAX(INDIRECT("B21:B" &amp; ROW()))-1,E152)</f>
        <v>-2.6888392487796953E-2</v>
      </c>
      <c r="F153" s="172">
        <f>表2_3671626293034522[[#This Row],[累计净值]]</f>
        <v>1.3321000000000001</v>
      </c>
      <c r="G153" s="170">
        <f>表2_3671626293034522[[#This Row],[累计净值]]/$B$21-1</f>
        <v>0.11360976425346947</v>
      </c>
      <c r="J153" s="187"/>
      <c r="K153" s="188"/>
      <c r="L153" s="188"/>
      <c r="M153" s="188"/>
      <c r="N153" s="188"/>
    </row>
    <row r="154" spans="1:14" x14ac:dyDescent="0.2">
      <c r="A154" s="161">
        <v>43983</v>
      </c>
      <c r="B154" s="162">
        <v>1.3297000000000001</v>
      </c>
      <c r="C154" s="171">
        <f t="shared" si="4"/>
        <v>-2.3999999999999577E-3</v>
      </c>
      <c r="D154" s="168">
        <f t="shared" ref="D154:D163" si="5">IF(C154&lt;0,C154,"/")</f>
        <v>-2.3999999999999577E-3</v>
      </c>
      <c r="E154" s="168">
        <f ca="1">IF(表2_3671626293034522[[#This Row],[累计净值]]/MAX(INDIRECT("B21:B" &amp; ROW()))-1&lt;E153,表2_3671626293034522[[#This Row],[累计净值]]/MAX(INDIRECT("B21:B" &amp; ROW()))-1,E153)</f>
        <v>-2.6888392487796953E-2</v>
      </c>
      <c r="F154" s="172">
        <f>表2_3671626293034522[[#This Row],[累计净值]]</f>
        <v>1.3297000000000001</v>
      </c>
      <c r="G154" s="170">
        <f>表2_3671626293034522[[#This Row],[累计净值]]/$B$21-1</f>
        <v>0.11160341080086966</v>
      </c>
      <c r="J154" s="187"/>
      <c r="K154" s="188"/>
      <c r="L154" s="188"/>
      <c r="M154" s="188"/>
      <c r="N154" s="188"/>
    </row>
    <row r="155" spans="1:14" x14ac:dyDescent="0.2">
      <c r="A155" s="161">
        <v>43984</v>
      </c>
      <c r="B155" s="162">
        <v>1.3324</v>
      </c>
      <c r="C155" s="171">
        <f t="shared" si="4"/>
        <v>2.6999999999999247E-3</v>
      </c>
      <c r="D155" s="168" t="str">
        <f t="shared" si="5"/>
        <v>/</v>
      </c>
      <c r="E155" s="168">
        <f ca="1">IF(表2_3671626293034522[[#This Row],[累计净值]]/MAX(INDIRECT("B21:B" &amp; ROW()))-1&lt;E154,表2_3671626293034522[[#This Row],[累计净值]]/MAX(INDIRECT("B21:B" &amp; ROW()))-1,E154)</f>
        <v>-2.6888392487796953E-2</v>
      </c>
      <c r="F155" s="172">
        <f>表2_3671626293034522[[#This Row],[累计净值]]</f>
        <v>1.3324</v>
      </c>
      <c r="G155" s="170">
        <f>表2_3671626293034522[[#This Row],[累计净值]]/$B$21-1</f>
        <v>0.1138605584350445</v>
      </c>
      <c r="J155" s="187"/>
      <c r="K155" s="188"/>
      <c r="L155" s="188"/>
      <c r="M155" s="188"/>
      <c r="N155" s="188"/>
    </row>
    <row r="156" spans="1:14" x14ac:dyDescent="0.2">
      <c r="A156" s="161">
        <v>43985</v>
      </c>
      <c r="B156" s="162">
        <v>1.3324</v>
      </c>
      <c r="C156" s="171">
        <f t="shared" si="4"/>
        <v>0</v>
      </c>
      <c r="D156" s="168" t="str">
        <f t="shared" si="5"/>
        <v>/</v>
      </c>
      <c r="E156" s="168">
        <f ca="1">IF(表2_3671626293034522[[#This Row],[累计净值]]/MAX(INDIRECT("B21:B" &amp; ROW()))-1&lt;E155,表2_3671626293034522[[#This Row],[累计净值]]/MAX(INDIRECT("B21:B" &amp; ROW()))-1,E155)</f>
        <v>-2.6888392487796953E-2</v>
      </c>
      <c r="F156" s="172">
        <f>表2_3671626293034522[[#This Row],[累计净值]]</f>
        <v>1.3324</v>
      </c>
      <c r="G156" s="170">
        <f>表2_3671626293034522[[#This Row],[累计净值]]/$B$21-1</f>
        <v>0.1138605584350445</v>
      </c>
      <c r="J156" s="187"/>
      <c r="K156" s="188"/>
      <c r="L156" s="188"/>
      <c r="M156" s="188"/>
      <c r="N156" s="188"/>
    </row>
    <row r="157" spans="1:14" x14ac:dyDescent="0.2">
      <c r="A157" s="161">
        <v>43986</v>
      </c>
      <c r="B157" s="162">
        <v>1.3328</v>
      </c>
      <c r="C157" s="171">
        <f t="shared" si="4"/>
        <v>3.9999999999995595E-4</v>
      </c>
      <c r="D157" s="168" t="str">
        <f t="shared" si="5"/>
        <v>/</v>
      </c>
      <c r="E157" s="168">
        <f ca="1">IF(表2_3671626293034522[[#This Row],[累计净值]]/MAX(INDIRECT("B21:B" &amp; ROW()))-1&lt;E156,表2_3671626293034522[[#This Row],[累计净值]]/MAX(INDIRECT("B21:B" &amp; ROW()))-1,E156)</f>
        <v>-2.6888392487796953E-2</v>
      </c>
      <c r="F157" s="172">
        <f>表2_3671626293034522[[#This Row],[累计净值]]</f>
        <v>1.3328</v>
      </c>
      <c r="G157" s="170">
        <f>表2_3671626293034522[[#This Row],[累计净值]]/$B$21-1</f>
        <v>0.11419495067714425</v>
      </c>
      <c r="J157" s="187"/>
      <c r="K157" s="188"/>
      <c r="L157" s="188"/>
      <c r="M157" s="188"/>
      <c r="N157" s="188"/>
    </row>
    <row r="158" spans="1:14" x14ac:dyDescent="0.2">
      <c r="A158" s="161">
        <v>43987</v>
      </c>
      <c r="B158" s="162">
        <v>1.3332999999999999</v>
      </c>
      <c r="C158" s="171">
        <f t="shared" si="4"/>
        <v>4.9999999999994493E-4</v>
      </c>
      <c r="D158" s="168" t="str">
        <f t="shared" si="5"/>
        <v>/</v>
      </c>
      <c r="E158" s="168">
        <f ca="1">IF(表2_3671626293034522[[#This Row],[累计净值]]/MAX(INDIRECT("B21:B" &amp; ROW()))-1&lt;E157,表2_3671626293034522[[#This Row],[累计净值]]/MAX(INDIRECT("B21:B" &amp; ROW()))-1,E157)</f>
        <v>-2.6888392487796953E-2</v>
      </c>
      <c r="F158" s="172">
        <f>表2_3671626293034522[[#This Row],[累计净值]]</f>
        <v>1.3332999999999999</v>
      </c>
      <c r="G158" s="170">
        <f>表2_3671626293034522[[#This Row],[累计净值]]/$B$21-1</f>
        <v>0.11461294097976937</v>
      </c>
      <c r="J158" s="187"/>
      <c r="K158" s="188"/>
      <c r="L158" s="188"/>
      <c r="M158" s="188"/>
      <c r="N158" s="188"/>
    </row>
    <row r="159" spans="1:14" x14ac:dyDescent="0.2">
      <c r="A159" s="161">
        <v>43990</v>
      </c>
      <c r="B159" s="162">
        <v>1.333</v>
      </c>
      <c r="C159" s="171">
        <f t="shared" si="4"/>
        <v>-2.9999999999996696E-4</v>
      </c>
      <c r="D159" s="168">
        <f t="shared" si="5"/>
        <v>-2.9999999999996696E-4</v>
      </c>
      <c r="E159" s="168">
        <f ca="1">IF(表2_3671626293034522[[#This Row],[累计净值]]/MAX(INDIRECT("B21:B" &amp; ROW()))-1&lt;E158,表2_3671626293034522[[#This Row],[累计净值]]/MAX(INDIRECT("B21:B" &amp; ROW()))-1,E158)</f>
        <v>-2.6888392487796953E-2</v>
      </c>
      <c r="F159" s="172">
        <f>表2_3671626293034522[[#This Row],[累计净值]]</f>
        <v>1.333</v>
      </c>
      <c r="G159" s="170">
        <f>表2_3671626293034522[[#This Row],[累计净值]]/$B$21-1</f>
        <v>0.11436214679819434</v>
      </c>
      <c r="J159" s="187"/>
      <c r="K159" s="188"/>
      <c r="L159" s="188"/>
      <c r="M159" s="188"/>
      <c r="N159" s="188"/>
    </row>
    <row r="160" spans="1:14" x14ac:dyDescent="0.2">
      <c r="A160" s="161">
        <v>43991</v>
      </c>
      <c r="B160" s="162">
        <v>1.3278000000000001</v>
      </c>
      <c r="C160" s="171">
        <f t="shared" si="4"/>
        <v>-5.1999999999998714E-3</v>
      </c>
      <c r="D160" s="168">
        <f t="shared" si="5"/>
        <v>-5.1999999999998714E-3</v>
      </c>
      <c r="E160" s="168">
        <f ca="1">IF(表2_3671626293034522[[#This Row],[累计净值]]/MAX(INDIRECT("B21:B" &amp; ROW()))-1&lt;E159,表2_3671626293034522[[#This Row],[累计净值]]/MAX(INDIRECT("B21:B" &amp; ROW()))-1,E159)</f>
        <v>-2.6888392487796953E-2</v>
      </c>
      <c r="F160" s="172">
        <f>表2_3671626293034522[[#This Row],[累计净值]]</f>
        <v>1.3278000000000001</v>
      </c>
      <c r="G160" s="170">
        <f>表2_3671626293034522[[#This Row],[累计净值]]/$B$21-1</f>
        <v>0.11001504765089454</v>
      </c>
    </row>
    <row r="161" spans="1:7" x14ac:dyDescent="0.2">
      <c r="A161" s="161">
        <v>43992</v>
      </c>
      <c r="B161" s="162">
        <v>1.3255999999999999</v>
      </c>
      <c r="C161" s="171">
        <f t="shared" si="4"/>
        <v>-2.2000000000002018E-3</v>
      </c>
      <c r="D161" s="168">
        <f t="shared" si="5"/>
        <v>-2.2000000000002018E-3</v>
      </c>
      <c r="E161" s="168">
        <f ca="1">IF(表2_3671626293034522[[#This Row],[累计净值]]/MAX(INDIRECT("B21:B" &amp; ROW()))-1&lt;E160,表2_3671626293034522[[#This Row],[累计净值]]/MAX(INDIRECT("B21:B" &amp; ROW()))-1,E160)</f>
        <v>-2.6888392487796953E-2</v>
      </c>
      <c r="F161" s="172">
        <f>表2_3671626293034522[[#This Row],[累计净值]]</f>
        <v>1.3255999999999999</v>
      </c>
      <c r="G161" s="170">
        <f>表2_3671626293034522[[#This Row],[累计净值]]/$B$21-1</f>
        <v>0.1081758903193446</v>
      </c>
    </row>
    <row r="162" spans="1:7" x14ac:dyDescent="0.2">
      <c r="A162" s="161">
        <v>43993</v>
      </c>
      <c r="B162" s="162">
        <v>1.3275999999999999</v>
      </c>
      <c r="C162" s="171">
        <f t="shared" si="4"/>
        <v>2.0000000000000018E-3</v>
      </c>
      <c r="D162" s="168" t="str">
        <f t="shared" si="5"/>
        <v>/</v>
      </c>
      <c r="E162" s="168">
        <f ca="1">IF(表2_3671626293034522[[#This Row],[累计净值]]/MAX(INDIRECT("B21:B" &amp; ROW()))-1&lt;E161,表2_3671626293034522[[#This Row],[累计净值]]/MAX(INDIRECT("B21:B" &amp; ROW()))-1,E161)</f>
        <v>-2.6888392487796953E-2</v>
      </c>
      <c r="F162" s="172">
        <f>表2_3671626293034522[[#This Row],[累计净值]]</f>
        <v>1.3275999999999999</v>
      </c>
      <c r="G162" s="170">
        <f>表2_3671626293034522[[#This Row],[累计净值]]/$B$21-1</f>
        <v>0.10984785152984444</v>
      </c>
    </row>
    <row r="163" spans="1:7" x14ac:dyDescent="0.2">
      <c r="A163" s="161">
        <v>43994</v>
      </c>
      <c r="B163" s="162">
        <v>1.3248</v>
      </c>
      <c r="C163" s="171">
        <f t="shared" si="4"/>
        <v>-2.7999999999999137E-3</v>
      </c>
      <c r="D163" s="168">
        <f t="shared" si="5"/>
        <v>-2.7999999999999137E-3</v>
      </c>
      <c r="E163" s="168">
        <f ca="1">IF(表2_3671626293034522[[#This Row],[累计净值]]/MAX(INDIRECT("B21:B" &amp; ROW()))-1&lt;E162,表2_3671626293034522[[#This Row],[累计净值]]/MAX(INDIRECT("B21:B" &amp; ROW()))-1,E162)</f>
        <v>-2.6888392487796953E-2</v>
      </c>
      <c r="F163" s="172">
        <f>表2_3671626293034522[[#This Row],[累计净值]]</f>
        <v>1.3248</v>
      </c>
      <c r="G163" s="170">
        <f>表2_3671626293034522[[#This Row],[累计净值]]/$B$21-1</f>
        <v>0.10750710583514467</v>
      </c>
    </row>
    <row r="164" spans="1:7" x14ac:dyDescent="0.2">
      <c r="A164" s="161">
        <v>43997</v>
      </c>
      <c r="B164" s="162">
        <v>1.3198000000000001</v>
      </c>
      <c r="C164" s="171">
        <f t="shared" ref="C164:C169" si="6">IFERROR(B164-B163,0)</f>
        <v>-4.9999999999998934E-3</v>
      </c>
      <c r="D164" s="168">
        <f t="shared" ref="D164:D169" si="7">IF(C164&lt;0,C164,"/")</f>
        <v>-4.9999999999998934E-3</v>
      </c>
      <c r="E164" s="168">
        <f ca="1">IF(表2_3671626293034522[[#This Row],[累计净值]]/MAX(INDIRECT("B21:B" &amp; ROW()))-1&lt;E163,表2_3671626293034522[[#This Row],[累计净值]]/MAX(INDIRECT("B21:B" &amp; ROW()))-1,E163)</f>
        <v>-2.6888392487796953E-2</v>
      </c>
      <c r="F164" s="172">
        <f>表2_3671626293034522[[#This Row],[累计净值]]</f>
        <v>1.3198000000000001</v>
      </c>
      <c r="G164" s="170">
        <f>表2_3671626293034522[[#This Row],[累计净值]]/$B$21-1</f>
        <v>0.10332720280889496</v>
      </c>
    </row>
    <row r="165" spans="1:7" x14ac:dyDescent="0.2">
      <c r="A165" s="161">
        <v>43998</v>
      </c>
      <c r="B165" s="162">
        <v>1.3242</v>
      </c>
      <c r="C165" s="171">
        <f t="shared" si="6"/>
        <v>4.3999999999999595E-3</v>
      </c>
      <c r="D165" s="168" t="str">
        <f t="shared" si="7"/>
        <v>/</v>
      </c>
      <c r="E165" s="168">
        <f ca="1">IF(表2_3671626293034522[[#This Row],[累计净值]]/MAX(INDIRECT("B21:B" &amp; ROW()))-1&lt;E164,表2_3671626293034522[[#This Row],[累计净值]]/MAX(INDIRECT("B21:B" &amp; ROW()))-1,E164)</f>
        <v>-2.6888392487796953E-2</v>
      </c>
      <c r="F165" s="172">
        <f>表2_3671626293034522[[#This Row],[累计净值]]</f>
        <v>1.3242</v>
      </c>
      <c r="G165" s="170">
        <f>表2_3671626293034522[[#This Row],[累计净值]]/$B$21-1</f>
        <v>0.10700551747199483</v>
      </c>
    </row>
    <row r="166" spans="1:7" x14ac:dyDescent="0.2">
      <c r="A166" s="161">
        <v>43999</v>
      </c>
      <c r="B166" s="162">
        <v>1.3282</v>
      </c>
      <c r="C166" s="171">
        <f t="shared" si="6"/>
        <v>4.0000000000000036E-3</v>
      </c>
      <c r="D166" s="168" t="str">
        <f t="shared" si="7"/>
        <v>/</v>
      </c>
      <c r="E166" s="168">
        <f ca="1">IF(表2_3671626293034522[[#This Row],[累计净值]]/MAX(INDIRECT("B21:B" &amp; ROW()))-1&lt;E165,表2_3671626293034522[[#This Row],[累计净值]]/MAX(INDIRECT("B21:B" &amp; ROW()))-1,E165)</f>
        <v>-2.6888392487796953E-2</v>
      </c>
      <c r="F166" s="110">
        <f>表2_3671626293034522[[#This Row],[累计净值]]</f>
        <v>1.3282</v>
      </c>
      <c r="G166" s="170">
        <f>表2_3671626293034522[[#This Row],[累计净值]]/$B$21-1</f>
        <v>0.11034943989299451</v>
      </c>
    </row>
    <row r="167" spans="1:7" x14ac:dyDescent="0.2">
      <c r="A167" s="161">
        <v>44000</v>
      </c>
      <c r="B167" s="162">
        <v>1.3279000000000001</v>
      </c>
      <c r="C167" s="171">
        <f t="shared" si="6"/>
        <v>-2.9999999999996696E-4</v>
      </c>
      <c r="D167" s="168">
        <f t="shared" si="7"/>
        <v>-2.9999999999996696E-4</v>
      </c>
      <c r="E167" s="168">
        <f ca="1">IF(表2_3671626293034522[[#This Row],[累计净值]]/MAX(INDIRECT("B21:B" &amp; ROW()))-1&lt;E166,表2_3671626293034522[[#This Row],[累计净值]]/MAX(INDIRECT("B21:B" &amp; ROW()))-1,E166)</f>
        <v>-2.6888392487796953E-2</v>
      </c>
      <c r="F167" s="110">
        <f>表2_3671626293034522[[#This Row],[累计净值]]</f>
        <v>1.3279000000000001</v>
      </c>
      <c r="G167" s="170">
        <f>表2_3671626293034522[[#This Row],[累计净值]]/$B$21-1</f>
        <v>0.1100986457114197</v>
      </c>
    </row>
    <row r="168" spans="1:7" x14ac:dyDescent="0.2">
      <c r="A168" s="161">
        <v>44001</v>
      </c>
      <c r="B168" s="162">
        <v>1.3301000000000001</v>
      </c>
      <c r="C168" s="171">
        <f t="shared" si="6"/>
        <v>2.1999999999999797E-3</v>
      </c>
      <c r="D168" s="168" t="str">
        <f t="shared" si="7"/>
        <v>/</v>
      </c>
      <c r="E168" s="168">
        <f ca="1">IF(表2_3671626293034522[[#This Row],[累计净值]]/MAX(INDIRECT("B21:B" &amp; ROW()))-1&lt;E167,表2_3671626293034522[[#This Row],[累计净值]]/MAX(INDIRECT("B21:B" &amp; ROW()))-1,E167)</f>
        <v>-2.6888392487796953E-2</v>
      </c>
      <c r="F168" s="110">
        <f>表2_3671626293034522[[#This Row],[累计净值]]</f>
        <v>1.3301000000000001</v>
      </c>
      <c r="G168" s="170">
        <f>表2_3671626293034522[[#This Row],[累计净值]]/$B$21-1</f>
        <v>0.11193780304296941</v>
      </c>
    </row>
    <row r="169" spans="1:7" x14ac:dyDescent="0.2">
      <c r="A169" s="161">
        <v>44004</v>
      </c>
      <c r="B169" s="162">
        <v>1.3283</v>
      </c>
      <c r="C169" s="171">
        <f t="shared" si="6"/>
        <v>-1.8000000000000238E-3</v>
      </c>
      <c r="D169" s="168">
        <f t="shared" si="7"/>
        <v>-1.8000000000000238E-3</v>
      </c>
      <c r="E169" s="168">
        <f ca="1">IF(表2_3671626293034522[[#This Row],[累计净值]]/MAX(INDIRECT("B21:B" &amp; ROW()))-1&lt;E168,表2_3671626293034522[[#This Row],[累计净值]]/MAX(INDIRECT("B21:B" &amp; ROW()))-1,E168)</f>
        <v>-2.6888392487796953E-2</v>
      </c>
      <c r="F169" s="110">
        <f>表2_3671626293034522[[#This Row],[累计净值]]</f>
        <v>1.3283</v>
      </c>
      <c r="G169" s="170">
        <f>表2_3671626293034522[[#This Row],[累计净值]]/$B$21-1</f>
        <v>0.11043303795351966</v>
      </c>
    </row>
    <row r="170" spans="1:7" x14ac:dyDescent="0.2">
      <c r="A170" s="161">
        <v>44005</v>
      </c>
      <c r="B170" s="162">
        <v>1.3262</v>
      </c>
      <c r="C170" s="171">
        <f>IFERROR(B170-B169,0)</f>
        <v>-2.0999999999999908E-3</v>
      </c>
      <c r="D170" s="168">
        <f>IF(C170&lt;0,C170,"/")</f>
        <v>-2.0999999999999908E-3</v>
      </c>
      <c r="E170" s="168">
        <f ca="1">IF(表2_3671626293034522[[#This Row],[累计净值]]/MAX(INDIRECT("B21:B" &amp; ROW()))-1&lt;E169,表2_3671626293034522[[#This Row],[累计净值]]/MAX(INDIRECT("B21:B" &amp; ROW()))-1,E169)</f>
        <v>-2.6888392487796953E-2</v>
      </c>
      <c r="F170" s="110">
        <f>表2_3671626293034522[[#This Row],[累计净值]]</f>
        <v>1.3262</v>
      </c>
      <c r="G170" s="170">
        <f>表2_3671626293034522[[#This Row],[累计净值]]/$B$21-1</f>
        <v>0.10867747868249467</v>
      </c>
    </row>
    <row r="171" spans="1:7" x14ac:dyDescent="0.2">
      <c r="A171" s="161">
        <v>44006</v>
      </c>
      <c r="B171" s="162">
        <v>1.3295999999999999</v>
      </c>
      <c r="C171" s="171">
        <f>IFERROR(B171-B170,0)</f>
        <v>3.3999999999998476E-3</v>
      </c>
      <c r="D171" s="168" t="str">
        <f>IF(C171&lt;0,C171,"/")</f>
        <v>/</v>
      </c>
      <c r="E171" s="168">
        <f ca="1">IF(表2_3671626293034522[[#This Row],[累计净值]]/MAX(INDIRECT("B21:B" &amp; ROW()))-1&lt;E170,表2_3671626293034522[[#This Row],[累计净值]]/MAX(INDIRECT("B21:B" &amp; ROW()))-1,E170)</f>
        <v>-2.6888392487796953E-2</v>
      </c>
      <c r="F171" s="110">
        <f>表2_3671626293034522[[#This Row],[累计净值]]</f>
        <v>1.3295999999999999</v>
      </c>
      <c r="G171" s="170">
        <f>表2_3671626293034522[[#This Row],[累计净值]]/$B$21-1</f>
        <v>0.1115198127403445</v>
      </c>
    </row>
    <row r="172" spans="1:7" x14ac:dyDescent="0.2">
      <c r="A172" s="161">
        <v>44011</v>
      </c>
      <c r="B172" s="162">
        <v>1.3259000000000001</v>
      </c>
      <c r="C172" s="171">
        <f>IFERROR(B172-B171,0)</f>
        <v>-3.6999999999998145E-3</v>
      </c>
      <c r="D172" s="168">
        <f>IF(C172&lt;0,C172,"/")</f>
        <v>-3.6999999999998145E-3</v>
      </c>
      <c r="E172" s="168">
        <f ca="1">IF(表2_3671626293034522[[#This Row],[累计净值]]/MAX(INDIRECT("B21:B" &amp; ROW()))-1&lt;E171,表2_3671626293034522[[#This Row],[累计净值]]/MAX(INDIRECT("B21:B" &amp; ROW()))-1,E171)</f>
        <v>-2.6888392487796953E-2</v>
      </c>
      <c r="F172" s="110">
        <f>表2_3671626293034522[[#This Row],[累计净值]]</f>
        <v>1.3259000000000001</v>
      </c>
      <c r="G172" s="170">
        <f>表2_3671626293034522[[#This Row],[累计净值]]/$B$21-1</f>
        <v>0.10842668450091963</v>
      </c>
    </row>
    <row r="173" spans="1:7" x14ac:dyDescent="0.2">
      <c r="A173" s="161">
        <v>44012</v>
      </c>
      <c r="B173" s="162">
        <v>1.3238000000000001</v>
      </c>
      <c r="C173" s="171">
        <f>IFERROR(B173-B172,0)</f>
        <v>-2.0999999999999908E-3</v>
      </c>
      <c r="D173" s="168">
        <f>IF(C173&lt;0,C173,"/")</f>
        <v>-2.0999999999999908E-3</v>
      </c>
      <c r="E173" s="168">
        <f ca="1">IF(表2_3671626293034522[[#This Row],[累计净值]]/MAX(INDIRECT("B21:B" &amp; ROW()))-1&lt;E172,表2_3671626293034522[[#This Row],[累计净值]]/MAX(INDIRECT("B21:B" &amp; ROW()))-1,E172)</f>
        <v>-2.6888392487796953E-2</v>
      </c>
      <c r="F173" s="110">
        <f>表2_3671626293034522[[#This Row],[累计净值]]</f>
        <v>1.3238000000000001</v>
      </c>
      <c r="G173" s="170">
        <f>表2_3671626293034522[[#This Row],[累计净值]]/$B$21-1</f>
        <v>0.10667112522989486</v>
      </c>
    </row>
    <row r="174" spans="1:7" x14ac:dyDescent="0.2">
      <c r="A174" s="161">
        <v>44013</v>
      </c>
      <c r="B174" s="162">
        <v>1.3221000000000001</v>
      </c>
      <c r="C174" s="171">
        <f>IFERROR(B174-B173,0)</f>
        <v>-1.7000000000000348E-3</v>
      </c>
      <c r="D174" s="168">
        <f>IF(C174&lt;0,C174,"/")</f>
        <v>-1.7000000000000348E-3</v>
      </c>
      <c r="E174" s="168">
        <f ca="1">IF(表2_3671626293034522[[#This Row],[累计净值]]/MAX(INDIRECT("B21:B" &amp; ROW()))-1&lt;E173,表2_3671626293034522[[#This Row],[累计净值]]/MAX(INDIRECT("B21:B" &amp; ROW()))-1,E173)</f>
        <v>-2.6888392487796953E-2</v>
      </c>
      <c r="F174" s="110">
        <f>表2_3671626293034522[[#This Row],[累计净值]]</f>
        <v>1.3221000000000001</v>
      </c>
      <c r="G174" s="170">
        <f>表2_3671626293034522[[#This Row],[累计净值]]/$B$21-1</f>
        <v>0.10524995820096983</v>
      </c>
    </row>
  </sheetData>
  <mergeCells count="1">
    <mergeCell ref="G2:G3"/>
  </mergeCells>
  <phoneticPr fontId="24" type="noConversion"/>
  <pageMargins left="0.7" right="0.7" top="0.75" bottom="0.75" header="0.3" footer="0.3"/>
  <pageSetup paperSize="9" orientation="portrait" horizontalDpi="200" verticalDpi="200" r:id="rId1"/>
  <drawing r:id="rId2"/>
  <tableParts count="1">
    <tablePart r:id="rId3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1"/>
  </sheetPr>
  <dimension ref="A1:G194"/>
  <sheetViews>
    <sheetView workbookViewId="0">
      <pane xSplit="1" ySplit="20" topLeftCell="B186" activePane="bottomRight" state="frozen"/>
      <selection pane="topRight" activeCell="B1" sqref="B1"/>
      <selection pane="bottomLeft" activeCell="A21" sqref="A21"/>
      <selection pane="bottomRight" activeCell="N192" sqref="N192"/>
    </sheetView>
  </sheetViews>
  <sheetFormatPr defaultColWidth="9" defaultRowHeight="14.25" x14ac:dyDescent="0.2"/>
  <cols>
    <col min="1" max="1" width="11.625" style="1" bestFit="1" customWidth="1"/>
    <col min="2" max="2" width="13" style="1" customWidth="1"/>
    <col min="3" max="4" width="13.5" style="1" bestFit="1" customWidth="1"/>
    <col min="5" max="5" width="10.75" style="1" customWidth="1"/>
    <col min="6" max="6" width="11.125" style="1" customWidth="1"/>
    <col min="7" max="7" width="18.875" style="2" customWidth="1"/>
    <col min="8" max="8" width="14.25" style="1" customWidth="1"/>
    <col min="9" max="9" width="12" style="1" bestFit="1" customWidth="1"/>
    <col min="10" max="16384" width="9" style="1"/>
  </cols>
  <sheetData>
    <row r="1" spans="1:7" ht="15" thickBot="1" x14ac:dyDescent="0.25"/>
    <row r="2" spans="1:7" ht="15" thickBot="1" x14ac:dyDescent="0.25">
      <c r="A2" s="23" t="s">
        <v>0</v>
      </c>
      <c r="B2" s="24">
        <f>COUNT(表2_36716262930389[每日盈亏])</f>
        <v>174</v>
      </c>
      <c r="C2" s="27"/>
      <c r="D2" s="3" t="s">
        <v>1</v>
      </c>
      <c r="E2" s="28"/>
      <c r="F2" s="1" t="s">
        <v>2</v>
      </c>
      <c r="G2" s="394" t="s">
        <v>3</v>
      </c>
    </row>
    <row r="3" spans="1:7" x14ac:dyDescent="0.2">
      <c r="A3" s="25" t="s">
        <v>4</v>
      </c>
      <c r="B3" s="26">
        <f>COUNTIF(表2_36716262930389[每日盈亏],"&gt;0")</f>
        <v>96</v>
      </c>
      <c r="C3" s="29"/>
      <c r="D3" s="30" t="s">
        <v>5</v>
      </c>
      <c r="E3" s="31">
        <f>245^0.5*(B10-0.025/365)/E10</f>
        <v>3.5448598163351686</v>
      </c>
      <c r="G3" s="394"/>
    </row>
    <row r="4" spans="1:7" x14ac:dyDescent="0.2">
      <c r="A4" s="25" t="s">
        <v>6</v>
      </c>
      <c r="B4" s="26">
        <f>COUNTIF(表2_36716262930389[每日盈亏],"&lt;0")</f>
        <v>68</v>
      </c>
      <c r="C4" s="29"/>
      <c r="D4" s="32" t="s">
        <v>7</v>
      </c>
      <c r="E4" s="31">
        <f ca="1">-B9/E8</f>
        <v>15.194881559417675</v>
      </c>
      <c r="G4" s="2">
        <f>LOOKUP(999^10,表2_36716262930389[累计净值])</f>
        <v>1.1046</v>
      </c>
    </row>
    <row r="5" spans="1:7" x14ac:dyDescent="0.2">
      <c r="A5" s="25" t="s">
        <v>8</v>
      </c>
      <c r="B5" s="26">
        <f>B2-B3-B4</f>
        <v>10</v>
      </c>
      <c r="C5" s="29"/>
      <c r="D5" s="33" t="s">
        <v>9</v>
      </c>
      <c r="E5" s="4">
        <f>245^0.5*(B10-0.025/365)/E9</f>
        <v>9.4186338109737058</v>
      </c>
    </row>
    <row r="6" spans="1:7" ht="15" thickBot="1" x14ac:dyDescent="0.25">
      <c r="A6" s="34"/>
      <c r="B6" s="35"/>
      <c r="C6" s="35"/>
      <c r="D6" s="35"/>
      <c r="E6" s="36"/>
    </row>
    <row r="7" spans="1:7" ht="15" thickBot="1" x14ac:dyDescent="0.25">
      <c r="A7" s="5" t="s">
        <v>10</v>
      </c>
      <c r="B7" s="35"/>
      <c r="C7" s="35"/>
      <c r="D7" s="3" t="s">
        <v>11</v>
      </c>
      <c r="E7" s="37"/>
    </row>
    <row r="8" spans="1:7" x14ac:dyDescent="0.2">
      <c r="A8" s="38" t="s">
        <v>12</v>
      </c>
      <c r="B8" s="39">
        <f>LOOKUP(999^10,表2_36716262930389[累计净值])/$B$21-1</f>
        <v>8.9671500443918362E-2</v>
      </c>
      <c r="C8" s="40"/>
      <c r="D8" s="30" t="s">
        <v>13</v>
      </c>
      <c r="E8" s="41">
        <f ca="1">MIN(表2_36716262930389[最大回撤])</f>
        <v>-8.3094820422859872E-3</v>
      </c>
    </row>
    <row r="9" spans="1:7" x14ac:dyDescent="0.2">
      <c r="A9" s="25" t="s">
        <v>14</v>
      </c>
      <c r="B9" s="32">
        <f>B8*245/B2</f>
        <v>0.12626159545264368</v>
      </c>
      <c r="C9" s="40"/>
      <c r="D9" s="33" t="s">
        <v>15</v>
      </c>
      <c r="E9" s="6">
        <f>STDEV(表2_36716262930389[下跌幅度])</f>
        <v>7.5435376642302284E-4</v>
      </c>
    </row>
    <row r="10" spans="1:7" x14ac:dyDescent="0.2">
      <c r="A10" s="42" t="s">
        <v>16</v>
      </c>
      <c r="B10" s="43">
        <f>AVERAGE(表2_36716262930389[每日盈亏])</f>
        <v>5.2241379310344815E-4</v>
      </c>
      <c r="C10" s="44"/>
      <c r="D10" s="33" t="s">
        <v>17</v>
      </c>
      <c r="E10" s="6">
        <f>STDEV(表2_36716262930389[每日盈亏])</f>
        <v>2.0043054614251815E-3</v>
      </c>
    </row>
    <row r="11" spans="1:7" x14ac:dyDescent="0.2">
      <c r="A11" s="7" t="s">
        <v>18</v>
      </c>
      <c r="B11" s="32">
        <f>B3/B2</f>
        <v>0.55172413793103448</v>
      </c>
      <c r="C11" s="40"/>
      <c r="D11" s="32" t="s">
        <v>19</v>
      </c>
      <c r="E11" s="41">
        <f>245^0.5*E10</f>
        <v>3.1372342815945524E-2</v>
      </c>
    </row>
    <row r="12" spans="1:7" ht="15" thickBot="1" x14ac:dyDescent="0.25">
      <c r="A12" s="45" t="s">
        <v>20</v>
      </c>
      <c r="B12" s="46">
        <f>-(SUMIF(表2_36716262930389[每日盈亏],"&gt;=0")/B3)/(SUMIF(表2_36716262930389[每日盈亏],"&lt;0")/B4)</f>
        <v>1.9029066171923346</v>
      </c>
      <c r="C12" s="47"/>
      <c r="D12" s="48"/>
      <c r="E12" s="49"/>
    </row>
    <row r="14" spans="1:7" ht="28.5" x14ac:dyDescent="0.2">
      <c r="A14" s="50" t="s">
        <v>21</v>
      </c>
      <c r="B14" s="50" t="s">
        <v>14</v>
      </c>
      <c r="C14" s="51" t="s">
        <v>19</v>
      </c>
      <c r="D14" s="51" t="s">
        <v>13</v>
      </c>
      <c r="E14" s="51" t="s">
        <v>5</v>
      </c>
      <c r="F14" s="51" t="s">
        <v>7</v>
      </c>
    </row>
    <row r="15" spans="1:7" x14ac:dyDescent="0.2">
      <c r="A15" s="52">
        <f>B2</f>
        <v>174</v>
      </c>
      <c r="B15" s="53">
        <f>B9</f>
        <v>0.12626159545264368</v>
      </c>
      <c r="C15" s="53">
        <f>E11</f>
        <v>3.1372342815945524E-2</v>
      </c>
      <c r="D15" s="53">
        <f ca="1">E8</f>
        <v>-8.3094820422859872E-3</v>
      </c>
      <c r="E15" s="54">
        <f>E3</f>
        <v>3.5448598163351686</v>
      </c>
      <c r="F15" s="54">
        <f ca="1">E4</f>
        <v>15.194881559417675</v>
      </c>
    </row>
    <row r="19" spans="1:7" x14ac:dyDescent="0.2">
      <c r="A19" s="8"/>
      <c r="B19" s="1" t="s">
        <v>22</v>
      </c>
    </row>
    <row r="20" spans="1:7" ht="15.75" x14ac:dyDescent="0.2">
      <c r="A20" s="22" t="s">
        <v>23</v>
      </c>
      <c r="B20" s="22" t="s">
        <v>24</v>
      </c>
      <c r="C20" s="22" t="s">
        <v>25</v>
      </c>
      <c r="D20" s="22" t="s">
        <v>26</v>
      </c>
      <c r="E20" s="22" t="s">
        <v>27</v>
      </c>
      <c r="F20" s="22" t="s">
        <v>28</v>
      </c>
      <c r="G20" s="22" t="s">
        <v>29</v>
      </c>
    </row>
    <row r="21" spans="1:7" x14ac:dyDescent="0.2">
      <c r="A21" s="15">
        <v>43710</v>
      </c>
      <c r="B21" s="10">
        <v>1.0137</v>
      </c>
      <c r="C21" s="11">
        <f>IFERROR(B21-B20,0)</f>
        <v>0</v>
      </c>
      <c r="D21" s="12" t="str">
        <f>IF(C21&lt;0,C21,"/")</f>
        <v>/</v>
      </c>
      <c r="E21" s="12">
        <f ca="1">IF(表2_36716262930389[[#This Row],[累计净值]]/MAX(INDIRECT("B21:B" &amp; ROW()))-1&lt;E20,表2_36716262930389[[#This Row],[累计净值]]/MAX(INDIRECT("B21:B" &amp; ROW()))-1,E20)</f>
        <v>0</v>
      </c>
      <c r="F21" s="13">
        <f>表2_36716262930389[[#This Row],[累计净值]]</f>
        <v>1.0137</v>
      </c>
      <c r="G21" s="14" t="s">
        <v>30</v>
      </c>
    </row>
    <row r="22" spans="1:7" x14ac:dyDescent="0.2">
      <c r="A22" s="15">
        <v>43711</v>
      </c>
      <c r="B22" s="16">
        <v>1.0125</v>
      </c>
      <c r="C22" s="17">
        <f>IFERROR(B22-B21,0)</f>
        <v>-1.2000000000000899E-3</v>
      </c>
      <c r="D22" s="18">
        <f>IF(C22&lt;0,C22,"/")</f>
        <v>-1.2000000000000899E-3</v>
      </c>
      <c r="E22" s="18">
        <f ca="1">IF(表2_36716262930389[[#This Row],[累计净值]]/MAX(INDIRECT("B21:B" &amp; ROW()))-1&lt;E21,表2_36716262930389[[#This Row],[累计净值]]/MAX(INDIRECT("B21:B" &amp; ROW()))-1,E21)</f>
        <v>-1.1837821840782192E-3</v>
      </c>
      <c r="F22" s="19">
        <f>表2_36716262930389[[#This Row],[累计净值]]</f>
        <v>1.0125</v>
      </c>
      <c r="G22" s="20">
        <f>表2_36716262930389[[#This Row],[累计净值]]/$B$21-1</f>
        <v>-1.1837821840782192E-3</v>
      </c>
    </row>
    <row r="23" spans="1:7" x14ac:dyDescent="0.2">
      <c r="A23" s="15">
        <v>43712</v>
      </c>
      <c r="B23" s="16">
        <v>1.0132000000000001</v>
      </c>
      <c r="C23" s="17">
        <f>IFERROR(B23-B22,0)</f>
        <v>7.0000000000014495E-4</v>
      </c>
      <c r="D23" s="18" t="str">
        <f>IF(C23&lt;0,C23,"/")</f>
        <v>/</v>
      </c>
      <c r="E23" s="18">
        <f ca="1">IF(表2_36716262930389[[#This Row],[累计净值]]/MAX(INDIRECT("B21:B" &amp; ROW()))-1&lt;E22,表2_36716262930389[[#This Row],[累计净值]]/MAX(INDIRECT("B21:B" &amp; ROW()))-1,E22)</f>
        <v>-1.1837821840782192E-3</v>
      </c>
      <c r="F23" s="19">
        <f>表2_36716262930389[[#This Row],[累计净值]]</f>
        <v>1.0132000000000001</v>
      </c>
      <c r="G23" s="20">
        <f>表2_36716262930389[[#This Row],[累计净值]]/$B$21-1</f>
        <v>-4.9324257669913774E-4</v>
      </c>
    </row>
    <row r="24" spans="1:7" x14ac:dyDescent="0.2">
      <c r="A24" s="15">
        <v>43713</v>
      </c>
      <c r="B24" s="16">
        <v>1.0130999999999999</v>
      </c>
      <c r="C24" s="61">
        <f>IFERROR(B24-B23,0)</f>
        <v>-1.0000000000021103E-4</v>
      </c>
      <c r="D24" s="18">
        <f>IF(C24&lt;0,C24,"/")</f>
        <v>-1.0000000000021103E-4</v>
      </c>
      <c r="E24" s="18">
        <f ca="1">IF(表2_36716262930389[[#This Row],[累计净值]]/MAX(INDIRECT("B21:B" &amp; ROW()))-1&lt;E23,表2_36716262930389[[#This Row],[累计净值]]/MAX(INDIRECT("B21:B" &amp; ROW()))-1,E23)</f>
        <v>-1.1837821840782192E-3</v>
      </c>
      <c r="F24" s="62">
        <f>表2_36716262930389[[#This Row],[累计净值]]</f>
        <v>1.0130999999999999</v>
      </c>
      <c r="G24" s="20">
        <f>表2_36716262930389[[#This Row],[累计净值]]/$B$21-1</f>
        <v>-5.9189109203916512E-4</v>
      </c>
    </row>
    <row r="25" spans="1:7" x14ac:dyDescent="0.2">
      <c r="A25" s="15">
        <v>43714</v>
      </c>
      <c r="B25" s="16">
        <v>1.0133000000000001</v>
      </c>
      <c r="C25" s="61">
        <f>IFERROR(B25-B24,0)</f>
        <v>2.0000000000020002E-4</v>
      </c>
      <c r="D25" s="18" t="str">
        <f>IF(C25&lt;0,C25,"/")</f>
        <v>/</v>
      </c>
      <c r="E25" s="18">
        <f ca="1">IF(表2_36716262930389[[#This Row],[累计净值]]/MAX(INDIRECT("B21:B" &amp; ROW()))-1&lt;E24,表2_36716262930389[[#This Row],[累计净值]]/MAX(INDIRECT("B21:B" &amp; ROW()))-1,E24)</f>
        <v>-1.1837821840782192E-3</v>
      </c>
      <c r="F25" s="62">
        <f>表2_36716262930389[[#This Row],[累计净值]]</f>
        <v>1.0133000000000001</v>
      </c>
      <c r="G25" s="20">
        <f>表2_36716262930389[[#This Row],[累计净值]]/$B$21-1</f>
        <v>-3.9459406135933239E-4</v>
      </c>
    </row>
    <row r="26" spans="1:7" x14ac:dyDescent="0.2">
      <c r="A26" s="15">
        <v>43717</v>
      </c>
      <c r="B26" s="16">
        <v>1.0138</v>
      </c>
      <c r="C26" s="61">
        <f t="shared" ref="C26:C31" si="0">IFERROR(B26-B25,0)</f>
        <v>4.9999999999994493E-4</v>
      </c>
      <c r="D26" s="18" t="str">
        <f t="shared" ref="D26:D31" si="1">IF(C26&lt;0,C26,"/")</f>
        <v>/</v>
      </c>
      <c r="E26" s="18">
        <f ca="1">IF(表2_36716262930389[[#This Row],[累计净值]]/MAX(INDIRECT("B21:B" &amp; ROW()))-1&lt;E25,表2_36716262930389[[#This Row],[累计净值]]/MAX(INDIRECT("B21:B" &amp; ROW()))-1,E25)</f>
        <v>-1.1837821840782192E-3</v>
      </c>
      <c r="F26" s="62">
        <f>表2_36716262930389[[#This Row],[累计净值]]</f>
        <v>1.0138</v>
      </c>
      <c r="G26" s="20">
        <f>表2_36716262930389[[#This Row],[累计净值]]/$B$21-1</f>
        <v>9.8648515339805343E-5</v>
      </c>
    </row>
    <row r="27" spans="1:7" x14ac:dyDescent="0.2">
      <c r="A27" s="15">
        <v>43718</v>
      </c>
      <c r="B27" s="16">
        <v>1.0145999999999999</v>
      </c>
      <c r="C27" s="61">
        <f t="shared" si="0"/>
        <v>7.9999999999991189E-4</v>
      </c>
      <c r="D27" s="18" t="str">
        <f t="shared" si="1"/>
        <v>/</v>
      </c>
      <c r="E27" s="18">
        <f ca="1">IF(表2_36716262930389[[#This Row],[累计净值]]/MAX(INDIRECT("B21:B" &amp; ROW()))-1&lt;E26,表2_36716262930389[[#This Row],[累计净值]]/MAX(INDIRECT("B21:B" &amp; ROW()))-1,E26)</f>
        <v>-1.1837821840782192E-3</v>
      </c>
      <c r="F27" s="62">
        <f>表2_36716262930389[[#This Row],[累计净值]]</f>
        <v>1.0145999999999999</v>
      </c>
      <c r="G27" s="20">
        <f>表2_36716262930389[[#This Row],[累计净值]]/$B$21-1</f>
        <v>8.8783663805847013E-4</v>
      </c>
    </row>
    <row r="28" spans="1:7" x14ac:dyDescent="0.2">
      <c r="A28" s="15">
        <v>43719</v>
      </c>
      <c r="B28" s="16">
        <v>1.0152000000000001</v>
      </c>
      <c r="C28" s="61">
        <f t="shared" si="0"/>
        <v>6.0000000000015596E-4</v>
      </c>
      <c r="D28" s="18" t="str">
        <f t="shared" si="1"/>
        <v>/</v>
      </c>
      <c r="E28" s="18">
        <f ca="1">IF(表2_36716262930389[[#This Row],[累计净值]]/MAX(INDIRECT("B21:B" &amp; ROW()))-1&lt;E27,表2_36716262930389[[#This Row],[累计净值]]/MAX(INDIRECT("B21:B" &amp; ROW()))-1,E27)</f>
        <v>-1.1837821840782192E-3</v>
      </c>
      <c r="F28" s="62">
        <f>表2_36716262930389[[#This Row],[累计净值]]</f>
        <v>1.0152000000000001</v>
      </c>
      <c r="G28" s="20">
        <f>表2_36716262930389[[#This Row],[累计净值]]/$B$21-1</f>
        <v>1.4797277300977463E-3</v>
      </c>
    </row>
    <row r="29" spans="1:7" x14ac:dyDescent="0.2">
      <c r="A29" s="15">
        <v>43720</v>
      </c>
      <c r="B29" s="16">
        <v>1.0141</v>
      </c>
      <c r="C29" s="61">
        <f t="shared" si="0"/>
        <v>-1.1000000000001009E-3</v>
      </c>
      <c r="D29" s="18">
        <f t="shared" si="1"/>
        <v>-1.1000000000001009E-3</v>
      </c>
      <c r="E29" s="18">
        <f ca="1">IF(表2_36716262930389[[#This Row],[累计净值]]/MAX(INDIRECT("B21:B" &amp; ROW()))-1&lt;E28,表2_36716262930389[[#This Row],[累计净值]]/MAX(INDIRECT("B21:B" &amp; ROW()))-1,E28)</f>
        <v>-1.1837821840782192E-3</v>
      </c>
      <c r="F29" s="62">
        <f>表2_36716262930389[[#This Row],[累计净值]]</f>
        <v>1.0141</v>
      </c>
      <c r="G29" s="20">
        <f>表2_36716262930389[[#This Row],[累计净值]]/$B$21-1</f>
        <v>3.9459406135944342E-4</v>
      </c>
    </row>
    <row r="30" spans="1:7" x14ac:dyDescent="0.2">
      <c r="A30" s="15">
        <v>43724</v>
      </c>
      <c r="B30" s="16">
        <v>1.0137</v>
      </c>
      <c r="C30" s="61">
        <f t="shared" si="0"/>
        <v>-3.9999999999995595E-4</v>
      </c>
      <c r="D30" s="18">
        <f t="shared" si="1"/>
        <v>-3.9999999999995595E-4</v>
      </c>
      <c r="E30" s="18">
        <f ca="1">IF(表2_36716262930389[[#This Row],[累计净值]]/MAX(INDIRECT("B21:B" &amp; ROW()))-1&lt;E29,表2_36716262930389[[#This Row],[累计净值]]/MAX(INDIRECT("B21:B" &amp; ROW()))-1,E29)</f>
        <v>-1.4775413711584084E-3</v>
      </c>
      <c r="F30" s="62">
        <f>表2_36716262930389[[#This Row],[累计净值]]</f>
        <v>1.0137</v>
      </c>
      <c r="G30" s="20">
        <f>表2_36716262930389[[#This Row],[累计净值]]/$B$21-1</f>
        <v>0</v>
      </c>
    </row>
    <row r="31" spans="1:7" x14ac:dyDescent="0.2">
      <c r="A31" s="15">
        <v>43725</v>
      </c>
      <c r="B31" s="16">
        <v>1.0126999999999999</v>
      </c>
      <c r="C31" s="61">
        <f t="shared" si="0"/>
        <v>-1.0000000000001119E-3</v>
      </c>
      <c r="D31" s="18">
        <f t="shared" si="1"/>
        <v>-1.0000000000001119E-3</v>
      </c>
      <c r="E31" s="18">
        <f ca="1">IF(表2_36716262930389[[#This Row],[累计净值]]/MAX(INDIRECT("B21:B" &amp; ROW()))-1&lt;E30,表2_36716262930389[[#This Row],[累计净值]]/MAX(INDIRECT("B21:B" &amp; ROW()))-1,E30)</f>
        <v>-2.4625689519308658E-3</v>
      </c>
      <c r="F31" s="62">
        <f>表2_36716262930389[[#This Row],[累计净值]]</f>
        <v>1.0126999999999999</v>
      </c>
      <c r="G31" s="20">
        <f>表2_36716262930389[[#This Row],[累计净值]]/$B$21-1</f>
        <v>-9.8648515339849752E-4</v>
      </c>
    </row>
    <row r="32" spans="1:7" x14ac:dyDescent="0.2">
      <c r="A32" s="15">
        <v>43726</v>
      </c>
      <c r="B32" s="16">
        <v>1.0122</v>
      </c>
      <c r="C32" s="61">
        <f>IFERROR(B32-B31,0)</f>
        <v>-4.9999999999994493E-4</v>
      </c>
      <c r="D32" s="18">
        <f>IF(C32&lt;0,C32,"/")</f>
        <v>-4.9999999999994493E-4</v>
      </c>
      <c r="E32" s="18">
        <f ca="1">IF(表2_36716262930389[[#This Row],[累计净值]]/MAX(INDIRECT("B21:B" &amp; ROW()))-1&lt;E31,表2_36716262930389[[#This Row],[累计净值]]/MAX(INDIRECT("B21:B" &amp; ROW()))-1,E31)</f>
        <v>-2.9550827423169279E-3</v>
      </c>
      <c r="F32" s="62">
        <f>表2_36716262930389[[#This Row],[累计净值]]</f>
        <v>1.0122</v>
      </c>
      <c r="G32" s="20">
        <f>表2_36716262930389[[#This Row],[累计净值]]/$B$21-1</f>
        <v>-1.4797277300977463E-3</v>
      </c>
    </row>
    <row r="33" spans="1:7" x14ac:dyDescent="0.2">
      <c r="A33" s="15">
        <v>43727</v>
      </c>
      <c r="B33" s="16">
        <v>1.0109999999999999</v>
      </c>
      <c r="C33" s="61">
        <f>IFERROR(B33-B32,0)</f>
        <v>-1.2000000000000899E-3</v>
      </c>
      <c r="D33" s="18">
        <f>IF(C33&lt;0,C33,"/")</f>
        <v>-1.2000000000000899E-3</v>
      </c>
      <c r="E33" s="18">
        <f ca="1">IF(表2_36716262930389[[#This Row],[累计净值]]/MAX(INDIRECT("B21:B" &amp; ROW()))-1&lt;E32,表2_36716262930389[[#This Row],[累计净值]]/MAX(INDIRECT("B21:B" &amp; ROW()))-1,E32)</f>
        <v>-4.1371158392436991E-3</v>
      </c>
      <c r="F33" s="62">
        <f>表2_36716262930389[[#This Row],[累计净值]]</f>
        <v>1.0109999999999999</v>
      </c>
      <c r="G33" s="20">
        <f>表2_36716262930389[[#This Row],[累计净值]]/$B$21-1</f>
        <v>-2.6635099141759655E-3</v>
      </c>
    </row>
    <row r="34" spans="1:7" x14ac:dyDescent="0.2">
      <c r="A34" s="15">
        <v>43728</v>
      </c>
      <c r="B34" s="16">
        <v>1.0113000000000001</v>
      </c>
      <c r="C34" s="61">
        <f>IFERROR(B34-B33,0)</f>
        <v>3.00000000000189E-4</v>
      </c>
      <c r="D34" s="18" t="str">
        <f>IF(C34&lt;0,C34,"/")</f>
        <v>/</v>
      </c>
      <c r="E34" s="18">
        <f ca="1">IF(表2_36716262930389[[#This Row],[累计净值]]/MAX(INDIRECT("B21:B" &amp; ROW()))-1&lt;E33,表2_36716262930389[[#This Row],[累计净值]]/MAX(INDIRECT("B21:B" &amp; ROW()))-1,E33)</f>
        <v>-4.1371158392436991E-3</v>
      </c>
      <c r="F34" s="62">
        <f>表2_36716262930389[[#This Row],[累计净值]]</f>
        <v>1.0113000000000001</v>
      </c>
      <c r="G34" s="20">
        <f>表2_36716262930389[[#This Row],[累计净值]]/$B$21-1</f>
        <v>-2.3675643681562164E-3</v>
      </c>
    </row>
    <row r="35" spans="1:7" x14ac:dyDescent="0.2">
      <c r="A35" s="15">
        <v>43731</v>
      </c>
      <c r="B35" s="16">
        <v>1.0111000000000001</v>
      </c>
      <c r="C35" s="61">
        <f t="shared" ref="C35:C40" si="2">IFERROR(B35-B34,0)</f>
        <v>-1.9999999999997797E-4</v>
      </c>
      <c r="D35" s="18">
        <f t="shared" ref="D35:D40" si="3">IF(C35&lt;0,C35,"/")</f>
        <v>-1.9999999999997797E-4</v>
      </c>
      <c r="E35" s="18">
        <f ca="1">IF(表2_36716262930389[[#This Row],[累计净值]]/MAX(INDIRECT("B21:B" &amp; ROW()))-1&lt;E34,表2_36716262930389[[#This Row],[累计净值]]/MAX(INDIRECT("B21:B" &amp; ROW()))-1,E34)</f>
        <v>-4.1371158392436991E-3</v>
      </c>
      <c r="F35" s="62">
        <f>表2_36716262930389[[#This Row],[累计净值]]</f>
        <v>1.0111000000000001</v>
      </c>
      <c r="G35" s="20">
        <f>表2_36716262930389[[#This Row],[累计净值]]/$B$21-1</f>
        <v>-2.5648613988359381E-3</v>
      </c>
    </row>
    <row r="36" spans="1:7" x14ac:dyDescent="0.2">
      <c r="A36" s="15">
        <v>43732</v>
      </c>
      <c r="B36" s="16">
        <v>1.0096000000000001</v>
      </c>
      <c r="C36" s="61">
        <f t="shared" si="2"/>
        <v>-1.5000000000000568E-3</v>
      </c>
      <c r="D36" s="18">
        <f t="shared" si="3"/>
        <v>-1.5000000000000568E-3</v>
      </c>
      <c r="E36" s="18">
        <f ca="1">IF(表2_36716262930389[[#This Row],[累计净值]]/MAX(INDIRECT("B21:B" &amp; ROW()))-1&lt;E35,表2_36716262930389[[#This Row],[累计净值]]/MAX(INDIRECT("B21:B" &amp; ROW()))-1,E35)</f>
        <v>-5.5161544523246731E-3</v>
      </c>
      <c r="F36" s="62">
        <f>表2_36716262930389[[#This Row],[累计净值]]</f>
        <v>1.0096000000000001</v>
      </c>
      <c r="G36" s="20">
        <f>表2_36716262930389[[#This Row],[累计净值]]/$B$21-1</f>
        <v>-4.0445891289335734E-3</v>
      </c>
    </row>
    <row r="37" spans="1:7" x14ac:dyDescent="0.2">
      <c r="A37" s="15">
        <v>43733</v>
      </c>
      <c r="B37" s="16">
        <v>1.0098</v>
      </c>
      <c r="C37" s="61">
        <f t="shared" si="2"/>
        <v>1.9999999999997797E-4</v>
      </c>
      <c r="D37" s="18" t="str">
        <f t="shared" si="3"/>
        <v>/</v>
      </c>
      <c r="E37" s="18">
        <f ca="1">IF(表2_36716262930389[[#This Row],[累计净值]]/MAX(INDIRECT("B21:B" &amp; ROW()))-1&lt;E36,表2_36716262930389[[#This Row],[累计净值]]/MAX(INDIRECT("B21:B" &amp; ROW()))-1,E36)</f>
        <v>-5.5161544523246731E-3</v>
      </c>
      <c r="F37" s="62">
        <f>表2_36716262930389[[#This Row],[累计净值]]</f>
        <v>1.0098</v>
      </c>
      <c r="G37" s="20">
        <f>表2_36716262930389[[#This Row],[累计净值]]/$B$21-1</f>
        <v>-3.8472920982539627E-3</v>
      </c>
    </row>
    <row r="38" spans="1:7" x14ac:dyDescent="0.2">
      <c r="A38" s="15">
        <v>43734</v>
      </c>
      <c r="B38" s="16">
        <v>1.0097</v>
      </c>
      <c r="C38" s="61">
        <f t="shared" si="2"/>
        <v>-9.9999999999988987E-5</v>
      </c>
      <c r="D38" s="18">
        <f t="shared" si="3"/>
        <v>-9.9999999999988987E-5</v>
      </c>
      <c r="E38" s="18">
        <f ca="1">IF(表2_36716262930389[[#This Row],[累计净值]]/MAX(INDIRECT("B21:B" &amp; ROW()))-1&lt;E37,表2_36716262930389[[#This Row],[累计净值]]/MAX(INDIRECT("B21:B" &amp; ROW()))-1,E37)</f>
        <v>-5.5161544523246731E-3</v>
      </c>
      <c r="F38" s="62">
        <f>表2_36716262930389[[#This Row],[累计净值]]</f>
        <v>1.0097</v>
      </c>
      <c r="G38" s="20">
        <f>表2_36716262930389[[#This Row],[累计净值]]/$B$21-1</f>
        <v>-3.945940613593768E-3</v>
      </c>
    </row>
    <row r="39" spans="1:7" x14ac:dyDescent="0.2">
      <c r="A39" s="77">
        <v>43735</v>
      </c>
      <c r="B39" s="76">
        <v>1.0234000000000001</v>
      </c>
      <c r="C39" s="61">
        <f t="shared" si="2"/>
        <v>1.3700000000000045E-2</v>
      </c>
      <c r="D39" s="18" t="str">
        <f t="shared" si="3"/>
        <v>/</v>
      </c>
      <c r="E39" s="18">
        <f ca="1">IF(表2_36716262930389[[#This Row],[累计净值]]/MAX(INDIRECT("B21:B" &amp; ROW()))-1&lt;E38,表2_36716262930389[[#This Row],[累计净值]]/MAX(INDIRECT("B21:B" &amp; ROW()))-1,E38)</f>
        <v>-5.5161544523246731E-3</v>
      </c>
      <c r="F39" s="62">
        <f>表2_36716262930389[[#This Row],[累计净值]]</f>
        <v>1.0234000000000001</v>
      </c>
      <c r="G39" s="20">
        <f>表2_36716262930389[[#This Row],[累计净值]]/$B$21-1</f>
        <v>9.568905987964893E-3</v>
      </c>
    </row>
    <row r="40" spans="1:7" x14ac:dyDescent="0.2">
      <c r="A40" s="15">
        <v>43738</v>
      </c>
      <c r="B40" s="16">
        <v>1.0224</v>
      </c>
      <c r="C40" s="61">
        <f t="shared" si="2"/>
        <v>-1.0000000000001119E-3</v>
      </c>
      <c r="D40" s="18">
        <f t="shared" si="3"/>
        <v>-1.0000000000001119E-3</v>
      </c>
      <c r="E40" s="18">
        <f ca="1">IF(表2_36716262930389[[#This Row],[累计净值]]/MAX(INDIRECT("B21:B" &amp; ROW()))-1&lt;E39,表2_36716262930389[[#This Row],[累计净值]]/MAX(INDIRECT("B21:B" &amp; ROW()))-1,E39)</f>
        <v>-5.5161544523246731E-3</v>
      </c>
      <c r="F40" s="62">
        <f>表2_36716262930389[[#This Row],[累计净值]]</f>
        <v>1.0224</v>
      </c>
      <c r="G40" s="20">
        <f>表2_36716262930389[[#This Row],[累计净值]]/$B$21-1</f>
        <v>8.5824208345663955E-3</v>
      </c>
    </row>
    <row r="41" spans="1:7" x14ac:dyDescent="0.2">
      <c r="A41" s="15">
        <v>43746</v>
      </c>
      <c r="B41" s="16">
        <v>1.0221</v>
      </c>
      <c r="C41" s="61">
        <f t="shared" ref="C41:C46" si="4">IFERROR(B41-B40,0)</f>
        <v>-2.9999999999996696E-4</v>
      </c>
      <c r="D41" s="18">
        <f t="shared" ref="D41:D46" si="5">IF(C41&lt;0,C41,"/")</f>
        <v>-2.9999999999996696E-4</v>
      </c>
      <c r="E41" s="18">
        <f ca="1">IF(表2_36716262930389[[#This Row],[累计净值]]/MAX(INDIRECT("B21:B" &amp; ROW()))-1&lt;E40,表2_36716262930389[[#This Row],[累计净值]]/MAX(INDIRECT("B21:B" &amp; ROW()))-1,E40)</f>
        <v>-5.5161544523246731E-3</v>
      </c>
      <c r="F41" s="62">
        <f>表2_36716262930389[[#This Row],[累计净值]]</f>
        <v>1.0221</v>
      </c>
      <c r="G41" s="20">
        <f>表2_36716262930389[[#This Row],[累计净值]]/$B$21-1</f>
        <v>8.2864752885469795E-3</v>
      </c>
    </row>
    <row r="42" spans="1:7" x14ac:dyDescent="0.2">
      <c r="A42" s="15">
        <v>43747</v>
      </c>
      <c r="B42" s="16">
        <v>1.0226999999999999</v>
      </c>
      <c r="C42" s="61">
        <f t="shared" si="4"/>
        <v>5.9999999999993392E-4</v>
      </c>
      <c r="D42" s="18" t="str">
        <f t="shared" si="5"/>
        <v>/</v>
      </c>
      <c r="E42" s="18">
        <f ca="1">IF(表2_36716262930389[[#This Row],[累计净值]]/MAX(INDIRECT("B21:B" &amp; ROW()))-1&lt;E41,表2_36716262930389[[#This Row],[累计净值]]/MAX(INDIRECT("B21:B" &amp; ROW()))-1,E41)</f>
        <v>-5.5161544523246731E-3</v>
      </c>
      <c r="F42" s="62">
        <f>表2_36716262930389[[#This Row],[累计净值]]</f>
        <v>1.0226999999999999</v>
      </c>
      <c r="G42" s="20">
        <f>表2_36716262930389[[#This Row],[累计净值]]/$B$21-1</f>
        <v>8.8783663805858115E-3</v>
      </c>
    </row>
    <row r="43" spans="1:7" x14ac:dyDescent="0.2">
      <c r="A43" s="15">
        <v>43748</v>
      </c>
      <c r="B43" s="16">
        <v>1.0228999999999999</v>
      </c>
      <c r="C43" s="61">
        <f t="shared" si="4"/>
        <v>1.9999999999997797E-4</v>
      </c>
      <c r="D43" s="18" t="str">
        <f t="shared" si="5"/>
        <v>/</v>
      </c>
      <c r="E43" s="18">
        <f ca="1">IF(表2_36716262930389[[#This Row],[累计净值]]/MAX(INDIRECT("B21:B" &amp; ROW()))-1&lt;E42,表2_36716262930389[[#This Row],[累计净值]]/MAX(INDIRECT("B21:B" &amp; ROW()))-1,E42)</f>
        <v>-5.5161544523246731E-3</v>
      </c>
      <c r="F43" s="62">
        <f>表2_36716262930389[[#This Row],[累计净值]]</f>
        <v>1.0228999999999999</v>
      </c>
      <c r="G43" s="20">
        <f>表2_36716262930389[[#This Row],[累计净值]]/$B$21-1</f>
        <v>9.0756634112656442E-3</v>
      </c>
    </row>
    <row r="44" spans="1:7" x14ac:dyDescent="0.2">
      <c r="A44" s="15">
        <v>43749</v>
      </c>
      <c r="B44" s="16">
        <v>1.0226999999999999</v>
      </c>
      <c r="C44" s="61">
        <f t="shared" si="4"/>
        <v>-1.9999999999997797E-4</v>
      </c>
      <c r="D44" s="18">
        <f t="shared" si="5"/>
        <v>-1.9999999999997797E-4</v>
      </c>
      <c r="E44" s="18">
        <f ca="1">IF(表2_36716262930389[[#This Row],[累计净值]]/MAX(INDIRECT("B21:B" &amp; ROW()))-1&lt;E43,表2_36716262930389[[#This Row],[累计净值]]/MAX(INDIRECT("B21:B" &amp; ROW()))-1,E43)</f>
        <v>-5.5161544523246731E-3</v>
      </c>
      <c r="F44" s="62">
        <f>表2_36716262930389[[#This Row],[累计净值]]</f>
        <v>1.0226999999999999</v>
      </c>
      <c r="G44" s="20">
        <f>表2_36716262930389[[#This Row],[累计净值]]/$B$21-1</f>
        <v>8.8783663805858115E-3</v>
      </c>
    </row>
    <row r="45" spans="1:7" x14ac:dyDescent="0.2">
      <c r="A45" s="15">
        <v>43752</v>
      </c>
      <c r="B45" s="16">
        <v>1.0226</v>
      </c>
      <c r="C45" s="61">
        <f t="shared" si="4"/>
        <v>-9.9999999999988987E-5</v>
      </c>
      <c r="D45" s="18">
        <f t="shared" si="5"/>
        <v>-9.9999999999988987E-5</v>
      </c>
      <c r="E45" s="18">
        <f ca="1">IF(表2_36716262930389[[#This Row],[累计净值]]/MAX(INDIRECT("B21:B" &amp; ROW()))-1&lt;E44,表2_36716262930389[[#This Row],[累计净值]]/MAX(INDIRECT("B21:B" &amp; ROW()))-1,E44)</f>
        <v>-5.5161544523246731E-3</v>
      </c>
      <c r="F45" s="62">
        <f>表2_36716262930389[[#This Row],[累计净值]]</f>
        <v>1.0226</v>
      </c>
      <c r="G45" s="20">
        <f>表2_36716262930389[[#This Row],[累计净值]]/$B$21-1</f>
        <v>8.7797178652460062E-3</v>
      </c>
    </row>
    <row r="46" spans="1:7" x14ac:dyDescent="0.2">
      <c r="A46" s="15">
        <v>43753</v>
      </c>
      <c r="B46" s="16">
        <v>1.0221</v>
      </c>
      <c r="C46" s="61">
        <f t="shared" si="4"/>
        <v>-4.9999999999994493E-4</v>
      </c>
      <c r="D46" s="18">
        <f t="shared" si="5"/>
        <v>-4.9999999999994493E-4</v>
      </c>
      <c r="E46" s="18">
        <f ca="1">IF(表2_36716262930389[[#This Row],[累计净值]]/MAX(INDIRECT("B21:B" &amp; ROW()))-1&lt;E45,表2_36716262930389[[#This Row],[累计净值]]/MAX(INDIRECT("B21:B" &amp; ROW()))-1,E45)</f>
        <v>-5.5161544523246731E-3</v>
      </c>
      <c r="F46" s="62">
        <f>表2_36716262930389[[#This Row],[累计净值]]</f>
        <v>1.0221</v>
      </c>
      <c r="G46" s="20">
        <f>表2_36716262930389[[#This Row],[累计净值]]/$B$21-1</f>
        <v>8.2864752885469795E-3</v>
      </c>
    </row>
    <row r="47" spans="1:7" x14ac:dyDescent="0.2">
      <c r="A47" s="15">
        <v>43754</v>
      </c>
      <c r="B47" s="16">
        <v>1.0221</v>
      </c>
      <c r="C47" s="61">
        <f t="shared" ref="C47:C52" si="6">IFERROR(B47-B46,0)</f>
        <v>0</v>
      </c>
      <c r="D47" s="18" t="str">
        <f t="shared" ref="D47:D52" si="7">IF(C47&lt;0,C47,"/")</f>
        <v>/</v>
      </c>
      <c r="E47" s="18">
        <f ca="1">IF(表2_36716262930389[[#This Row],[累计净值]]/MAX(INDIRECT("B21:B" &amp; ROW()))-1&lt;E46,表2_36716262930389[[#This Row],[累计净值]]/MAX(INDIRECT("B21:B" &amp; ROW()))-1,E46)</f>
        <v>-5.5161544523246731E-3</v>
      </c>
      <c r="F47" s="62">
        <f>表2_36716262930389[[#This Row],[累计净值]]</f>
        <v>1.0221</v>
      </c>
      <c r="G47" s="20">
        <f>表2_36716262930389[[#This Row],[累计净值]]/$B$21-1</f>
        <v>8.2864752885469795E-3</v>
      </c>
    </row>
    <row r="48" spans="1:7" x14ac:dyDescent="0.2">
      <c r="A48" s="15">
        <v>43755</v>
      </c>
      <c r="B48" s="16">
        <v>1.0219</v>
      </c>
      <c r="C48" s="61">
        <f t="shared" si="6"/>
        <v>-1.9999999999997797E-4</v>
      </c>
      <c r="D48" s="18">
        <f t="shared" si="7"/>
        <v>-1.9999999999997797E-4</v>
      </c>
      <c r="E48" s="18">
        <f ca="1">IF(表2_36716262930389[[#This Row],[累计净值]]/MAX(INDIRECT("B21:B" &amp; ROW()))-1&lt;E47,表2_36716262930389[[#This Row],[累计净值]]/MAX(INDIRECT("B21:B" &amp; ROW()))-1,E47)</f>
        <v>-5.5161544523246731E-3</v>
      </c>
      <c r="F48" s="62">
        <f>表2_36716262930389[[#This Row],[累计净值]]</f>
        <v>1.0219</v>
      </c>
      <c r="G48" s="20">
        <f>表2_36716262930389[[#This Row],[累计净值]]/$B$21-1</f>
        <v>8.0891782578671467E-3</v>
      </c>
    </row>
    <row r="49" spans="1:7" x14ac:dyDescent="0.2">
      <c r="A49" s="15">
        <v>43756</v>
      </c>
      <c r="B49" s="16">
        <v>1.0210999999999999</v>
      </c>
      <c r="C49" s="61">
        <f t="shared" si="6"/>
        <v>-8.0000000000013394E-4</v>
      </c>
      <c r="D49" s="18">
        <f t="shared" si="7"/>
        <v>-8.0000000000013394E-4</v>
      </c>
      <c r="E49" s="18">
        <f ca="1">IF(表2_36716262930389[[#This Row],[累计净值]]/MAX(INDIRECT("B21:B" &amp; ROW()))-1&lt;E48,表2_36716262930389[[#This Row],[累计净值]]/MAX(INDIRECT("B21:B" &amp; ROW()))-1,E48)</f>
        <v>-5.5161544523246731E-3</v>
      </c>
      <c r="F49" s="62">
        <f>表2_36716262930389[[#This Row],[累计净值]]</f>
        <v>1.0210999999999999</v>
      </c>
      <c r="G49" s="20">
        <f>表2_36716262930389[[#This Row],[累计净值]]/$B$21-1</f>
        <v>7.2999901351482599E-3</v>
      </c>
    </row>
    <row r="50" spans="1:7" x14ac:dyDescent="0.2">
      <c r="A50" s="15">
        <v>43759</v>
      </c>
      <c r="B50" s="16">
        <v>1.0198</v>
      </c>
      <c r="C50" s="61">
        <f t="shared" si="6"/>
        <v>-1.2999999999998568E-3</v>
      </c>
      <c r="D50" s="18">
        <f t="shared" si="7"/>
        <v>-1.2999999999998568E-3</v>
      </c>
      <c r="E50" s="18">
        <f ca="1">IF(表2_36716262930389[[#This Row],[累计净值]]/MAX(INDIRECT("B21:B" &amp; ROW()))-1&lt;E49,表2_36716262930389[[#This Row],[累计净值]]/MAX(INDIRECT("B21:B" &amp; ROW()))-1,E49)</f>
        <v>-5.5161544523246731E-3</v>
      </c>
      <c r="F50" s="62">
        <f>表2_36716262930389[[#This Row],[累计净值]]</f>
        <v>1.0198</v>
      </c>
      <c r="G50" s="20">
        <f>表2_36716262930389[[#This Row],[累计净值]]/$B$21-1</f>
        <v>6.0175594357305684E-3</v>
      </c>
    </row>
    <row r="51" spans="1:7" x14ac:dyDescent="0.2">
      <c r="A51" s="15">
        <v>43760</v>
      </c>
      <c r="B51" s="16">
        <v>1.0197000000000001</v>
      </c>
      <c r="C51" s="61">
        <f t="shared" si="6"/>
        <v>-9.9999999999988987E-5</v>
      </c>
      <c r="D51" s="18">
        <f t="shared" si="7"/>
        <v>-9.9999999999988987E-5</v>
      </c>
      <c r="E51" s="18">
        <f ca="1">IF(表2_36716262930389[[#This Row],[累计净值]]/MAX(INDIRECT("B21:B" &amp; ROW()))-1&lt;E50,表2_36716262930389[[#This Row],[累计净值]]/MAX(INDIRECT("B21:B" &amp; ROW()))-1,E50)</f>
        <v>-5.5161544523246731E-3</v>
      </c>
      <c r="F51" s="62">
        <f>表2_36716262930389[[#This Row],[累计净值]]</f>
        <v>1.0197000000000001</v>
      </c>
      <c r="G51" s="20">
        <f>表2_36716262930389[[#This Row],[累计净值]]/$B$21-1</f>
        <v>5.9189109203907631E-3</v>
      </c>
    </row>
    <row r="52" spans="1:7" x14ac:dyDescent="0.2">
      <c r="A52" s="15">
        <v>43761</v>
      </c>
      <c r="B52" s="16">
        <v>1.0197000000000001</v>
      </c>
      <c r="C52" s="73">
        <f t="shared" si="6"/>
        <v>0</v>
      </c>
      <c r="D52" s="18" t="str">
        <f t="shared" si="7"/>
        <v>/</v>
      </c>
      <c r="E52" s="18">
        <f ca="1">IF(表2_36716262930389[[#This Row],[累计净值]]/MAX(INDIRECT("B21:B" &amp; ROW()))-1&lt;E51,表2_36716262930389[[#This Row],[累计净值]]/MAX(INDIRECT("B21:B" &amp; ROW()))-1,E51)</f>
        <v>-5.5161544523246731E-3</v>
      </c>
      <c r="F52" s="62">
        <f>表2_36716262930389[[#This Row],[累计净值]]</f>
        <v>1.0197000000000001</v>
      </c>
      <c r="G52" s="20">
        <f>表2_36716262930389[[#This Row],[累计净值]]/$B$21-1</f>
        <v>5.9189109203907631E-3</v>
      </c>
    </row>
    <row r="53" spans="1:7" x14ac:dyDescent="0.2">
      <c r="A53" s="15">
        <v>43762</v>
      </c>
      <c r="B53" s="16">
        <v>1.0193000000000001</v>
      </c>
      <c r="C53" s="73">
        <f t="shared" ref="C53:C58" si="8">IFERROR(B53-B52,0)</f>
        <v>-3.9999999999995595E-4</v>
      </c>
      <c r="D53" s="18">
        <f t="shared" ref="D53:D58" si="9">IF(C53&lt;0,C53,"/")</f>
        <v>-3.9999999999995595E-4</v>
      </c>
      <c r="E53" s="18">
        <f ca="1">IF(表2_36716262930389[[#This Row],[累计净值]]/MAX(INDIRECT("B21:B" &amp; ROW()))-1&lt;E52,表2_36716262930389[[#This Row],[累计净值]]/MAX(INDIRECT("B21:B" &amp; ROW()))-1,E52)</f>
        <v>-5.5161544523246731E-3</v>
      </c>
      <c r="F53" s="62">
        <f>表2_36716262930389[[#This Row],[累计净值]]</f>
        <v>1.0193000000000001</v>
      </c>
      <c r="G53" s="20">
        <f>表2_36716262930389[[#This Row],[累计净值]]/$B$21-1</f>
        <v>5.5243168590313196E-3</v>
      </c>
    </row>
    <row r="54" spans="1:7" x14ac:dyDescent="0.2">
      <c r="A54" s="15">
        <v>43763</v>
      </c>
      <c r="B54" s="16">
        <v>1.0197000000000001</v>
      </c>
      <c r="C54" s="73">
        <f t="shared" si="8"/>
        <v>3.9999999999995595E-4</v>
      </c>
      <c r="D54" s="18" t="str">
        <f t="shared" si="9"/>
        <v>/</v>
      </c>
      <c r="E54" s="18">
        <f ca="1">IF(表2_36716262930389[[#This Row],[累计净值]]/MAX(INDIRECT("B21:B" &amp; ROW()))-1&lt;E53,表2_36716262930389[[#This Row],[累计净值]]/MAX(INDIRECT("B21:B" &amp; ROW()))-1,E53)</f>
        <v>-5.5161544523246731E-3</v>
      </c>
      <c r="F54" s="62">
        <f>表2_36716262930389[[#This Row],[累计净值]]</f>
        <v>1.0197000000000001</v>
      </c>
      <c r="G54" s="20">
        <f>表2_36716262930389[[#This Row],[累计净值]]/$B$21-1</f>
        <v>5.9189109203907631E-3</v>
      </c>
    </row>
    <row r="55" spans="1:7" x14ac:dyDescent="0.2">
      <c r="A55" s="15">
        <v>43766</v>
      </c>
      <c r="B55" s="16">
        <v>1.0193000000000001</v>
      </c>
      <c r="C55" s="73">
        <f t="shared" si="8"/>
        <v>-3.9999999999995595E-4</v>
      </c>
      <c r="D55" s="18">
        <f t="shared" si="9"/>
        <v>-3.9999999999995595E-4</v>
      </c>
      <c r="E55" s="18">
        <f ca="1">IF(表2_36716262930389[[#This Row],[累计净值]]/MAX(INDIRECT("B21:B" &amp; ROW()))-1&lt;E54,表2_36716262930389[[#This Row],[累计净值]]/MAX(INDIRECT("B21:B" &amp; ROW()))-1,E54)</f>
        <v>-5.5161544523246731E-3</v>
      </c>
      <c r="F55" s="62">
        <f>表2_36716262930389[[#This Row],[累计净值]]</f>
        <v>1.0193000000000001</v>
      </c>
      <c r="G55" s="20">
        <f>表2_36716262930389[[#This Row],[累计净值]]/$B$21-1</f>
        <v>5.5243168590313196E-3</v>
      </c>
    </row>
    <row r="56" spans="1:7" x14ac:dyDescent="0.2">
      <c r="A56" s="15">
        <v>43767</v>
      </c>
      <c r="B56" s="16">
        <v>1.0242</v>
      </c>
      <c r="C56" s="73">
        <f t="shared" si="8"/>
        <v>4.8999999999999044E-3</v>
      </c>
      <c r="D56" s="18" t="str">
        <f t="shared" si="9"/>
        <v>/</v>
      </c>
      <c r="E56" s="18">
        <f ca="1">IF(表2_36716262930389[[#This Row],[累计净值]]/MAX(INDIRECT("B21:B" &amp; ROW()))-1&lt;E55,表2_36716262930389[[#This Row],[累计净值]]/MAX(INDIRECT("B21:B" &amp; ROW()))-1,E55)</f>
        <v>-5.5161544523246731E-3</v>
      </c>
      <c r="F56" s="62">
        <f>表2_36716262930389[[#This Row],[累计净值]]</f>
        <v>1.0242</v>
      </c>
      <c r="G56" s="20">
        <f>表2_36716262930389[[#This Row],[累计净值]]/$B$21-1</f>
        <v>1.0358094110683558E-2</v>
      </c>
    </row>
    <row r="57" spans="1:7" x14ac:dyDescent="0.2">
      <c r="A57" s="15">
        <v>43768</v>
      </c>
      <c r="B57" s="16">
        <v>1.024</v>
      </c>
      <c r="C57" s="73">
        <f t="shared" si="8"/>
        <v>-1.9999999999997797E-4</v>
      </c>
      <c r="D57" s="18">
        <f t="shared" si="9"/>
        <v>-1.9999999999997797E-4</v>
      </c>
      <c r="E57" s="18">
        <f ca="1">IF(表2_36716262930389[[#This Row],[累计净值]]/MAX(INDIRECT("B21:B" &amp; ROW()))-1&lt;E56,表2_36716262930389[[#This Row],[累计净值]]/MAX(INDIRECT("B21:B" &amp; ROW()))-1,E56)</f>
        <v>-5.5161544523246731E-3</v>
      </c>
      <c r="F57" s="62">
        <f>表2_36716262930389[[#This Row],[累计净值]]</f>
        <v>1.024</v>
      </c>
      <c r="G57" s="20">
        <f>表2_36716262930389[[#This Row],[累计净值]]/$B$21-1</f>
        <v>1.0160797080003947E-2</v>
      </c>
    </row>
    <row r="58" spans="1:7" x14ac:dyDescent="0.2">
      <c r="A58" s="15">
        <v>43769</v>
      </c>
      <c r="B58" s="16">
        <v>1.0245</v>
      </c>
      <c r="C58" s="73">
        <f t="shared" si="8"/>
        <v>4.9999999999994493E-4</v>
      </c>
      <c r="D58" s="18" t="str">
        <f t="shared" si="9"/>
        <v>/</v>
      </c>
      <c r="E58" s="18">
        <f ca="1">IF(表2_36716262930389[[#This Row],[累计净值]]/MAX(INDIRECT("B21:B" &amp; ROW()))-1&lt;E57,表2_36716262930389[[#This Row],[累计净值]]/MAX(INDIRECT("B21:B" &amp; ROW()))-1,E57)</f>
        <v>-5.5161544523246731E-3</v>
      </c>
      <c r="F58" s="62">
        <f>表2_36716262930389[[#This Row],[累计净值]]</f>
        <v>1.0245</v>
      </c>
      <c r="G58" s="20">
        <f>表2_36716262930389[[#This Row],[累计净值]]/$B$21-1</f>
        <v>1.0654039656703196E-2</v>
      </c>
    </row>
    <row r="59" spans="1:7" x14ac:dyDescent="0.2">
      <c r="A59" s="15">
        <v>43770</v>
      </c>
      <c r="B59" s="16">
        <v>1.0257000000000001</v>
      </c>
      <c r="C59" s="73">
        <f t="shared" ref="C59:C66" si="10">IFERROR(B59-B58,0)</f>
        <v>1.2000000000000899E-3</v>
      </c>
      <c r="D59" s="18" t="str">
        <f t="shared" ref="D59:D66" si="11">IF(C59&lt;0,C59,"/")</f>
        <v>/</v>
      </c>
      <c r="E59" s="18">
        <f ca="1">IF(表2_36716262930389[[#This Row],[累计净值]]/MAX(INDIRECT("B21:B" &amp; ROW()))-1&lt;E58,表2_36716262930389[[#This Row],[累计净值]]/MAX(INDIRECT("B21:B" &amp; ROW()))-1,E58)</f>
        <v>-5.5161544523246731E-3</v>
      </c>
      <c r="F59" s="62">
        <f>表2_36716262930389[[#This Row],[累计净值]]</f>
        <v>1.0257000000000001</v>
      </c>
      <c r="G59" s="20">
        <f>表2_36716262930389[[#This Row],[累计净值]]/$B$21-1</f>
        <v>1.1837821840781304E-2</v>
      </c>
    </row>
    <row r="60" spans="1:7" x14ac:dyDescent="0.2">
      <c r="A60" s="15">
        <v>43773</v>
      </c>
      <c r="B60" s="16">
        <v>1.0271999999999999</v>
      </c>
      <c r="C60" s="73">
        <f t="shared" si="10"/>
        <v>1.4999999999998348E-3</v>
      </c>
      <c r="D60" s="18" t="str">
        <f t="shared" si="11"/>
        <v>/</v>
      </c>
      <c r="E60" s="18">
        <f ca="1">IF(表2_36716262930389[[#This Row],[累计净值]]/MAX(INDIRECT("B21:B" &amp; ROW()))-1&lt;E59,表2_36716262930389[[#This Row],[累计净值]]/MAX(INDIRECT("B21:B" &amp; ROW()))-1,E59)</f>
        <v>-5.5161544523246731E-3</v>
      </c>
      <c r="F60" s="62">
        <f>表2_36716262930389[[#This Row],[累计净值]]</f>
        <v>1.0271999999999999</v>
      </c>
      <c r="G60" s="20">
        <f>表2_36716262930389[[#This Row],[累计净值]]/$B$21-1</f>
        <v>1.3317549570878828E-2</v>
      </c>
    </row>
    <row r="61" spans="1:7" x14ac:dyDescent="0.2">
      <c r="A61" s="15">
        <v>43774</v>
      </c>
      <c r="B61" s="16">
        <v>1.0265</v>
      </c>
      <c r="C61" s="73">
        <f t="shared" si="10"/>
        <v>-6.9999999999992291E-4</v>
      </c>
      <c r="D61" s="18">
        <f t="shared" si="11"/>
        <v>-6.9999999999992291E-4</v>
      </c>
      <c r="E61" s="18">
        <f ca="1">IF(表2_36716262930389[[#This Row],[累计净值]]/MAX(INDIRECT("B21:B" &amp; ROW()))-1&lt;E60,表2_36716262930389[[#This Row],[累计净值]]/MAX(INDIRECT("B21:B" &amp; ROW()))-1,E60)</f>
        <v>-5.5161544523246731E-3</v>
      </c>
      <c r="F61" s="62">
        <f>表2_36716262930389[[#This Row],[累计净值]]</f>
        <v>1.0265</v>
      </c>
      <c r="G61" s="20">
        <f>表2_36716262930389[[#This Row],[累计净值]]/$B$21-1</f>
        <v>1.2627009963499969E-2</v>
      </c>
    </row>
    <row r="62" spans="1:7" x14ac:dyDescent="0.2">
      <c r="A62" s="15">
        <v>43775</v>
      </c>
      <c r="B62" s="16">
        <v>1.0407</v>
      </c>
      <c r="C62" s="73">
        <f t="shared" si="10"/>
        <v>1.419999999999999E-2</v>
      </c>
      <c r="D62" s="18" t="str">
        <f t="shared" si="11"/>
        <v>/</v>
      </c>
      <c r="E62" s="18">
        <f ca="1">IF(表2_36716262930389[[#This Row],[累计净值]]/MAX(INDIRECT("B21:B" &amp; ROW()))-1&lt;E61,表2_36716262930389[[#This Row],[累计净值]]/MAX(INDIRECT("B21:B" &amp; ROW()))-1,E61)</f>
        <v>-5.5161544523246731E-3</v>
      </c>
      <c r="F62" s="62">
        <f>表2_36716262930389[[#This Row],[累计净值]]</f>
        <v>1.0407</v>
      </c>
      <c r="G62" s="20">
        <f>表2_36716262930389[[#This Row],[累计净值]]/$B$21-1</f>
        <v>2.6635099141757879E-2</v>
      </c>
    </row>
    <row r="63" spans="1:7" x14ac:dyDescent="0.2">
      <c r="A63" s="15">
        <v>43776</v>
      </c>
      <c r="B63" s="16">
        <v>1.044</v>
      </c>
      <c r="C63" s="73">
        <f t="shared" si="10"/>
        <v>3.3000000000000806E-3</v>
      </c>
      <c r="D63" s="18" t="str">
        <f t="shared" si="11"/>
        <v>/</v>
      </c>
      <c r="E63" s="18">
        <f ca="1">IF(表2_36716262930389[[#This Row],[累计净值]]/MAX(INDIRECT("B21:B" &amp; ROW()))-1&lt;E62,表2_36716262930389[[#This Row],[累计净值]]/MAX(INDIRECT("B21:B" &amp; ROW()))-1,E62)</f>
        <v>-5.5161544523246731E-3</v>
      </c>
      <c r="F63" s="62">
        <f>表2_36716262930389[[#This Row],[累计净值]]</f>
        <v>1.044</v>
      </c>
      <c r="G63" s="20">
        <f>表2_36716262930389[[#This Row],[累计净值]]/$B$21-1</f>
        <v>2.9890500147972787E-2</v>
      </c>
    </row>
    <row r="64" spans="1:7" x14ac:dyDescent="0.2">
      <c r="A64" s="15">
        <v>43777</v>
      </c>
      <c r="B64" s="16">
        <v>1.0468</v>
      </c>
      <c r="C64" s="73">
        <f t="shared" si="10"/>
        <v>2.7999999999999137E-3</v>
      </c>
      <c r="D64" s="18" t="str">
        <f t="shared" si="11"/>
        <v>/</v>
      </c>
      <c r="E64" s="18">
        <f ca="1">IF(表2_36716262930389[[#This Row],[累计净值]]/MAX(INDIRECT("B21:B" &amp; ROW()))-1&lt;E63,表2_36716262930389[[#This Row],[累计净值]]/MAX(INDIRECT("B21:B" &amp; ROW()))-1,E63)</f>
        <v>-5.5161544523246731E-3</v>
      </c>
      <c r="F64" s="62">
        <f>表2_36716262930389[[#This Row],[累计净值]]</f>
        <v>1.0468</v>
      </c>
      <c r="G64" s="20">
        <f>表2_36716262930389[[#This Row],[累计净值]]/$B$21-1</f>
        <v>3.2652658577488225E-2</v>
      </c>
    </row>
    <row r="65" spans="1:7" x14ac:dyDescent="0.2">
      <c r="A65" s="15">
        <v>43780</v>
      </c>
      <c r="B65" s="16">
        <v>1.0498000000000001</v>
      </c>
      <c r="C65" s="73">
        <f t="shared" si="10"/>
        <v>3.0000000000001137E-3</v>
      </c>
      <c r="D65" s="18" t="str">
        <f t="shared" si="11"/>
        <v>/</v>
      </c>
      <c r="E65" s="18">
        <f ca="1">IF(表2_36716262930389[[#This Row],[累计净值]]/MAX(INDIRECT("B21:B" &amp; ROW()))-1&lt;E64,表2_36716262930389[[#This Row],[累计净值]]/MAX(INDIRECT("B21:B" &amp; ROW()))-1,E64)</f>
        <v>-5.5161544523246731E-3</v>
      </c>
      <c r="F65" s="62">
        <f>表2_36716262930389[[#This Row],[累计净值]]</f>
        <v>1.0498000000000001</v>
      </c>
      <c r="G65" s="20">
        <f>表2_36716262930389[[#This Row],[累计净值]]/$B$21-1</f>
        <v>3.5612114037683718E-2</v>
      </c>
    </row>
    <row r="66" spans="1:7" x14ac:dyDescent="0.2">
      <c r="A66" s="15">
        <v>43781</v>
      </c>
      <c r="B66" s="16">
        <v>1.0548</v>
      </c>
      <c r="C66" s="73">
        <f t="shared" si="10"/>
        <v>4.9999999999998934E-3</v>
      </c>
      <c r="D66" s="18" t="str">
        <f t="shared" si="11"/>
        <v>/</v>
      </c>
      <c r="E66" s="18">
        <f ca="1">IF(表2_36716262930389[[#This Row],[累计净值]]/MAX(INDIRECT("B21:B" &amp; ROW()))-1&lt;E65,表2_36716262930389[[#This Row],[累计净值]]/MAX(INDIRECT("B21:B" &amp; ROW()))-1,E65)</f>
        <v>-5.5161544523246731E-3</v>
      </c>
      <c r="F66" s="62">
        <f>表2_36716262930389[[#This Row],[累计净值]]</f>
        <v>1.0548</v>
      </c>
      <c r="G66" s="20">
        <f>表2_36716262930389[[#This Row],[累计净值]]/$B$21-1</f>
        <v>4.0544539804675761E-2</v>
      </c>
    </row>
    <row r="67" spans="1:7" x14ac:dyDescent="0.2">
      <c r="A67" s="15">
        <v>43782</v>
      </c>
      <c r="B67" s="16">
        <v>1.0577000000000001</v>
      </c>
      <c r="C67" s="73">
        <f t="shared" ref="C67:C72" si="12">IFERROR(B67-B66,0)</f>
        <v>2.9000000000001247E-3</v>
      </c>
      <c r="D67" s="18" t="str">
        <f t="shared" ref="D67:D72" si="13">IF(C67&lt;0,C67,"/")</f>
        <v>/</v>
      </c>
      <c r="E67" s="18">
        <f ca="1">IF(表2_36716262930389[[#This Row],[累计净值]]/MAX(INDIRECT("B21:B" &amp; ROW()))-1&lt;E66,表2_36716262930389[[#This Row],[累计净值]]/MAX(INDIRECT("B21:B" &amp; ROW()))-1,E66)</f>
        <v>-5.5161544523246731E-3</v>
      </c>
      <c r="F67" s="62">
        <f>表2_36716262930389[[#This Row],[累计净值]]</f>
        <v>1.0577000000000001</v>
      </c>
      <c r="G67" s="20">
        <f>表2_36716262930389[[#This Row],[累计净值]]/$B$21-1</f>
        <v>4.3405346749531448E-2</v>
      </c>
    </row>
    <row r="68" spans="1:7" x14ac:dyDescent="0.2">
      <c r="A68" s="15">
        <v>43783</v>
      </c>
      <c r="B68" s="16">
        <v>1.0593999999999999</v>
      </c>
      <c r="C68" s="73">
        <f t="shared" si="12"/>
        <v>1.6999999999998128E-3</v>
      </c>
      <c r="D68" s="18" t="str">
        <f t="shared" si="13"/>
        <v>/</v>
      </c>
      <c r="E68" s="18">
        <f ca="1">IF(表2_36716262930389[[#This Row],[累计净值]]/MAX(INDIRECT("B21:B" &amp; ROW()))-1&lt;E67,表2_36716262930389[[#This Row],[累计净值]]/MAX(INDIRECT("B21:B" &amp; ROW()))-1,E67)</f>
        <v>-5.5161544523246731E-3</v>
      </c>
      <c r="F68" s="62">
        <f>表2_36716262930389[[#This Row],[累计净值]]</f>
        <v>1.0593999999999999</v>
      </c>
      <c r="G68" s="20">
        <f>表2_36716262930389[[#This Row],[累计净值]]/$B$21-1</f>
        <v>4.5082371510308583E-2</v>
      </c>
    </row>
    <row r="69" spans="1:7" x14ac:dyDescent="0.2">
      <c r="A69" s="15">
        <v>43784</v>
      </c>
      <c r="B69" s="16">
        <v>1.0615000000000001</v>
      </c>
      <c r="C69" s="73">
        <f t="shared" si="12"/>
        <v>2.1000000000002128E-3</v>
      </c>
      <c r="D69" s="18" t="str">
        <f t="shared" si="13"/>
        <v>/</v>
      </c>
      <c r="E69" s="18">
        <f ca="1">IF(表2_36716262930389[[#This Row],[累计净值]]/MAX(INDIRECT("B21:B" &amp; ROW()))-1&lt;E68,表2_36716262930389[[#This Row],[累计净值]]/MAX(INDIRECT("B21:B" &amp; ROW()))-1,E68)</f>
        <v>-5.5161544523246731E-3</v>
      </c>
      <c r="F69" s="62">
        <f>表2_36716262930389[[#This Row],[累计净值]]</f>
        <v>1.0615000000000001</v>
      </c>
      <c r="G69" s="20">
        <f>表2_36716262930389[[#This Row],[累计净值]]/$B$21-1</f>
        <v>4.7153990332445606E-2</v>
      </c>
    </row>
    <row r="70" spans="1:7" x14ac:dyDescent="0.2">
      <c r="A70" s="15">
        <v>43787</v>
      </c>
      <c r="B70" s="16">
        <v>1.0630999999999999</v>
      </c>
      <c r="C70" s="73">
        <f t="shared" si="12"/>
        <v>1.5999999999998238E-3</v>
      </c>
      <c r="D70" s="18" t="str">
        <f t="shared" si="13"/>
        <v>/</v>
      </c>
      <c r="E70" s="18">
        <f ca="1">IF(表2_36716262930389[[#This Row],[累计净值]]/MAX(INDIRECT("B21:B" &amp; ROW()))-1&lt;E69,表2_36716262930389[[#This Row],[累计净值]]/MAX(INDIRECT("B21:B" &amp; ROW()))-1,E69)</f>
        <v>-5.5161544523246731E-3</v>
      </c>
      <c r="F70" s="62">
        <f>表2_36716262930389[[#This Row],[累计净值]]</f>
        <v>1.0630999999999999</v>
      </c>
      <c r="G70" s="20">
        <f>表2_36716262930389[[#This Row],[累计净值]]/$B$21-1</f>
        <v>4.8732366577882935E-2</v>
      </c>
    </row>
    <row r="71" spans="1:7" x14ac:dyDescent="0.2">
      <c r="A71" s="15">
        <v>43788</v>
      </c>
      <c r="B71" s="16">
        <v>1.0642</v>
      </c>
      <c r="C71" s="73">
        <f t="shared" si="12"/>
        <v>1.1000000000001009E-3</v>
      </c>
      <c r="D71" s="18" t="str">
        <f t="shared" si="13"/>
        <v>/</v>
      </c>
      <c r="E71" s="18">
        <f ca="1">IF(表2_36716262930389[[#This Row],[累计净值]]/MAX(INDIRECT("B21:B" &amp; ROW()))-1&lt;E70,表2_36716262930389[[#This Row],[累计净值]]/MAX(INDIRECT("B21:B" &amp; ROW()))-1,E70)</f>
        <v>-5.5161544523246731E-3</v>
      </c>
      <c r="F71" s="62">
        <f>表2_36716262930389[[#This Row],[累计净值]]</f>
        <v>1.0642</v>
      </c>
      <c r="G71" s="20">
        <f>表2_36716262930389[[#This Row],[累计净值]]/$B$21-1</f>
        <v>4.9817500246621238E-2</v>
      </c>
    </row>
    <row r="72" spans="1:7" x14ac:dyDescent="0.2">
      <c r="A72" s="15">
        <v>43789</v>
      </c>
      <c r="B72" s="16">
        <v>1.0654999999999999</v>
      </c>
      <c r="C72" s="73">
        <f t="shared" si="12"/>
        <v>1.2999999999998568E-3</v>
      </c>
      <c r="D72" s="18" t="str">
        <f t="shared" si="13"/>
        <v>/</v>
      </c>
      <c r="E72" s="18">
        <f ca="1">IF(表2_36716262930389[[#This Row],[累计净值]]/MAX(INDIRECT("B21:B" &amp; ROW()))-1&lt;E71,表2_36716262930389[[#This Row],[累计净值]]/MAX(INDIRECT("B21:B" &amp; ROW()))-1,E71)</f>
        <v>-5.5161544523246731E-3</v>
      </c>
      <c r="F72" s="62">
        <f>表2_36716262930389[[#This Row],[累计净值]]</f>
        <v>1.0654999999999999</v>
      </c>
      <c r="G72" s="20">
        <f>表2_36716262930389[[#This Row],[累计净值]]/$B$21-1</f>
        <v>5.1099930946039152E-2</v>
      </c>
    </row>
    <row r="73" spans="1:7" x14ac:dyDescent="0.2">
      <c r="A73" s="15">
        <v>43790</v>
      </c>
      <c r="B73" s="16">
        <v>1.0657000000000001</v>
      </c>
      <c r="C73" s="73">
        <f t="shared" ref="C73:C82" si="14">IFERROR(B73-B72,0)</f>
        <v>2.0000000000020002E-4</v>
      </c>
      <c r="D73" s="18" t="str">
        <f t="shared" ref="D73:D82" si="15">IF(C73&lt;0,C73,"/")</f>
        <v>/</v>
      </c>
      <c r="E73" s="18">
        <f ca="1">IF(表2_36716262930389[[#This Row],[累计净值]]/MAX(INDIRECT("B21:B" &amp; ROW()))-1&lt;E72,表2_36716262930389[[#This Row],[累计净值]]/MAX(INDIRECT("B21:B" &amp; ROW()))-1,E72)</f>
        <v>-5.5161544523246731E-3</v>
      </c>
      <c r="F73" s="62">
        <f>表2_36716262930389[[#This Row],[累计净值]]</f>
        <v>1.0657000000000001</v>
      </c>
      <c r="G73" s="20">
        <f>表2_36716262930389[[#This Row],[累计净值]]/$B$21-1</f>
        <v>5.1297227976718984E-2</v>
      </c>
    </row>
    <row r="74" spans="1:7" x14ac:dyDescent="0.2">
      <c r="A74" s="15">
        <v>43791</v>
      </c>
      <c r="B74" s="16">
        <v>1.0669999999999999</v>
      </c>
      <c r="C74" s="73">
        <f t="shared" si="14"/>
        <v>1.2999999999998568E-3</v>
      </c>
      <c r="D74" s="18" t="str">
        <f t="shared" si="15"/>
        <v>/</v>
      </c>
      <c r="E74" s="18">
        <f ca="1">IF(表2_36716262930389[[#This Row],[累计净值]]/MAX(INDIRECT("B21:B" &amp; ROW()))-1&lt;E73,表2_36716262930389[[#This Row],[累计净值]]/MAX(INDIRECT("B21:B" &amp; ROW()))-1,E73)</f>
        <v>-5.5161544523246731E-3</v>
      </c>
      <c r="F74" s="62">
        <f>表2_36716262930389[[#This Row],[累计净值]]</f>
        <v>1.0669999999999999</v>
      </c>
      <c r="G74" s="20">
        <f>表2_36716262930389[[#This Row],[累计净值]]/$B$21-1</f>
        <v>5.2579658676136898E-2</v>
      </c>
    </row>
    <row r="75" spans="1:7" x14ac:dyDescent="0.2">
      <c r="A75" s="15">
        <v>43794</v>
      </c>
      <c r="B75" s="16">
        <v>1.0668</v>
      </c>
      <c r="C75" s="73">
        <f t="shared" si="14"/>
        <v>-1.9999999999997797E-4</v>
      </c>
      <c r="D75" s="18">
        <f t="shared" si="15"/>
        <v>-1.9999999999997797E-4</v>
      </c>
      <c r="E75" s="18">
        <f ca="1">IF(表2_36716262930389[[#This Row],[累计净值]]/MAX(INDIRECT("B21:B" &amp; ROW()))-1&lt;E74,表2_36716262930389[[#This Row],[累计净值]]/MAX(INDIRECT("B21:B" &amp; ROW()))-1,E74)</f>
        <v>-5.5161544523246731E-3</v>
      </c>
      <c r="F75" s="62">
        <f>表2_36716262930389[[#This Row],[累计净值]]</f>
        <v>1.0668</v>
      </c>
      <c r="G75" s="20">
        <f>表2_36716262930389[[#This Row],[累计净值]]/$B$21-1</f>
        <v>5.2382361645457065E-2</v>
      </c>
    </row>
    <row r="76" spans="1:7" x14ac:dyDescent="0.2">
      <c r="A76" s="15">
        <v>43795</v>
      </c>
      <c r="B76" s="16">
        <v>1.0672999999999999</v>
      </c>
      <c r="C76" s="73">
        <f t="shared" si="14"/>
        <v>4.9999999999994493E-4</v>
      </c>
      <c r="D76" s="18" t="str">
        <f t="shared" si="15"/>
        <v>/</v>
      </c>
      <c r="E76" s="18">
        <f ca="1">IF(表2_36716262930389[[#This Row],[累计净值]]/MAX(INDIRECT("B21:B" &amp; ROW()))-1&lt;E75,表2_36716262930389[[#This Row],[累计净值]]/MAX(INDIRECT("B21:B" &amp; ROW()))-1,E75)</f>
        <v>-5.5161544523246731E-3</v>
      </c>
      <c r="F76" s="62">
        <f>表2_36716262930389[[#This Row],[累计净值]]</f>
        <v>1.0672999999999999</v>
      </c>
      <c r="G76" s="20">
        <f>表2_36716262930389[[#This Row],[累计净值]]/$B$21-1</f>
        <v>5.2875604222156314E-2</v>
      </c>
    </row>
    <row r="77" spans="1:7" x14ac:dyDescent="0.2">
      <c r="A77" s="15">
        <v>43796</v>
      </c>
      <c r="B77" s="16">
        <v>1.07</v>
      </c>
      <c r="C77" s="73">
        <f t="shared" si="14"/>
        <v>2.7000000000001467E-3</v>
      </c>
      <c r="D77" s="18" t="str">
        <f t="shared" si="15"/>
        <v>/</v>
      </c>
      <c r="E77" s="18">
        <f ca="1">IF(表2_36716262930389[[#This Row],[累计净值]]/MAX(INDIRECT("B21:B" &amp; ROW()))-1&lt;E76,表2_36716262930389[[#This Row],[累计净值]]/MAX(INDIRECT("B21:B" &amp; ROW()))-1,E76)</f>
        <v>-5.5161544523246731E-3</v>
      </c>
      <c r="F77" s="62">
        <f>表2_36716262930389[[#This Row],[累计净值]]</f>
        <v>1.07</v>
      </c>
      <c r="G77" s="20">
        <f>表2_36716262930389[[#This Row],[累计净值]]/$B$21-1</f>
        <v>5.5539114136332168E-2</v>
      </c>
    </row>
    <row r="78" spans="1:7" x14ac:dyDescent="0.2">
      <c r="A78" s="15">
        <v>43797</v>
      </c>
      <c r="B78" s="16">
        <v>1.0696000000000001</v>
      </c>
      <c r="C78" s="73">
        <f t="shared" si="14"/>
        <v>-3.9999999999995595E-4</v>
      </c>
      <c r="D78" s="18">
        <f t="shared" si="15"/>
        <v>-3.9999999999995595E-4</v>
      </c>
      <c r="E78" s="18">
        <f ca="1">IF(表2_36716262930389[[#This Row],[累计净值]]/MAX(INDIRECT("B21:B" &amp; ROW()))-1&lt;E77,表2_36716262930389[[#This Row],[累计净值]]/MAX(INDIRECT("B21:B" &amp; ROW()))-1,E77)</f>
        <v>-5.5161544523246731E-3</v>
      </c>
      <c r="F78" s="62">
        <f>表2_36716262930389[[#This Row],[累计净值]]</f>
        <v>1.0696000000000001</v>
      </c>
      <c r="G78" s="20">
        <f>表2_36716262930389[[#This Row],[累计净值]]/$B$21-1</f>
        <v>5.5144520074972947E-2</v>
      </c>
    </row>
    <row r="79" spans="1:7" x14ac:dyDescent="0.2">
      <c r="A79" s="15">
        <v>43798</v>
      </c>
      <c r="B79" s="16">
        <v>1.069</v>
      </c>
      <c r="C79" s="73">
        <f t="shared" si="14"/>
        <v>-6.0000000000015596E-4</v>
      </c>
      <c r="D79" s="18">
        <f t="shared" si="15"/>
        <v>-6.0000000000015596E-4</v>
      </c>
      <c r="E79" s="18">
        <f ca="1">IF(表2_36716262930389[[#This Row],[累计净值]]/MAX(INDIRECT("B21:B" &amp; ROW()))-1&lt;E78,表2_36716262930389[[#This Row],[累计净值]]/MAX(INDIRECT("B21:B" &amp; ROW()))-1,E78)</f>
        <v>-5.5161544523246731E-3</v>
      </c>
      <c r="F79" s="62">
        <f>表2_36716262930389[[#This Row],[累计净值]]</f>
        <v>1.069</v>
      </c>
      <c r="G79" s="20">
        <f>表2_36716262930389[[#This Row],[累计净值]]/$B$21-1</f>
        <v>5.4552628982933671E-2</v>
      </c>
    </row>
    <row r="80" spans="1:7" x14ac:dyDescent="0.2">
      <c r="A80" s="15">
        <v>43801</v>
      </c>
      <c r="B80" s="16">
        <v>1.0704</v>
      </c>
      <c r="C80" s="73">
        <f t="shared" si="14"/>
        <v>1.4000000000000679E-3</v>
      </c>
      <c r="D80" s="18" t="str">
        <f t="shared" si="15"/>
        <v>/</v>
      </c>
      <c r="E80" s="18">
        <f ca="1">IF(表2_36716262930389[[#This Row],[累计净值]]/MAX(INDIRECT("B21:B" &amp; ROW()))-1&lt;E79,表2_36716262930389[[#This Row],[累计净值]]/MAX(INDIRECT("B21:B" &amp; ROW()))-1,E79)</f>
        <v>-5.5161544523246731E-3</v>
      </c>
      <c r="F80" s="62">
        <f>表2_36716262930389[[#This Row],[累计净值]]</f>
        <v>1.0704</v>
      </c>
      <c r="G80" s="20">
        <f>表2_36716262930389[[#This Row],[累计净值]]/$B$21-1</f>
        <v>5.5933708197691612E-2</v>
      </c>
    </row>
    <row r="81" spans="1:7" x14ac:dyDescent="0.2">
      <c r="A81" s="15">
        <v>43802</v>
      </c>
      <c r="B81" s="16">
        <v>1.073</v>
      </c>
      <c r="C81" s="73">
        <f t="shared" si="14"/>
        <v>2.5999999999999357E-3</v>
      </c>
      <c r="D81" s="18" t="str">
        <f t="shared" si="15"/>
        <v>/</v>
      </c>
      <c r="E81" s="18">
        <f ca="1">IF(表2_36716262930389[[#This Row],[累计净值]]/MAX(INDIRECT("B21:B" &amp; ROW()))-1&lt;E80,表2_36716262930389[[#This Row],[累计净值]]/MAX(INDIRECT("B21:B" &amp; ROW()))-1,E80)</f>
        <v>-5.5161544523246731E-3</v>
      </c>
      <c r="F81" s="62">
        <f>表2_36716262930389[[#This Row],[累计净值]]</f>
        <v>1.073</v>
      </c>
      <c r="G81" s="20">
        <f>表2_36716262930389[[#This Row],[累计净值]]/$B$21-1</f>
        <v>5.8498569596527439E-2</v>
      </c>
    </row>
    <row r="82" spans="1:7" x14ac:dyDescent="0.2">
      <c r="A82" s="15">
        <v>43803</v>
      </c>
      <c r="B82" s="16">
        <v>1.0748</v>
      </c>
      <c r="C82" s="73">
        <f t="shared" si="14"/>
        <v>1.8000000000000238E-3</v>
      </c>
      <c r="D82" s="18" t="str">
        <f t="shared" si="15"/>
        <v>/</v>
      </c>
      <c r="E82" s="18">
        <f ca="1">IF(表2_36716262930389[[#This Row],[累计净值]]/MAX(INDIRECT("B21:B" &amp; ROW()))-1&lt;E81,表2_36716262930389[[#This Row],[累计净值]]/MAX(INDIRECT("B21:B" &amp; ROW()))-1,E81)</f>
        <v>-5.5161544523246731E-3</v>
      </c>
      <c r="F82" s="62">
        <f>表2_36716262930389[[#This Row],[累计净值]]</f>
        <v>1.0748</v>
      </c>
      <c r="G82" s="20">
        <f>表2_36716262930389[[#This Row],[累计净值]]/$B$21-1</f>
        <v>6.0274242872644601E-2</v>
      </c>
    </row>
    <row r="83" spans="1:7" x14ac:dyDescent="0.2">
      <c r="A83" s="15">
        <v>43804</v>
      </c>
      <c r="B83" s="16">
        <v>1.0774999999999999</v>
      </c>
      <c r="C83" s="73">
        <f t="shared" ref="C83:C88" si="16">IFERROR(B83-B82,0)</f>
        <v>2.6999999999999247E-3</v>
      </c>
      <c r="D83" s="18" t="str">
        <f t="shared" ref="D83:D88" si="17">IF(C83&lt;0,C83,"/")</f>
        <v>/</v>
      </c>
      <c r="E83" s="18">
        <f ca="1">IF(表2_36716262930389[[#This Row],[累计净值]]/MAX(INDIRECT("B21:B" &amp; ROW()))-1&lt;E82,表2_36716262930389[[#This Row],[累计净值]]/MAX(INDIRECT("B21:B" &amp; ROW()))-1,E82)</f>
        <v>-5.5161544523246731E-3</v>
      </c>
      <c r="F83" s="62">
        <f>表2_36716262930389[[#This Row],[累计净值]]</f>
        <v>1.0774999999999999</v>
      </c>
      <c r="G83" s="20">
        <f>表2_36716262930389[[#This Row],[累计净值]]/$B$21-1</f>
        <v>6.2937752786820456E-2</v>
      </c>
    </row>
    <row r="84" spans="1:7" x14ac:dyDescent="0.2">
      <c r="A84" s="15">
        <v>43805</v>
      </c>
      <c r="B84" s="79">
        <v>1.0779000000000001</v>
      </c>
      <c r="C84" s="73">
        <f t="shared" si="16"/>
        <v>4.0000000000017799E-4</v>
      </c>
      <c r="D84" s="18" t="str">
        <f t="shared" si="17"/>
        <v>/</v>
      </c>
      <c r="E84" s="18">
        <f ca="1">IF(表2_36716262930389[[#This Row],[累计净值]]/MAX(INDIRECT("B21:B" &amp; ROW()))-1&lt;E83,表2_36716262930389[[#This Row],[累计净值]]/MAX(INDIRECT("B21:B" &amp; ROW()))-1,E83)</f>
        <v>-5.5161544523246731E-3</v>
      </c>
      <c r="F84" s="62">
        <f>表2_36716262930389[[#This Row],[累计净值]]</f>
        <v>1.0779000000000001</v>
      </c>
      <c r="G84" s="20">
        <f>表2_36716262930389[[#This Row],[累计净值]]/$B$21-1</f>
        <v>6.3332346848179899E-2</v>
      </c>
    </row>
    <row r="85" spans="1:7" x14ac:dyDescent="0.2">
      <c r="A85" s="15">
        <v>43808</v>
      </c>
      <c r="B85" s="16">
        <v>1.0771999999999999</v>
      </c>
      <c r="C85" s="73">
        <f t="shared" si="16"/>
        <v>-7.0000000000014495E-4</v>
      </c>
      <c r="D85" s="18">
        <f t="shared" si="17"/>
        <v>-7.0000000000014495E-4</v>
      </c>
      <c r="E85" s="18">
        <f ca="1">IF(表2_36716262930389[[#This Row],[累计净值]]/MAX(INDIRECT("B21:B" &amp; ROW()))-1&lt;E84,表2_36716262930389[[#This Row],[累计净值]]/MAX(INDIRECT("B21:B" &amp; ROW()))-1,E84)</f>
        <v>-5.5161544523246731E-3</v>
      </c>
      <c r="F85" s="62">
        <f>表2_36716262930389[[#This Row],[累计净值]]</f>
        <v>1.0771999999999999</v>
      </c>
      <c r="G85" s="20">
        <f>表2_36716262930389[[#This Row],[累计净值]]/$B$21-1</f>
        <v>6.2641807240800818E-2</v>
      </c>
    </row>
    <row r="86" spans="1:7" x14ac:dyDescent="0.2">
      <c r="A86" s="15">
        <v>43809</v>
      </c>
      <c r="B86" s="16">
        <v>1.0777000000000001</v>
      </c>
      <c r="C86" s="73">
        <f t="shared" si="16"/>
        <v>5.0000000000016698E-4</v>
      </c>
      <c r="D86" s="18" t="str">
        <f t="shared" si="17"/>
        <v>/</v>
      </c>
      <c r="E86" s="18">
        <f ca="1">IF(表2_36716262930389[[#This Row],[累计净值]]/MAX(INDIRECT("B21:B" &amp; ROW()))-1&lt;E85,表2_36716262930389[[#This Row],[累计净值]]/MAX(INDIRECT("B21:B" &amp; ROW()))-1,E85)</f>
        <v>-5.5161544523246731E-3</v>
      </c>
      <c r="F86" s="62">
        <f>表2_36716262930389[[#This Row],[累计净值]]</f>
        <v>1.0777000000000001</v>
      </c>
      <c r="G86" s="20">
        <f>表2_36716262930389[[#This Row],[累计净值]]/$B$21-1</f>
        <v>6.3135049817500288E-2</v>
      </c>
    </row>
    <row r="87" spans="1:7" x14ac:dyDescent="0.2">
      <c r="A87" s="15">
        <v>43810</v>
      </c>
      <c r="B87" s="16">
        <v>1.0777000000000001</v>
      </c>
      <c r="C87" s="73">
        <f t="shared" si="16"/>
        <v>0</v>
      </c>
      <c r="D87" s="18" t="str">
        <f t="shared" si="17"/>
        <v>/</v>
      </c>
      <c r="E87" s="18">
        <f ca="1">IF(表2_36716262930389[[#This Row],[累计净值]]/MAX(INDIRECT("B21:B" &amp; ROW()))-1&lt;E86,表2_36716262930389[[#This Row],[累计净值]]/MAX(INDIRECT("B21:B" &amp; ROW()))-1,E86)</f>
        <v>-5.5161544523246731E-3</v>
      </c>
      <c r="F87" s="62">
        <f>表2_36716262930389[[#This Row],[累计净值]]</f>
        <v>1.0777000000000001</v>
      </c>
      <c r="G87" s="20">
        <f>表2_36716262930389[[#This Row],[累计净值]]/$B$21-1</f>
        <v>6.3135049817500288E-2</v>
      </c>
    </row>
    <row r="88" spans="1:7" x14ac:dyDescent="0.2">
      <c r="A88" s="15">
        <v>43811</v>
      </c>
      <c r="B88" s="16">
        <v>1.0775999999999999</v>
      </c>
      <c r="C88" s="73">
        <f t="shared" si="16"/>
        <v>-1.0000000000021103E-4</v>
      </c>
      <c r="D88" s="18">
        <f t="shared" si="17"/>
        <v>-1.0000000000021103E-4</v>
      </c>
      <c r="E88" s="18">
        <f ca="1">IF(表2_36716262930389[[#This Row],[累计净值]]/MAX(INDIRECT("B21:B" &amp; ROW()))-1&lt;E87,表2_36716262930389[[#This Row],[累计净值]]/MAX(INDIRECT("B21:B" &amp; ROW()))-1,E87)</f>
        <v>-5.5161544523246731E-3</v>
      </c>
      <c r="F88" s="62">
        <f>表2_36716262930389[[#This Row],[累计净值]]</f>
        <v>1.0775999999999999</v>
      </c>
      <c r="G88" s="20">
        <f>表2_36716262930389[[#This Row],[累计净值]]/$B$21-1</f>
        <v>6.3036401302160261E-2</v>
      </c>
    </row>
    <row r="89" spans="1:7" x14ac:dyDescent="0.2">
      <c r="A89" s="15">
        <v>43812</v>
      </c>
      <c r="B89" s="16">
        <v>1.0779000000000001</v>
      </c>
      <c r="C89" s="73">
        <f t="shared" ref="C89:C98" si="18">IFERROR(B89-B88,0)</f>
        <v>3.00000000000189E-4</v>
      </c>
      <c r="D89" s="18" t="str">
        <f t="shared" ref="D89:D98" si="19">IF(C89&lt;0,C89,"/")</f>
        <v>/</v>
      </c>
      <c r="E89" s="18">
        <f ca="1">IF(表2_36716262930389[[#This Row],[累计净值]]/MAX(INDIRECT("B21:B" &amp; ROW()))-1&lt;E88,表2_36716262930389[[#This Row],[累计净值]]/MAX(INDIRECT("B21:B" &amp; ROW()))-1,E88)</f>
        <v>-5.5161544523246731E-3</v>
      </c>
      <c r="F89" s="62">
        <f>表2_36716262930389[[#This Row],[累计净值]]</f>
        <v>1.0779000000000001</v>
      </c>
      <c r="G89" s="20">
        <f>表2_36716262930389[[#This Row],[累计净值]]/$B$21-1</f>
        <v>6.3332346848179899E-2</v>
      </c>
    </row>
    <row r="90" spans="1:7" x14ac:dyDescent="0.2">
      <c r="A90" s="15">
        <v>43815</v>
      </c>
      <c r="B90" s="16">
        <v>1.0769</v>
      </c>
      <c r="C90" s="73">
        <f t="shared" si="18"/>
        <v>-1.0000000000001119E-3</v>
      </c>
      <c r="D90" s="18">
        <f t="shared" si="19"/>
        <v>-1.0000000000001119E-3</v>
      </c>
      <c r="E90" s="18">
        <f ca="1">IF(表2_36716262930389[[#This Row],[累计净值]]/MAX(INDIRECT("B21:B" &amp; ROW()))-1&lt;E89,表2_36716262930389[[#This Row],[累计净值]]/MAX(INDIRECT("B21:B" &amp; ROW()))-1,E89)</f>
        <v>-5.5161544523246731E-3</v>
      </c>
      <c r="F90" s="62">
        <f>表2_36716262930389[[#This Row],[累计净值]]</f>
        <v>1.0769</v>
      </c>
      <c r="G90" s="20">
        <f>表2_36716262930389[[#This Row],[累计净值]]/$B$21-1</f>
        <v>6.2345861694781401E-2</v>
      </c>
    </row>
    <row r="91" spans="1:7" x14ac:dyDescent="0.2">
      <c r="A91" s="15">
        <v>43816</v>
      </c>
      <c r="B91" s="16">
        <v>1.0771999999999999</v>
      </c>
      <c r="C91" s="73">
        <f t="shared" si="18"/>
        <v>2.9999999999996696E-4</v>
      </c>
      <c r="D91" s="18" t="str">
        <f t="shared" si="19"/>
        <v>/</v>
      </c>
      <c r="E91" s="18">
        <f ca="1">IF(表2_36716262930389[[#This Row],[累计净值]]/MAX(INDIRECT("B21:B" &amp; ROW()))-1&lt;E90,表2_36716262930389[[#This Row],[累计净值]]/MAX(INDIRECT("B21:B" &amp; ROW()))-1,E90)</f>
        <v>-5.5161544523246731E-3</v>
      </c>
      <c r="F91" s="62">
        <f>表2_36716262930389[[#This Row],[累计净值]]</f>
        <v>1.0771999999999999</v>
      </c>
      <c r="G91" s="20">
        <f>表2_36716262930389[[#This Row],[累计净值]]/$B$21-1</f>
        <v>6.2641807240800818E-2</v>
      </c>
    </row>
    <row r="92" spans="1:7" x14ac:dyDescent="0.2">
      <c r="A92" s="15">
        <v>43817</v>
      </c>
      <c r="B92" s="16">
        <v>1.0781000000000001</v>
      </c>
      <c r="C92" s="73">
        <f t="shared" si="18"/>
        <v>9.0000000000012292E-4</v>
      </c>
      <c r="D92" s="18" t="str">
        <f t="shared" si="19"/>
        <v>/</v>
      </c>
      <c r="E92" s="18">
        <f ca="1">IF(表2_36716262930389[[#This Row],[累计净值]]/MAX(INDIRECT("B21:B" &amp; ROW()))-1&lt;E91,表2_36716262930389[[#This Row],[累计净值]]/MAX(INDIRECT("B21:B" &amp; ROW()))-1,E91)</f>
        <v>-5.5161544523246731E-3</v>
      </c>
      <c r="F92" s="62">
        <f>表2_36716262930389[[#This Row],[累计净值]]</f>
        <v>1.0781000000000001</v>
      </c>
      <c r="G92" s="20">
        <f>表2_36716262930389[[#This Row],[累计净值]]/$B$21-1</f>
        <v>6.3529643878859732E-2</v>
      </c>
    </row>
    <row r="93" spans="1:7" x14ac:dyDescent="0.2">
      <c r="A93" s="15">
        <v>43818</v>
      </c>
      <c r="B93" s="16">
        <v>1.0763</v>
      </c>
      <c r="C93" s="73">
        <f t="shared" si="18"/>
        <v>-1.8000000000000238E-3</v>
      </c>
      <c r="D93" s="18">
        <f t="shared" si="19"/>
        <v>-1.8000000000000238E-3</v>
      </c>
      <c r="E93" s="18">
        <f ca="1">IF(表2_36716262930389[[#This Row],[累计净值]]/MAX(INDIRECT("B21:B" &amp; ROW()))-1&lt;E92,表2_36716262930389[[#This Row],[累计净值]]/MAX(INDIRECT("B21:B" &amp; ROW()))-1,E92)</f>
        <v>-5.5161544523246731E-3</v>
      </c>
      <c r="F93" s="62">
        <f>表2_36716262930389[[#This Row],[累计净值]]</f>
        <v>1.0763</v>
      </c>
      <c r="G93" s="20">
        <f>表2_36716262930389[[#This Row],[累计净值]]/$B$21-1</f>
        <v>6.1753970602742347E-2</v>
      </c>
    </row>
    <row r="94" spans="1:7" x14ac:dyDescent="0.2">
      <c r="A94" s="15">
        <v>43819</v>
      </c>
      <c r="B94" s="79">
        <v>1.0790999999999999</v>
      </c>
      <c r="C94" s="73">
        <f t="shared" si="18"/>
        <v>2.7999999999999137E-3</v>
      </c>
      <c r="D94" s="18" t="str">
        <f t="shared" si="19"/>
        <v>/</v>
      </c>
      <c r="E94" s="18">
        <f ca="1">IF(表2_36716262930389[[#This Row],[累计净值]]/MAX(INDIRECT("B21:B" &amp; ROW()))-1&lt;E93,表2_36716262930389[[#This Row],[累计净值]]/MAX(INDIRECT("B21:B" &amp; ROW()))-1,E93)</f>
        <v>-5.5161544523246731E-3</v>
      </c>
      <c r="F94" s="62">
        <f>表2_36716262930389[[#This Row],[累计净值]]</f>
        <v>1.0790999999999999</v>
      </c>
      <c r="G94" s="20">
        <f>表2_36716262930389[[#This Row],[累计净值]]/$B$21-1</f>
        <v>6.4516129032258007E-2</v>
      </c>
    </row>
    <row r="95" spans="1:7" x14ac:dyDescent="0.2">
      <c r="A95" s="15">
        <v>43822</v>
      </c>
      <c r="B95" s="16">
        <v>1.0783</v>
      </c>
      <c r="C95" s="73">
        <f t="shared" si="18"/>
        <v>-7.9999999999991189E-4</v>
      </c>
      <c r="D95" s="18">
        <f t="shared" si="19"/>
        <v>-7.9999999999991189E-4</v>
      </c>
      <c r="E95" s="18">
        <f ca="1">IF(表2_36716262930389[[#This Row],[累计净值]]/MAX(INDIRECT("B21:B" &amp; ROW()))-1&lt;E94,表2_36716262930389[[#This Row],[累计净值]]/MAX(INDIRECT("B21:B" &amp; ROW()))-1,E94)</f>
        <v>-5.5161544523246731E-3</v>
      </c>
      <c r="F95" s="62">
        <f>表2_36716262930389[[#This Row],[累计净值]]</f>
        <v>1.0783</v>
      </c>
      <c r="G95" s="20">
        <f>表2_36716262930389[[#This Row],[累计净值]]/$B$21-1</f>
        <v>6.3726940909539342E-2</v>
      </c>
    </row>
    <row r="96" spans="1:7" x14ac:dyDescent="0.2">
      <c r="A96" s="15">
        <v>43823</v>
      </c>
      <c r="B96" s="16">
        <v>1.0788</v>
      </c>
      <c r="C96" s="73">
        <f t="shared" si="18"/>
        <v>4.9999999999994493E-4</v>
      </c>
      <c r="D96" s="18" t="str">
        <f t="shared" si="19"/>
        <v>/</v>
      </c>
      <c r="E96" s="18">
        <f ca="1">IF(表2_36716262930389[[#This Row],[累计净值]]/MAX(INDIRECT("B21:B" &amp; ROW()))-1&lt;E95,表2_36716262930389[[#This Row],[累计净值]]/MAX(INDIRECT("B21:B" &amp; ROW()))-1,E95)</f>
        <v>-5.5161544523246731E-3</v>
      </c>
      <c r="F96" s="62">
        <f>表2_36716262930389[[#This Row],[累计净值]]</f>
        <v>1.0788</v>
      </c>
      <c r="G96" s="20">
        <f>表2_36716262930389[[#This Row],[累计净值]]/$B$21-1</f>
        <v>6.4220183486238369E-2</v>
      </c>
    </row>
    <row r="97" spans="1:7" x14ac:dyDescent="0.2">
      <c r="A97" s="15">
        <v>43824</v>
      </c>
      <c r="B97" s="79">
        <v>1.0795999999999999</v>
      </c>
      <c r="C97" s="73">
        <f t="shared" si="18"/>
        <v>7.9999999999991189E-4</v>
      </c>
      <c r="D97" s="18" t="str">
        <f t="shared" si="19"/>
        <v>/</v>
      </c>
      <c r="E97" s="18">
        <f ca="1">IF(表2_36716262930389[[#This Row],[累计净值]]/MAX(INDIRECT("B21:B" &amp; ROW()))-1&lt;E96,表2_36716262930389[[#This Row],[累计净值]]/MAX(INDIRECT("B21:B" &amp; ROW()))-1,E96)</f>
        <v>-5.5161544523246731E-3</v>
      </c>
      <c r="F97" s="62">
        <f>表2_36716262930389[[#This Row],[累计净值]]</f>
        <v>1.0795999999999999</v>
      </c>
      <c r="G97" s="20">
        <f>表2_36716262930389[[#This Row],[累计净值]]/$B$21-1</f>
        <v>6.5009371608957034E-2</v>
      </c>
    </row>
    <row r="98" spans="1:7" x14ac:dyDescent="0.2">
      <c r="A98" s="15">
        <v>43825</v>
      </c>
      <c r="B98" s="16">
        <v>1.0784</v>
      </c>
      <c r="C98" s="73">
        <f t="shared" si="18"/>
        <v>-1.1999999999998678E-3</v>
      </c>
      <c r="D98" s="18">
        <f t="shared" si="19"/>
        <v>-1.1999999999998678E-3</v>
      </c>
      <c r="E98" s="18">
        <f ca="1">IF(表2_36716262930389[[#This Row],[累计净值]]/MAX(INDIRECT("B21:B" &amp; ROW()))-1&lt;E97,表2_36716262930389[[#This Row],[累计净值]]/MAX(INDIRECT("B21:B" &amp; ROW()))-1,E97)</f>
        <v>-5.5161544523246731E-3</v>
      </c>
      <c r="F98" s="62">
        <f>表2_36716262930389[[#This Row],[累计净值]]</f>
        <v>1.0784</v>
      </c>
      <c r="G98" s="20">
        <f>表2_36716262930389[[#This Row],[累计净值]]/$B$21-1</f>
        <v>6.3825589424879148E-2</v>
      </c>
    </row>
    <row r="99" spans="1:7" x14ac:dyDescent="0.2">
      <c r="A99" s="15">
        <v>43826</v>
      </c>
      <c r="B99" s="16">
        <v>1.0784</v>
      </c>
      <c r="C99" s="73">
        <f t="shared" ref="C99:C104" si="20">IFERROR(B99-B98,0)</f>
        <v>0</v>
      </c>
      <c r="D99" s="18" t="str">
        <f t="shared" ref="D99:D104" si="21">IF(C99&lt;0,C99,"/")</f>
        <v>/</v>
      </c>
      <c r="E99" s="18">
        <f ca="1">IF(表2_36716262930389[[#This Row],[累计净值]]/MAX(INDIRECT("B21:B" &amp; ROW()))-1&lt;E98,表2_36716262930389[[#This Row],[累计净值]]/MAX(INDIRECT("B21:B" &amp; ROW()))-1,E98)</f>
        <v>-5.5161544523246731E-3</v>
      </c>
      <c r="F99" s="62">
        <f>表2_36716262930389[[#This Row],[累计净值]]</f>
        <v>1.0784</v>
      </c>
      <c r="G99" s="20">
        <f>表2_36716262930389[[#This Row],[累计净值]]/$B$21-1</f>
        <v>6.3825589424879148E-2</v>
      </c>
    </row>
    <row r="100" spans="1:7" x14ac:dyDescent="0.2">
      <c r="A100" s="15">
        <v>43829</v>
      </c>
      <c r="B100" s="16">
        <v>1.0793999999999999</v>
      </c>
      <c r="C100" s="73">
        <f t="shared" si="20"/>
        <v>9.9999999999988987E-4</v>
      </c>
      <c r="D100" s="18" t="str">
        <f t="shared" si="21"/>
        <v>/</v>
      </c>
      <c r="E100" s="18">
        <f ca="1">IF(表2_36716262930389[[#This Row],[累计净值]]/MAX(INDIRECT("B21:B" &amp; ROW()))-1&lt;E99,表2_36716262930389[[#This Row],[累计净值]]/MAX(INDIRECT("B21:B" &amp; ROW()))-1,E99)</f>
        <v>-5.5161544523246731E-3</v>
      </c>
      <c r="F100" s="62">
        <f>表2_36716262930389[[#This Row],[累计净值]]</f>
        <v>1.0793999999999999</v>
      </c>
      <c r="G100" s="20">
        <f>表2_36716262930389[[#This Row],[累计净值]]/$B$21-1</f>
        <v>6.4812074578277423E-2</v>
      </c>
    </row>
    <row r="101" spans="1:7" x14ac:dyDescent="0.2">
      <c r="A101" s="15">
        <v>43830</v>
      </c>
      <c r="B101" s="16">
        <v>1.08</v>
      </c>
      <c r="C101" s="73">
        <f t="shared" si="20"/>
        <v>6.0000000000015596E-4</v>
      </c>
      <c r="D101" s="18" t="str">
        <f t="shared" si="21"/>
        <v>/</v>
      </c>
      <c r="E101" s="18">
        <f ca="1">IF(表2_36716262930389[[#This Row],[累计净值]]/MAX(INDIRECT("B21:B" &amp; ROW()))-1&lt;E100,表2_36716262930389[[#This Row],[累计净值]]/MAX(INDIRECT("B21:B" &amp; ROW()))-1,E100)</f>
        <v>-5.5161544523246731E-3</v>
      </c>
      <c r="F101" s="62">
        <f>表2_36716262930389[[#This Row],[累计净值]]</f>
        <v>1.08</v>
      </c>
      <c r="G101" s="20">
        <f>表2_36716262930389[[#This Row],[累计净值]]/$B$21-1</f>
        <v>6.5403965670316699E-2</v>
      </c>
    </row>
    <row r="102" spans="1:7" x14ac:dyDescent="0.2">
      <c r="A102" s="15">
        <v>43832</v>
      </c>
      <c r="B102" s="79">
        <v>1.0814999999999999</v>
      </c>
      <c r="C102" s="73">
        <f t="shared" si="20"/>
        <v>1.4999999999998348E-3</v>
      </c>
      <c r="D102" s="18" t="str">
        <f t="shared" si="21"/>
        <v>/</v>
      </c>
      <c r="E102" s="18">
        <f ca="1">IF(表2_36716262930389[[#This Row],[累计净值]]/MAX(INDIRECT("B21:B" &amp; ROW()))-1&lt;E101,表2_36716262930389[[#This Row],[累计净值]]/MAX(INDIRECT("B21:B" &amp; ROW()))-1,E101)</f>
        <v>-5.5161544523246731E-3</v>
      </c>
      <c r="F102" s="62">
        <f>表2_36716262930389[[#This Row],[累计净值]]</f>
        <v>1.0814999999999999</v>
      </c>
      <c r="G102" s="20">
        <f>表2_36716262930389[[#This Row],[累计净值]]/$B$21-1</f>
        <v>6.6883693400414224E-2</v>
      </c>
    </row>
    <row r="103" spans="1:7" x14ac:dyDescent="0.2">
      <c r="A103" s="15">
        <v>43833</v>
      </c>
      <c r="B103" s="16">
        <v>1.0811999999999999</v>
      </c>
      <c r="C103" s="73">
        <f t="shared" si="20"/>
        <v>-2.9999999999996696E-4</v>
      </c>
      <c r="D103" s="18">
        <f t="shared" si="21"/>
        <v>-2.9999999999996696E-4</v>
      </c>
      <c r="E103" s="18">
        <f ca="1">IF(表2_36716262930389[[#This Row],[累计净值]]/MAX(INDIRECT("B21:B" &amp; ROW()))-1&lt;E102,表2_36716262930389[[#This Row],[累计净值]]/MAX(INDIRECT("B21:B" &amp; ROW()))-1,E102)</f>
        <v>-5.5161544523246731E-3</v>
      </c>
      <c r="F103" s="62">
        <f>表2_36716262930389[[#This Row],[累计净值]]</f>
        <v>1.0811999999999999</v>
      </c>
      <c r="G103" s="20">
        <f>表2_36716262930389[[#This Row],[累计净值]]/$B$21-1</f>
        <v>6.6587747854394586E-2</v>
      </c>
    </row>
    <row r="104" spans="1:7" x14ac:dyDescent="0.2">
      <c r="A104" s="15">
        <v>43836</v>
      </c>
      <c r="B104" s="16">
        <v>1.0806</v>
      </c>
      <c r="C104" s="73">
        <f t="shared" si="20"/>
        <v>-5.9999999999993392E-4</v>
      </c>
      <c r="D104" s="18">
        <f t="shared" si="21"/>
        <v>-5.9999999999993392E-4</v>
      </c>
      <c r="E104" s="18">
        <f ca="1">IF(表2_36716262930389[[#This Row],[累计净值]]/MAX(INDIRECT("B21:B" &amp; ROW()))-1&lt;E103,表2_36716262930389[[#This Row],[累计净值]]/MAX(INDIRECT("B21:B" &amp; ROW()))-1,E103)</f>
        <v>-5.5161544523246731E-3</v>
      </c>
      <c r="F104" s="62">
        <f>表2_36716262930389[[#This Row],[累计净值]]</f>
        <v>1.0806</v>
      </c>
      <c r="G104" s="20">
        <f>表2_36716262930389[[#This Row],[累计净值]]/$B$21-1</f>
        <v>6.5995856762355753E-2</v>
      </c>
    </row>
    <row r="105" spans="1:7" x14ac:dyDescent="0.2">
      <c r="A105" s="15">
        <v>43837</v>
      </c>
      <c r="B105" s="16">
        <v>1.0810999999999999</v>
      </c>
      <c r="C105" s="73">
        <f t="shared" ref="C105:C120" si="22">IFERROR(B105-B104,0)</f>
        <v>4.9999999999994493E-4</v>
      </c>
      <c r="D105" s="18" t="str">
        <f t="shared" ref="D105:D120" si="23">IF(C105&lt;0,C105,"/")</f>
        <v>/</v>
      </c>
      <c r="E105" s="18">
        <f ca="1">IF(表2_36716262930389[[#This Row],[累计净值]]/MAX(INDIRECT("B21:B" &amp; ROW()))-1&lt;E104,表2_36716262930389[[#This Row],[累计净值]]/MAX(INDIRECT("B21:B" &amp; ROW()))-1,E104)</f>
        <v>-5.5161544523246731E-3</v>
      </c>
      <c r="F105" s="62">
        <f>表2_36716262930389[[#This Row],[累计净值]]</f>
        <v>1.0810999999999999</v>
      </c>
      <c r="G105" s="20">
        <f>表2_36716262930389[[#This Row],[累计净值]]/$B$21-1</f>
        <v>6.648909933905478E-2</v>
      </c>
    </row>
    <row r="106" spans="1:7" x14ac:dyDescent="0.2">
      <c r="A106" s="15">
        <v>43838</v>
      </c>
      <c r="B106" s="16">
        <v>1.0812999999999999</v>
      </c>
      <c r="C106" s="73">
        <f t="shared" si="22"/>
        <v>1.9999999999997797E-4</v>
      </c>
      <c r="D106" s="18" t="str">
        <f t="shared" si="23"/>
        <v>/</v>
      </c>
      <c r="E106" s="18">
        <f ca="1">IF(表2_36716262930389[[#This Row],[累计净值]]/MAX(INDIRECT("B21:B" &amp; ROW()))-1&lt;E105,表2_36716262930389[[#This Row],[累计净值]]/MAX(INDIRECT("B21:B" &amp; ROW()))-1,E105)</f>
        <v>-5.5161544523246731E-3</v>
      </c>
      <c r="F106" s="62">
        <f>表2_36716262930389[[#This Row],[累计净值]]</f>
        <v>1.0812999999999999</v>
      </c>
      <c r="G106" s="20">
        <f>表2_36716262930389[[#This Row],[累计净值]]/$B$21-1</f>
        <v>6.6686396369734613E-2</v>
      </c>
    </row>
    <row r="107" spans="1:7" x14ac:dyDescent="0.2">
      <c r="A107" s="15">
        <v>43839</v>
      </c>
      <c r="B107" s="16">
        <v>1.0811999999999999</v>
      </c>
      <c r="C107" s="73">
        <f t="shared" si="22"/>
        <v>-9.9999999999988987E-5</v>
      </c>
      <c r="D107" s="18">
        <f t="shared" si="23"/>
        <v>-9.9999999999988987E-5</v>
      </c>
      <c r="E107" s="18">
        <f ca="1">IF(表2_36716262930389[[#This Row],[累计净值]]/MAX(INDIRECT("B21:B" &amp; ROW()))-1&lt;E106,表2_36716262930389[[#This Row],[累计净值]]/MAX(INDIRECT("B21:B" &amp; ROW()))-1,E106)</f>
        <v>-5.5161544523246731E-3</v>
      </c>
      <c r="F107" s="62">
        <f>表2_36716262930389[[#This Row],[累计净值]]</f>
        <v>1.0811999999999999</v>
      </c>
      <c r="G107" s="20">
        <f>表2_36716262930389[[#This Row],[累计净值]]/$B$21-1</f>
        <v>6.6587747854394586E-2</v>
      </c>
    </row>
    <row r="108" spans="1:7" x14ac:dyDescent="0.2">
      <c r="A108" s="15">
        <v>43840</v>
      </c>
      <c r="B108" s="16">
        <v>1.0809</v>
      </c>
      <c r="C108" s="73">
        <f t="shared" si="22"/>
        <v>-2.9999999999996696E-4</v>
      </c>
      <c r="D108" s="18">
        <f t="shared" si="23"/>
        <v>-2.9999999999996696E-4</v>
      </c>
      <c r="E108" s="18">
        <f ca="1">IF(表2_36716262930389[[#This Row],[累计净值]]/MAX(INDIRECT("B21:B" &amp; ROW()))-1&lt;E107,表2_36716262930389[[#This Row],[累计净值]]/MAX(INDIRECT("B21:B" &amp; ROW()))-1,E107)</f>
        <v>-5.5161544523246731E-3</v>
      </c>
      <c r="F108" s="62">
        <f>表2_36716262930389[[#This Row],[累计净值]]</f>
        <v>1.0809</v>
      </c>
      <c r="G108" s="20">
        <f>表2_36716262930389[[#This Row],[累计净值]]/$B$21-1</f>
        <v>6.629180230837517E-2</v>
      </c>
    </row>
    <row r="109" spans="1:7" x14ac:dyDescent="0.2">
      <c r="A109" s="15">
        <v>43843</v>
      </c>
      <c r="B109" s="16">
        <v>1.0807</v>
      </c>
      <c r="C109" s="73">
        <f t="shared" si="22"/>
        <v>-1.9999999999997797E-4</v>
      </c>
      <c r="D109" s="18">
        <f t="shared" si="23"/>
        <v>-1.9999999999997797E-4</v>
      </c>
      <c r="E109" s="18">
        <f ca="1">IF(表2_36716262930389[[#This Row],[累计净值]]/MAX(INDIRECT("B21:B" &amp; ROW()))-1&lt;E108,表2_36716262930389[[#This Row],[累计净值]]/MAX(INDIRECT("B21:B" &amp; ROW()))-1,E108)</f>
        <v>-5.5161544523246731E-3</v>
      </c>
      <c r="F109" s="62">
        <f>表2_36716262930389[[#This Row],[累计净值]]</f>
        <v>1.0807</v>
      </c>
      <c r="G109" s="20">
        <f>表2_36716262930389[[#This Row],[累计净值]]/$B$21-1</f>
        <v>6.6094505277695559E-2</v>
      </c>
    </row>
    <row r="110" spans="1:7" x14ac:dyDescent="0.2">
      <c r="A110" s="15">
        <v>43844</v>
      </c>
      <c r="B110" s="16">
        <v>1.081</v>
      </c>
      <c r="C110" s="73">
        <f t="shared" si="22"/>
        <v>2.9999999999996696E-4</v>
      </c>
      <c r="D110" s="18" t="str">
        <f t="shared" si="23"/>
        <v>/</v>
      </c>
      <c r="E110" s="18">
        <f ca="1">IF(表2_36716262930389[[#This Row],[累计净值]]/MAX(INDIRECT("B21:B" &amp; ROW()))-1&lt;E109,表2_36716262930389[[#This Row],[累计净值]]/MAX(INDIRECT("B21:B" &amp; ROW()))-1,E109)</f>
        <v>-5.5161544523246731E-3</v>
      </c>
      <c r="F110" s="62">
        <f>表2_36716262930389[[#This Row],[累计净值]]</f>
        <v>1.081</v>
      </c>
      <c r="G110" s="20">
        <f>表2_36716262930389[[#This Row],[累计净值]]/$B$21-1</f>
        <v>6.6390450823714975E-2</v>
      </c>
    </row>
    <row r="111" spans="1:7" x14ac:dyDescent="0.2">
      <c r="A111" s="15">
        <v>43845</v>
      </c>
      <c r="B111" s="16">
        <v>1.0813999999999999</v>
      </c>
      <c r="C111" s="73">
        <f t="shared" si="22"/>
        <v>3.9999999999995595E-4</v>
      </c>
      <c r="D111" s="18" t="str">
        <f t="shared" si="23"/>
        <v>/</v>
      </c>
      <c r="E111" s="18">
        <f ca="1">IF(表2_36716262930389[[#This Row],[累计净值]]/MAX(INDIRECT("B21:B" &amp; ROW()))-1&lt;E110,表2_36716262930389[[#This Row],[累计净值]]/MAX(INDIRECT("B21:B" &amp; ROW()))-1,E110)</f>
        <v>-5.5161544523246731E-3</v>
      </c>
      <c r="F111" s="62">
        <f>表2_36716262930389[[#This Row],[累计净值]]</f>
        <v>1.0813999999999999</v>
      </c>
      <c r="G111" s="20">
        <f>表2_36716262930389[[#This Row],[累计净值]]/$B$21-1</f>
        <v>6.6785044885074418E-2</v>
      </c>
    </row>
    <row r="112" spans="1:7" x14ac:dyDescent="0.2">
      <c r="A112" s="15">
        <v>43846</v>
      </c>
      <c r="B112" s="16">
        <v>1.0815999999999999</v>
      </c>
      <c r="C112" s="73">
        <f t="shared" si="22"/>
        <v>1.9999999999997797E-4</v>
      </c>
      <c r="D112" s="18" t="str">
        <f t="shared" si="23"/>
        <v>/</v>
      </c>
      <c r="E112" s="18">
        <f ca="1">IF(表2_36716262930389[[#This Row],[累计净值]]/MAX(INDIRECT("B21:B" &amp; ROW()))-1&lt;E111,表2_36716262930389[[#This Row],[累计净值]]/MAX(INDIRECT("B21:B" &amp; ROW()))-1,E111)</f>
        <v>-5.5161544523246731E-3</v>
      </c>
      <c r="F112" s="62">
        <f>表2_36716262930389[[#This Row],[累计净值]]</f>
        <v>1.0815999999999999</v>
      </c>
      <c r="G112" s="20">
        <f>表2_36716262930389[[#This Row],[累计净值]]/$B$21-1</f>
        <v>6.6982341915754029E-2</v>
      </c>
    </row>
    <row r="113" spans="1:7" x14ac:dyDescent="0.2">
      <c r="A113" s="15">
        <v>43847</v>
      </c>
      <c r="B113" s="16">
        <v>1.0809</v>
      </c>
      <c r="C113" s="73">
        <f t="shared" si="22"/>
        <v>-6.9999999999992291E-4</v>
      </c>
      <c r="D113" s="18">
        <f t="shared" si="23"/>
        <v>-6.9999999999992291E-4</v>
      </c>
      <c r="E113" s="18">
        <f ca="1">IF(表2_36716262930389[[#This Row],[累计净值]]/MAX(INDIRECT("B21:B" &amp; ROW()))-1&lt;E112,表2_36716262930389[[#This Row],[累计净值]]/MAX(INDIRECT("B21:B" &amp; ROW()))-1,E112)</f>
        <v>-5.5161544523246731E-3</v>
      </c>
      <c r="F113" s="62">
        <f>表2_36716262930389[[#This Row],[累计净值]]</f>
        <v>1.0809</v>
      </c>
      <c r="G113" s="20">
        <f>表2_36716262930389[[#This Row],[累计净值]]/$B$21-1</f>
        <v>6.629180230837517E-2</v>
      </c>
    </row>
    <row r="114" spans="1:7" x14ac:dyDescent="0.2">
      <c r="A114" s="15">
        <v>43850</v>
      </c>
      <c r="B114" s="79">
        <v>1.0831</v>
      </c>
      <c r="C114" s="73">
        <f t="shared" si="22"/>
        <v>2.1999999999999797E-3</v>
      </c>
      <c r="D114" s="18" t="str">
        <f t="shared" si="23"/>
        <v>/</v>
      </c>
      <c r="E114" s="18">
        <f ca="1">IF(表2_36716262930389[[#This Row],[累计净值]]/MAX(INDIRECT("B21:B" &amp; ROW()))-1&lt;E113,表2_36716262930389[[#This Row],[累计净值]]/MAX(INDIRECT("B21:B" &amp; ROW()))-1,E113)</f>
        <v>-5.5161544523246731E-3</v>
      </c>
      <c r="F114" s="62">
        <f>表2_36716262930389[[#This Row],[累计净值]]</f>
        <v>1.0831</v>
      </c>
      <c r="G114" s="20">
        <f>表2_36716262930389[[#This Row],[累计净值]]/$B$21-1</f>
        <v>6.8462069645851775E-2</v>
      </c>
    </row>
    <row r="115" spans="1:7" x14ac:dyDescent="0.2">
      <c r="A115" s="15">
        <v>43851</v>
      </c>
      <c r="B115" s="16">
        <v>1.0828</v>
      </c>
      <c r="C115" s="73">
        <f t="shared" si="22"/>
        <v>-2.9999999999996696E-4</v>
      </c>
      <c r="D115" s="18">
        <f t="shared" si="23"/>
        <v>-2.9999999999996696E-4</v>
      </c>
      <c r="E115" s="18">
        <f ca="1">IF(表2_36716262930389[[#This Row],[累计净值]]/MAX(INDIRECT("B21:B" &amp; ROW()))-1&lt;E114,表2_36716262930389[[#This Row],[累计净值]]/MAX(INDIRECT("B21:B" &amp; ROW()))-1,E114)</f>
        <v>-5.5161544523246731E-3</v>
      </c>
      <c r="F115" s="62">
        <f>表2_36716262930389[[#This Row],[累计净值]]</f>
        <v>1.0828</v>
      </c>
      <c r="G115" s="20">
        <f>表2_36716262930389[[#This Row],[累计净值]]/$B$21-1</f>
        <v>6.8166124099832137E-2</v>
      </c>
    </row>
    <row r="116" spans="1:7" x14ac:dyDescent="0.2">
      <c r="A116" s="15">
        <v>43852</v>
      </c>
      <c r="B116" s="16">
        <v>1.0825</v>
      </c>
      <c r="C116" s="73">
        <f t="shared" si="22"/>
        <v>-2.9999999999996696E-4</v>
      </c>
      <c r="D116" s="18">
        <f t="shared" si="23"/>
        <v>-2.9999999999996696E-4</v>
      </c>
      <c r="E116" s="18">
        <f ca="1">IF(表2_36716262930389[[#This Row],[累计净值]]/MAX(INDIRECT("B21:B" &amp; ROW()))-1&lt;E115,表2_36716262930389[[#This Row],[累计净值]]/MAX(INDIRECT("B21:B" &amp; ROW()))-1,E115)</f>
        <v>-5.5161544523246731E-3</v>
      </c>
      <c r="F116" s="62">
        <f>表2_36716262930389[[#This Row],[累计净值]]</f>
        <v>1.0825</v>
      </c>
      <c r="G116" s="20">
        <f>表2_36716262930389[[#This Row],[累计净值]]/$B$21-1</f>
        <v>6.7870178553812721E-2</v>
      </c>
    </row>
    <row r="117" spans="1:7" x14ac:dyDescent="0.2">
      <c r="A117" s="15">
        <v>43853</v>
      </c>
      <c r="B117" s="16">
        <v>1.0811999999999999</v>
      </c>
      <c r="C117" s="73">
        <f t="shared" si="22"/>
        <v>-1.3000000000000789E-3</v>
      </c>
      <c r="D117" s="18">
        <f t="shared" si="23"/>
        <v>-1.3000000000000789E-3</v>
      </c>
      <c r="E117" s="18">
        <f ca="1">IF(表2_36716262930389[[#This Row],[累计净值]]/MAX(INDIRECT("B21:B" &amp; ROW()))-1&lt;E116,表2_36716262930389[[#This Row],[累计净值]]/MAX(INDIRECT("B21:B" &amp; ROW()))-1,E116)</f>
        <v>-5.5161544523246731E-3</v>
      </c>
      <c r="F117" s="62">
        <f>表2_36716262930389[[#This Row],[累计净值]]</f>
        <v>1.0811999999999999</v>
      </c>
      <c r="G117" s="20">
        <f>表2_36716262930389[[#This Row],[累计净值]]/$B$21-1</f>
        <v>6.6587747854394586E-2</v>
      </c>
    </row>
    <row r="118" spans="1:7" x14ac:dyDescent="0.2">
      <c r="A118" s="15">
        <v>43864</v>
      </c>
      <c r="B118" s="16">
        <v>1.0807</v>
      </c>
      <c r="C118" s="73">
        <f t="shared" si="22"/>
        <v>-4.9999999999994493E-4</v>
      </c>
      <c r="D118" s="18">
        <f t="shared" si="23"/>
        <v>-4.9999999999994493E-4</v>
      </c>
      <c r="E118" s="18">
        <f ca="1">IF(表2_36716262930389[[#This Row],[累计净值]]/MAX(INDIRECT("B21:B" &amp; ROW()))-1&lt;E117,表2_36716262930389[[#This Row],[累计净值]]/MAX(INDIRECT("B21:B" &amp; ROW()))-1,E117)</f>
        <v>-5.5161544523246731E-3</v>
      </c>
      <c r="F118" s="62">
        <f>表2_36716262930389[[#This Row],[累计净值]]</f>
        <v>1.0807</v>
      </c>
      <c r="G118" s="20">
        <f>表2_36716262930389[[#This Row],[累计净值]]/$B$21-1</f>
        <v>6.6094505277695559E-2</v>
      </c>
    </row>
    <row r="119" spans="1:7" x14ac:dyDescent="0.2">
      <c r="A119" s="15">
        <v>43865</v>
      </c>
      <c r="B119" s="16">
        <v>1.0806</v>
      </c>
      <c r="C119" s="73">
        <f t="shared" si="22"/>
        <v>-9.9999999999988987E-5</v>
      </c>
      <c r="D119" s="18">
        <f t="shared" si="23"/>
        <v>-9.9999999999988987E-5</v>
      </c>
      <c r="E119" s="18">
        <f ca="1">IF(表2_36716262930389[[#This Row],[累计净值]]/MAX(INDIRECT("B21:B" &amp; ROW()))-1&lt;E118,表2_36716262930389[[#This Row],[累计净值]]/MAX(INDIRECT("B21:B" &amp; ROW()))-1,E118)</f>
        <v>-5.5161544523246731E-3</v>
      </c>
      <c r="F119" s="62">
        <f>表2_36716262930389[[#This Row],[累计净值]]</f>
        <v>1.0806</v>
      </c>
      <c r="G119" s="20">
        <f>表2_36716262930389[[#This Row],[累计净值]]/$B$21-1</f>
        <v>6.5995856762355753E-2</v>
      </c>
    </row>
    <row r="120" spans="1:7" x14ac:dyDescent="0.2">
      <c r="A120" s="15">
        <v>43866</v>
      </c>
      <c r="B120" s="16">
        <v>1.0804</v>
      </c>
      <c r="C120" s="73">
        <f t="shared" si="22"/>
        <v>-1.9999999999997797E-4</v>
      </c>
      <c r="D120" s="18">
        <f t="shared" si="23"/>
        <v>-1.9999999999997797E-4</v>
      </c>
      <c r="E120" s="18">
        <f ca="1">IF(表2_36716262930389[[#This Row],[累计净值]]/MAX(INDIRECT("B21:B" &amp; ROW()))-1&lt;E119,表2_36716262930389[[#This Row],[累计净值]]/MAX(INDIRECT("B21:B" &amp; ROW()))-1,E119)</f>
        <v>-5.5161544523246731E-3</v>
      </c>
      <c r="F120" s="62">
        <f>表2_36716262930389[[#This Row],[累计净值]]</f>
        <v>1.0804</v>
      </c>
      <c r="G120" s="20">
        <f>表2_36716262930389[[#This Row],[累计净值]]/$B$21-1</f>
        <v>6.5798559731675921E-2</v>
      </c>
    </row>
    <row r="121" spans="1:7" x14ac:dyDescent="0.2">
      <c r="A121" s="15">
        <v>43867</v>
      </c>
      <c r="B121" s="16">
        <v>1.0804</v>
      </c>
      <c r="C121" s="73">
        <f t="shared" ref="C121:C126" si="24">IFERROR(B121-B120,0)</f>
        <v>0</v>
      </c>
      <c r="D121" s="18" t="str">
        <f t="shared" ref="D121:D126" si="25">IF(C121&lt;0,C121,"/")</f>
        <v>/</v>
      </c>
      <c r="E121" s="18">
        <f ca="1">IF(表2_36716262930389[[#This Row],[累计净值]]/MAX(INDIRECT("B21:B" &amp; ROW()))-1&lt;E120,表2_36716262930389[[#This Row],[累计净值]]/MAX(INDIRECT("B21:B" &amp; ROW()))-1,E120)</f>
        <v>-5.5161544523246731E-3</v>
      </c>
      <c r="F121" s="62">
        <f>表2_36716262930389[[#This Row],[累计净值]]</f>
        <v>1.0804</v>
      </c>
      <c r="G121" s="20">
        <f>表2_36716262930389[[#This Row],[累计净值]]/$B$21-1</f>
        <v>6.5798559731675921E-2</v>
      </c>
    </row>
    <row r="122" spans="1:7" x14ac:dyDescent="0.2">
      <c r="A122" s="15">
        <v>43868</v>
      </c>
      <c r="B122" s="16">
        <v>1.0804</v>
      </c>
      <c r="C122" s="73">
        <f t="shared" si="24"/>
        <v>0</v>
      </c>
      <c r="D122" s="18" t="str">
        <f t="shared" si="25"/>
        <v>/</v>
      </c>
      <c r="E122" s="18">
        <f ca="1">IF(表2_36716262930389[[#This Row],[累计净值]]/MAX(INDIRECT("B21:B" &amp; ROW()))-1&lt;E121,表2_36716262930389[[#This Row],[累计净值]]/MAX(INDIRECT("B21:B" &amp; ROW()))-1,E121)</f>
        <v>-5.5161544523246731E-3</v>
      </c>
      <c r="F122" s="62">
        <f>表2_36716262930389[[#This Row],[累计净值]]</f>
        <v>1.0804</v>
      </c>
      <c r="G122" s="20">
        <f>表2_36716262930389[[#This Row],[累计净值]]/$B$21-1</f>
        <v>6.5798559731675921E-2</v>
      </c>
    </row>
    <row r="123" spans="1:7" x14ac:dyDescent="0.2">
      <c r="A123" s="15">
        <v>43871</v>
      </c>
      <c r="B123" s="16">
        <v>1.0801000000000001</v>
      </c>
      <c r="C123" s="73">
        <f t="shared" si="24"/>
        <v>-2.9999999999996696E-4</v>
      </c>
      <c r="D123" s="18">
        <f t="shared" si="25"/>
        <v>-2.9999999999996696E-4</v>
      </c>
      <c r="E123" s="18">
        <f ca="1">IF(表2_36716262930389[[#This Row],[累计净值]]/MAX(INDIRECT("B21:B" &amp; ROW()))-1&lt;E122,表2_36716262930389[[#This Row],[累计净值]]/MAX(INDIRECT("B21:B" &amp; ROW()))-1,E122)</f>
        <v>-5.5161544523246731E-3</v>
      </c>
      <c r="F123" s="62">
        <f>表2_36716262930389[[#This Row],[累计净值]]</f>
        <v>1.0801000000000001</v>
      </c>
      <c r="G123" s="20">
        <f>表2_36716262930389[[#This Row],[累计净值]]/$B$21-1</f>
        <v>6.5502614185656505E-2</v>
      </c>
    </row>
    <row r="124" spans="1:7" x14ac:dyDescent="0.2">
      <c r="A124" s="15">
        <v>43872</v>
      </c>
      <c r="B124" s="16">
        <v>1.0794999999999999</v>
      </c>
      <c r="C124" s="73">
        <f t="shared" si="24"/>
        <v>-6.0000000000015596E-4</v>
      </c>
      <c r="D124" s="18">
        <f t="shared" si="25"/>
        <v>-6.0000000000015596E-4</v>
      </c>
      <c r="E124" s="18">
        <f ca="1">IF(表2_36716262930389[[#This Row],[累计净值]]/MAX(INDIRECT("B21:B" &amp; ROW()))-1&lt;E123,表2_36716262930389[[#This Row],[累计净值]]/MAX(INDIRECT("B21:B" &amp; ROW()))-1,E123)</f>
        <v>-5.5161544523246731E-3</v>
      </c>
      <c r="F124" s="62">
        <f>表2_36716262930389[[#This Row],[累计净值]]</f>
        <v>1.0794999999999999</v>
      </c>
      <c r="G124" s="20">
        <f>表2_36716262930389[[#This Row],[累计净值]]/$B$21-1</f>
        <v>6.4910723093617229E-2</v>
      </c>
    </row>
    <row r="125" spans="1:7" x14ac:dyDescent="0.2">
      <c r="A125" s="15">
        <v>43873</v>
      </c>
      <c r="B125" s="16">
        <v>1.0803</v>
      </c>
      <c r="C125" s="73">
        <f t="shared" si="24"/>
        <v>8.0000000000013394E-4</v>
      </c>
      <c r="D125" s="18" t="str">
        <f t="shared" si="25"/>
        <v>/</v>
      </c>
      <c r="E125" s="18">
        <f ca="1">IF(表2_36716262930389[[#This Row],[累计净值]]/MAX(INDIRECT("B21:B" &amp; ROW()))-1&lt;E124,表2_36716262930389[[#This Row],[累计净值]]/MAX(INDIRECT("B21:B" &amp; ROW()))-1,E124)</f>
        <v>-5.5161544523246731E-3</v>
      </c>
      <c r="F125" s="62">
        <f>表2_36716262930389[[#This Row],[累计净值]]</f>
        <v>1.0803</v>
      </c>
      <c r="G125" s="20">
        <f>表2_36716262930389[[#This Row],[累计净值]]/$B$21-1</f>
        <v>6.5699911216336115E-2</v>
      </c>
    </row>
    <row r="126" spans="1:7" x14ac:dyDescent="0.2">
      <c r="A126" s="15">
        <v>43874</v>
      </c>
      <c r="B126" s="16">
        <v>1.0807</v>
      </c>
      <c r="C126" s="73">
        <f t="shared" si="24"/>
        <v>3.9999999999995595E-4</v>
      </c>
      <c r="D126" s="18" t="str">
        <f t="shared" si="25"/>
        <v>/</v>
      </c>
      <c r="E126" s="18">
        <f ca="1">IF(表2_36716262930389[[#This Row],[累计净值]]/MAX(INDIRECT("B21:B" &amp; ROW()))-1&lt;E125,表2_36716262930389[[#This Row],[累计净值]]/MAX(INDIRECT("B21:B" &amp; ROW()))-1,E125)</f>
        <v>-5.5161544523246731E-3</v>
      </c>
      <c r="F126" s="62">
        <f>表2_36716262930389[[#This Row],[累计净值]]</f>
        <v>1.0807</v>
      </c>
      <c r="G126" s="20">
        <f>表2_36716262930389[[#This Row],[累计净值]]/$B$21-1</f>
        <v>6.6094505277695559E-2</v>
      </c>
    </row>
    <row r="127" spans="1:7" x14ac:dyDescent="0.2">
      <c r="A127" s="15">
        <v>43875</v>
      </c>
      <c r="B127" s="16">
        <v>1.0809</v>
      </c>
      <c r="C127" s="73">
        <f t="shared" ref="C127:C132" si="26">IFERROR(B127-B126,0)</f>
        <v>1.9999999999997797E-4</v>
      </c>
      <c r="D127" s="18" t="str">
        <f t="shared" ref="D127:D132" si="27">IF(C127&lt;0,C127,"/")</f>
        <v>/</v>
      </c>
      <c r="E127" s="18">
        <f ca="1">IF(表2_36716262930389[[#This Row],[累计净值]]/MAX(INDIRECT("B21:B" &amp; ROW()))-1&lt;E126,表2_36716262930389[[#This Row],[累计净值]]/MAX(INDIRECT("B21:B" &amp; ROW()))-1,E126)</f>
        <v>-5.5161544523246731E-3</v>
      </c>
      <c r="F127" s="62">
        <f>表2_36716262930389[[#This Row],[累计净值]]</f>
        <v>1.0809</v>
      </c>
      <c r="G127" s="20">
        <f>表2_36716262930389[[#This Row],[累计净值]]/$B$21-1</f>
        <v>6.629180230837517E-2</v>
      </c>
    </row>
    <row r="128" spans="1:7" x14ac:dyDescent="0.2">
      <c r="A128" s="15">
        <v>43878</v>
      </c>
      <c r="B128" s="16">
        <v>1.0814999999999999</v>
      </c>
      <c r="C128" s="73">
        <f t="shared" si="26"/>
        <v>5.9999999999993392E-4</v>
      </c>
      <c r="D128" s="18" t="str">
        <f t="shared" si="27"/>
        <v>/</v>
      </c>
      <c r="E128" s="18">
        <f ca="1">IF(表2_36716262930389[[#This Row],[累计净值]]/MAX(INDIRECT("B21:B" &amp; ROW()))-1&lt;E127,表2_36716262930389[[#This Row],[累计净值]]/MAX(INDIRECT("B21:B" &amp; ROW()))-1,E127)</f>
        <v>-5.5161544523246731E-3</v>
      </c>
      <c r="F128" s="62">
        <f>表2_36716262930389[[#This Row],[累计净值]]</f>
        <v>1.0814999999999999</v>
      </c>
      <c r="G128" s="20">
        <f>表2_36716262930389[[#This Row],[累计净值]]/$B$21-1</f>
        <v>6.6883693400414224E-2</v>
      </c>
    </row>
    <row r="129" spans="1:7" x14ac:dyDescent="0.2">
      <c r="A129" s="15">
        <v>43879</v>
      </c>
      <c r="B129" s="16">
        <v>1.0810999999999999</v>
      </c>
      <c r="C129" s="73">
        <f t="shared" si="26"/>
        <v>-3.9999999999995595E-4</v>
      </c>
      <c r="D129" s="18">
        <f t="shared" si="27"/>
        <v>-3.9999999999995595E-4</v>
      </c>
      <c r="E129" s="18">
        <f ca="1">IF(表2_36716262930389[[#This Row],[累计净值]]/MAX(INDIRECT("B21:B" &amp; ROW()))-1&lt;E128,表2_36716262930389[[#This Row],[累计净值]]/MAX(INDIRECT("B21:B" &amp; ROW()))-1,E128)</f>
        <v>-5.5161544523246731E-3</v>
      </c>
      <c r="F129" s="62">
        <f>表2_36716262930389[[#This Row],[累计净值]]</f>
        <v>1.0810999999999999</v>
      </c>
      <c r="G129" s="20">
        <f>表2_36716262930389[[#This Row],[累计净值]]/$B$21-1</f>
        <v>6.648909933905478E-2</v>
      </c>
    </row>
    <row r="130" spans="1:7" x14ac:dyDescent="0.2">
      <c r="A130" s="15">
        <v>43880</v>
      </c>
      <c r="B130" s="16">
        <v>1.0812999999999999</v>
      </c>
      <c r="C130" s="73">
        <f t="shared" si="26"/>
        <v>1.9999999999997797E-4</v>
      </c>
      <c r="D130" s="18" t="str">
        <f t="shared" si="27"/>
        <v>/</v>
      </c>
      <c r="E130" s="18">
        <f ca="1">IF(表2_36716262930389[[#This Row],[累计净值]]/MAX(INDIRECT("B21:B" &amp; ROW()))-1&lt;E129,表2_36716262930389[[#This Row],[累计净值]]/MAX(INDIRECT("B21:B" &amp; ROW()))-1,E129)</f>
        <v>-5.5161544523246731E-3</v>
      </c>
      <c r="F130" s="62">
        <f>表2_36716262930389[[#This Row],[累计净值]]</f>
        <v>1.0812999999999999</v>
      </c>
      <c r="G130" s="20">
        <f>表2_36716262930389[[#This Row],[累计净值]]/$B$21-1</f>
        <v>6.6686396369734613E-2</v>
      </c>
    </row>
    <row r="131" spans="1:7" x14ac:dyDescent="0.2">
      <c r="A131" s="15">
        <v>43881</v>
      </c>
      <c r="B131" s="16">
        <v>1.0792999999999999</v>
      </c>
      <c r="C131" s="73">
        <f t="shared" si="26"/>
        <v>-2.0000000000000018E-3</v>
      </c>
      <c r="D131" s="18">
        <f t="shared" si="27"/>
        <v>-2.0000000000000018E-3</v>
      </c>
      <c r="E131" s="18">
        <f ca="1">IF(表2_36716262930389[[#This Row],[累计净值]]/MAX(INDIRECT("B21:B" &amp; ROW()))-1&lt;E130,表2_36716262930389[[#This Row],[累计净值]]/MAX(INDIRECT("B21:B" &amp; ROW()))-1,E130)</f>
        <v>-5.5161544523246731E-3</v>
      </c>
      <c r="F131" s="62">
        <f>表2_36716262930389[[#This Row],[累计净值]]</f>
        <v>1.0792999999999999</v>
      </c>
      <c r="G131" s="20">
        <f>表2_36716262930389[[#This Row],[累计净值]]/$B$21-1</f>
        <v>6.4713426062937618E-2</v>
      </c>
    </row>
    <row r="132" spans="1:7" x14ac:dyDescent="0.2">
      <c r="A132" s="15">
        <v>43882</v>
      </c>
      <c r="B132" s="16">
        <v>1.0801000000000001</v>
      </c>
      <c r="C132" s="73">
        <f t="shared" si="26"/>
        <v>8.0000000000013394E-4</v>
      </c>
      <c r="D132" s="18" t="str">
        <f t="shared" si="27"/>
        <v>/</v>
      </c>
      <c r="E132" s="18">
        <f ca="1">IF(表2_36716262930389[[#This Row],[累计净值]]/MAX(INDIRECT("B21:B" &amp; ROW()))-1&lt;E131,表2_36716262930389[[#This Row],[累计净值]]/MAX(INDIRECT("B21:B" &amp; ROW()))-1,E131)</f>
        <v>-5.5161544523246731E-3</v>
      </c>
      <c r="F132" s="62">
        <f>表2_36716262930389[[#This Row],[累计净值]]</f>
        <v>1.0801000000000001</v>
      </c>
      <c r="G132" s="20">
        <f>表2_36716262930389[[#This Row],[累计净值]]/$B$21-1</f>
        <v>6.5502614185656505E-2</v>
      </c>
    </row>
    <row r="133" spans="1:7" x14ac:dyDescent="0.2">
      <c r="A133" s="15">
        <v>43885</v>
      </c>
      <c r="B133" s="16">
        <v>1.0784</v>
      </c>
      <c r="C133" s="73">
        <f t="shared" ref="C133:C141" si="28">IFERROR(B133-B132,0)</f>
        <v>-1.7000000000000348E-3</v>
      </c>
      <c r="D133" s="18">
        <f t="shared" ref="D133:D141" si="29">IF(C133&lt;0,C133,"/")</f>
        <v>-1.7000000000000348E-3</v>
      </c>
      <c r="E133" s="18">
        <f ca="1">IF(表2_36716262930389[[#This Row],[累计净值]]/MAX(INDIRECT("B21:B" &amp; ROW()))-1&lt;E132,表2_36716262930389[[#This Row],[累计净值]]/MAX(INDIRECT("B21:B" &amp; ROW()))-1,E132)</f>
        <v>-5.5161544523246731E-3</v>
      </c>
      <c r="F133" s="62">
        <f>表2_36716262930389[[#This Row],[累计净值]]</f>
        <v>1.0784</v>
      </c>
      <c r="G133" s="20">
        <f>表2_36716262930389[[#This Row],[累计净值]]/$B$21-1</f>
        <v>6.3825589424879148E-2</v>
      </c>
    </row>
    <row r="134" spans="1:7" x14ac:dyDescent="0.2">
      <c r="A134" s="15">
        <v>43886</v>
      </c>
      <c r="B134" s="16">
        <v>1.0784</v>
      </c>
      <c r="C134" s="73">
        <f t="shared" si="28"/>
        <v>0</v>
      </c>
      <c r="D134" s="18" t="str">
        <f t="shared" si="29"/>
        <v>/</v>
      </c>
      <c r="E134" s="18">
        <f ca="1">IF(表2_36716262930389[[#This Row],[累计净值]]/MAX(INDIRECT("B21:B" &amp; ROW()))-1&lt;E133,表2_36716262930389[[#This Row],[累计净值]]/MAX(INDIRECT("B21:B" &amp; ROW()))-1,E133)</f>
        <v>-5.5161544523246731E-3</v>
      </c>
      <c r="F134" s="62">
        <f>表2_36716262930389[[#This Row],[累计净值]]</f>
        <v>1.0784</v>
      </c>
      <c r="G134" s="20">
        <f>表2_36716262930389[[#This Row],[累计净值]]/$B$21-1</f>
        <v>6.3825589424879148E-2</v>
      </c>
    </row>
    <row r="135" spans="1:7" x14ac:dyDescent="0.2">
      <c r="A135" s="15">
        <v>43887</v>
      </c>
      <c r="B135" s="16">
        <v>1.0778000000000001</v>
      </c>
      <c r="C135" s="73">
        <f t="shared" si="28"/>
        <v>-5.9999999999993392E-4</v>
      </c>
      <c r="D135" s="18">
        <f t="shared" si="29"/>
        <v>-5.9999999999993392E-4</v>
      </c>
      <c r="E135" s="18">
        <f ca="1">IF(表2_36716262930389[[#This Row],[累计净值]]/MAX(INDIRECT("B21:B" &amp; ROW()))-1&lt;E134,表2_36716262930389[[#This Row],[累计净值]]/MAX(INDIRECT("B21:B" &amp; ROW()))-1,E134)</f>
        <v>-5.5161544523246731E-3</v>
      </c>
      <c r="F135" s="62">
        <f>表2_36716262930389[[#This Row],[累计净值]]</f>
        <v>1.0778000000000001</v>
      </c>
      <c r="G135" s="20">
        <f>表2_36716262930389[[#This Row],[累计净值]]/$B$21-1</f>
        <v>6.3233698332840094E-2</v>
      </c>
    </row>
    <row r="136" spans="1:7" x14ac:dyDescent="0.2">
      <c r="A136" s="15">
        <v>43888</v>
      </c>
      <c r="B136" s="16">
        <v>1.0780000000000001</v>
      </c>
      <c r="C136" s="73">
        <f t="shared" si="28"/>
        <v>1.9999999999997797E-4</v>
      </c>
      <c r="D136" s="18" t="str">
        <f t="shared" si="29"/>
        <v>/</v>
      </c>
      <c r="E136" s="18">
        <f ca="1">IF(表2_36716262930389[[#This Row],[累计净值]]/MAX(INDIRECT("B21:B" &amp; ROW()))-1&lt;E135,表2_36716262930389[[#This Row],[累计净值]]/MAX(INDIRECT("B21:B" &amp; ROW()))-1,E135)</f>
        <v>-5.5161544523246731E-3</v>
      </c>
      <c r="F136" s="62">
        <f>表2_36716262930389[[#This Row],[累计净值]]</f>
        <v>1.0780000000000001</v>
      </c>
      <c r="G136" s="20">
        <f>表2_36716262930389[[#This Row],[累计净值]]/$B$21-1</f>
        <v>6.3430995363519704E-2</v>
      </c>
    </row>
    <row r="137" spans="1:7" x14ac:dyDescent="0.2">
      <c r="A137" s="15">
        <v>43889</v>
      </c>
      <c r="B137" s="16">
        <v>1.0768</v>
      </c>
      <c r="C137" s="73">
        <f t="shared" si="28"/>
        <v>-1.2000000000000899E-3</v>
      </c>
      <c r="D137" s="18">
        <f t="shared" si="29"/>
        <v>-1.2000000000000899E-3</v>
      </c>
      <c r="E137" s="18">
        <f ca="1">IF(表2_36716262930389[[#This Row],[累计净值]]/MAX(INDIRECT("B21:B" &amp; ROW()))-1&lt;E136,表2_36716262930389[[#This Row],[累计净值]]/MAX(INDIRECT("B21:B" &amp; ROW()))-1,E136)</f>
        <v>-5.8166374296001466E-3</v>
      </c>
      <c r="F137" s="62">
        <f>表2_36716262930389[[#This Row],[累计净值]]</f>
        <v>1.0768</v>
      </c>
      <c r="G137" s="20">
        <f>表2_36716262930389[[#This Row],[累计净值]]/$B$21-1</f>
        <v>6.2247213179441596E-2</v>
      </c>
    </row>
    <row r="138" spans="1:7" x14ac:dyDescent="0.2">
      <c r="A138" s="15">
        <v>43892</v>
      </c>
      <c r="B138" s="16">
        <v>1.0762</v>
      </c>
      <c r="C138" s="73">
        <f t="shared" si="28"/>
        <v>-5.9999999999993392E-4</v>
      </c>
      <c r="D138" s="18">
        <f t="shared" si="29"/>
        <v>-5.9999999999993392E-4</v>
      </c>
      <c r="E138" s="18">
        <f ca="1">IF(表2_36716262930389[[#This Row],[累计净值]]/MAX(INDIRECT("B21:B" &amp; ROW()))-1&lt;E137,表2_36716262930389[[#This Row],[累计净值]]/MAX(INDIRECT("B21:B" &amp; ROW()))-1,E137)</f>
        <v>-6.3706028990858643E-3</v>
      </c>
      <c r="F138" s="62">
        <f>表2_36716262930389[[#This Row],[累计净值]]</f>
        <v>1.0762</v>
      </c>
      <c r="G138" s="20">
        <f>表2_36716262930389[[#This Row],[累计净值]]/$B$21-1</f>
        <v>6.1655322087402542E-2</v>
      </c>
    </row>
    <row r="139" spans="1:7" x14ac:dyDescent="0.2">
      <c r="A139" s="15">
        <v>43893</v>
      </c>
      <c r="B139" s="16">
        <v>1.0771999999999999</v>
      </c>
      <c r="C139" s="73">
        <f t="shared" si="28"/>
        <v>9.9999999999988987E-4</v>
      </c>
      <c r="D139" s="18" t="str">
        <f t="shared" si="29"/>
        <v>/</v>
      </c>
      <c r="E139" s="18">
        <f ca="1">IF(表2_36716262930389[[#This Row],[累计净值]]/MAX(INDIRECT("B21:B" &amp; ROW()))-1&lt;E138,表2_36716262930389[[#This Row],[累计净值]]/MAX(INDIRECT("B21:B" &amp; ROW()))-1,E138)</f>
        <v>-6.3706028990858643E-3</v>
      </c>
      <c r="F139" s="62">
        <f>表2_36716262930389[[#This Row],[累计净值]]</f>
        <v>1.0771999999999999</v>
      </c>
      <c r="G139" s="20">
        <f>表2_36716262930389[[#This Row],[累计净值]]/$B$21-1</f>
        <v>6.2641807240800818E-2</v>
      </c>
    </row>
    <row r="140" spans="1:7" x14ac:dyDescent="0.2">
      <c r="A140" s="15">
        <v>43894</v>
      </c>
      <c r="B140" s="16">
        <v>1.0795999999999999</v>
      </c>
      <c r="C140" s="73">
        <f t="shared" si="28"/>
        <v>2.3999999999999577E-3</v>
      </c>
      <c r="D140" s="18" t="str">
        <f t="shared" si="29"/>
        <v>/</v>
      </c>
      <c r="E140" s="18">
        <f ca="1">IF(表2_36716262930389[[#This Row],[累计净值]]/MAX(INDIRECT("B21:B" &amp; ROW()))-1&lt;E139,表2_36716262930389[[#This Row],[累计净值]]/MAX(INDIRECT("B21:B" &amp; ROW()))-1,E139)</f>
        <v>-6.3706028990858643E-3</v>
      </c>
      <c r="F140" s="62">
        <f>表2_36716262930389[[#This Row],[累计净值]]</f>
        <v>1.0795999999999999</v>
      </c>
      <c r="G140" s="20">
        <f>表2_36716262930389[[#This Row],[累计净值]]/$B$21-1</f>
        <v>6.5009371608957034E-2</v>
      </c>
    </row>
    <row r="141" spans="1:7" x14ac:dyDescent="0.2">
      <c r="A141" s="15">
        <v>43895</v>
      </c>
      <c r="B141" s="16">
        <v>1.0778000000000001</v>
      </c>
      <c r="C141" s="73">
        <f t="shared" si="28"/>
        <v>-1.7999999999998018E-3</v>
      </c>
      <c r="D141" s="18">
        <f t="shared" si="29"/>
        <v>-1.7999999999998018E-3</v>
      </c>
      <c r="E141" s="18">
        <f ca="1">IF(表2_36716262930389[[#This Row],[累计净值]]/MAX(INDIRECT("B21:B" &amp; ROW()))-1&lt;E140,表2_36716262930389[[#This Row],[累计净值]]/MAX(INDIRECT("B21:B" &amp; ROW()))-1,E140)</f>
        <v>-6.3706028990858643E-3</v>
      </c>
      <c r="F141" s="62">
        <f>表2_36716262930389[[#This Row],[累计净值]]</f>
        <v>1.0778000000000001</v>
      </c>
      <c r="G141" s="20">
        <f>表2_36716262930389[[#This Row],[累计净值]]/$B$21-1</f>
        <v>6.3233698332840094E-2</v>
      </c>
    </row>
    <row r="142" spans="1:7" x14ac:dyDescent="0.2">
      <c r="A142" s="15">
        <v>43896</v>
      </c>
      <c r="B142" s="16">
        <v>1.0788</v>
      </c>
      <c r="C142" s="73">
        <f t="shared" ref="C142:C147" si="30">IFERROR(B142-B141,0)</f>
        <v>9.9999999999988987E-4</v>
      </c>
      <c r="D142" s="18" t="str">
        <f t="shared" ref="D142:D147" si="31">IF(C142&lt;0,C142,"/")</f>
        <v>/</v>
      </c>
      <c r="E142" s="18">
        <f ca="1">IF(表2_36716262930389[[#This Row],[累计净值]]/MAX(INDIRECT("B21:B" &amp; ROW()))-1&lt;E141,表2_36716262930389[[#This Row],[累计净值]]/MAX(INDIRECT("B21:B" &amp; ROW()))-1,E141)</f>
        <v>-6.3706028990858643E-3</v>
      </c>
      <c r="F142" s="62">
        <f>表2_36716262930389[[#This Row],[累计净值]]</f>
        <v>1.0788</v>
      </c>
      <c r="G142" s="20">
        <f>表2_36716262930389[[#This Row],[累计净值]]/$B$21-1</f>
        <v>6.4220183486238369E-2</v>
      </c>
    </row>
    <row r="143" spans="1:7" x14ac:dyDescent="0.2">
      <c r="A143" s="15">
        <v>43899</v>
      </c>
      <c r="B143" s="16">
        <v>1.0789</v>
      </c>
      <c r="C143" s="73">
        <f t="shared" si="30"/>
        <v>9.9999999999988987E-5</v>
      </c>
      <c r="D143" s="18" t="str">
        <f t="shared" si="31"/>
        <v>/</v>
      </c>
      <c r="E143" s="18">
        <f ca="1">IF(表2_36716262930389[[#This Row],[累计净值]]/MAX(INDIRECT("B21:B" &amp; ROW()))-1&lt;E142,表2_36716262930389[[#This Row],[累计净值]]/MAX(INDIRECT("B21:B" &amp; ROW()))-1,E142)</f>
        <v>-6.3706028990858643E-3</v>
      </c>
      <c r="F143" s="62">
        <f>表2_36716262930389[[#This Row],[累计净值]]</f>
        <v>1.0789</v>
      </c>
      <c r="G143" s="20">
        <f>表2_36716262930389[[#This Row],[累计净值]]/$B$21-1</f>
        <v>6.4318832001578397E-2</v>
      </c>
    </row>
    <row r="144" spans="1:7" x14ac:dyDescent="0.2">
      <c r="A144" s="15">
        <v>43900</v>
      </c>
      <c r="B144" s="16">
        <v>1.0782</v>
      </c>
      <c r="C144" s="73">
        <f t="shared" si="30"/>
        <v>-6.9999999999992291E-4</v>
      </c>
      <c r="D144" s="18">
        <f t="shared" si="31"/>
        <v>-6.9999999999992291E-4</v>
      </c>
      <c r="E144" s="18">
        <f ca="1">IF(表2_36716262930389[[#This Row],[累计净值]]/MAX(INDIRECT("B21:B" &amp; ROW()))-1&lt;E143,表2_36716262930389[[#This Row],[累计净值]]/MAX(INDIRECT("B21:B" &amp; ROW()))-1,E143)</f>
        <v>-6.3706028990858643E-3</v>
      </c>
      <c r="F144" s="62">
        <f>表2_36716262930389[[#This Row],[累计净值]]</f>
        <v>1.0782</v>
      </c>
      <c r="G144" s="20">
        <f>表2_36716262930389[[#This Row],[累计净值]]/$B$21-1</f>
        <v>6.3628292394199537E-2</v>
      </c>
    </row>
    <row r="145" spans="1:7" x14ac:dyDescent="0.2">
      <c r="A145" s="15">
        <v>43901</v>
      </c>
      <c r="B145" s="16">
        <v>1.0792999999999999</v>
      </c>
      <c r="C145" s="73">
        <f t="shared" si="30"/>
        <v>1.0999999999998789E-3</v>
      </c>
      <c r="D145" s="18" t="str">
        <f t="shared" si="31"/>
        <v>/</v>
      </c>
      <c r="E145" s="18">
        <f ca="1">IF(表2_36716262930389[[#This Row],[累计净值]]/MAX(INDIRECT("B21:B" &amp; ROW()))-1&lt;E144,表2_36716262930389[[#This Row],[累计净值]]/MAX(INDIRECT("B21:B" &amp; ROW()))-1,E144)</f>
        <v>-6.3706028990858643E-3</v>
      </c>
      <c r="F145" s="62">
        <f>表2_36716262930389[[#This Row],[累计净值]]</f>
        <v>1.0792999999999999</v>
      </c>
      <c r="G145" s="20">
        <f>表2_36716262930389[[#This Row],[累计净值]]/$B$21-1</f>
        <v>6.4713426062937618E-2</v>
      </c>
    </row>
    <row r="146" spans="1:7" x14ac:dyDescent="0.2">
      <c r="A146" s="15">
        <v>43902</v>
      </c>
      <c r="B146" s="16">
        <v>1.0786</v>
      </c>
      <c r="C146" s="73">
        <f t="shared" si="30"/>
        <v>-6.9999999999992291E-4</v>
      </c>
      <c r="D146" s="18">
        <f t="shared" si="31"/>
        <v>-6.9999999999992291E-4</v>
      </c>
      <c r="E146" s="18">
        <f ca="1">IF(表2_36716262930389[[#This Row],[累计净值]]/MAX(INDIRECT("B21:B" &amp; ROW()))-1&lt;E145,表2_36716262930389[[#This Row],[累计净值]]/MAX(INDIRECT("B21:B" &amp; ROW()))-1,E145)</f>
        <v>-6.3706028990858643E-3</v>
      </c>
      <c r="F146" s="62">
        <f>表2_36716262930389[[#This Row],[累计净值]]</f>
        <v>1.0786</v>
      </c>
      <c r="G146" s="20">
        <f>表2_36716262930389[[#This Row],[累计净值]]/$B$21-1</f>
        <v>6.4022886455558758E-2</v>
      </c>
    </row>
    <row r="147" spans="1:7" x14ac:dyDescent="0.2">
      <c r="A147" s="15">
        <v>43903</v>
      </c>
      <c r="B147" s="16">
        <v>1.0745</v>
      </c>
      <c r="C147" s="73">
        <f t="shared" si="30"/>
        <v>-4.0999999999999925E-3</v>
      </c>
      <c r="D147" s="18">
        <f t="shared" si="31"/>
        <v>-4.0999999999999925E-3</v>
      </c>
      <c r="E147" s="18">
        <f ca="1">IF(表2_36716262930389[[#This Row],[累计净值]]/MAX(INDIRECT("B21:B" &amp; ROW()))-1&lt;E146,表2_36716262930389[[#This Row],[累计净值]]/MAX(INDIRECT("B21:B" &amp; ROW()))-1,E146)</f>
        <v>-7.9401717292955087E-3</v>
      </c>
      <c r="F147" s="62">
        <f>表2_36716262930389[[#This Row],[累计净值]]</f>
        <v>1.0745</v>
      </c>
      <c r="G147" s="20">
        <f>表2_36716262930389[[#This Row],[累计净值]]/$B$21-1</f>
        <v>5.9978297326625185E-2</v>
      </c>
    </row>
    <row r="148" spans="1:7" x14ac:dyDescent="0.2">
      <c r="A148" s="15">
        <v>43906</v>
      </c>
      <c r="B148" s="16">
        <v>1.0765</v>
      </c>
      <c r="C148" s="73">
        <f>IFERROR(B148-B147,0)</f>
        <v>2.0000000000000018E-3</v>
      </c>
      <c r="D148" s="18" t="str">
        <f>IF(C148&lt;0,C148,"/")</f>
        <v>/</v>
      </c>
      <c r="E148" s="18">
        <f ca="1">IF(表2_36716262930389[[#This Row],[累计净值]]/MAX(INDIRECT("B21:B" &amp; ROW()))-1&lt;E147,表2_36716262930389[[#This Row],[累计净值]]/MAX(INDIRECT("B21:B" &amp; ROW()))-1,E147)</f>
        <v>-7.9401717292955087E-3</v>
      </c>
      <c r="F148" s="62">
        <f>表2_36716262930389[[#This Row],[累计净值]]</f>
        <v>1.0765</v>
      </c>
      <c r="G148" s="20">
        <f>表2_36716262930389[[#This Row],[累计净值]]/$B$21-1</f>
        <v>6.195126763342218E-2</v>
      </c>
    </row>
    <row r="149" spans="1:7" x14ac:dyDescent="0.2">
      <c r="A149" s="15">
        <v>43907</v>
      </c>
      <c r="B149" s="16">
        <v>1.0777000000000001</v>
      </c>
      <c r="C149" s="73">
        <f>IFERROR(B149-B148,0)</f>
        <v>1.2000000000000899E-3</v>
      </c>
      <c r="D149" s="18" t="str">
        <f>IF(C149&lt;0,C149,"/")</f>
        <v>/</v>
      </c>
      <c r="E149" s="18">
        <f ca="1">IF(表2_36716262930389[[#This Row],[累计净值]]/MAX(INDIRECT("B21:B" &amp; ROW()))-1&lt;E148,表2_36716262930389[[#This Row],[累计净值]]/MAX(INDIRECT("B21:B" &amp; ROW()))-1,E148)</f>
        <v>-7.9401717292955087E-3</v>
      </c>
      <c r="F149" s="62">
        <f>表2_36716262930389[[#This Row],[累计净值]]</f>
        <v>1.0777000000000001</v>
      </c>
      <c r="G149" s="20">
        <f>表2_36716262930389[[#This Row],[累计净值]]/$B$21-1</f>
        <v>6.3135049817500288E-2</v>
      </c>
    </row>
    <row r="150" spans="1:7" x14ac:dyDescent="0.2">
      <c r="A150" s="15">
        <v>43908</v>
      </c>
      <c r="B150" s="16">
        <v>1.075</v>
      </c>
      <c r="C150" s="73">
        <f>IFERROR(B150-B149,0)</f>
        <v>-2.7000000000001467E-3</v>
      </c>
      <c r="D150" s="18">
        <f>IF(C150&lt;0,C150,"/")</f>
        <v>-2.7000000000001467E-3</v>
      </c>
      <c r="E150" s="18">
        <f ca="1">IF(表2_36716262930389[[#This Row],[累计净值]]/MAX(INDIRECT("B21:B" &amp; ROW()))-1&lt;E149,表2_36716262930389[[#This Row],[累计净值]]/MAX(INDIRECT("B21:B" &amp; ROW()))-1,E149)</f>
        <v>-7.9401717292955087E-3</v>
      </c>
      <c r="F150" s="62">
        <f>表2_36716262930389[[#This Row],[累计净值]]</f>
        <v>1.075</v>
      </c>
      <c r="G150" s="20">
        <f>表2_36716262930389[[#This Row],[累计净值]]/$B$21-1</f>
        <v>6.0471539903324434E-2</v>
      </c>
    </row>
    <row r="151" spans="1:7" x14ac:dyDescent="0.2">
      <c r="A151" s="15">
        <v>43909</v>
      </c>
      <c r="B151" s="16">
        <v>1.0741000000000001</v>
      </c>
      <c r="C151" s="73">
        <f>IFERROR(B151-B150,0)</f>
        <v>-8.9999999999990088E-4</v>
      </c>
      <c r="D151" s="18">
        <f>IF(C151&lt;0,C151,"/")</f>
        <v>-8.9999999999990088E-4</v>
      </c>
      <c r="E151" s="18">
        <f ca="1">IF(表2_36716262930389[[#This Row],[累计净值]]/MAX(INDIRECT("B21:B" &amp; ROW()))-1&lt;E150,表2_36716262930389[[#This Row],[累计净值]]/MAX(INDIRECT("B21:B" &amp; ROW()))-1,E150)</f>
        <v>-8.3094820422859872E-3</v>
      </c>
      <c r="F151" s="62">
        <f>表2_36716262930389[[#This Row],[累计净值]]</f>
        <v>1.0741000000000001</v>
      </c>
      <c r="G151" s="20">
        <f>表2_36716262930389[[#This Row],[累计净值]]/$B$21-1</f>
        <v>5.9583703265265964E-2</v>
      </c>
    </row>
    <row r="152" spans="1:7" x14ac:dyDescent="0.2">
      <c r="A152" s="15">
        <v>43910</v>
      </c>
      <c r="B152" s="16">
        <v>1.0744</v>
      </c>
      <c r="C152" s="73">
        <f t="shared" ref="C152:C157" si="32">IFERROR(B152-B151,0)</f>
        <v>2.9999999999996696E-4</v>
      </c>
      <c r="D152" s="18" t="str">
        <f t="shared" ref="D152:D157" si="33">IF(C152&lt;0,C152,"/")</f>
        <v>/</v>
      </c>
      <c r="E152" s="18">
        <f ca="1">IF(表2_36716262930389[[#This Row],[累计净值]]/MAX(INDIRECT("B21:B" &amp; ROW()))-1&lt;E151,表2_36716262930389[[#This Row],[累计净值]]/MAX(INDIRECT("B21:B" &amp; ROW()))-1,E151)</f>
        <v>-8.3094820422859872E-3</v>
      </c>
      <c r="F152" s="62">
        <f>表2_36716262930389[[#This Row],[累计净值]]</f>
        <v>1.0744</v>
      </c>
      <c r="G152" s="20">
        <f>表2_36716262930389[[#This Row],[累计净值]]/$B$21-1</f>
        <v>5.987964881128538E-2</v>
      </c>
    </row>
    <row r="153" spans="1:7" x14ac:dyDescent="0.2">
      <c r="A153" s="15">
        <v>43913</v>
      </c>
      <c r="B153" s="16">
        <v>1.08</v>
      </c>
      <c r="C153" s="73">
        <f t="shared" si="32"/>
        <v>5.6000000000000494E-3</v>
      </c>
      <c r="D153" s="18" t="str">
        <f t="shared" si="33"/>
        <v>/</v>
      </c>
      <c r="E153" s="18">
        <f ca="1">IF(表2_36716262930389[[#This Row],[累计净值]]/MAX(INDIRECT("B21:B" &amp; ROW()))-1&lt;E152,表2_36716262930389[[#This Row],[累计净值]]/MAX(INDIRECT("B21:B" &amp; ROW()))-1,E152)</f>
        <v>-8.3094820422859872E-3</v>
      </c>
      <c r="F153" s="62">
        <f>表2_36716262930389[[#This Row],[累计净值]]</f>
        <v>1.08</v>
      </c>
      <c r="G153" s="20">
        <f>表2_36716262930389[[#This Row],[累计净值]]/$B$21-1</f>
        <v>6.5403965670316699E-2</v>
      </c>
    </row>
    <row r="154" spans="1:7" x14ac:dyDescent="0.2">
      <c r="A154" s="15">
        <v>43914</v>
      </c>
      <c r="B154" s="16">
        <v>1.0780000000000001</v>
      </c>
      <c r="C154" s="73">
        <f t="shared" si="32"/>
        <v>-2.0000000000000018E-3</v>
      </c>
      <c r="D154" s="18">
        <f t="shared" si="33"/>
        <v>-2.0000000000000018E-3</v>
      </c>
      <c r="E154" s="18">
        <f ca="1">IF(表2_36716262930389[[#This Row],[累计净值]]/MAX(INDIRECT("B21:B" &amp; ROW()))-1&lt;E153,表2_36716262930389[[#This Row],[累计净值]]/MAX(INDIRECT("B21:B" &amp; ROW()))-1,E153)</f>
        <v>-8.3094820422859872E-3</v>
      </c>
      <c r="F154" s="62">
        <f>表2_36716262930389[[#This Row],[累计净值]]</f>
        <v>1.0780000000000001</v>
      </c>
      <c r="G154" s="20">
        <f>表2_36716262930389[[#This Row],[累计净值]]/$B$21-1</f>
        <v>6.3430995363519704E-2</v>
      </c>
    </row>
    <row r="155" spans="1:7" x14ac:dyDescent="0.2">
      <c r="A155" s="15">
        <v>43915</v>
      </c>
      <c r="B155" s="16">
        <v>1.0808</v>
      </c>
      <c r="C155" s="73">
        <f t="shared" si="32"/>
        <v>2.7999999999999137E-3</v>
      </c>
      <c r="D155" s="18" t="str">
        <f t="shared" si="33"/>
        <v>/</v>
      </c>
      <c r="E155" s="18">
        <f ca="1">IF(表2_36716262930389[[#This Row],[累计净值]]/MAX(INDIRECT("B21:B" &amp; ROW()))-1&lt;E154,表2_36716262930389[[#This Row],[累计净值]]/MAX(INDIRECT("B21:B" &amp; ROW()))-1,E154)</f>
        <v>-8.3094820422859872E-3</v>
      </c>
      <c r="F155" s="62">
        <f>表2_36716262930389[[#This Row],[累计净值]]</f>
        <v>1.0808</v>
      </c>
      <c r="G155" s="20">
        <f>表2_36716262930389[[#This Row],[累计净值]]/$B$21-1</f>
        <v>6.6193153793035364E-2</v>
      </c>
    </row>
    <row r="156" spans="1:7" x14ac:dyDescent="0.2">
      <c r="A156" s="15">
        <v>43916</v>
      </c>
      <c r="B156" s="16">
        <v>1.0848</v>
      </c>
      <c r="C156" s="73">
        <f t="shared" si="32"/>
        <v>4.0000000000000036E-3</v>
      </c>
      <c r="D156" s="18" t="str">
        <f t="shared" si="33"/>
        <v>/</v>
      </c>
      <c r="E156" s="18">
        <f ca="1">IF(表2_36716262930389[[#This Row],[累计净值]]/MAX(INDIRECT("B21:B" &amp; ROW()))-1&lt;E155,表2_36716262930389[[#This Row],[累计净值]]/MAX(INDIRECT("B21:B" &amp; ROW()))-1,E155)</f>
        <v>-8.3094820422859872E-3</v>
      </c>
      <c r="F156" s="62">
        <f>表2_36716262930389[[#This Row],[累计净值]]</f>
        <v>1.0848</v>
      </c>
      <c r="G156" s="20">
        <f>表2_36716262930389[[#This Row],[累计净值]]/$B$21-1</f>
        <v>7.0139094406629132E-2</v>
      </c>
    </row>
    <row r="157" spans="1:7" x14ac:dyDescent="0.2">
      <c r="A157" s="15">
        <v>43917</v>
      </c>
      <c r="B157" s="16">
        <v>1.0868</v>
      </c>
      <c r="C157" s="73">
        <f t="shared" si="32"/>
        <v>2.0000000000000018E-3</v>
      </c>
      <c r="D157" s="18" t="str">
        <f t="shared" si="33"/>
        <v>/</v>
      </c>
      <c r="E157" s="18">
        <f ca="1">IF(表2_36716262930389[[#This Row],[累计净值]]/MAX(INDIRECT("B21:B" &amp; ROW()))-1&lt;E156,表2_36716262930389[[#This Row],[累计净值]]/MAX(INDIRECT("B21:B" &amp; ROW()))-1,E156)</f>
        <v>-8.3094820422859872E-3</v>
      </c>
      <c r="F157" s="62">
        <f>表2_36716262930389[[#This Row],[累计净值]]</f>
        <v>1.0868</v>
      </c>
      <c r="G157" s="20">
        <f>表2_36716262930389[[#This Row],[累计净值]]/$B$21-1</f>
        <v>7.2112064713425905E-2</v>
      </c>
    </row>
    <row r="158" spans="1:7" x14ac:dyDescent="0.2">
      <c r="A158" s="15">
        <v>43920</v>
      </c>
      <c r="B158" s="16">
        <v>1.0866</v>
      </c>
      <c r="C158" s="73">
        <f t="shared" ref="C158:C163" si="34">IFERROR(B158-B157,0)</f>
        <v>-1.9999999999997797E-4</v>
      </c>
      <c r="D158" s="18">
        <f t="shared" ref="D158:D163" si="35">IF(C158&lt;0,C158,"/")</f>
        <v>-1.9999999999997797E-4</v>
      </c>
      <c r="E158" s="18">
        <f ca="1">IF(表2_36716262930389[[#This Row],[累计净值]]/MAX(INDIRECT("B21:B" &amp; ROW()))-1&lt;E157,表2_36716262930389[[#This Row],[累计净值]]/MAX(INDIRECT("B21:B" &amp; ROW()))-1,E157)</f>
        <v>-8.3094820422859872E-3</v>
      </c>
      <c r="F158" s="62">
        <f>表2_36716262930389[[#This Row],[累计净值]]</f>
        <v>1.0866</v>
      </c>
      <c r="G158" s="20">
        <f>表2_36716262930389[[#This Row],[累计净值]]/$B$21-1</f>
        <v>7.1914767682746294E-2</v>
      </c>
    </row>
    <row r="159" spans="1:7" x14ac:dyDescent="0.2">
      <c r="A159" s="15">
        <v>43921</v>
      </c>
      <c r="B159" s="16">
        <v>1.0889</v>
      </c>
      <c r="C159" s="73">
        <f t="shared" si="34"/>
        <v>2.2999999999999687E-3</v>
      </c>
      <c r="D159" s="18" t="str">
        <f t="shared" si="35"/>
        <v>/</v>
      </c>
      <c r="E159" s="18">
        <f ca="1">IF(表2_36716262930389[[#This Row],[累计净值]]/MAX(INDIRECT("B21:B" &amp; ROW()))-1&lt;E158,表2_36716262930389[[#This Row],[累计净值]]/MAX(INDIRECT("B21:B" &amp; ROW()))-1,E158)</f>
        <v>-8.3094820422859872E-3</v>
      </c>
      <c r="F159" s="62">
        <f>表2_36716262930389[[#This Row],[累计净值]]</f>
        <v>1.0889</v>
      </c>
      <c r="G159" s="20">
        <f>表2_36716262930389[[#This Row],[累计净值]]/$B$21-1</f>
        <v>7.4183683535562706E-2</v>
      </c>
    </row>
    <row r="160" spans="1:7" x14ac:dyDescent="0.2">
      <c r="A160" s="15">
        <v>43922</v>
      </c>
      <c r="B160" s="16">
        <v>1.0898000000000001</v>
      </c>
      <c r="C160" s="73">
        <f t="shared" si="34"/>
        <v>9.0000000000012292E-4</v>
      </c>
      <c r="D160" s="18" t="str">
        <f t="shared" si="35"/>
        <v>/</v>
      </c>
      <c r="E160" s="18">
        <f ca="1">IF(表2_36716262930389[[#This Row],[累计净值]]/MAX(INDIRECT("B21:B" &amp; ROW()))-1&lt;E159,表2_36716262930389[[#This Row],[累计净值]]/MAX(INDIRECT("B21:B" &amp; ROW()))-1,E159)</f>
        <v>-8.3094820422859872E-3</v>
      </c>
      <c r="F160" s="62">
        <f>表2_36716262930389[[#This Row],[累计净值]]</f>
        <v>1.0898000000000001</v>
      </c>
      <c r="G160" s="20">
        <f>表2_36716262930389[[#This Row],[累计净值]]/$B$21-1</f>
        <v>7.5071520173621398E-2</v>
      </c>
    </row>
    <row r="161" spans="1:7" x14ac:dyDescent="0.2">
      <c r="A161" s="15">
        <v>43923</v>
      </c>
      <c r="B161" s="16">
        <v>1.0935999999999999</v>
      </c>
      <c r="C161" s="73">
        <f t="shared" si="34"/>
        <v>3.7999999999998035E-3</v>
      </c>
      <c r="D161" s="18" t="str">
        <f t="shared" si="35"/>
        <v>/</v>
      </c>
      <c r="E161" s="18">
        <f ca="1">IF(表2_36716262930389[[#This Row],[累计净值]]/MAX(INDIRECT("B21:B" &amp; ROW()))-1&lt;E160,表2_36716262930389[[#This Row],[累计净值]]/MAX(INDIRECT("B21:B" &amp; ROW()))-1,E160)</f>
        <v>-8.3094820422859872E-3</v>
      </c>
      <c r="F161" s="62">
        <f>表2_36716262930389[[#This Row],[累计净值]]</f>
        <v>1.0935999999999999</v>
      </c>
      <c r="G161" s="20">
        <f>表2_36716262930389[[#This Row],[累计净值]]/$B$21-1</f>
        <v>7.8820163756535333E-2</v>
      </c>
    </row>
    <row r="162" spans="1:7" x14ac:dyDescent="0.2">
      <c r="A162" s="15">
        <v>43924</v>
      </c>
      <c r="B162" s="16">
        <v>1.0935999999999999</v>
      </c>
      <c r="C162" s="73">
        <f t="shared" si="34"/>
        <v>0</v>
      </c>
      <c r="D162" s="18" t="str">
        <f t="shared" si="35"/>
        <v>/</v>
      </c>
      <c r="E162" s="18">
        <f ca="1">IF(表2_36716262930389[[#This Row],[累计净值]]/MAX(INDIRECT("B21:B" &amp; ROW()))-1&lt;E161,表2_36716262930389[[#This Row],[累计净值]]/MAX(INDIRECT("B21:B" &amp; ROW()))-1,E161)</f>
        <v>-8.3094820422859872E-3</v>
      </c>
      <c r="F162" s="62">
        <f>表2_36716262930389[[#This Row],[累计净值]]</f>
        <v>1.0935999999999999</v>
      </c>
      <c r="G162" s="20">
        <f>表2_36716262930389[[#This Row],[累计净值]]/$B$21-1</f>
        <v>7.8820163756535333E-2</v>
      </c>
    </row>
    <row r="163" spans="1:7" x14ac:dyDescent="0.2">
      <c r="A163" s="15">
        <v>43928</v>
      </c>
      <c r="B163" s="16">
        <v>1.0946</v>
      </c>
      <c r="C163" s="73">
        <f t="shared" si="34"/>
        <v>1.0000000000001119E-3</v>
      </c>
      <c r="D163" s="18" t="str">
        <f t="shared" si="35"/>
        <v>/</v>
      </c>
      <c r="E163" s="18">
        <f ca="1">IF(表2_36716262930389[[#This Row],[累计净值]]/MAX(INDIRECT("B21:B" &amp; ROW()))-1&lt;E162,表2_36716262930389[[#This Row],[累计净值]]/MAX(INDIRECT("B21:B" &amp; ROW()))-1,E162)</f>
        <v>-8.3094820422859872E-3</v>
      </c>
      <c r="F163" s="62">
        <f>表2_36716262930389[[#This Row],[累计净值]]</f>
        <v>1.0946</v>
      </c>
      <c r="G163" s="20">
        <f>表2_36716262930389[[#This Row],[累计净值]]/$B$21-1</f>
        <v>7.9806648909933831E-2</v>
      </c>
    </row>
    <row r="164" spans="1:7" x14ac:dyDescent="0.2">
      <c r="A164" s="15">
        <v>43929</v>
      </c>
      <c r="B164" s="16">
        <v>1.0966</v>
      </c>
      <c r="C164" s="73">
        <f t="shared" ref="C164:C176" si="36">IFERROR(B164-B163,0)</f>
        <v>2.0000000000000018E-3</v>
      </c>
      <c r="D164" s="18" t="str">
        <f t="shared" ref="D164:D176" si="37">IF(C164&lt;0,C164,"/")</f>
        <v>/</v>
      </c>
      <c r="E164" s="18">
        <f ca="1">IF(表2_36716262930389[[#This Row],[累计净值]]/MAX(INDIRECT("B21:B" &amp; ROW()))-1&lt;E163,表2_36716262930389[[#This Row],[累计净值]]/MAX(INDIRECT("B21:B" &amp; ROW()))-1,E163)</f>
        <v>-8.3094820422859872E-3</v>
      </c>
      <c r="F164" s="62">
        <f>表2_36716262930389[[#This Row],[累计净值]]</f>
        <v>1.0966</v>
      </c>
      <c r="G164" s="20">
        <f>表2_36716262930389[[#This Row],[累计净值]]/$B$21-1</f>
        <v>8.1779619216730826E-2</v>
      </c>
    </row>
    <row r="165" spans="1:7" x14ac:dyDescent="0.2">
      <c r="A165" s="15">
        <v>43930</v>
      </c>
      <c r="B165" s="16">
        <v>1.0979000000000001</v>
      </c>
      <c r="C165" s="73">
        <f t="shared" si="36"/>
        <v>1.3000000000000789E-3</v>
      </c>
      <c r="D165" s="18" t="str">
        <f t="shared" si="37"/>
        <v>/</v>
      </c>
      <c r="E165" s="18">
        <f ca="1">IF(表2_36716262930389[[#This Row],[累计净值]]/MAX(INDIRECT("B21:B" &amp; ROW()))-1&lt;E164,表2_36716262930389[[#This Row],[累计净值]]/MAX(INDIRECT("B21:B" &amp; ROW()))-1,E164)</f>
        <v>-8.3094820422859872E-3</v>
      </c>
      <c r="F165" s="62">
        <f>表2_36716262930389[[#This Row],[累计净值]]</f>
        <v>1.0979000000000001</v>
      </c>
      <c r="G165" s="20">
        <f>表2_36716262930389[[#This Row],[累计净值]]/$B$21-1</f>
        <v>8.3062049916148739E-2</v>
      </c>
    </row>
    <row r="166" spans="1:7" x14ac:dyDescent="0.2">
      <c r="A166" s="15">
        <v>43931</v>
      </c>
      <c r="B166" s="16">
        <v>1.0986</v>
      </c>
      <c r="C166" s="73">
        <f t="shared" si="36"/>
        <v>6.9999999999992291E-4</v>
      </c>
      <c r="D166" s="18" t="str">
        <f t="shared" si="37"/>
        <v>/</v>
      </c>
      <c r="E166" s="18">
        <f ca="1">IF(表2_36716262930389[[#This Row],[累计净值]]/MAX(INDIRECT("B21:B" &amp; ROW()))-1&lt;E165,表2_36716262930389[[#This Row],[累计净值]]/MAX(INDIRECT("B21:B" &amp; ROW()))-1,E165)</f>
        <v>-8.3094820422859872E-3</v>
      </c>
      <c r="F166" s="62">
        <f>表2_36716262930389[[#This Row],[累计净值]]</f>
        <v>1.0986</v>
      </c>
      <c r="G166" s="20">
        <f>表2_36716262930389[[#This Row],[累计净值]]/$B$21-1</f>
        <v>8.3752589523527599E-2</v>
      </c>
    </row>
    <row r="167" spans="1:7" x14ac:dyDescent="0.2">
      <c r="A167" s="15">
        <v>43934</v>
      </c>
      <c r="B167" s="16">
        <v>1.0999000000000001</v>
      </c>
      <c r="C167" s="73">
        <f t="shared" si="36"/>
        <v>1.3000000000000789E-3</v>
      </c>
      <c r="D167" s="18" t="str">
        <f t="shared" si="37"/>
        <v>/</v>
      </c>
      <c r="E167" s="18">
        <f ca="1">IF(表2_36716262930389[[#This Row],[累计净值]]/MAX(INDIRECT("B21:B" &amp; ROW()))-1&lt;E166,表2_36716262930389[[#This Row],[累计净值]]/MAX(INDIRECT("B21:B" &amp; ROW()))-1,E166)</f>
        <v>-8.3094820422859872E-3</v>
      </c>
      <c r="F167" s="62">
        <f>表2_36716262930389[[#This Row],[累计净值]]</f>
        <v>1.0999000000000001</v>
      </c>
      <c r="G167" s="20">
        <f>表2_36716262930389[[#This Row],[累计净值]]/$B$21-1</f>
        <v>8.5035020222945734E-2</v>
      </c>
    </row>
    <row r="168" spans="1:7" x14ac:dyDescent="0.2">
      <c r="A168" s="15">
        <v>43935</v>
      </c>
      <c r="B168" s="16">
        <v>1.1005</v>
      </c>
      <c r="C168" s="94">
        <f t="shared" si="36"/>
        <v>5.9999999999993392E-4</v>
      </c>
      <c r="D168" s="95" t="str">
        <f t="shared" si="37"/>
        <v>/</v>
      </c>
      <c r="E168" s="95">
        <f ca="1">IF(表2_36716262930389[[#This Row],[累计净值]]/MAX(INDIRECT("B21:B" &amp; ROW()))-1&lt;E167,表2_36716262930389[[#This Row],[累计净值]]/MAX(INDIRECT("B21:B" &amp; ROW()))-1,E167)</f>
        <v>-8.3094820422859872E-3</v>
      </c>
      <c r="F168" s="62">
        <f>表2_36716262930389[[#This Row],[累计净值]]</f>
        <v>1.1005</v>
      </c>
      <c r="G168" s="20">
        <f>表2_36716262930389[[#This Row],[累计净值]]/$B$21-1</f>
        <v>8.5626911314984788E-2</v>
      </c>
    </row>
    <row r="169" spans="1:7" x14ac:dyDescent="0.2">
      <c r="A169" s="15">
        <v>43936</v>
      </c>
      <c r="B169" s="16">
        <v>1.1016999999999999</v>
      </c>
      <c r="C169" s="64">
        <f t="shared" si="36"/>
        <v>1.1999999999998678E-3</v>
      </c>
      <c r="D169" s="65" t="str">
        <f t="shared" si="37"/>
        <v>/</v>
      </c>
      <c r="E169" s="65">
        <f ca="1">IF(表2_36716262930389[[#This Row],[累计净值]]/MAX(INDIRECT("B21:B" &amp; ROW()))-1&lt;E168,表2_36716262930389[[#This Row],[累计净值]]/MAX(INDIRECT("B21:B" &amp; ROW()))-1,E168)</f>
        <v>-8.3094820422859872E-3</v>
      </c>
      <c r="F169" s="66">
        <f>表2_36716262930389[[#This Row],[累计净值]]</f>
        <v>1.1016999999999999</v>
      </c>
      <c r="G169" s="20">
        <f>表2_36716262930389[[#This Row],[累计净值]]/$B$21-1</f>
        <v>8.6810693499062674E-2</v>
      </c>
    </row>
    <row r="170" spans="1:7" x14ac:dyDescent="0.2">
      <c r="A170" s="15">
        <v>43937</v>
      </c>
      <c r="B170" s="96">
        <v>1.1022000000000001</v>
      </c>
      <c r="C170" s="94">
        <f t="shared" si="36"/>
        <v>5.0000000000016698E-4</v>
      </c>
      <c r="D170" s="95" t="str">
        <f t="shared" si="37"/>
        <v>/</v>
      </c>
      <c r="E170" s="95">
        <f ca="1">IF(表2_36716262930389[[#This Row],[累计净值]]/MAX(INDIRECT("B21:B" &amp; ROW()))-1&lt;E169,表2_36716262930389[[#This Row],[累计净值]]/MAX(INDIRECT("B21:B" &amp; ROW()))-1,E169)</f>
        <v>-8.3094820422859872E-3</v>
      </c>
      <c r="F170" s="97">
        <f>表2_36716262930389[[#This Row],[累计净值]]</f>
        <v>1.1022000000000001</v>
      </c>
      <c r="G170" s="20">
        <f>表2_36716262930389[[#This Row],[累计净值]]/$B$21-1</f>
        <v>8.7303936075762145E-2</v>
      </c>
    </row>
    <row r="171" spans="1:7" x14ac:dyDescent="0.2">
      <c r="A171" s="15">
        <v>43938</v>
      </c>
      <c r="B171" s="96">
        <v>1.1028</v>
      </c>
      <c r="C171" s="94">
        <f t="shared" si="36"/>
        <v>5.9999999999993392E-4</v>
      </c>
      <c r="D171" s="95" t="str">
        <f t="shared" si="37"/>
        <v>/</v>
      </c>
      <c r="E171" s="95">
        <f ca="1">IF(表2_36716262930389[[#This Row],[累计净值]]/MAX(INDIRECT("B21:B" &amp; ROW()))-1&lt;E170,表2_36716262930389[[#This Row],[累计净值]]/MAX(INDIRECT("B21:B" &amp; ROW()))-1,E170)</f>
        <v>-8.3094820422859872E-3</v>
      </c>
      <c r="F171" s="97">
        <f>表2_36716262930389[[#This Row],[累计净值]]</f>
        <v>1.1028</v>
      </c>
      <c r="G171" s="20">
        <f>表2_36716262930389[[#This Row],[累计净值]]/$B$21-1</f>
        <v>8.7895827167800977E-2</v>
      </c>
    </row>
    <row r="172" spans="1:7" x14ac:dyDescent="0.2">
      <c r="A172" s="15">
        <v>43941</v>
      </c>
      <c r="B172" s="96">
        <v>1.1032</v>
      </c>
      <c r="C172" s="94">
        <f t="shared" si="36"/>
        <v>3.9999999999995595E-4</v>
      </c>
      <c r="D172" s="95" t="str">
        <f t="shared" si="37"/>
        <v>/</v>
      </c>
      <c r="E172" s="95">
        <f ca="1">IF(表2_36716262930389[[#This Row],[累计净值]]/MAX(INDIRECT("B21:B" &amp; ROW()))-1&lt;E171,表2_36716262930389[[#This Row],[累计净值]]/MAX(INDIRECT("B21:B" &amp; ROW()))-1,E171)</f>
        <v>-8.3094820422859872E-3</v>
      </c>
      <c r="F172" s="97">
        <f>表2_36716262930389[[#This Row],[累计净值]]</f>
        <v>1.1032</v>
      </c>
      <c r="G172" s="20">
        <f>表2_36716262930389[[#This Row],[累计净值]]/$B$21-1</f>
        <v>8.8290421229160421E-2</v>
      </c>
    </row>
    <row r="173" spans="1:7" x14ac:dyDescent="0.2">
      <c r="A173" s="15">
        <v>43942</v>
      </c>
      <c r="B173" s="96">
        <v>1.1036999999999999</v>
      </c>
      <c r="C173" s="94">
        <f t="shared" si="36"/>
        <v>4.9999999999994493E-4</v>
      </c>
      <c r="D173" s="95" t="str">
        <f t="shared" si="37"/>
        <v>/</v>
      </c>
      <c r="E173" s="95">
        <f ca="1">IF(表2_36716262930389[[#This Row],[累计净值]]/MAX(INDIRECT("B21:B" &amp; ROW()))-1&lt;E172,表2_36716262930389[[#This Row],[累计净值]]/MAX(INDIRECT("B21:B" &amp; ROW()))-1,E172)</f>
        <v>-8.3094820422859872E-3</v>
      </c>
      <c r="F173" s="97">
        <f>表2_36716262930389[[#This Row],[累计净值]]</f>
        <v>1.1036999999999999</v>
      </c>
      <c r="G173" s="20">
        <f>表2_36716262930389[[#This Row],[累计净值]]/$B$21-1</f>
        <v>8.8783663805859669E-2</v>
      </c>
    </row>
    <row r="174" spans="1:7" x14ac:dyDescent="0.2">
      <c r="A174" s="15">
        <v>43943</v>
      </c>
      <c r="B174" s="107">
        <v>1.1045</v>
      </c>
      <c r="C174" s="94">
        <f t="shared" si="36"/>
        <v>8.0000000000013394E-4</v>
      </c>
      <c r="D174" s="95" t="str">
        <f t="shared" si="37"/>
        <v>/</v>
      </c>
      <c r="E174" s="95">
        <f ca="1">IF(表2_36716262930389[[#This Row],[累计净值]]/MAX(INDIRECT("B21:B" &amp; ROW()))-1&lt;E173,表2_36716262930389[[#This Row],[累计净值]]/MAX(INDIRECT("B21:B" &amp; ROW()))-1,E173)</f>
        <v>-8.3094820422859872E-3</v>
      </c>
      <c r="F174" s="97">
        <f>表2_36716262930389[[#This Row],[累计净值]]</f>
        <v>1.1045</v>
      </c>
      <c r="G174" s="20">
        <f>表2_36716262930389[[#This Row],[累计净值]]/$B$21-1</f>
        <v>8.9572851928578556E-2</v>
      </c>
    </row>
    <row r="175" spans="1:7" x14ac:dyDescent="0.2">
      <c r="A175" s="15">
        <v>43944</v>
      </c>
      <c r="B175" s="96">
        <v>1.1032999999999999</v>
      </c>
      <c r="C175" s="94">
        <f t="shared" si="36"/>
        <v>-1.2000000000000899E-3</v>
      </c>
      <c r="D175" s="95">
        <f t="shared" si="37"/>
        <v>-1.2000000000000899E-3</v>
      </c>
      <c r="E175" s="95">
        <f ca="1">IF(表2_36716262930389[[#This Row],[累计净值]]/MAX(INDIRECT("B21:B" &amp; ROW()))-1&lt;E174,表2_36716262930389[[#This Row],[累计净值]]/MAX(INDIRECT("B21:B" &amp; ROW()))-1,E174)</f>
        <v>-8.3094820422859872E-3</v>
      </c>
      <c r="F175" s="97">
        <f>表2_36716262930389[[#This Row],[累计净值]]</f>
        <v>1.1032999999999999</v>
      </c>
      <c r="G175" s="20">
        <f>表2_36716262930389[[#This Row],[累计净值]]/$B$21-1</f>
        <v>8.8389069744500226E-2</v>
      </c>
    </row>
    <row r="176" spans="1:7" x14ac:dyDescent="0.2">
      <c r="A176" s="15">
        <v>43945</v>
      </c>
      <c r="B176" s="96">
        <v>1.1028</v>
      </c>
      <c r="C176" s="94">
        <f t="shared" si="36"/>
        <v>-4.9999999999994493E-4</v>
      </c>
      <c r="D176" s="95">
        <f t="shared" si="37"/>
        <v>-4.9999999999994493E-4</v>
      </c>
      <c r="E176" s="95">
        <f ca="1">IF(表2_36716262930389[[#This Row],[累计净值]]/MAX(INDIRECT("B21:B" &amp; ROW()))-1&lt;E175,表2_36716262930389[[#This Row],[累计净值]]/MAX(INDIRECT("B21:B" &amp; ROW()))-1,E175)</f>
        <v>-8.3094820422859872E-3</v>
      </c>
      <c r="F176" s="97">
        <f>表2_36716262930389[[#This Row],[累计净值]]</f>
        <v>1.1028</v>
      </c>
      <c r="G176" s="20">
        <f>表2_36716262930389[[#This Row],[累计净值]]/$B$21-1</f>
        <v>8.7895827167800977E-2</v>
      </c>
    </row>
    <row r="177" spans="1:7" x14ac:dyDescent="0.2">
      <c r="A177" s="15">
        <v>43948</v>
      </c>
      <c r="B177" s="96">
        <v>1.1022000000000001</v>
      </c>
      <c r="C177" s="94">
        <f t="shared" ref="C177:C182" si="38">IFERROR(B177-B176,0)</f>
        <v>-5.9999999999993392E-4</v>
      </c>
      <c r="D177" s="95">
        <f t="shared" ref="D177:D182" si="39">IF(C177&lt;0,C177,"/")</f>
        <v>-5.9999999999993392E-4</v>
      </c>
      <c r="E177" s="95">
        <f ca="1">IF(表2_36716262930389[[#This Row],[累计净值]]/MAX(INDIRECT("B21:B" &amp; ROW()))-1&lt;E176,表2_36716262930389[[#This Row],[累计净值]]/MAX(INDIRECT("B21:B" &amp; ROW()))-1,E176)</f>
        <v>-8.3094820422859872E-3</v>
      </c>
      <c r="F177" s="97">
        <f>表2_36716262930389[[#This Row],[累计净值]]</f>
        <v>1.1022000000000001</v>
      </c>
      <c r="G177" s="20">
        <f>表2_36716262930389[[#This Row],[累计净值]]/$B$21-1</f>
        <v>8.7303936075762145E-2</v>
      </c>
    </row>
    <row r="178" spans="1:7" x14ac:dyDescent="0.2">
      <c r="A178" s="15">
        <v>43949</v>
      </c>
      <c r="B178" s="96">
        <v>1.1021000000000001</v>
      </c>
      <c r="C178" s="94">
        <f t="shared" si="38"/>
        <v>-9.9999999999988987E-5</v>
      </c>
      <c r="D178" s="95">
        <f t="shared" si="39"/>
        <v>-9.9999999999988987E-5</v>
      </c>
      <c r="E178" s="95">
        <f ca="1">IF(表2_36716262930389[[#This Row],[累计净值]]/MAX(INDIRECT("B21:B" &amp; ROW()))-1&lt;E177,表2_36716262930389[[#This Row],[累计净值]]/MAX(INDIRECT("B21:B" &amp; ROW()))-1,E177)</f>
        <v>-8.3094820422859872E-3</v>
      </c>
      <c r="F178" s="97">
        <f>表2_36716262930389[[#This Row],[累计净值]]</f>
        <v>1.1021000000000001</v>
      </c>
      <c r="G178" s="20">
        <f>表2_36716262930389[[#This Row],[累计净值]]/$B$21-1</f>
        <v>8.720528756042234E-2</v>
      </c>
    </row>
    <row r="179" spans="1:7" x14ac:dyDescent="0.2">
      <c r="A179" s="15">
        <v>43950</v>
      </c>
      <c r="B179" s="96">
        <v>1.1027</v>
      </c>
      <c r="C179" s="94">
        <f t="shared" si="38"/>
        <v>5.9999999999993392E-4</v>
      </c>
      <c r="D179" s="95" t="str">
        <f t="shared" si="39"/>
        <v>/</v>
      </c>
      <c r="E179" s="95">
        <f ca="1">IF(表2_36716262930389[[#This Row],[累计净值]]/MAX(INDIRECT("B21:B" &amp; ROW()))-1&lt;E178,表2_36716262930389[[#This Row],[累计净值]]/MAX(INDIRECT("B21:B" &amp; ROW()))-1,E178)</f>
        <v>-8.3094820422859872E-3</v>
      </c>
      <c r="F179" s="97">
        <f>表2_36716262930389[[#This Row],[累计净值]]</f>
        <v>1.1027</v>
      </c>
      <c r="G179" s="20">
        <f>表2_36716262930389[[#This Row],[累计净值]]/$B$21-1</f>
        <v>8.7797178652461172E-2</v>
      </c>
    </row>
    <row r="180" spans="1:7" x14ac:dyDescent="0.2">
      <c r="A180" s="15">
        <v>43951</v>
      </c>
      <c r="B180" s="96">
        <v>1.0999000000000001</v>
      </c>
      <c r="C180" s="94">
        <f t="shared" si="38"/>
        <v>-2.7999999999999137E-3</v>
      </c>
      <c r="D180" s="95">
        <f t="shared" si="39"/>
        <v>-2.7999999999999137E-3</v>
      </c>
      <c r="E180" s="95">
        <f ca="1">IF(表2_36716262930389[[#This Row],[累计净值]]/MAX(INDIRECT("B21:B" &amp; ROW()))-1&lt;E179,表2_36716262930389[[#This Row],[累计净值]]/MAX(INDIRECT("B21:B" &amp; ROW()))-1,E179)</f>
        <v>-8.3094820422859872E-3</v>
      </c>
      <c r="F180" s="97">
        <f>表2_36716262930389[[#This Row],[累计净值]]</f>
        <v>1.0999000000000001</v>
      </c>
      <c r="G180" s="20">
        <f>表2_36716262930389[[#This Row],[累计净值]]/$B$21-1</f>
        <v>8.5035020222945734E-2</v>
      </c>
    </row>
    <row r="181" spans="1:7" x14ac:dyDescent="0.2">
      <c r="A181" s="15">
        <v>43957</v>
      </c>
      <c r="B181" s="96">
        <v>1.1021000000000001</v>
      </c>
      <c r="C181" s="94">
        <f t="shared" si="38"/>
        <v>2.1999999999999797E-3</v>
      </c>
      <c r="D181" s="95" t="str">
        <f t="shared" si="39"/>
        <v>/</v>
      </c>
      <c r="E181" s="95">
        <f ca="1">IF(表2_36716262930389[[#This Row],[累计净值]]/MAX(INDIRECT("B21:B" &amp; ROW()))-1&lt;E180,表2_36716262930389[[#This Row],[累计净值]]/MAX(INDIRECT("B21:B" &amp; ROW()))-1,E180)</f>
        <v>-8.3094820422859872E-3</v>
      </c>
      <c r="F181" s="97">
        <f>表2_36716262930389[[#This Row],[累计净值]]</f>
        <v>1.1021000000000001</v>
      </c>
      <c r="G181" s="20">
        <f>表2_36716262930389[[#This Row],[累计净值]]/$B$21-1</f>
        <v>8.720528756042234E-2</v>
      </c>
    </row>
    <row r="182" spans="1:7" x14ac:dyDescent="0.2">
      <c r="A182" s="15">
        <v>43958</v>
      </c>
      <c r="B182" s="96">
        <v>1.1026</v>
      </c>
      <c r="C182" s="94">
        <f t="shared" si="38"/>
        <v>4.9999999999994493E-4</v>
      </c>
      <c r="D182" s="95" t="str">
        <f t="shared" si="39"/>
        <v>/</v>
      </c>
      <c r="E182" s="95">
        <f ca="1">IF(表2_36716262930389[[#This Row],[累计净值]]/MAX(INDIRECT("B21:B" &amp; ROW()))-1&lt;E181,表2_36716262930389[[#This Row],[累计净值]]/MAX(INDIRECT("B21:B" &amp; ROW()))-1,E181)</f>
        <v>-8.3094820422859872E-3</v>
      </c>
      <c r="F182" s="97">
        <f>表2_36716262930389[[#This Row],[累计净值]]</f>
        <v>1.1026</v>
      </c>
      <c r="G182" s="20">
        <f>表2_36716262930389[[#This Row],[累计净值]]/$B$21-1</f>
        <v>8.7698530137121367E-2</v>
      </c>
    </row>
    <row r="183" spans="1:7" x14ac:dyDescent="0.2">
      <c r="A183" s="15">
        <v>43959</v>
      </c>
      <c r="B183" s="104">
        <v>1.103</v>
      </c>
      <c r="C183" s="101">
        <f t="shared" ref="C183:C188" si="40">IFERROR(B183-B182,0)</f>
        <v>3.9999999999995595E-4</v>
      </c>
      <c r="D183" s="102" t="str">
        <f t="shared" ref="D183:D188" si="41">IF(C183&lt;0,C183,"/")</f>
        <v>/</v>
      </c>
      <c r="E183" s="102">
        <f ca="1">IF(表2_36716262930389[[#This Row],[累计净值]]/MAX(INDIRECT("B21:B" &amp; ROW()))-1&lt;E182,表2_36716262930389[[#This Row],[累计净值]]/MAX(INDIRECT("B21:B" &amp; ROW()))-1,E182)</f>
        <v>-8.3094820422859872E-3</v>
      </c>
      <c r="F183" s="103">
        <f>表2_36716262930389[[#This Row],[累计净值]]</f>
        <v>1.103</v>
      </c>
      <c r="G183" s="20">
        <f>表2_36716262930389[[#This Row],[累计净值]]/$B$21-1</f>
        <v>8.809312419848081E-2</v>
      </c>
    </row>
    <row r="184" spans="1:7" x14ac:dyDescent="0.2">
      <c r="A184" s="15">
        <v>43962</v>
      </c>
      <c r="B184" s="104">
        <v>1.1036999999999999</v>
      </c>
      <c r="C184" s="101">
        <f t="shared" si="40"/>
        <v>6.9999999999992291E-4</v>
      </c>
      <c r="D184" s="102" t="str">
        <f t="shared" si="41"/>
        <v>/</v>
      </c>
      <c r="E184" s="102">
        <f ca="1">IF(表2_36716262930389[[#This Row],[累计净值]]/MAX(INDIRECT("B21:B" &amp; ROW()))-1&lt;E183,表2_36716262930389[[#This Row],[累计净值]]/MAX(INDIRECT("B21:B" &amp; ROW()))-1,E183)</f>
        <v>-8.3094820422859872E-3</v>
      </c>
      <c r="F184" s="103">
        <f>表2_36716262930389[[#This Row],[累计净值]]</f>
        <v>1.1036999999999999</v>
      </c>
      <c r="G184" s="20">
        <f>表2_36716262930389[[#This Row],[累计净值]]/$B$21-1</f>
        <v>8.8783663805859669E-2</v>
      </c>
    </row>
    <row r="185" spans="1:7" x14ac:dyDescent="0.2">
      <c r="A185" s="15">
        <v>43963</v>
      </c>
      <c r="B185" s="104">
        <v>1.1037999999999999</v>
      </c>
      <c r="C185" s="101">
        <f t="shared" si="40"/>
        <v>9.9999999999988987E-5</v>
      </c>
      <c r="D185" s="102" t="str">
        <f t="shared" si="41"/>
        <v>/</v>
      </c>
      <c r="E185" s="102">
        <f ca="1">IF(表2_36716262930389[[#This Row],[累计净值]]/MAX(INDIRECT("B21:B" &amp; ROW()))-1&lt;E184,表2_36716262930389[[#This Row],[累计净值]]/MAX(INDIRECT("B21:B" &amp; ROW()))-1,E184)</f>
        <v>-8.3094820422859872E-3</v>
      </c>
      <c r="F185" s="103">
        <f>表2_36716262930389[[#This Row],[累计净值]]</f>
        <v>1.1037999999999999</v>
      </c>
      <c r="G185" s="20">
        <f>表2_36716262930389[[#This Row],[累计净值]]/$B$21-1</f>
        <v>8.8882312321199475E-2</v>
      </c>
    </row>
    <row r="186" spans="1:7" x14ac:dyDescent="0.2">
      <c r="A186" s="15">
        <v>43964</v>
      </c>
      <c r="B186" s="104">
        <v>1.1048</v>
      </c>
      <c r="C186" s="101">
        <f t="shared" si="40"/>
        <v>1.0000000000001119E-3</v>
      </c>
      <c r="D186" s="102" t="str">
        <f t="shared" si="41"/>
        <v>/</v>
      </c>
      <c r="E186" s="102">
        <f ca="1">IF(表2_36716262930389[[#This Row],[累计净值]]/MAX(INDIRECT("B21:B" &amp; ROW()))-1&lt;E185,表2_36716262930389[[#This Row],[累计净值]]/MAX(INDIRECT("B21:B" &amp; ROW()))-1,E185)</f>
        <v>-8.3094820422859872E-3</v>
      </c>
      <c r="F186" s="103">
        <f>表2_36716262930389[[#This Row],[累计净值]]</f>
        <v>1.1048</v>
      </c>
      <c r="G186" s="20">
        <f>表2_36716262930389[[#This Row],[累计净值]]/$B$21-1</f>
        <v>8.9868797474597972E-2</v>
      </c>
    </row>
    <row r="187" spans="1:7" x14ac:dyDescent="0.2">
      <c r="A187" s="15">
        <v>43965</v>
      </c>
      <c r="B187" s="104">
        <v>1.1047</v>
      </c>
      <c r="C187" s="101">
        <f t="shared" si="40"/>
        <v>-9.9999999999988987E-5</v>
      </c>
      <c r="D187" s="102">
        <f t="shared" si="41"/>
        <v>-9.9999999999988987E-5</v>
      </c>
      <c r="E187" s="102">
        <f ca="1">IF(表2_36716262930389[[#This Row],[累计净值]]/MAX(INDIRECT("B21:B" &amp; ROW()))-1&lt;E186,表2_36716262930389[[#This Row],[累计净值]]/MAX(INDIRECT("B21:B" &amp; ROW()))-1,E186)</f>
        <v>-8.3094820422859872E-3</v>
      </c>
      <c r="F187" s="103">
        <f>表2_36716262930389[[#This Row],[累计净值]]</f>
        <v>1.1047</v>
      </c>
      <c r="G187" s="20">
        <f>表2_36716262930389[[#This Row],[累计净值]]/$B$21-1</f>
        <v>8.9770148959258167E-2</v>
      </c>
    </row>
    <row r="188" spans="1:7" x14ac:dyDescent="0.2">
      <c r="A188" s="15">
        <v>43966</v>
      </c>
      <c r="B188" s="104">
        <v>1.1048</v>
      </c>
      <c r="C188" s="101">
        <f t="shared" si="40"/>
        <v>9.9999999999988987E-5</v>
      </c>
      <c r="D188" s="102" t="str">
        <f t="shared" si="41"/>
        <v>/</v>
      </c>
      <c r="E188" s="102">
        <f ca="1">IF(表2_36716262930389[[#This Row],[累计净值]]/MAX(INDIRECT("B21:B" &amp; ROW()))-1&lt;E187,表2_36716262930389[[#This Row],[累计净值]]/MAX(INDIRECT("B21:B" &amp; ROW()))-1,E187)</f>
        <v>-8.3094820422859872E-3</v>
      </c>
      <c r="F188" s="103">
        <f>表2_36716262930389[[#This Row],[累计净值]]</f>
        <v>1.1048</v>
      </c>
      <c r="G188" s="20">
        <f>表2_36716262930389[[#This Row],[累计净值]]/$B$21-1</f>
        <v>8.9868797474597972E-2</v>
      </c>
    </row>
    <row r="189" spans="1:7" x14ac:dyDescent="0.2">
      <c r="A189" s="15">
        <v>43969</v>
      </c>
      <c r="B189" s="104">
        <v>1.1049</v>
      </c>
      <c r="C189" s="101">
        <f t="shared" ref="C189:C194" si="42">IFERROR(B189-B188,0)</f>
        <v>9.9999999999988987E-5</v>
      </c>
      <c r="D189" s="102" t="str">
        <f t="shared" ref="D189:D194" si="43">IF(C189&lt;0,C189,"/")</f>
        <v>/</v>
      </c>
      <c r="E189" s="102">
        <f ca="1">IF(表2_36716262930389[[#This Row],[累计净值]]/MAX(INDIRECT("B21:B" &amp; ROW()))-1&lt;E188,表2_36716262930389[[#This Row],[累计净值]]/MAX(INDIRECT("B21:B" &amp; ROW()))-1,E188)</f>
        <v>-8.3094820422859872E-3</v>
      </c>
      <c r="F189" s="103">
        <f>表2_36716262930389[[#This Row],[累计净值]]</f>
        <v>1.1049</v>
      </c>
      <c r="G189" s="20">
        <f>表2_36716262930389[[#This Row],[累计净值]]/$B$21-1</f>
        <v>8.9967445989937778E-2</v>
      </c>
    </row>
    <row r="190" spans="1:7" x14ac:dyDescent="0.2">
      <c r="A190" s="15">
        <v>43970</v>
      </c>
      <c r="B190" s="104">
        <v>1.1041000000000001</v>
      </c>
      <c r="C190" s="101">
        <f t="shared" si="42"/>
        <v>-7.9999999999991189E-4</v>
      </c>
      <c r="D190" s="102">
        <f t="shared" si="43"/>
        <v>-7.9999999999991189E-4</v>
      </c>
      <c r="E190" s="102">
        <f ca="1">IF(表2_36716262930389[[#This Row],[累计净值]]/MAX(INDIRECT("B21:B" &amp; ROW()))-1&lt;E189,表2_36716262930389[[#This Row],[累计净值]]/MAX(INDIRECT("B21:B" &amp; ROW()))-1,E189)</f>
        <v>-8.3094820422859872E-3</v>
      </c>
      <c r="F190" s="103">
        <f>表2_36716262930389[[#This Row],[累计净值]]</f>
        <v>1.1041000000000001</v>
      </c>
      <c r="G190" s="20">
        <f>表2_36716262930389[[#This Row],[累计净值]]/$B$21-1</f>
        <v>8.9178257867219113E-2</v>
      </c>
    </row>
    <row r="191" spans="1:7" x14ac:dyDescent="0.2">
      <c r="A191" s="15">
        <v>43971</v>
      </c>
      <c r="B191" s="104">
        <v>1.1041000000000001</v>
      </c>
      <c r="C191" s="108">
        <f t="shared" si="42"/>
        <v>0</v>
      </c>
      <c r="D191" s="109" t="str">
        <f t="shared" si="43"/>
        <v>/</v>
      </c>
      <c r="E191" s="109">
        <f ca="1">IF(表2_36716262930389[[#This Row],[累计净值]]/MAX(INDIRECT("B21:B" &amp; ROW()))-1&lt;E190,表2_36716262930389[[#This Row],[累计净值]]/MAX(INDIRECT("B21:B" &amp; ROW()))-1,E190)</f>
        <v>-8.3094820422859872E-3</v>
      </c>
      <c r="F191" s="110">
        <f>表2_36716262930389[[#This Row],[累计净值]]</f>
        <v>1.1041000000000001</v>
      </c>
      <c r="G191" s="20">
        <f>表2_36716262930389[[#This Row],[累计净值]]/$B$21-1</f>
        <v>8.9178257867219113E-2</v>
      </c>
    </row>
    <row r="192" spans="1:7" x14ac:dyDescent="0.2">
      <c r="A192" s="15">
        <v>43972</v>
      </c>
      <c r="B192" s="104">
        <v>1.1046</v>
      </c>
      <c r="C192" s="64">
        <f t="shared" si="42"/>
        <v>4.9999999999994493E-4</v>
      </c>
      <c r="D192" s="65" t="str">
        <f t="shared" si="43"/>
        <v>/</v>
      </c>
      <c r="E192" s="65">
        <f ca="1">IF(表2_36716262930389[[#This Row],[累计净值]]/MAX(INDIRECT("B21:B" &amp; ROW()))-1&lt;E191,表2_36716262930389[[#This Row],[累计净值]]/MAX(INDIRECT("B21:B" &amp; ROW()))-1,E191)</f>
        <v>-8.3094820422859872E-3</v>
      </c>
      <c r="F192" s="66">
        <f>表2_36716262930389[[#This Row],[累计净值]]</f>
        <v>1.1046</v>
      </c>
      <c r="G192" s="20">
        <f>表2_36716262930389[[#This Row],[累计净值]]/$B$21-1</f>
        <v>8.9671500443918362E-2</v>
      </c>
    </row>
    <row r="193" spans="1:7" x14ac:dyDescent="0.2">
      <c r="A193" s="15">
        <v>43973</v>
      </c>
      <c r="B193" s="112">
        <v>1.1067</v>
      </c>
      <c r="C193" s="108">
        <f t="shared" si="42"/>
        <v>2.0999999999999908E-3</v>
      </c>
      <c r="D193" s="109" t="str">
        <f t="shared" si="43"/>
        <v>/</v>
      </c>
      <c r="E193" s="109">
        <f ca="1">IF(表2_36716262930389[[#This Row],[累计净值]]/MAX(INDIRECT("B21:B" &amp; ROW()))-1&lt;E192,表2_36716262930389[[#This Row],[累计净值]]/MAX(INDIRECT("B21:B" &amp; ROW()))-1,E192)</f>
        <v>-8.3094820422859872E-3</v>
      </c>
      <c r="F193" s="110">
        <f>表2_36716262930389[[#This Row],[累计净值]]</f>
        <v>1.1067</v>
      </c>
      <c r="G193" s="20">
        <f>表2_36716262930389[[#This Row],[累计净值]]/$B$21-1</f>
        <v>9.174311926605494E-2</v>
      </c>
    </row>
    <row r="194" spans="1:7" x14ac:dyDescent="0.2">
      <c r="A194" s="15">
        <v>43976</v>
      </c>
      <c r="B194" s="112">
        <v>1.1046</v>
      </c>
      <c r="C194" s="108">
        <f t="shared" si="42"/>
        <v>-2.0999999999999908E-3</v>
      </c>
      <c r="D194" s="109">
        <f t="shared" si="43"/>
        <v>-2.0999999999999908E-3</v>
      </c>
      <c r="E194" s="109">
        <f ca="1">IF(表2_36716262930389[[#This Row],[累计净值]]/MAX(INDIRECT("B21:B" &amp; ROW()))-1&lt;E193,表2_36716262930389[[#This Row],[累计净值]]/MAX(INDIRECT("B21:B" &amp; ROW()))-1,E193)</f>
        <v>-8.3094820422859872E-3</v>
      </c>
      <c r="F194" s="110">
        <f>表2_36716262930389[[#This Row],[累计净值]]</f>
        <v>1.1046</v>
      </c>
      <c r="G194" s="20">
        <f>表2_36716262930389[[#This Row],[累计净值]]/$B$21-1</f>
        <v>8.9671500443918362E-2</v>
      </c>
    </row>
  </sheetData>
  <mergeCells count="1">
    <mergeCell ref="G2:G3"/>
  </mergeCells>
  <phoneticPr fontId="24" type="noConversion"/>
  <pageMargins left="0.7" right="0.7" top="0.75" bottom="0.75" header="0.3" footer="0.3"/>
  <pageSetup paperSize="9" orientation="portrait" horizontalDpi="200" verticalDpi="200" r:id="rId1"/>
  <drawing r:id="rId2"/>
  <tableParts count="1">
    <tablePart r:id="rId3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theme="1"/>
  </sheetPr>
  <dimension ref="A1:J142"/>
  <sheetViews>
    <sheetView workbookViewId="0">
      <pane xSplit="1" ySplit="20" topLeftCell="B136" activePane="bottomRight" state="frozen"/>
      <selection pane="topRight" activeCell="B1" sqref="B1"/>
      <selection pane="bottomLeft" activeCell="A21" sqref="A21"/>
      <selection pane="bottomRight" activeCell="K139" sqref="K139"/>
    </sheetView>
  </sheetViews>
  <sheetFormatPr defaultColWidth="9" defaultRowHeight="14.25" x14ac:dyDescent="0.2"/>
  <cols>
    <col min="1" max="1" width="11.625" style="1" bestFit="1" customWidth="1"/>
    <col min="2" max="2" width="13" style="1" customWidth="1"/>
    <col min="3" max="4" width="13.5" style="1" bestFit="1" customWidth="1"/>
    <col min="5" max="5" width="10.75" style="1" customWidth="1"/>
    <col min="6" max="6" width="11.125" style="1" customWidth="1"/>
    <col min="7" max="7" width="18.875" style="2" customWidth="1"/>
    <col min="8" max="8" width="9" style="1"/>
    <col min="9" max="9" width="14.25" style="1" customWidth="1"/>
    <col min="10" max="10" width="12" style="1" bestFit="1" customWidth="1"/>
    <col min="11" max="16384" width="9" style="1"/>
  </cols>
  <sheetData>
    <row r="1" spans="1:7" ht="15" thickBot="1" x14ac:dyDescent="0.25"/>
    <row r="2" spans="1:7" ht="15" thickBot="1" x14ac:dyDescent="0.25">
      <c r="A2" s="23" t="s">
        <v>0</v>
      </c>
      <c r="B2" s="24">
        <f>COUNT(表2_367162629303810[每日盈亏])</f>
        <v>122</v>
      </c>
      <c r="C2" s="27"/>
      <c r="D2" s="3" t="s">
        <v>1</v>
      </c>
      <c r="E2" s="28"/>
      <c r="F2" s="1" t="s">
        <v>2</v>
      </c>
      <c r="G2" s="394" t="s">
        <v>3</v>
      </c>
    </row>
    <row r="3" spans="1:7" x14ac:dyDescent="0.2">
      <c r="A3" s="25" t="s">
        <v>4</v>
      </c>
      <c r="B3" s="26">
        <f>COUNTIF(表2_367162629303810[每日盈亏],"&gt;0")</f>
        <v>64</v>
      </c>
      <c r="C3" s="29"/>
      <c r="D3" s="30" t="s">
        <v>5</v>
      </c>
      <c r="E3" s="31">
        <f>245^0.5*(B10-0.025/365)/E10</f>
        <v>1.31878181767817</v>
      </c>
      <c r="G3" s="394"/>
    </row>
    <row r="4" spans="1:7" x14ac:dyDescent="0.2">
      <c r="A4" s="25" t="s">
        <v>6</v>
      </c>
      <c r="B4" s="26">
        <f>COUNTIF(表2_367162629303810[每日盈亏],"&lt;0")</f>
        <v>56</v>
      </c>
      <c r="C4" s="29"/>
      <c r="D4" s="32" t="s">
        <v>7</v>
      </c>
      <c r="E4" s="31">
        <f ca="1">-B9/E8</f>
        <v>5.3944053403993273</v>
      </c>
      <c r="G4" s="2">
        <f>LOOKUP(999^10,表2_367162629303810[累计净值])</f>
        <v>1.1151</v>
      </c>
    </row>
    <row r="5" spans="1:7" x14ac:dyDescent="0.2">
      <c r="A5" s="25" t="s">
        <v>8</v>
      </c>
      <c r="B5" s="26">
        <f>B2-B3-B4</f>
        <v>2</v>
      </c>
      <c r="C5" s="29"/>
      <c r="D5" s="33" t="s">
        <v>9</v>
      </c>
      <c r="E5" s="4">
        <f>245^0.5*(B10-0.025/365)/E9</f>
        <v>1.6944104854996038</v>
      </c>
    </row>
    <row r="6" spans="1:7" ht="15" thickBot="1" x14ac:dyDescent="0.25">
      <c r="A6" s="34"/>
      <c r="B6" s="35"/>
      <c r="C6" s="35"/>
      <c r="D6" s="35"/>
      <c r="E6" s="36"/>
    </row>
    <row r="7" spans="1:7" ht="15" thickBot="1" x14ac:dyDescent="0.25">
      <c r="A7" s="5" t="s">
        <v>10</v>
      </c>
      <c r="B7" s="35"/>
      <c r="C7" s="35"/>
      <c r="D7" s="3" t="s">
        <v>11</v>
      </c>
      <c r="E7" s="37"/>
    </row>
    <row r="8" spans="1:7" x14ac:dyDescent="0.2">
      <c r="A8" s="38" t="s">
        <v>12</v>
      </c>
      <c r="B8" s="39">
        <f>LOOKUP(999^10,表2_367162629303810[累计净值])/$B$21-1</f>
        <v>3.3744321868916183E-2</v>
      </c>
      <c r="C8" s="40"/>
      <c r="D8" s="30" t="s">
        <v>13</v>
      </c>
      <c r="E8" s="41">
        <f ca="1">MIN(表2_367162629303810[最大回撤])</f>
        <v>-1.2562132851333008E-2</v>
      </c>
    </row>
    <row r="9" spans="1:7" x14ac:dyDescent="0.2">
      <c r="A9" s="25" t="s">
        <v>14</v>
      </c>
      <c r="B9" s="32">
        <f>B8*245/B2</f>
        <v>6.7765236540036605E-2</v>
      </c>
      <c r="C9" s="40"/>
      <c r="D9" s="33" t="s">
        <v>15</v>
      </c>
      <c r="E9" s="6">
        <f>STDEV(表2_367162629303810[下跌幅度])</f>
        <v>2.123449778318067E-3</v>
      </c>
    </row>
    <row r="10" spans="1:7" x14ac:dyDescent="0.2">
      <c r="A10" s="42" t="s">
        <v>16</v>
      </c>
      <c r="B10" s="43">
        <f>AVERAGE(表2_367162629303810[每日盈亏])</f>
        <v>2.9836065573770481E-4</v>
      </c>
      <c r="C10" s="44"/>
      <c r="D10" s="33" t="s">
        <v>17</v>
      </c>
      <c r="E10" s="6">
        <f>STDEV(表2_367162629303810[每日盈亏])</f>
        <v>2.7282720474176131E-3</v>
      </c>
    </row>
    <row r="11" spans="1:7" x14ac:dyDescent="0.2">
      <c r="A11" s="7" t="s">
        <v>18</v>
      </c>
      <c r="B11" s="32">
        <f>B3/B2</f>
        <v>0.52459016393442626</v>
      </c>
      <c r="C11" s="40"/>
      <c r="D11" s="32" t="s">
        <v>19</v>
      </c>
      <c r="E11" s="41">
        <f>245^0.5*E10</f>
        <v>4.270421231396819E-2</v>
      </c>
    </row>
    <row r="12" spans="1:7" ht="15" thickBot="1" x14ac:dyDescent="0.25">
      <c r="A12" s="45" t="s">
        <v>20</v>
      </c>
      <c r="B12" s="46">
        <f>-(SUMIF(表2_367162629303810[每日盈亏],"&gt;=0")/B3)/(SUMIF(表2_367162629303810[每日盈亏],"&lt;0")/B4)</f>
        <v>1.2013319672131142</v>
      </c>
      <c r="C12" s="47"/>
      <c r="D12" s="48"/>
      <c r="E12" s="49"/>
    </row>
    <row r="14" spans="1:7" ht="28.5" x14ac:dyDescent="0.2">
      <c r="A14" s="50" t="s">
        <v>21</v>
      </c>
      <c r="B14" s="50" t="s">
        <v>14</v>
      </c>
      <c r="C14" s="51" t="s">
        <v>19</v>
      </c>
      <c r="D14" s="51" t="s">
        <v>13</v>
      </c>
      <c r="E14" s="51" t="s">
        <v>5</v>
      </c>
      <c r="F14" s="51" t="s">
        <v>7</v>
      </c>
    </row>
    <row r="15" spans="1:7" x14ac:dyDescent="0.2">
      <c r="A15" s="52">
        <f>B2</f>
        <v>122</v>
      </c>
      <c r="B15" s="53">
        <f>B9</f>
        <v>6.7765236540036605E-2</v>
      </c>
      <c r="C15" s="53">
        <f>E11</f>
        <v>4.270421231396819E-2</v>
      </c>
      <c r="D15" s="53">
        <f ca="1">E8</f>
        <v>-1.2562132851333008E-2</v>
      </c>
      <c r="E15" s="54">
        <f>E3</f>
        <v>1.31878181767817</v>
      </c>
      <c r="F15" s="54">
        <f ca="1">E4</f>
        <v>5.3944053403993273</v>
      </c>
    </row>
    <row r="19" spans="1:7" x14ac:dyDescent="0.2">
      <c r="A19" s="8"/>
      <c r="B19" s="1" t="s">
        <v>22</v>
      </c>
    </row>
    <row r="20" spans="1:7" ht="15.75" x14ac:dyDescent="0.2">
      <c r="A20" s="22" t="s">
        <v>23</v>
      </c>
      <c r="B20" s="22" t="s">
        <v>24</v>
      </c>
      <c r="C20" s="22" t="s">
        <v>25</v>
      </c>
      <c r="D20" s="22" t="s">
        <v>26</v>
      </c>
      <c r="E20" s="22" t="s">
        <v>27</v>
      </c>
      <c r="F20" s="22" t="s">
        <v>28</v>
      </c>
      <c r="G20" s="22" t="s">
        <v>29</v>
      </c>
    </row>
    <row r="21" spans="1:7" x14ac:dyDescent="0.2">
      <c r="A21" s="15">
        <v>43718</v>
      </c>
      <c r="B21" s="10">
        <v>1.0787</v>
      </c>
      <c r="C21" s="11">
        <f t="shared" ref="C21:C28" si="0">IFERROR(B21-B20,0)</f>
        <v>0</v>
      </c>
      <c r="D21" s="12" t="str">
        <f t="shared" ref="D21:D47" si="1">IF(C21&lt;0,C21,"/")</f>
        <v>/</v>
      </c>
      <c r="E21" s="12">
        <f ca="1">IF(表2_367162629303810[[#This Row],[累计净值]]/MAX(INDIRECT("B21:B" &amp; ROW()))-1&lt;E20,表2_367162629303810[[#This Row],[累计净值]]/MAX(INDIRECT("B21:B" &amp; ROW()))-1,E20)</f>
        <v>0</v>
      </c>
      <c r="F21" s="13">
        <f>表2_367162629303810[[#This Row],[累计净值]]</f>
        <v>1.0787</v>
      </c>
      <c r="G21" s="14" t="s">
        <v>30</v>
      </c>
    </row>
    <row r="22" spans="1:7" x14ac:dyDescent="0.2">
      <c r="A22" s="15">
        <v>43719</v>
      </c>
      <c r="B22" s="16">
        <v>1.0762</v>
      </c>
      <c r="C22" s="17">
        <f t="shared" si="0"/>
        <v>-2.4999999999999467E-3</v>
      </c>
      <c r="D22" s="18">
        <f t="shared" si="1"/>
        <v>-2.4999999999999467E-3</v>
      </c>
      <c r="E22" s="18">
        <f ca="1">IF(表2_367162629303810[[#This Row],[累计净值]]/MAX(INDIRECT("B21:B" &amp; ROW()))-1&lt;E21,表2_367162629303810[[#This Row],[累计净值]]/MAX(INDIRECT("B21:B" &amp; ROW()))-1,E21)</f>
        <v>-2.317604523964012E-3</v>
      </c>
      <c r="F22" s="21">
        <f>表2_367162629303810[[#This Row],[累计净值]]</f>
        <v>1.0762</v>
      </c>
      <c r="G22" s="20">
        <f>表2_367162629303810[[#This Row],[累计净值]]/$B$21-1</f>
        <v>-2.317604523964012E-3</v>
      </c>
    </row>
    <row r="23" spans="1:7" x14ac:dyDescent="0.2">
      <c r="A23" s="15">
        <v>43720</v>
      </c>
      <c r="B23" s="16">
        <v>1.0759000000000001</v>
      </c>
      <c r="C23" s="17">
        <f t="shared" si="0"/>
        <v>-2.9999999999996696E-4</v>
      </c>
      <c r="D23" s="18">
        <f t="shared" si="1"/>
        <v>-2.9999999999996696E-4</v>
      </c>
      <c r="E23" s="18">
        <f ca="1">IF(表2_367162629303810[[#This Row],[累计净值]]/MAX(INDIRECT("B21:B" &amp; ROW()))-1&lt;E22,表2_367162629303810[[#This Row],[累计净值]]/MAX(INDIRECT("B21:B" &amp; ROW()))-1,E22)</f>
        <v>-2.5957170668395868E-3</v>
      </c>
      <c r="F23" s="21">
        <f>表2_367162629303810[[#This Row],[累计净值]]</f>
        <v>1.0759000000000001</v>
      </c>
      <c r="G23" s="20">
        <f>表2_367162629303810[[#This Row],[累计净值]]/$B$21-1</f>
        <v>-2.5957170668395868E-3</v>
      </c>
    </row>
    <row r="24" spans="1:7" x14ac:dyDescent="0.2">
      <c r="A24" s="15">
        <v>43724</v>
      </c>
      <c r="B24" s="16">
        <v>1.0802</v>
      </c>
      <c r="C24" s="17">
        <f t="shared" si="0"/>
        <v>4.2999999999999705E-3</v>
      </c>
      <c r="D24" s="18" t="str">
        <f t="shared" si="1"/>
        <v>/</v>
      </c>
      <c r="E24" s="18">
        <f ca="1">IF(表2_367162629303810[[#This Row],[累计净值]]/MAX(INDIRECT("B21:B" &amp; ROW()))-1&lt;E23,表2_367162629303810[[#This Row],[累计净值]]/MAX(INDIRECT("B21:B" &amp; ROW()))-1,E23)</f>
        <v>-2.5957170668395868E-3</v>
      </c>
      <c r="F24" s="21">
        <f>表2_367162629303810[[#This Row],[累计净值]]</f>
        <v>1.0802</v>
      </c>
      <c r="G24" s="20">
        <f>表2_367162629303810[[#This Row],[累计净值]]/$B$21-1</f>
        <v>1.3905627143784294E-3</v>
      </c>
    </row>
    <row r="25" spans="1:7" x14ac:dyDescent="0.2">
      <c r="A25" s="15">
        <v>43725</v>
      </c>
      <c r="B25" s="16">
        <v>1.0778000000000001</v>
      </c>
      <c r="C25" s="17">
        <f t="shared" si="0"/>
        <v>-2.3999999999999577E-3</v>
      </c>
      <c r="D25" s="18">
        <f t="shared" si="1"/>
        <v>-2.3999999999999577E-3</v>
      </c>
      <c r="E25" s="18">
        <f ca="1">IF(表2_367162629303810[[#This Row],[累计净值]]/MAX(INDIRECT("B21:B" &amp; ROW()))-1&lt;E24,表2_367162629303810[[#This Row],[累计净值]]/MAX(INDIRECT("B21:B" &amp; ROW()))-1,E24)</f>
        <v>-2.5957170668395868E-3</v>
      </c>
      <c r="F25" s="21">
        <f>表2_367162629303810[[#This Row],[累计净值]]</f>
        <v>1.0778000000000001</v>
      </c>
      <c r="G25" s="20">
        <f>表2_367162629303810[[#This Row],[累计净值]]/$B$21-1</f>
        <v>-8.343376286269466E-4</v>
      </c>
    </row>
    <row r="26" spans="1:7" x14ac:dyDescent="0.2">
      <c r="A26" s="15">
        <v>43726</v>
      </c>
      <c r="B26" s="16">
        <v>1.0787</v>
      </c>
      <c r="C26" s="17">
        <f t="shared" si="0"/>
        <v>8.9999999999990088E-4</v>
      </c>
      <c r="D26" s="18" t="str">
        <f t="shared" si="1"/>
        <v>/</v>
      </c>
      <c r="E26" s="18">
        <f ca="1">IF(表2_367162629303810[[#This Row],[累计净值]]/MAX(INDIRECT("B21:B" &amp; ROW()))-1&lt;E25,表2_367162629303810[[#This Row],[累计净值]]/MAX(INDIRECT("B21:B" &amp; ROW()))-1,E25)</f>
        <v>-2.5957170668395868E-3</v>
      </c>
      <c r="F26" s="21">
        <f>表2_367162629303810[[#This Row],[累计净值]]</f>
        <v>1.0787</v>
      </c>
      <c r="G26" s="20">
        <f>表2_367162629303810[[#This Row],[累计净值]]/$B$21-1</f>
        <v>0</v>
      </c>
    </row>
    <row r="27" spans="1:7" x14ac:dyDescent="0.2">
      <c r="A27" s="15">
        <v>43727</v>
      </c>
      <c r="B27" s="16">
        <v>1.0812999999999999</v>
      </c>
      <c r="C27" s="17">
        <f t="shared" si="0"/>
        <v>2.5999999999999357E-3</v>
      </c>
      <c r="D27" s="18" t="str">
        <f t="shared" si="1"/>
        <v>/</v>
      </c>
      <c r="E27" s="18">
        <f ca="1">IF(表2_367162629303810[[#This Row],[累计净值]]/MAX(INDIRECT("B21:B" &amp; ROW()))-1&lt;E26,表2_367162629303810[[#This Row],[累计净值]]/MAX(INDIRECT("B21:B" &amp; ROW()))-1,E26)</f>
        <v>-2.5957170668395868E-3</v>
      </c>
      <c r="F27" s="21">
        <f>表2_367162629303810[[#This Row],[累计净值]]</f>
        <v>1.0812999999999999</v>
      </c>
      <c r="G27" s="20">
        <f>表2_367162629303810[[#This Row],[累计净值]]/$B$21-1</f>
        <v>2.4103087049225369E-3</v>
      </c>
    </row>
    <row r="28" spans="1:7" x14ac:dyDescent="0.2">
      <c r="A28" s="15">
        <v>43728</v>
      </c>
      <c r="B28" s="16">
        <v>1.0807</v>
      </c>
      <c r="C28" s="17">
        <f t="shared" si="0"/>
        <v>-5.9999999999993392E-4</v>
      </c>
      <c r="D28" s="18">
        <f t="shared" si="1"/>
        <v>-5.9999999999993392E-4</v>
      </c>
      <c r="E28" s="18">
        <f ca="1">IF(表2_367162629303810[[#This Row],[累计净值]]/MAX(INDIRECT("B21:B" &amp; ROW()))-1&lt;E27,表2_367162629303810[[#This Row],[累计净值]]/MAX(INDIRECT("B21:B" &amp; ROW()))-1,E27)</f>
        <v>-2.5957170668395868E-3</v>
      </c>
      <c r="F28" s="21">
        <f>表2_367162629303810[[#This Row],[累计净值]]</f>
        <v>1.0807</v>
      </c>
      <c r="G28" s="20">
        <f>表2_367162629303810[[#This Row],[累计净值]]/$B$21-1</f>
        <v>1.8540836191711652E-3</v>
      </c>
    </row>
    <row r="29" spans="1:7" x14ac:dyDescent="0.2">
      <c r="A29" s="15">
        <v>43731</v>
      </c>
      <c r="B29" s="16">
        <v>1.0808</v>
      </c>
      <c r="C29" s="61">
        <f t="shared" ref="C29:C47" si="2">IFERROR(B29-B28,0)</f>
        <v>9.9999999999988987E-5</v>
      </c>
      <c r="D29" s="18" t="str">
        <f t="shared" si="1"/>
        <v>/</v>
      </c>
      <c r="E29" s="18">
        <f ca="1">IF(表2_367162629303810[[#This Row],[累计净值]]/MAX(INDIRECT("B21:B" &amp; ROW()))-1&lt;E28,表2_367162629303810[[#This Row],[累计净值]]/MAX(INDIRECT("B21:B" &amp; ROW()))-1,E28)</f>
        <v>-2.5957170668395868E-3</v>
      </c>
      <c r="F29" s="21">
        <f>表2_367162629303810[[#This Row],[累计净值]]</f>
        <v>1.0808</v>
      </c>
      <c r="G29" s="20">
        <f>表2_367162629303810[[#This Row],[累计净值]]/$B$21-1</f>
        <v>1.9467878001298011E-3</v>
      </c>
    </row>
    <row r="30" spans="1:7" x14ac:dyDescent="0.2">
      <c r="A30" s="15">
        <v>43732</v>
      </c>
      <c r="B30" s="16">
        <v>1.0806</v>
      </c>
      <c r="C30" s="61">
        <f t="shared" si="2"/>
        <v>-1.9999999999997797E-4</v>
      </c>
      <c r="D30" s="18">
        <f t="shared" si="1"/>
        <v>-1.9999999999997797E-4</v>
      </c>
      <c r="E30" s="18">
        <f ca="1">IF(表2_367162629303810[[#This Row],[累计净值]]/MAX(INDIRECT("B21:B" &amp; ROW()))-1&lt;E29,表2_367162629303810[[#This Row],[累计净值]]/MAX(INDIRECT("B21:B" &amp; ROW()))-1,E29)</f>
        <v>-2.5957170668395868E-3</v>
      </c>
      <c r="F30" s="21">
        <f>表2_367162629303810[[#This Row],[累计净值]]</f>
        <v>1.0806</v>
      </c>
      <c r="G30" s="20">
        <f>表2_367162629303810[[#This Row],[累计净值]]/$B$21-1</f>
        <v>1.7613794382127512E-3</v>
      </c>
    </row>
    <row r="31" spans="1:7" x14ac:dyDescent="0.2">
      <c r="A31" s="15">
        <v>43733</v>
      </c>
      <c r="B31" s="16">
        <v>1.0799000000000001</v>
      </c>
      <c r="C31" s="61">
        <f t="shared" si="2"/>
        <v>-6.9999999999992291E-4</v>
      </c>
      <c r="D31" s="18">
        <f t="shared" si="1"/>
        <v>-6.9999999999992291E-4</v>
      </c>
      <c r="E31" s="18">
        <f ca="1">IF(表2_367162629303810[[#This Row],[累计净值]]/MAX(INDIRECT("B21:B" &amp; ROW()))-1&lt;E30,表2_367162629303810[[#This Row],[累计净值]]/MAX(INDIRECT("B21:B" &amp; ROW()))-1,E30)</f>
        <v>-2.5957170668395868E-3</v>
      </c>
      <c r="F31" s="21">
        <f>表2_367162629303810[[#This Row],[累计净值]]</f>
        <v>1.0799000000000001</v>
      </c>
      <c r="G31" s="20">
        <f>表2_367162629303810[[#This Row],[累计净值]]/$B$21-1</f>
        <v>1.1124501715027435E-3</v>
      </c>
    </row>
    <row r="32" spans="1:7" x14ac:dyDescent="0.2">
      <c r="A32" s="15">
        <v>43734</v>
      </c>
      <c r="B32" s="16">
        <v>1.0775999999999999</v>
      </c>
      <c r="C32" s="61">
        <f t="shared" si="2"/>
        <v>-2.3000000000001908E-3</v>
      </c>
      <c r="D32" s="18">
        <f t="shared" si="1"/>
        <v>-2.3000000000001908E-3</v>
      </c>
      <c r="E32" s="18">
        <f ca="1">IF(表2_367162629303810[[#This Row],[累计净值]]/MAX(INDIRECT("B21:B" &amp; ROW()))-1&lt;E31,表2_367162629303810[[#This Row],[累计净值]]/MAX(INDIRECT("B21:B" &amp; ROW()))-1,E31)</f>
        <v>-3.4218070840654757E-3</v>
      </c>
      <c r="F32" s="21">
        <f>表2_367162629303810[[#This Row],[累计净值]]</f>
        <v>1.0775999999999999</v>
      </c>
      <c r="G32" s="20">
        <f>表2_367162629303810[[#This Row],[累计净值]]/$B$21-1</f>
        <v>-1.0197459905442186E-3</v>
      </c>
    </row>
    <row r="33" spans="1:7" x14ac:dyDescent="0.2">
      <c r="A33" s="15">
        <v>43735</v>
      </c>
      <c r="B33" s="16">
        <v>1.0806</v>
      </c>
      <c r="C33" s="61">
        <f t="shared" si="2"/>
        <v>3.0000000000001137E-3</v>
      </c>
      <c r="D33" s="18" t="str">
        <f t="shared" si="1"/>
        <v>/</v>
      </c>
      <c r="E33" s="18">
        <f ca="1">IF(表2_367162629303810[[#This Row],[累计净值]]/MAX(INDIRECT("B21:B" &amp; ROW()))-1&lt;E32,表2_367162629303810[[#This Row],[累计净值]]/MAX(INDIRECT("B21:B" &amp; ROW()))-1,E32)</f>
        <v>-3.4218070840654757E-3</v>
      </c>
      <c r="F33" s="21">
        <f>表2_367162629303810[[#This Row],[累计净值]]</f>
        <v>1.0806</v>
      </c>
      <c r="G33" s="20">
        <f>表2_367162629303810[[#This Row],[累计净值]]/$B$21-1</f>
        <v>1.7613794382127512E-3</v>
      </c>
    </row>
    <row r="34" spans="1:7" x14ac:dyDescent="0.2">
      <c r="A34" s="15">
        <v>43738</v>
      </c>
      <c r="B34" s="16">
        <v>1.0792999999999999</v>
      </c>
      <c r="C34" s="61">
        <f t="shared" si="2"/>
        <v>-1.3000000000000789E-3</v>
      </c>
      <c r="D34" s="18">
        <f t="shared" si="1"/>
        <v>-1.3000000000000789E-3</v>
      </c>
      <c r="E34" s="18">
        <f ca="1">IF(表2_367162629303810[[#This Row],[累计净值]]/MAX(INDIRECT("B21:B" &amp; ROW()))-1&lt;E33,表2_367162629303810[[#This Row],[累计净值]]/MAX(INDIRECT("B21:B" &amp; ROW()))-1,E33)</f>
        <v>-3.4218070840654757E-3</v>
      </c>
      <c r="F34" s="21">
        <f>表2_367162629303810[[#This Row],[累计净值]]</f>
        <v>1.0792999999999999</v>
      </c>
      <c r="G34" s="20">
        <f>表2_367162629303810[[#This Row],[累计净值]]/$B$21-1</f>
        <v>5.5622508575137175E-4</v>
      </c>
    </row>
    <row r="35" spans="1:7" x14ac:dyDescent="0.2">
      <c r="A35" s="15">
        <v>43746</v>
      </c>
      <c r="B35" s="16">
        <v>1.0808</v>
      </c>
      <c r="C35" s="61">
        <f t="shared" si="2"/>
        <v>1.5000000000000568E-3</v>
      </c>
      <c r="D35" s="18" t="str">
        <f t="shared" si="1"/>
        <v>/</v>
      </c>
      <c r="E35" s="18">
        <f ca="1">IF(表2_367162629303810[[#This Row],[累计净值]]/MAX(INDIRECT("B21:B" &amp; ROW()))-1&lt;E34,表2_367162629303810[[#This Row],[累计净值]]/MAX(INDIRECT("B21:B" &amp; ROW()))-1,E34)</f>
        <v>-3.4218070840654757E-3</v>
      </c>
      <c r="F35" s="21">
        <f>表2_367162629303810[[#This Row],[累计净值]]</f>
        <v>1.0808</v>
      </c>
      <c r="G35" s="20">
        <f>表2_367162629303810[[#This Row],[累计净值]]/$B$21-1</f>
        <v>1.9467878001298011E-3</v>
      </c>
    </row>
    <row r="36" spans="1:7" x14ac:dyDescent="0.2">
      <c r="A36" s="15">
        <v>43747</v>
      </c>
      <c r="B36" s="16">
        <v>1.0823</v>
      </c>
      <c r="C36" s="61">
        <f t="shared" si="2"/>
        <v>1.5000000000000568E-3</v>
      </c>
      <c r="D36" s="18" t="str">
        <f t="shared" si="1"/>
        <v>/</v>
      </c>
      <c r="E36" s="18">
        <f ca="1">IF(表2_367162629303810[[#This Row],[累计净值]]/MAX(INDIRECT("B21:B" &amp; ROW()))-1&lt;E35,表2_367162629303810[[#This Row],[累计净值]]/MAX(INDIRECT("B21:B" &amp; ROW()))-1,E35)</f>
        <v>-3.4218070840654757E-3</v>
      </c>
      <c r="F36" s="21">
        <f>表2_367162629303810[[#This Row],[累计净值]]</f>
        <v>1.0823</v>
      </c>
      <c r="G36" s="20">
        <f>表2_367162629303810[[#This Row],[累计净值]]/$B$21-1</f>
        <v>3.3373505145082305E-3</v>
      </c>
    </row>
    <row r="37" spans="1:7" x14ac:dyDescent="0.2">
      <c r="A37" s="15">
        <v>43748</v>
      </c>
      <c r="B37" s="16">
        <v>1.0840000000000001</v>
      </c>
      <c r="C37" s="61">
        <f t="shared" si="2"/>
        <v>1.7000000000000348E-3</v>
      </c>
      <c r="D37" s="18" t="str">
        <f t="shared" si="1"/>
        <v>/</v>
      </c>
      <c r="E37" s="18">
        <f ca="1">IF(表2_367162629303810[[#This Row],[累计净值]]/MAX(INDIRECT("B21:B" &amp; ROW()))-1&lt;E36,表2_367162629303810[[#This Row],[累计净值]]/MAX(INDIRECT("B21:B" &amp; ROW()))-1,E36)</f>
        <v>-3.4218070840654757E-3</v>
      </c>
      <c r="F37" s="21">
        <f>表2_367162629303810[[#This Row],[累计净值]]</f>
        <v>1.0840000000000001</v>
      </c>
      <c r="G37" s="20">
        <f>表2_367162629303810[[#This Row],[累计净值]]/$B$21-1</f>
        <v>4.9133215908039318E-3</v>
      </c>
    </row>
    <row r="38" spans="1:7" x14ac:dyDescent="0.2">
      <c r="A38" s="15">
        <v>43749</v>
      </c>
      <c r="B38" s="16">
        <v>1.0829</v>
      </c>
      <c r="C38" s="61">
        <f t="shared" si="2"/>
        <v>-1.1000000000001009E-3</v>
      </c>
      <c r="D38" s="18">
        <f t="shared" si="1"/>
        <v>-1.1000000000001009E-3</v>
      </c>
      <c r="E38" s="18">
        <f ca="1">IF(表2_367162629303810[[#This Row],[累计净值]]/MAX(INDIRECT("B21:B" &amp; ROW()))-1&lt;E37,表2_367162629303810[[#This Row],[累计净值]]/MAX(INDIRECT("B21:B" &amp; ROW()))-1,E37)</f>
        <v>-3.4218070840654757E-3</v>
      </c>
      <c r="F38" s="21">
        <f>表2_367162629303810[[#This Row],[累计净值]]</f>
        <v>1.0829</v>
      </c>
      <c r="G38" s="20">
        <f>表2_367162629303810[[#This Row],[累计净值]]/$B$21-1</f>
        <v>3.8935756002596023E-3</v>
      </c>
    </row>
    <row r="39" spans="1:7" x14ac:dyDescent="0.2">
      <c r="A39" s="15">
        <v>43752</v>
      </c>
      <c r="B39" s="16">
        <v>1.0849</v>
      </c>
      <c r="C39" s="61">
        <f t="shared" si="2"/>
        <v>2.0000000000000018E-3</v>
      </c>
      <c r="D39" s="18" t="str">
        <f t="shared" si="1"/>
        <v>/</v>
      </c>
      <c r="E39" s="18">
        <f ca="1">IF(表2_367162629303810[[#This Row],[累计净值]]/MAX(INDIRECT("B21:B" &amp; ROW()))-1&lt;E38,表2_367162629303810[[#This Row],[累计净值]]/MAX(INDIRECT("B21:B" &amp; ROW()))-1,E38)</f>
        <v>-3.4218070840654757E-3</v>
      </c>
      <c r="F39" s="21">
        <f>表2_367162629303810[[#This Row],[累计净值]]</f>
        <v>1.0849</v>
      </c>
      <c r="G39" s="20">
        <f>表2_367162629303810[[#This Row],[累计净值]]/$B$21-1</f>
        <v>5.7476592194307674E-3</v>
      </c>
    </row>
    <row r="40" spans="1:7" x14ac:dyDescent="0.2">
      <c r="A40" s="15">
        <v>43753</v>
      </c>
      <c r="B40" s="16">
        <v>1.0837000000000001</v>
      </c>
      <c r="C40" s="61">
        <f t="shared" si="2"/>
        <v>-1.1999999999998678E-3</v>
      </c>
      <c r="D40" s="18">
        <f t="shared" si="1"/>
        <v>-1.1999999999998678E-3</v>
      </c>
      <c r="E40" s="18">
        <f ca="1">IF(表2_367162629303810[[#This Row],[累计净值]]/MAX(INDIRECT("B21:B" &amp; ROW()))-1&lt;E39,表2_367162629303810[[#This Row],[累计净值]]/MAX(INDIRECT("B21:B" &amp; ROW()))-1,E39)</f>
        <v>-3.4218070840654757E-3</v>
      </c>
      <c r="F40" s="21">
        <f>表2_367162629303810[[#This Row],[累计净值]]</f>
        <v>1.0837000000000001</v>
      </c>
      <c r="G40" s="20">
        <f>表2_367162629303810[[#This Row],[累计净值]]/$B$21-1</f>
        <v>4.635209047928246E-3</v>
      </c>
    </row>
    <row r="41" spans="1:7" x14ac:dyDescent="0.2">
      <c r="A41" s="15">
        <v>43754</v>
      </c>
      <c r="B41" s="16">
        <v>1.0845</v>
      </c>
      <c r="C41" s="61">
        <f t="shared" si="2"/>
        <v>7.9999999999991189E-4</v>
      </c>
      <c r="D41" s="18" t="str">
        <f t="shared" si="1"/>
        <v>/</v>
      </c>
      <c r="E41" s="18">
        <f ca="1">IF(表2_367162629303810[[#This Row],[累计净值]]/MAX(INDIRECT("B21:B" &amp; ROW()))-1&lt;E40,表2_367162629303810[[#This Row],[累计净值]]/MAX(INDIRECT("B21:B" &amp; ROW()))-1,E40)</f>
        <v>-3.4218070840654757E-3</v>
      </c>
      <c r="F41" s="21">
        <f>表2_367162629303810[[#This Row],[累计净值]]</f>
        <v>1.0845</v>
      </c>
      <c r="G41" s="20">
        <f>表2_367162629303810[[#This Row],[累计净值]]/$B$21-1</f>
        <v>5.3768424955966676E-3</v>
      </c>
    </row>
    <row r="42" spans="1:7" x14ac:dyDescent="0.2">
      <c r="A42" s="15">
        <v>43755</v>
      </c>
      <c r="B42" s="16">
        <v>1.085</v>
      </c>
      <c r="C42" s="61">
        <f t="shared" si="2"/>
        <v>4.9999999999994493E-4</v>
      </c>
      <c r="D42" s="18" t="str">
        <f t="shared" si="1"/>
        <v>/</v>
      </c>
      <c r="E42" s="18">
        <f ca="1">IF(表2_367162629303810[[#This Row],[累计净值]]/MAX(INDIRECT("B21:B" &amp; ROW()))-1&lt;E41,表2_367162629303810[[#This Row],[累计净值]]/MAX(INDIRECT("B21:B" &amp; ROW()))-1,E41)</f>
        <v>-3.4218070840654757E-3</v>
      </c>
      <c r="F42" s="21">
        <f>表2_367162629303810[[#This Row],[累计净值]]</f>
        <v>1.085</v>
      </c>
      <c r="G42" s="20">
        <f>表2_367162629303810[[#This Row],[累计净值]]/$B$21-1</f>
        <v>5.8403634003894034E-3</v>
      </c>
    </row>
    <row r="43" spans="1:7" x14ac:dyDescent="0.2">
      <c r="A43" s="77">
        <v>43756</v>
      </c>
      <c r="B43" s="76">
        <v>1.0853999999999999</v>
      </c>
      <c r="C43" s="61">
        <f t="shared" si="2"/>
        <v>3.9999999999995595E-4</v>
      </c>
      <c r="D43" s="18" t="str">
        <f t="shared" si="1"/>
        <v>/</v>
      </c>
      <c r="E43" s="18">
        <f ca="1">IF(表2_367162629303810[[#This Row],[累计净值]]/MAX(INDIRECT("B21:B" &amp; ROW()))-1&lt;E42,表2_367162629303810[[#This Row],[累计净值]]/MAX(INDIRECT("B21:B" &amp; ROW()))-1,E42)</f>
        <v>-3.4218070840654757E-3</v>
      </c>
      <c r="F43" s="21">
        <f>表2_367162629303810[[#This Row],[累计净值]]</f>
        <v>1.0853999999999999</v>
      </c>
      <c r="G43" s="20">
        <f>表2_367162629303810[[#This Row],[累计净值]]/$B$21-1</f>
        <v>6.2111801242235032E-3</v>
      </c>
    </row>
    <row r="44" spans="1:7" x14ac:dyDescent="0.2">
      <c r="A44" s="15">
        <v>43759</v>
      </c>
      <c r="B44" s="16">
        <v>1.0849</v>
      </c>
      <c r="C44" s="61">
        <f t="shared" si="2"/>
        <v>-4.9999999999994493E-4</v>
      </c>
      <c r="D44" s="18">
        <f t="shared" si="1"/>
        <v>-4.9999999999994493E-4</v>
      </c>
      <c r="E44" s="18">
        <f ca="1">IF(表2_367162629303810[[#This Row],[累计净值]]/MAX(INDIRECT("B21:B" &amp; ROW()))-1&lt;E43,表2_367162629303810[[#This Row],[累计净值]]/MAX(INDIRECT("B21:B" &amp; ROW()))-1,E43)</f>
        <v>-3.4218070840654757E-3</v>
      </c>
      <c r="F44" s="21">
        <f>表2_367162629303810[[#This Row],[累计净值]]</f>
        <v>1.0849</v>
      </c>
      <c r="G44" s="20">
        <f>表2_367162629303810[[#This Row],[累计净值]]/$B$21-1</f>
        <v>5.7476592194307674E-3</v>
      </c>
    </row>
    <row r="45" spans="1:7" x14ac:dyDescent="0.2">
      <c r="A45" s="15">
        <v>43760</v>
      </c>
      <c r="B45" s="16">
        <v>1.0851999999999999</v>
      </c>
      <c r="C45" s="61">
        <f t="shared" si="2"/>
        <v>2.9999999999996696E-4</v>
      </c>
      <c r="D45" s="18" t="str">
        <f t="shared" si="1"/>
        <v>/</v>
      </c>
      <c r="E45" s="18">
        <f ca="1">IF(表2_367162629303810[[#This Row],[累计净值]]/MAX(INDIRECT("B21:B" &amp; ROW()))-1&lt;E44,表2_367162629303810[[#This Row],[累计净值]]/MAX(INDIRECT("B21:B" &amp; ROW()))-1,E44)</f>
        <v>-3.4218070840654757E-3</v>
      </c>
      <c r="F45" s="21">
        <f>表2_367162629303810[[#This Row],[累计净值]]</f>
        <v>1.0851999999999999</v>
      </c>
      <c r="G45" s="20">
        <f>表2_367162629303810[[#This Row],[累计净值]]/$B$21-1</f>
        <v>6.0257717623064533E-3</v>
      </c>
    </row>
    <row r="46" spans="1:7" x14ac:dyDescent="0.2">
      <c r="A46" s="15">
        <v>43761</v>
      </c>
      <c r="B46" s="16">
        <v>1.085</v>
      </c>
      <c r="C46" s="61">
        <f t="shared" si="2"/>
        <v>-1.9999999999997797E-4</v>
      </c>
      <c r="D46" s="18">
        <f t="shared" si="1"/>
        <v>-1.9999999999997797E-4</v>
      </c>
      <c r="E46" s="18">
        <f ca="1">IF(表2_367162629303810[[#This Row],[累计净值]]/MAX(INDIRECT("B21:B" &amp; ROW()))-1&lt;E45,表2_367162629303810[[#This Row],[累计净值]]/MAX(INDIRECT("B21:B" &amp; ROW()))-1,E45)</f>
        <v>-3.4218070840654757E-3</v>
      </c>
      <c r="F46" s="21">
        <f>表2_367162629303810[[#This Row],[累计净值]]</f>
        <v>1.085</v>
      </c>
      <c r="G46" s="20">
        <f>表2_367162629303810[[#This Row],[累计净值]]/$B$21-1</f>
        <v>5.8403634003894034E-3</v>
      </c>
    </row>
    <row r="47" spans="1:7" x14ac:dyDescent="0.2">
      <c r="A47" s="15">
        <v>43762</v>
      </c>
      <c r="B47" s="16">
        <v>1.0849</v>
      </c>
      <c r="C47" s="61">
        <f t="shared" si="2"/>
        <v>-9.9999999999988987E-5</v>
      </c>
      <c r="D47" s="18">
        <f t="shared" si="1"/>
        <v>-9.9999999999988987E-5</v>
      </c>
      <c r="E47" s="18">
        <f ca="1">IF(表2_367162629303810[[#This Row],[累计净值]]/MAX(INDIRECT("B21:B" &amp; ROW()))-1&lt;E46,表2_367162629303810[[#This Row],[累计净值]]/MAX(INDIRECT("B21:B" &amp; ROW()))-1,E46)</f>
        <v>-3.4218070840654757E-3</v>
      </c>
      <c r="F47" s="21">
        <f>表2_367162629303810[[#This Row],[累计净值]]</f>
        <v>1.0849</v>
      </c>
      <c r="G47" s="20">
        <f>表2_367162629303810[[#This Row],[累计净值]]/$B$21-1</f>
        <v>5.7476592194307674E-3</v>
      </c>
    </row>
    <row r="48" spans="1:7" x14ac:dyDescent="0.2">
      <c r="A48" s="15">
        <v>43763</v>
      </c>
      <c r="B48" s="16">
        <v>1.0854999999999999</v>
      </c>
      <c r="C48" s="61">
        <f t="shared" ref="C48:C53" si="3">IFERROR(B48-B47,0)</f>
        <v>5.9999999999993392E-4</v>
      </c>
      <c r="D48" s="18" t="str">
        <f t="shared" ref="D48:D53" si="4">IF(C48&lt;0,C48,"/")</f>
        <v>/</v>
      </c>
      <c r="E48" s="18">
        <f ca="1">IF(表2_367162629303810[[#This Row],[累计净值]]/MAX(INDIRECT("B21:B" &amp; ROW()))-1&lt;E47,表2_367162629303810[[#This Row],[累计净值]]/MAX(INDIRECT("B21:B" &amp; ROW()))-1,E47)</f>
        <v>-3.4218070840654757E-3</v>
      </c>
      <c r="F48" s="21">
        <f>表2_367162629303810[[#This Row],[累计净值]]</f>
        <v>1.0854999999999999</v>
      </c>
      <c r="G48" s="20">
        <f>表2_367162629303810[[#This Row],[累计净值]]/$B$21-1</f>
        <v>6.3038843051821392E-3</v>
      </c>
    </row>
    <row r="49" spans="1:7" x14ac:dyDescent="0.2">
      <c r="A49" s="15">
        <v>43766</v>
      </c>
      <c r="B49" s="16">
        <v>1.0885</v>
      </c>
      <c r="C49" s="73">
        <f t="shared" si="3"/>
        <v>3.0000000000001137E-3</v>
      </c>
      <c r="D49" s="18" t="str">
        <f t="shared" si="4"/>
        <v>/</v>
      </c>
      <c r="E49" s="18">
        <f ca="1">IF(表2_367162629303810[[#This Row],[累计净值]]/MAX(INDIRECT("B21:B" &amp; ROW()))-1&lt;E48,表2_367162629303810[[#This Row],[累计净值]]/MAX(INDIRECT("B21:B" &amp; ROW()))-1,E48)</f>
        <v>-3.4218070840654757E-3</v>
      </c>
      <c r="F49" s="21">
        <f>表2_367162629303810[[#This Row],[累计净值]]</f>
        <v>1.0885</v>
      </c>
      <c r="G49" s="20">
        <f>表2_367162629303810[[#This Row],[累计净值]]/$B$21-1</f>
        <v>9.0850097339389979E-3</v>
      </c>
    </row>
    <row r="50" spans="1:7" x14ac:dyDescent="0.2">
      <c r="A50" s="15">
        <v>43767</v>
      </c>
      <c r="B50" s="16">
        <v>1.0873999999999999</v>
      </c>
      <c r="C50" s="73">
        <f t="shared" si="3"/>
        <v>-1.1000000000001009E-3</v>
      </c>
      <c r="D50" s="18">
        <f t="shared" si="4"/>
        <v>-1.1000000000001009E-3</v>
      </c>
      <c r="E50" s="18">
        <f ca="1">IF(表2_367162629303810[[#This Row],[累计净值]]/MAX(INDIRECT("B21:B" &amp; ROW()))-1&lt;E49,表2_367162629303810[[#This Row],[累计净值]]/MAX(INDIRECT("B21:B" &amp; ROW()))-1,E49)</f>
        <v>-3.4218070840654757E-3</v>
      </c>
      <c r="F50" s="21">
        <f>表2_367162629303810[[#This Row],[累计净值]]</f>
        <v>1.0873999999999999</v>
      </c>
      <c r="G50" s="20">
        <f>表2_367162629303810[[#This Row],[累计净值]]/$B$21-1</f>
        <v>8.0652637433946683E-3</v>
      </c>
    </row>
    <row r="51" spans="1:7" x14ac:dyDescent="0.2">
      <c r="A51" s="15">
        <v>43768</v>
      </c>
      <c r="B51" s="16">
        <v>1.0886</v>
      </c>
      <c r="C51" s="73">
        <f t="shared" si="3"/>
        <v>1.2000000000000899E-3</v>
      </c>
      <c r="D51" s="18" t="str">
        <f t="shared" si="4"/>
        <v>/</v>
      </c>
      <c r="E51" s="18">
        <f ca="1">IF(表2_367162629303810[[#This Row],[累计净值]]/MAX(INDIRECT("B21:B" &amp; ROW()))-1&lt;E50,表2_367162629303810[[#This Row],[累计净值]]/MAX(INDIRECT("B21:B" &amp; ROW()))-1,E50)</f>
        <v>-3.4218070840654757E-3</v>
      </c>
      <c r="F51" s="21">
        <f>表2_367162629303810[[#This Row],[累计净值]]</f>
        <v>1.0886</v>
      </c>
      <c r="G51" s="20">
        <f>表2_367162629303810[[#This Row],[累计净值]]/$B$21-1</f>
        <v>9.1777139148976339E-3</v>
      </c>
    </row>
    <row r="52" spans="1:7" x14ac:dyDescent="0.2">
      <c r="A52" s="15">
        <v>43769</v>
      </c>
      <c r="B52" s="16">
        <v>1.0878000000000001</v>
      </c>
      <c r="C52" s="73">
        <f t="shared" si="3"/>
        <v>-7.9999999999991189E-4</v>
      </c>
      <c r="D52" s="18">
        <f t="shared" si="4"/>
        <v>-7.9999999999991189E-4</v>
      </c>
      <c r="E52" s="18">
        <f ca="1">IF(表2_367162629303810[[#This Row],[累计净值]]/MAX(INDIRECT("B21:B" &amp; ROW()))-1&lt;E51,表2_367162629303810[[#This Row],[累计净值]]/MAX(INDIRECT("B21:B" &amp; ROW()))-1,E51)</f>
        <v>-3.4218070840654757E-3</v>
      </c>
      <c r="F52" s="21">
        <f>表2_367162629303810[[#This Row],[累计净值]]</f>
        <v>1.0878000000000001</v>
      </c>
      <c r="G52" s="20">
        <f>表2_367162629303810[[#This Row],[累计净值]]/$B$21-1</f>
        <v>8.4360804672292122E-3</v>
      </c>
    </row>
    <row r="53" spans="1:7" x14ac:dyDescent="0.2">
      <c r="A53" s="15">
        <v>43770</v>
      </c>
      <c r="B53" s="16">
        <v>1.0898000000000001</v>
      </c>
      <c r="C53" s="73">
        <f t="shared" si="3"/>
        <v>2.0000000000000018E-3</v>
      </c>
      <c r="D53" s="18" t="str">
        <f t="shared" si="4"/>
        <v>/</v>
      </c>
      <c r="E53" s="18">
        <f ca="1">IF(表2_367162629303810[[#This Row],[累计净值]]/MAX(INDIRECT("B21:B" &amp; ROW()))-1&lt;E52,表2_367162629303810[[#This Row],[累计净值]]/MAX(INDIRECT("B21:B" &amp; ROW()))-1,E52)</f>
        <v>-3.4218070840654757E-3</v>
      </c>
      <c r="F53" s="21">
        <f>表2_367162629303810[[#This Row],[累计净值]]</f>
        <v>1.0898000000000001</v>
      </c>
      <c r="G53" s="20">
        <f>表2_367162629303810[[#This Row],[累计净值]]/$B$21-1</f>
        <v>1.0290164086400377E-2</v>
      </c>
    </row>
    <row r="54" spans="1:7" x14ac:dyDescent="0.2">
      <c r="A54" s="15">
        <v>43773</v>
      </c>
      <c r="B54" s="76">
        <v>1.0915999999999999</v>
      </c>
      <c r="C54" s="73">
        <f t="shared" ref="C54:C59" si="5">IFERROR(B54-B53,0)</f>
        <v>1.7999999999998018E-3</v>
      </c>
      <c r="D54" s="18" t="str">
        <f t="shared" ref="D54:D59" si="6">IF(C54&lt;0,C54,"/")</f>
        <v>/</v>
      </c>
      <c r="E54" s="18">
        <f ca="1">IF(表2_367162629303810[[#This Row],[累计净值]]/MAX(INDIRECT("B21:B" &amp; ROW()))-1&lt;E53,表2_367162629303810[[#This Row],[累计净值]]/MAX(INDIRECT("B21:B" &amp; ROW()))-1,E53)</f>
        <v>-3.4218070840654757E-3</v>
      </c>
      <c r="F54" s="21">
        <f>表2_367162629303810[[#This Row],[累计净值]]</f>
        <v>1.0915999999999999</v>
      </c>
      <c r="G54" s="20">
        <f>表2_367162629303810[[#This Row],[累计净值]]/$B$21-1</f>
        <v>1.1958839343654271E-2</v>
      </c>
    </row>
    <row r="55" spans="1:7" x14ac:dyDescent="0.2">
      <c r="A55" s="15">
        <v>43774</v>
      </c>
      <c r="B55" s="16">
        <v>1.0884</v>
      </c>
      <c r="C55" s="73">
        <f t="shared" si="5"/>
        <v>-3.1999999999998696E-3</v>
      </c>
      <c r="D55" s="18">
        <f t="shared" si="6"/>
        <v>-3.1999999999998696E-3</v>
      </c>
      <c r="E55" s="18">
        <f ca="1">IF(表2_367162629303810[[#This Row],[累计净值]]/MAX(INDIRECT("B21:B" &amp; ROW()))-1&lt;E54,表2_367162629303810[[#This Row],[累计净值]]/MAX(INDIRECT("B21:B" &amp; ROW()))-1,E54)</f>
        <v>-3.4218070840654757E-3</v>
      </c>
      <c r="F55" s="21">
        <f>表2_367162629303810[[#This Row],[累计净值]]</f>
        <v>1.0884</v>
      </c>
      <c r="G55" s="20">
        <f>表2_367162629303810[[#This Row],[累计净值]]/$B$21-1</f>
        <v>8.992305552980584E-3</v>
      </c>
    </row>
    <row r="56" spans="1:7" x14ac:dyDescent="0.2">
      <c r="A56" s="15">
        <v>43775</v>
      </c>
      <c r="B56" s="16">
        <v>1.0904</v>
      </c>
      <c r="C56" s="73">
        <f t="shared" si="5"/>
        <v>2.0000000000000018E-3</v>
      </c>
      <c r="D56" s="18" t="str">
        <f t="shared" si="6"/>
        <v>/</v>
      </c>
      <c r="E56" s="18">
        <f ca="1">IF(表2_367162629303810[[#This Row],[累计净值]]/MAX(INDIRECT("B21:B" &amp; ROW()))-1&lt;E55,表2_367162629303810[[#This Row],[累计净值]]/MAX(INDIRECT("B21:B" &amp; ROW()))-1,E55)</f>
        <v>-3.4218070840654757E-3</v>
      </c>
      <c r="F56" s="21">
        <f>表2_367162629303810[[#This Row],[累计净值]]</f>
        <v>1.0904</v>
      </c>
      <c r="G56" s="20">
        <f>表2_367162629303810[[#This Row],[累计净值]]/$B$21-1</f>
        <v>1.0846389172151749E-2</v>
      </c>
    </row>
    <row r="57" spans="1:7" x14ac:dyDescent="0.2">
      <c r="A57" s="15">
        <v>43776</v>
      </c>
      <c r="B57" s="16">
        <v>1.0907</v>
      </c>
      <c r="C57" s="73">
        <f t="shared" si="5"/>
        <v>2.9999999999996696E-4</v>
      </c>
      <c r="D57" s="18" t="str">
        <f t="shared" si="6"/>
        <v>/</v>
      </c>
      <c r="E57" s="18">
        <f ca="1">IF(表2_367162629303810[[#This Row],[累计净值]]/MAX(INDIRECT("B21:B" &amp; ROW()))-1&lt;E56,表2_367162629303810[[#This Row],[累计净值]]/MAX(INDIRECT("B21:B" &amp; ROW()))-1,E56)</f>
        <v>-3.4218070840654757E-3</v>
      </c>
      <c r="F57" s="21">
        <f>表2_367162629303810[[#This Row],[累计净值]]</f>
        <v>1.0907</v>
      </c>
      <c r="G57" s="20">
        <f>表2_367162629303810[[#This Row],[累计净值]]/$B$21-1</f>
        <v>1.1124501715027435E-2</v>
      </c>
    </row>
    <row r="58" spans="1:7" x14ac:dyDescent="0.2">
      <c r="A58" s="15">
        <v>43777</v>
      </c>
      <c r="B58" s="16">
        <v>1.0911</v>
      </c>
      <c r="C58" s="73">
        <f t="shared" si="5"/>
        <v>3.9999999999995595E-4</v>
      </c>
      <c r="D58" s="18" t="str">
        <f t="shared" si="6"/>
        <v>/</v>
      </c>
      <c r="E58" s="18">
        <f ca="1">IF(表2_367162629303810[[#This Row],[累计净值]]/MAX(INDIRECT("B21:B" &amp; ROW()))-1&lt;E57,表2_367162629303810[[#This Row],[累计净值]]/MAX(INDIRECT("B21:B" &amp; ROW()))-1,E57)</f>
        <v>-3.4218070840654757E-3</v>
      </c>
      <c r="F58" s="21">
        <f>表2_367162629303810[[#This Row],[累计净值]]</f>
        <v>1.0911</v>
      </c>
      <c r="G58" s="20">
        <f>表2_367162629303810[[#This Row],[累计净值]]/$B$21-1</f>
        <v>1.1495318438861535E-2</v>
      </c>
    </row>
    <row r="59" spans="1:7" x14ac:dyDescent="0.2">
      <c r="A59" s="15">
        <v>43780</v>
      </c>
      <c r="B59" s="16">
        <v>1.0888</v>
      </c>
      <c r="C59" s="73">
        <f t="shared" si="5"/>
        <v>-2.2999999999999687E-3</v>
      </c>
      <c r="D59" s="18">
        <f t="shared" si="6"/>
        <v>-2.2999999999999687E-3</v>
      </c>
      <c r="E59" s="18">
        <f ca="1">IF(表2_367162629303810[[#This Row],[累计净值]]/MAX(INDIRECT("B21:B" &amp; ROW()))-1&lt;E58,表2_367162629303810[[#This Row],[累计净值]]/MAX(INDIRECT("B21:B" &amp; ROW()))-1,E58)</f>
        <v>-3.4218070840654757E-3</v>
      </c>
      <c r="F59" s="21">
        <f>表2_367162629303810[[#This Row],[累计净值]]</f>
        <v>1.0888</v>
      </c>
      <c r="G59" s="20">
        <f>表2_367162629303810[[#This Row],[累计净值]]/$B$21-1</f>
        <v>9.3631222768146838E-3</v>
      </c>
    </row>
    <row r="60" spans="1:7" x14ac:dyDescent="0.2">
      <c r="A60" s="15">
        <v>43781</v>
      </c>
      <c r="B60" s="16">
        <v>1.0902000000000001</v>
      </c>
      <c r="C60" s="73">
        <f t="shared" ref="C60:C68" si="7">IFERROR(B60-B59,0)</f>
        <v>1.4000000000000679E-3</v>
      </c>
      <c r="D60" s="18" t="str">
        <f t="shared" ref="D60:D68" si="8">IF(C60&lt;0,C60,"/")</f>
        <v>/</v>
      </c>
      <c r="E60" s="18">
        <f ca="1">IF(表2_367162629303810[[#This Row],[累计净值]]/MAX(INDIRECT("B21:B" &amp; ROW()))-1&lt;E59,表2_367162629303810[[#This Row],[累计净值]]/MAX(INDIRECT("B21:B" &amp; ROW()))-1,E59)</f>
        <v>-3.4218070840654757E-3</v>
      </c>
      <c r="F60" s="21">
        <f>表2_367162629303810[[#This Row],[累计净值]]</f>
        <v>1.0902000000000001</v>
      </c>
      <c r="G60" s="20">
        <f>表2_367162629303810[[#This Row],[累计净值]]/$B$21-1</f>
        <v>1.0660980810234699E-2</v>
      </c>
    </row>
    <row r="61" spans="1:7" x14ac:dyDescent="0.2">
      <c r="A61" s="15">
        <v>43782</v>
      </c>
      <c r="B61" s="16">
        <v>1.0891999999999999</v>
      </c>
      <c r="C61" s="73">
        <f t="shared" si="7"/>
        <v>-1.0000000000001119E-3</v>
      </c>
      <c r="D61" s="18">
        <f t="shared" si="8"/>
        <v>-1.0000000000001119E-3</v>
      </c>
      <c r="E61" s="18">
        <f ca="1">IF(表2_367162629303810[[#This Row],[累计净值]]/MAX(INDIRECT("B21:B" &amp; ROW()))-1&lt;E60,表2_367162629303810[[#This Row],[累计净值]]/MAX(INDIRECT("B21:B" &amp; ROW()))-1,E60)</f>
        <v>-3.4218070840654757E-3</v>
      </c>
      <c r="F61" s="21">
        <f>表2_367162629303810[[#This Row],[累计净值]]</f>
        <v>1.0891999999999999</v>
      </c>
      <c r="G61" s="20">
        <f>表2_367162629303810[[#This Row],[累计净值]]/$B$21-1</f>
        <v>9.7339390006487836E-3</v>
      </c>
    </row>
    <row r="62" spans="1:7" x14ac:dyDescent="0.2">
      <c r="A62" s="15">
        <v>43783</v>
      </c>
      <c r="B62" s="16">
        <v>1.0889</v>
      </c>
      <c r="C62" s="73">
        <f t="shared" si="7"/>
        <v>-2.9999999999996696E-4</v>
      </c>
      <c r="D62" s="18">
        <f t="shared" si="8"/>
        <v>-2.9999999999996696E-4</v>
      </c>
      <c r="E62" s="18">
        <f ca="1">IF(表2_367162629303810[[#This Row],[累计净值]]/MAX(INDIRECT("B21:B" &amp; ROW()))-1&lt;E61,表2_367162629303810[[#This Row],[累计净值]]/MAX(INDIRECT("B21:B" &amp; ROW()))-1,E61)</f>
        <v>-3.4218070840654757E-3</v>
      </c>
      <c r="F62" s="21">
        <f>表2_367162629303810[[#This Row],[累计净值]]</f>
        <v>1.0889</v>
      </c>
      <c r="G62" s="20">
        <f>表2_367162629303810[[#This Row],[累计净值]]/$B$21-1</f>
        <v>9.4558264577733198E-3</v>
      </c>
    </row>
    <row r="63" spans="1:7" x14ac:dyDescent="0.2">
      <c r="A63" s="15">
        <v>43784</v>
      </c>
      <c r="B63" s="16">
        <v>1.0880000000000001</v>
      </c>
      <c r="C63" s="73">
        <f t="shared" si="7"/>
        <v>-8.9999999999990088E-4</v>
      </c>
      <c r="D63" s="18">
        <f t="shared" si="8"/>
        <v>-8.9999999999990088E-4</v>
      </c>
      <c r="E63" s="18">
        <f ca="1">IF(表2_367162629303810[[#This Row],[累计净值]]/MAX(INDIRECT("B21:B" &amp; ROW()))-1&lt;E62,表2_367162629303810[[#This Row],[累计净值]]/MAX(INDIRECT("B21:B" &amp; ROW()))-1,E62)</f>
        <v>-3.4218070840654757E-3</v>
      </c>
      <c r="F63" s="21">
        <f>表2_367162629303810[[#This Row],[累计净值]]</f>
        <v>1.0880000000000001</v>
      </c>
      <c r="G63" s="20">
        <f>表2_367162629303810[[#This Row],[累计净值]]/$B$21-1</f>
        <v>8.6214888291462621E-3</v>
      </c>
    </row>
    <row r="64" spans="1:7" x14ac:dyDescent="0.2">
      <c r="A64" s="15">
        <v>43787</v>
      </c>
      <c r="B64" s="16">
        <v>1.0891999999999999</v>
      </c>
      <c r="C64" s="73">
        <f t="shared" si="7"/>
        <v>1.1999999999998678E-3</v>
      </c>
      <c r="D64" s="18" t="str">
        <f t="shared" si="8"/>
        <v>/</v>
      </c>
      <c r="E64" s="18">
        <f ca="1">IF(表2_367162629303810[[#This Row],[累计净值]]/MAX(INDIRECT("B21:B" &amp; ROW()))-1&lt;E63,表2_367162629303810[[#This Row],[累计净值]]/MAX(INDIRECT("B21:B" &amp; ROW()))-1,E63)</f>
        <v>-3.4218070840654757E-3</v>
      </c>
      <c r="F64" s="21">
        <f>表2_367162629303810[[#This Row],[累计净值]]</f>
        <v>1.0891999999999999</v>
      </c>
      <c r="G64" s="20">
        <f>表2_367162629303810[[#This Row],[累计净值]]/$B$21-1</f>
        <v>9.7339390006487836E-3</v>
      </c>
    </row>
    <row r="65" spans="1:9" x14ac:dyDescent="0.2">
      <c r="A65" s="15">
        <v>43788</v>
      </c>
      <c r="B65" s="16">
        <v>1.0906</v>
      </c>
      <c r="C65" s="73">
        <f t="shared" si="7"/>
        <v>1.4000000000000679E-3</v>
      </c>
      <c r="D65" s="18" t="str">
        <f t="shared" si="8"/>
        <v>/</v>
      </c>
      <c r="E65" s="18">
        <f ca="1">IF(表2_367162629303810[[#This Row],[累计净值]]/MAX(INDIRECT("B21:B" &amp; ROW()))-1&lt;E64,表2_367162629303810[[#This Row],[累计净值]]/MAX(INDIRECT("B21:B" &amp; ROW()))-1,E64)</f>
        <v>-3.4218070840654757E-3</v>
      </c>
      <c r="F65" s="21">
        <f>表2_367162629303810[[#This Row],[累计净值]]</f>
        <v>1.0906</v>
      </c>
      <c r="G65" s="20">
        <f>表2_367162629303810[[#This Row],[累计净值]]/$B$21-1</f>
        <v>1.1031797534068799E-2</v>
      </c>
    </row>
    <row r="66" spans="1:9" x14ac:dyDescent="0.2">
      <c r="A66" s="15">
        <v>43789</v>
      </c>
      <c r="B66" s="16">
        <v>1.0887</v>
      </c>
      <c r="C66" s="73">
        <f t="shared" si="7"/>
        <v>-1.9000000000000128E-3</v>
      </c>
      <c r="D66" s="18">
        <f t="shared" si="8"/>
        <v>-1.9000000000000128E-3</v>
      </c>
      <c r="E66" s="18">
        <f ca="1">IF(表2_367162629303810[[#This Row],[累计净值]]/MAX(INDIRECT("B21:B" &amp; ROW()))-1&lt;E65,表2_367162629303810[[#This Row],[累计净值]]/MAX(INDIRECT("B21:B" &amp; ROW()))-1,E65)</f>
        <v>-3.4218070840654757E-3</v>
      </c>
      <c r="F66" s="21">
        <f>表2_367162629303810[[#This Row],[累计净值]]</f>
        <v>1.0887</v>
      </c>
      <c r="G66" s="20">
        <f>表2_367162629303810[[#This Row],[累计净值]]/$B$21-1</f>
        <v>9.2704180958560478E-3</v>
      </c>
    </row>
    <row r="67" spans="1:9" x14ac:dyDescent="0.2">
      <c r="A67" s="15">
        <v>43790</v>
      </c>
      <c r="B67" s="16">
        <v>1.0884</v>
      </c>
      <c r="C67" s="73">
        <f t="shared" si="7"/>
        <v>-2.9999999999996696E-4</v>
      </c>
      <c r="D67" s="18">
        <f t="shared" si="8"/>
        <v>-2.9999999999996696E-4</v>
      </c>
      <c r="E67" s="18">
        <f ca="1">IF(表2_367162629303810[[#This Row],[累计净值]]/MAX(INDIRECT("B21:B" &amp; ROW()))-1&lt;E66,表2_367162629303810[[#This Row],[累计净值]]/MAX(INDIRECT("B21:B" &amp; ROW()))-1,E66)</f>
        <v>-3.4218070840654757E-3</v>
      </c>
      <c r="F67" s="21">
        <f>表2_367162629303810[[#This Row],[累计净值]]</f>
        <v>1.0884</v>
      </c>
      <c r="G67" s="20">
        <f>表2_367162629303810[[#This Row],[累计净值]]/$B$21-1</f>
        <v>8.992305552980584E-3</v>
      </c>
    </row>
    <row r="68" spans="1:9" x14ac:dyDescent="0.2">
      <c r="A68" s="15">
        <v>43791</v>
      </c>
      <c r="B68" s="16">
        <v>1.0884</v>
      </c>
      <c r="C68" s="73">
        <f t="shared" si="7"/>
        <v>0</v>
      </c>
      <c r="D68" s="18" t="str">
        <f t="shared" si="8"/>
        <v>/</v>
      </c>
      <c r="E68" s="18">
        <f ca="1">IF(表2_367162629303810[[#This Row],[累计净值]]/MAX(INDIRECT("B21:B" &amp; ROW()))-1&lt;E67,表2_367162629303810[[#This Row],[累计净值]]/MAX(INDIRECT("B21:B" &amp; ROW()))-1,E67)</f>
        <v>-3.4218070840654757E-3</v>
      </c>
      <c r="F68" s="21">
        <f>表2_367162629303810[[#This Row],[累计净值]]</f>
        <v>1.0884</v>
      </c>
      <c r="G68" s="20">
        <f>表2_367162629303810[[#This Row],[累计净值]]/$B$21-1</f>
        <v>8.992305552980584E-3</v>
      </c>
    </row>
    <row r="69" spans="1:9" x14ac:dyDescent="0.2">
      <c r="A69" s="15">
        <v>43794</v>
      </c>
      <c r="B69" s="16">
        <v>1.0840000000000001</v>
      </c>
      <c r="C69" s="73">
        <f t="shared" ref="C69:C74" si="9">IFERROR(B69-B68,0)</f>
        <v>-4.3999999999999595E-3</v>
      </c>
      <c r="D69" s="18">
        <f t="shared" ref="D69:D74" si="10">IF(C69&lt;0,C69,"/")</f>
        <v>-4.3999999999999595E-3</v>
      </c>
      <c r="E69" s="18">
        <f ca="1">IF(表2_367162629303810[[#This Row],[累计净值]]/MAX(INDIRECT("B21:B" &amp; ROW()))-1&lt;E68,表2_367162629303810[[#This Row],[累计净值]]/MAX(INDIRECT("B21:B" &amp; ROW()))-1,E68)</f>
        <v>-6.9622572370829916E-3</v>
      </c>
      <c r="F69" s="21">
        <f>表2_367162629303810[[#This Row],[累计净值]]</f>
        <v>1.0840000000000001</v>
      </c>
      <c r="G69" s="20">
        <f>表2_367162629303810[[#This Row],[累计净值]]/$B$21-1</f>
        <v>4.9133215908039318E-3</v>
      </c>
    </row>
    <row r="70" spans="1:9" x14ac:dyDescent="0.2">
      <c r="A70" s="15">
        <v>43795</v>
      </c>
      <c r="B70" s="16">
        <v>1.0831999999999999</v>
      </c>
      <c r="C70" s="73">
        <f t="shared" si="9"/>
        <v>-8.0000000000013394E-4</v>
      </c>
      <c r="D70" s="18">
        <f t="shared" si="10"/>
        <v>-8.0000000000013394E-4</v>
      </c>
      <c r="E70" s="18">
        <f ca="1">IF(表2_367162629303810[[#This Row],[累计净值]]/MAX(INDIRECT("B21:B" &amp; ROW()))-1&lt;E69,表2_367162629303810[[#This Row],[累计净值]]/MAX(INDIRECT("B21:B" &amp; ROW()))-1,E69)</f>
        <v>-7.6951264199339731E-3</v>
      </c>
      <c r="F70" s="21">
        <f>表2_367162629303810[[#This Row],[累计净值]]</f>
        <v>1.0831999999999999</v>
      </c>
      <c r="G70" s="20">
        <f>表2_367162629303810[[#This Row],[累计净值]]/$B$21-1</f>
        <v>4.1716881431352881E-3</v>
      </c>
    </row>
    <row r="71" spans="1:9" x14ac:dyDescent="0.2">
      <c r="A71" s="15">
        <v>43796</v>
      </c>
      <c r="B71" s="16">
        <v>1.0840000000000001</v>
      </c>
      <c r="C71" s="73">
        <f t="shared" si="9"/>
        <v>8.0000000000013394E-4</v>
      </c>
      <c r="D71" s="18" t="str">
        <f t="shared" si="10"/>
        <v>/</v>
      </c>
      <c r="E71" s="18">
        <f ca="1">IF(表2_367162629303810[[#This Row],[累计净值]]/MAX(INDIRECT("B21:B" &amp; ROW()))-1&lt;E70,表2_367162629303810[[#This Row],[累计净值]]/MAX(INDIRECT("B21:B" &amp; ROW()))-1,E70)</f>
        <v>-7.6951264199339731E-3</v>
      </c>
      <c r="F71" s="21">
        <f>表2_367162629303810[[#This Row],[累计净值]]</f>
        <v>1.0840000000000001</v>
      </c>
      <c r="G71" s="20">
        <f>表2_367162629303810[[#This Row],[累计净值]]/$B$21-1</f>
        <v>4.9133215908039318E-3</v>
      </c>
      <c r="I71" s="1" t="s">
        <v>32</v>
      </c>
    </row>
    <row r="72" spans="1:9" x14ac:dyDescent="0.2">
      <c r="A72" s="15">
        <v>43797</v>
      </c>
      <c r="B72" s="16">
        <v>1.0821000000000001</v>
      </c>
      <c r="C72" s="73">
        <f t="shared" si="9"/>
        <v>-1.9000000000000128E-3</v>
      </c>
      <c r="D72" s="18">
        <f t="shared" si="10"/>
        <v>-1.9000000000000128E-3</v>
      </c>
      <c r="E72" s="18">
        <f ca="1">IF(表2_367162629303810[[#This Row],[累计净值]]/MAX(INDIRECT("B21:B" &amp; ROW()))-1&lt;E71,表2_367162629303810[[#This Row],[累计净值]]/MAX(INDIRECT("B21:B" &amp; ROW()))-1,E71)</f>
        <v>-8.7028215463538228E-3</v>
      </c>
      <c r="F72" s="21">
        <f>表2_367162629303810[[#This Row],[累计净值]]</f>
        <v>1.0821000000000001</v>
      </c>
      <c r="G72" s="20">
        <f>表2_367162629303810[[#This Row],[累计净值]]/$B$21-1</f>
        <v>3.1519421525911806E-3</v>
      </c>
    </row>
    <row r="73" spans="1:9" x14ac:dyDescent="0.2">
      <c r="A73" s="15">
        <v>43798</v>
      </c>
      <c r="B73" s="16">
        <v>1.0819000000000001</v>
      </c>
      <c r="C73" s="73">
        <f t="shared" si="9"/>
        <v>-1.9999999999997797E-4</v>
      </c>
      <c r="D73" s="18">
        <f t="shared" si="10"/>
        <v>-1.9999999999997797E-4</v>
      </c>
      <c r="E73" s="18">
        <f ca="1">IF(表2_367162629303810[[#This Row],[累计净值]]/MAX(INDIRECT("B21:B" &amp; ROW()))-1&lt;E72,表2_367162629303810[[#This Row],[累计净值]]/MAX(INDIRECT("B21:B" &amp; ROW()))-1,E72)</f>
        <v>-8.8860388420665126E-3</v>
      </c>
      <c r="F73" s="21">
        <f>表2_367162629303810[[#This Row],[累计净值]]</f>
        <v>1.0819000000000001</v>
      </c>
      <c r="G73" s="20">
        <f>表2_367162629303810[[#This Row],[累计净值]]/$B$21-1</f>
        <v>2.9665337906741307E-3</v>
      </c>
    </row>
    <row r="74" spans="1:9" x14ac:dyDescent="0.2">
      <c r="A74" s="15">
        <v>43801</v>
      </c>
      <c r="B74" s="16">
        <v>1.0823</v>
      </c>
      <c r="C74" s="73">
        <f t="shared" si="9"/>
        <v>3.9999999999995595E-4</v>
      </c>
      <c r="D74" s="18" t="str">
        <f t="shared" si="10"/>
        <v>/</v>
      </c>
      <c r="E74" s="18">
        <f ca="1">IF(表2_367162629303810[[#This Row],[累计净值]]/MAX(INDIRECT("B21:B" &amp; ROW()))-1&lt;E73,表2_367162629303810[[#This Row],[累计净值]]/MAX(INDIRECT("B21:B" &amp; ROW()))-1,E73)</f>
        <v>-8.8860388420665126E-3</v>
      </c>
      <c r="F74" s="21">
        <f>表2_367162629303810[[#This Row],[累计净值]]</f>
        <v>1.0823</v>
      </c>
      <c r="G74" s="20">
        <f>表2_367162629303810[[#This Row],[累计净值]]/$B$21-1</f>
        <v>3.3373505145082305E-3</v>
      </c>
    </row>
    <row r="75" spans="1:9" x14ac:dyDescent="0.2">
      <c r="A75" s="15">
        <v>43802</v>
      </c>
      <c r="B75" s="16">
        <v>1.0835999999999999</v>
      </c>
      <c r="C75" s="73">
        <f t="shared" ref="C75:C81" si="11">IFERROR(B75-B74,0)</f>
        <v>1.2999999999998568E-3</v>
      </c>
      <c r="D75" s="18" t="str">
        <f t="shared" ref="D75:D81" si="12">IF(C75&lt;0,C75,"/")</f>
        <v>/</v>
      </c>
      <c r="E75" s="18">
        <f ca="1">IF(表2_367162629303810[[#This Row],[累计净值]]/MAX(INDIRECT("B21:B" &amp; ROW()))-1&lt;E74,表2_367162629303810[[#This Row],[累计净值]]/MAX(INDIRECT("B21:B" &amp; ROW()))-1,E74)</f>
        <v>-8.8860388420665126E-3</v>
      </c>
      <c r="F75" s="21">
        <f>表2_367162629303810[[#This Row],[累计净值]]</f>
        <v>1.0835999999999999</v>
      </c>
      <c r="G75" s="20">
        <f>表2_367162629303810[[#This Row],[累计净值]]/$B$21-1</f>
        <v>4.5425048669693879E-3</v>
      </c>
    </row>
    <row r="76" spans="1:9" x14ac:dyDescent="0.2">
      <c r="A76" s="15">
        <v>43803</v>
      </c>
      <c r="B76" s="16">
        <v>1.0841000000000001</v>
      </c>
      <c r="C76" s="73">
        <f t="shared" si="11"/>
        <v>5.0000000000016698E-4</v>
      </c>
      <c r="D76" s="18" t="str">
        <f t="shared" si="12"/>
        <v>/</v>
      </c>
      <c r="E76" s="18">
        <f ca="1">IF(表2_367162629303810[[#This Row],[累计净值]]/MAX(INDIRECT("B21:B" &amp; ROW()))-1&lt;E75,表2_367162629303810[[#This Row],[累计净值]]/MAX(INDIRECT("B21:B" &amp; ROW()))-1,E75)</f>
        <v>-8.8860388420665126E-3</v>
      </c>
      <c r="F76" s="21">
        <f>表2_367162629303810[[#This Row],[累计净值]]</f>
        <v>1.0841000000000001</v>
      </c>
      <c r="G76" s="20">
        <f>表2_367162629303810[[#This Row],[累计净值]]/$B$21-1</f>
        <v>5.0060257717623458E-3</v>
      </c>
    </row>
    <row r="77" spans="1:9" x14ac:dyDescent="0.2">
      <c r="A77" s="15">
        <v>43804</v>
      </c>
      <c r="B77" s="16">
        <v>1.0844</v>
      </c>
      <c r="C77" s="73">
        <f t="shared" si="11"/>
        <v>2.9999999999996696E-4</v>
      </c>
      <c r="D77" s="18" t="str">
        <f t="shared" si="12"/>
        <v>/</v>
      </c>
      <c r="E77" s="18">
        <f ca="1">IF(表2_367162629303810[[#This Row],[累计净值]]/MAX(INDIRECT("B21:B" &amp; ROW()))-1&lt;E76,表2_367162629303810[[#This Row],[累计净值]]/MAX(INDIRECT("B21:B" &amp; ROW()))-1,E76)</f>
        <v>-8.8860388420665126E-3</v>
      </c>
      <c r="F77" s="21">
        <f>表2_367162629303810[[#This Row],[累计净值]]</f>
        <v>1.0844</v>
      </c>
      <c r="G77" s="20">
        <f>表2_367162629303810[[#This Row],[累计净值]]/$B$21-1</f>
        <v>5.2841383146380316E-3</v>
      </c>
    </row>
    <row r="78" spans="1:9" x14ac:dyDescent="0.2">
      <c r="A78" s="15">
        <v>43805</v>
      </c>
      <c r="B78" s="16">
        <v>1.0865</v>
      </c>
      <c r="C78" s="73">
        <f t="shared" si="11"/>
        <v>2.0999999999999908E-3</v>
      </c>
      <c r="D78" s="18" t="str">
        <f t="shared" si="12"/>
        <v>/</v>
      </c>
      <c r="E78" s="18">
        <f ca="1">IF(表2_367162629303810[[#This Row],[累计净值]]/MAX(INDIRECT("B21:B" &amp; ROW()))-1&lt;E77,表2_367162629303810[[#This Row],[累计净值]]/MAX(INDIRECT("B21:B" &amp; ROW()))-1,E77)</f>
        <v>-8.8860388420665126E-3</v>
      </c>
      <c r="F78" s="21">
        <f>表2_367162629303810[[#This Row],[累计净值]]</f>
        <v>1.0865</v>
      </c>
      <c r="G78" s="20">
        <f>表2_367162629303810[[#This Row],[累计净值]]/$B$21-1</f>
        <v>7.2309261147678328E-3</v>
      </c>
    </row>
    <row r="79" spans="1:9" x14ac:dyDescent="0.2">
      <c r="A79" s="15">
        <v>43808</v>
      </c>
      <c r="B79" s="16">
        <v>1.0849</v>
      </c>
      <c r="C79" s="73">
        <f t="shared" si="11"/>
        <v>-1.6000000000000458E-3</v>
      </c>
      <c r="D79" s="18">
        <f t="shared" si="12"/>
        <v>-1.6000000000000458E-3</v>
      </c>
      <c r="E79" s="18">
        <f ca="1">IF(表2_367162629303810[[#This Row],[累计净值]]/MAX(INDIRECT("B21:B" &amp; ROW()))-1&lt;E78,表2_367162629303810[[#This Row],[累计净值]]/MAX(INDIRECT("B21:B" &amp; ROW()))-1,E78)</f>
        <v>-8.8860388420665126E-3</v>
      </c>
      <c r="F79" s="21">
        <f>表2_367162629303810[[#This Row],[累计净值]]</f>
        <v>1.0849</v>
      </c>
      <c r="G79" s="20">
        <f>表2_367162629303810[[#This Row],[累计净值]]/$B$21-1</f>
        <v>5.7476592194307674E-3</v>
      </c>
    </row>
    <row r="80" spans="1:9" x14ac:dyDescent="0.2">
      <c r="A80" s="15">
        <v>43809</v>
      </c>
      <c r="B80" s="16">
        <v>1.0821000000000001</v>
      </c>
      <c r="C80" s="73">
        <f t="shared" si="11"/>
        <v>-2.7999999999999137E-3</v>
      </c>
      <c r="D80" s="18">
        <f t="shared" si="12"/>
        <v>-2.7999999999999137E-3</v>
      </c>
      <c r="E80" s="18">
        <f ca="1">IF(表2_367162629303810[[#This Row],[累计净值]]/MAX(INDIRECT("B21:B" &amp; ROW()))-1&lt;E79,表2_367162629303810[[#This Row],[累计净值]]/MAX(INDIRECT("B21:B" &amp; ROW()))-1,E79)</f>
        <v>-8.8860388420665126E-3</v>
      </c>
      <c r="F80" s="21">
        <f>表2_367162629303810[[#This Row],[累计净值]]</f>
        <v>1.0821000000000001</v>
      </c>
      <c r="G80" s="20">
        <f>表2_367162629303810[[#This Row],[累计净值]]/$B$21-1</f>
        <v>3.1519421525911806E-3</v>
      </c>
    </row>
    <row r="81" spans="1:10" x14ac:dyDescent="0.2">
      <c r="A81" s="15">
        <v>43810</v>
      </c>
      <c r="B81" s="16">
        <v>1.0839000000000001</v>
      </c>
      <c r="C81" s="73">
        <f t="shared" si="11"/>
        <v>1.8000000000000238E-3</v>
      </c>
      <c r="D81" s="18" t="str">
        <f t="shared" si="12"/>
        <v>/</v>
      </c>
      <c r="E81" s="18">
        <f ca="1">IF(表2_367162629303810[[#This Row],[累计净值]]/MAX(INDIRECT("B21:B" &amp; ROW()))-1&lt;E80,表2_367162629303810[[#This Row],[累计净值]]/MAX(INDIRECT("B21:B" &amp; ROW()))-1,E80)</f>
        <v>-8.8860388420665126E-3</v>
      </c>
      <c r="F81" s="21">
        <f>表2_367162629303810[[#This Row],[累计净值]]</f>
        <v>1.0839000000000001</v>
      </c>
      <c r="G81" s="20">
        <f>表2_367162629303810[[#This Row],[累计净值]]/$B$21-1</f>
        <v>4.8206174098452959E-3</v>
      </c>
    </row>
    <row r="82" spans="1:10" x14ac:dyDescent="0.2">
      <c r="A82" s="15">
        <v>43811</v>
      </c>
      <c r="B82" s="16">
        <v>1.0838000000000001</v>
      </c>
      <c r="C82" s="73">
        <f t="shared" ref="C82:C88" si="13">IFERROR(B82-B81,0)</f>
        <v>-9.9999999999988987E-5</v>
      </c>
      <c r="D82" s="18">
        <f t="shared" ref="D82:D88" si="14">IF(C82&lt;0,C82,"/")</f>
        <v>-9.9999999999988987E-5</v>
      </c>
      <c r="E82" s="18">
        <f ca="1">IF(表2_367162629303810[[#This Row],[累计净值]]/MAX(INDIRECT("B21:B" &amp; ROW()))-1&lt;E81,表2_367162629303810[[#This Row],[累计净值]]/MAX(INDIRECT("B21:B" &amp; ROW()))-1,E81)</f>
        <v>-8.8860388420665126E-3</v>
      </c>
      <c r="F82" s="21">
        <f>表2_367162629303810[[#This Row],[累计净值]]</f>
        <v>1.0838000000000001</v>
      </c>
      <c r="G82" s="20">
        <f>表2_367162629303810[[#This Row],[累计净值]]/$B$21-1</f>
        <v>4.7279132288866599E-3</v>
      </c>
    </row>
    <row r="83" spans="1:10" x14ac:dyDescent="0.2">
      <c r="A83" s="15">
        <v>43812</v>
      </c>
      <c r="B83" s="16">
        <v>1.0863</v>
      </c>
      <c r="C83" s="73">
        <f t="shared" si="13"/>
        <v>2.4999999999999467E-3</v>
      </c>
      <c r="D83" s="18" t="str">
        <f t="shared" si="14"/>
        <v>/</v>
      </c>
      <c r="E83" s="18">
        <f ca="1">IF(表2_367162629303810[[#This Row],[累计净值]]/MAX(INDIRECT("B21:B" &amp; ROW()))-1&lt;E82,表2_367162629303810[[#This Row],[累计净值]]/MAX(INDIRECT("B21:B" &amp; ROW()))-1,E82)</f>
        <v>-8.8860388420665126E-3</v>
      </c>
      <c r="F83" s="21">
        <f>表2_367162629303810[[#This Row],[累计净值]]</f>
        <v>1.0863</v>
      </c>
      <c r="G83" s="20">
        <f>表2_367162629303810[[#This Row],[累计净值]]/$B$21-1</f>
        <v>7.0455177528507829E-3</v>
      </c>
    </row>
    <row r="84" spans="1:10" x14ac:dyDescent="0.2">
      <c r="A84" s="15">
        <v>43815</v>
      </c>
      <c r="B84" s="16">
        <v>1.0899000000000001</v>
      </c>
      <c r="C84" s="73">
        <f t="shared" si="13"/>
        <v>3.6000000000000476E-3</v>
      </c>
      <c r="D84" s="18" t="str">
        <f t="shared" si="14"/>
        <v>/</v>
      </c>
      <c r="E84" s="18">
        <f ca="1">IF(表2_367162629303810[[#This Row],[累计净值]]/MAX(INDIRECT("B21:B" &amp; ROW()))-1&lt;E83,表2_367162629303810[[#This Row],[累计净值]]/MAX(INDIRECT("B21:B" &amp; ROW()))-1,E83)</f>
        <v>-8.8860388420665126E-3</v>
      </c>
      <c r="F84" s="21">
        <f>表2_367162629303810[[#This Row],[累计净值]]</f>
        <v>1.0899000000000001</v>
      </c>
      <c r="G84" s="20">
        <f>表2_367162629303810[[#This Row],[累计净值]]/$B$21-1</f>
        <v>1.0382868267359013E-2</v>
      </c>
    </row>
    <row r="85" spans="1:10" x14ac:dyDescent="0.2">
      <c r="A85" s="15">
        <v>43816</v>
      </c>
      <c r="B85" s="16">
        <v>1.0842000000000001</v>
      </c>
      <c r="C85" s="73">
        <f t="shared" si="13"/>
        <v>-5.7000000000000384E-3</v>
      </c>
      <c r="D85" s="18">
        <f t="shared" si="14"/>
        <v>-5.7000000000000384E-3</v>
      </c>
      <c r="E85" s="18">
        <f ca="1">IF(表2_367162629303810[[#This Row],[累计净值]]/MAX(INDIRECT("B21:B" &amp; ROW()))-1&lt;E84,表2_367162629303810[[#This Row],[累计净值]]/MAX(INDIRECT("B21:B" &amp; ROW()))-1,E84)</f>
        <v>-8.8860388420665126E-3</v>
      </c>
      <c r="F85" s="21">
        <f>表2_367162629303810[[#This Row],[累计净值]]</f>
        <v>1.0842000000000001</v>
      </c>
      <c r="G85" s="20">
        <f>表2_367162629303810[[#This Row],[累计净值]]/$B$21-1</f>
        <v>5.0987299527209817E-3</v>
      </c>
    </row>
    <row r="86" spans="1:10" x14ac:dyDescent="0.2">
      <c r="A86" s="15">
        <v>43817</v>
      </c>
      <c r="B86" s="16">
        <v>1.0857000000000001</v>
      </c>
      <c r="C86" s="73">
        <f t="shared" si="13"/>
        <v>1.5000000000000568E-3</v>
      </c>
      <c r="D86" s="18" t="str">
        <f t="shared" si="14"/>
        <v>/</v>
      </c>
      <c r="E86" s="18">
        <f ca="1">IF(表2_367162629303810[[#This Row],[累计净值]]/MAX(INDIRECT("B21:B" &amp; ROW()))-1&lt;E85,表2_367162629303810[[#This Row],[累计净值]]/MAX(INDIRECT("B21:B" &amp; ROW()))-1,E85)</f>
        <v>-8.8860388420665126E-3</v>
      </c>
      <c r="F86" s="21">
        <f>表2_367162629303810[[#This Row],[累计净值]]</f>
        <v>1.0857000000000001</v>
      </c>
      <c r="G86" s="20">
        <f>表2_367162629303810[[#This Row],[累计净值]]/$B$21-1</f>
        <v>6.4892926670994111E-3</v>
      </c>
    </row>
    <row r="87" spans="1:10" x14ac:dyDescent="0.2">
      <c r="A87" s="15">
        <v>43818</v>
      </c>
      <c r="B87" s="16">
        <v>1.0879000000000001</v>
      </c>
      <c r="C87" s="73">
        <f t="shared" si="13"/>
        <v>2.1999999999999797E-3</v>
      </c>
      <c r="D87" s="18" t="str">
        <f t="shared" si="14"/>
        <v>/</v>
      </c>
      <c r="E87" s="18">
        <f ca="1">IF(表2_367162629303810[[#This Row],[累计净值]]/MAX(INDIRECT("B21:B" &amp; ROW()))-1&lt;E86,表2_367162629303810[[#This Row],[累计净值]]/MAX(INDIRECT("B21:B" &amp; ROW()))-1,E86)</f>
        <v>-8.8860388420665126E-3</v>
      </c>
      <c r="F87" s="21">
        <f>表2_367162629303810[[#This Row],[累计净值]]</f>
        <v>1.0879000000000001</v>
      </c>
      <c r="G87" s="20">
        <f>表2_367162629303810[[#This Row],[累计净值]]/$B$21-1</f>
        <v>8.5287846481876262E-3</v>
      </c>
    </row>
    <row r="88" spans="1:10" x14ac:dyDescent="0.2">
      <c r="A88" s="15">
        <v>43819</v>
      </c>
      <c r="B88" s="16">
        <v>1.0858000000000001</v>
      </c>
      <c r="C88" s="73">
        <f t="shared" si="13"/>
        <v>-2.0999999999999908E-3</v>
      </c>
      <c r="D88" s="18">
        <f t="shared" si="14"/>
        <v>-2.0999999999999908E-3</v>
      </c>
      <c r="E88" s="18">
        <f ca="1">IF(表2_367162629303810[[#This Row],[累计净值]]/MAX(INDIRECT("B21:B" &amp; ROW()))-1&lt;E87,表2_367162629303810[[#This Row],[累计净值]]/MAX(INDIRECT("B21:B" &amp; ROW()))-1,E87)</f>
        <v>-8.8860388420665126E-3</v>
      </c>
      <c r="F88" s="21">
        <f>表2_367162629303810[[#This Row],[累计净值]]</f>
        <v>1.0858000000000001</v>
      </c>
      <c r="G88" s="20">
        <f>表2_367162629303810[[#This Row],[累计净值]]/$B$21-1</f>
        <v>6.5819968480580471E-3</v>
      </c>
    </row>
    <row r="89" spans="1:10" x14ac:dyDescent="0.2">
      <c r="A89" s="15">
        <v>43822</v>
      </c>
      <c r="B89" s="16">
        <v>1.0871999999999999</v>
      </c>
      <c r="C89" s="73">
        <f t="shared" ref="C89:C94" si="15">IFERROR(B89-B88,0)</f>
        <v>1.3999999999998458E-3</v>
      </c>
      <c r="D89" s="18" t="str">
        <f t="shared" ref="D89:D94" si="16">IF(C89&lt;0,C89,"/")</f>
        <v>/</v>
      </c>
      <c r="E89" s="18">
        <f ca="1">IF(表2_367162629303810[[#This Row],[累计净值]]/MAX(INDIRECT("B21:B" &amp; ROW()))-1&lt;E88,表2_367162629303810[[#This Row],[累计净值]]/MAX(INDIRECT("B21:B" &amp; ROW()))-1,E88)</f>
        <v>-8.8860388420665126E-3</v>
      </c>
      <c r="F89" s="21">
        <f>表2_367162629303810[[#This Row],[累计净值]]</f>
        <v>1.0871999999999999</v>
      </c>
      <c r="G89" s="20">
        <f>表2_367162629303810[[#This Row],[累计净值]]/$B$21-1</f>
        <v>7.8798553814776184E-3</v>
      </c>
    </row>
    <row r="90" spans="1:10" x14ac:dyDescent="0.2">
      <c r="A90" s="15">
        <v>43823</v>
      </c>
      <c r="B90" s="16">
        <v>1.0919000000000001</v>
      </c>
      <c r="C90" s="73">
        <f t="shared" si="15"/>
        <v>4.7000000000001485E-3</v>
      </c>
      <c r="D90" s="18" t="str">
        <f t="shared" si="16"/>
        <v>/</v>
      </c>
      <c r="E90" s="18">
        <f ca="1">IF(表2_367162629303810[[#This Row],[累计净值]]/MAX(INDIRECT("B21:B" &amp; ROW()))-1&lt;E89,表2_367162629303810[[#This Row],[累计净值]]/MAX(INDIRECT("B21:B" &amp; ROW()))-1,E89)</f>
        <v>-8.8860388420665126E-3</v>
      </c>
      <c r="F90" s="21">
        <f>表2_367162629303810[[#This Row],[累计净值]]</f>
        <v>1.0919000000000001</v>
      </c>
      <c r="G90" s="20">
        <f>表2_367162629303810[[#This Row],[累计净值]]/$B$21-1</f>
        <v>1.2236951886530179E-2</v>
      </c>
    </row>
    <row r="91" spans="1:10" x14ac:dyDescent="0.2">
      <c r="A91" s="15">
        <v>43824</v>
      </c>
      <c r="B91" s="16">
        <v>1.0965</v>
      </c>
      <c r="C91" s="73">
        <f t="shared" si="15"/>
        <v>4.5999999999999375E-3</v>
      </c>
      <c r="D91" s="18" t="str">
        <f t="shared" si="16"/>
        <v>/</v>
      </c>
      <c r="E91" s="18">
        <f ca="1">IF(表2_367162629303810[[#This Row],[累计净值]]/MAX(INDIRECT("B21:B" &amp; ROW()))-1&lt;E90,表2_367162629303810[[#This Row],[累计净值]]/MAX(INDIRECT("B21:B" &amp; ROW()))-1,E90)</f>
        <v>-8.8860388420665126E-3</v>
      </c>
      <c r="F91" s="21">
        <f>表2_367162629303810[[#This Row],[累计净值]]</f>
        <v>1.0965</v>
      </c>
      <c r="G91" s="20">
        <f>表2_367162629303810[[#This Row],[累计净值]]/$B$21-1</f>
        <v>1.6501344210623881E-2</v>
      </c>
    </row>
    <row r="92" spans="1:10" x14ac:dyDescent="0.2">
      <c r="A92" s="15">
        <v>43825</v>
      </c>
      <c r="B92" s="76">
        <v>1.0968</v>
      </c>
      <c r="C92" s="73">
        <f t="shared" si="15"/>
        <v>2.9999999999996696E-4</v>
      </c>
      <c r="D92" s="18" t="str">
        <f t="shared" si="16"/>
        <v>/</v>
      </c>
      <c r="E92" s="18">
        <f ca="1">IF(表2_367162629303810[[#This Row],[累计净值]]/MAX(INDIRECT("B21:B" &amp; ROW()))-1&lt;E91,表2_367162629303810[[#This Row],[累计净值]]/MAX(INDIRECT("B21:B" &amp; ROW()))-1,E91)</f>
        <v>-8.8860388420665126E-3</v>
      </c>
      <c r="F92" s="21">
        <f>表2_367162629303810[[#This Row],[累计净值]]</f>
        <v>1.0968</v>
      </c>
      <c r="G92" s="20">
        <f>表2_367162629303810[[#This Row],[累计净值]]/$B$21-1</f>
        <v>1.6779456753499566E-2</v>
      </c>
    </row>
    <row r="93" spans="1:10" x14ac:dyDescent="0.2">
      <c r="A93" s="9">
        <v>43826</v>
      </c>
      <c r="B93" s="10">
        <v>1.0916999999999999</v>
      </c>
      <c r="C93" s="80">
        <f t="shared" si="15"/>
        <v>-5.1000000000001044E-3</v>
      </c>
      <c r="D93" s="12">
        <f t="shared" si="16"/>
        <v>-5.1000000000001044E-3</v>
      </c>
      <c r="E93" s="12">
        <f ca="1">IF(表2_367162629303810[[#This Row],[累计净值]]/MAX(INDIRECT("B21:B" &amp; ROW()))-1&lt;E92,表2_367162629303810[[#This Row],[累计净值]]/MAX(INDIRECT("B21:B" &amp; ROW()))-1,E92)</f>
        <v>-8.8860388420665126E-3</v>
      </c>
      <c r="F93" s="81">
        <v>1.0189999999999999</v>
      </c>
      <c r="G93" s="82">
        <f>表2_367162629303810[[#This Row],[累计净值]]/$B$21-1</f>
        <v>1.2051543524612907E-2</v>
      </c>
      <c r="J93" s="60">
        <f>表2_367162629303810[[#This Row],[累计净值]]-表2_367162629303810[[#This Row],[单位净值]]</f>
        <v>7.2699999999999987E-2</v>
      </c>
    </row>
    <row r="94" spans="1:10" x14ac:dyDescent="0.2">
      <c r="A94" s="15">
        <v>43829</v>
      </c>
      <c r="B94" s="16">
        <v>1.0908</v>
      </c>
      <c r="C94" s="73">
        <f t="shared" si="15"/>
        <v>-8.9999999999990088E-4</v>
      </c>
      <c r="D94" s="18">
        <f t="shared" si="16"/>
        <v>-8.9999999999990088E-4</v>
      </c>
      <c r="E94" s="18">
        <f ca="1">IF(表2_367162629303810[[#This Row],[累计净值]]/MAX(INDIRECT("B21:B" &amp; ROW()))-1&lt;E93,表2_367162629303810[[#This Row],[累计净值]]/MAX(INDIRECT("B21:B" &amp; ROW()))-1,E93)</f>
        <v>-8.8860388420665126E-3</v>
      </c>
      <c r="F94" s="62">
        <f>表2_367162629303810[[#This Row],[累计净值]]-0.0727</f>
        <v>1.0181</v>
      </c>
      <c r="G94" s="20">
        <f>表2_367162629303810[[#This Row],[累计净值]]/$B$21-1</f>
        <v>1.1217205895985849E-2</v>
      </c>
    </row>
    <row r="95" spans="1:10" x14ac:dyDescent="0.2">
      <c r="A95" s="15">
        <v>43830</v>
      </c>
      <c r="B95" s="16">
        <v>1.0919000000000001</v>
      </c>
      <c r="C95" s="73">
        <f t="shared" ref="C95:C100" si="17">IFERROR(B95-B94,0)</f>
        <v>1.1000000000001009E-3</v>
      </c>
      <c r="D95" s="18" t="str">
        <f t="shared" ref="D95:D100" si="18">IF(C95&lt;0,C95,"/")</f>
        <v>/</v>
      </c>
      <c r="E95" s="18">
        <f ca="1">IF(表2_367162629303810[[#This Row],[累计净值]]/MAX(INDIRECT("B21:B" &amp; ROW()))-1&lt;E94,表2_367162629303810[[#This Row],[累计净值]]/MAX(INDIRECT("B21:B" &amp; ROW()))-1,E94)</f>
        <v>-8.8860388420665126E-3</v>
      </c>
      <c r="F95" s="62">
        <f>表2_367162629303810[[#This Row],[累计净值]]-0.0727</f>
        <v>1.0192000000000001</v>
      </c>
      <c r="G95" s="20">
        <f>表2_367162629303810[[#This Row],[累计净值]]/$B$21-1</f>
        <v>1.2236951886530179E-2</v>
      </c>
    </row>
    <row r="96" spans="1:10" x14ac:dyDescent="0.2">
      <c r="A96" s="15">
        <v>43832</v>
      </c>
      <c r="B96" s="16">
        <v>1.0911</v>
      </c>
      <c r="C96" s="73">
        <f t="shared" si="17"/>
        <v>-8.0000000000013394E-4</v>
      </c>
      <c r="D96" s="18">
        <f t="shared" si="18"/>
        <v>-8.0000000000013394E-4</v>
      </c>
      <c r="E96" s="18">
        <f ca="1">IF(表2_367162629303810[[#This Row],[累计净值]]/MAX(INDIRECT("B21:B" &amp; ROW()))-1&lt;E95,表2_367162629303810[[#This Row],[累计净值]]/MAX(INDIRECT("B21:B" &amp; ROW()))-1,E95)</f>
        <v>-8.8860388420665126E-3</v>
      </c>
      <c r="F96" s="62">
        <f>表2_367162629303810[[#This Row],[累计净值]]-0.0727</f>
        <v>1.0184</v>
      </c>
      <c r="G96" s="20">
        <f>表2_367162629303810[[#This Row],[累计净值]]/$B$21-1</f>
        <v>1.1495318438861535E-2</v>
      </c>
    </row>
    <row r="97" spans="1:7" x14ac:dyDescent="0.2">
      <c r="A97" s="15">
        <v>43833</v>
      </c>
      <c r="B97" s="16">
        <v>1.0912999999999999</v>
      </c>
      <c r="C97" s="73">
        <f t="shared" si="17"/>
        <v>1.9999999999997797E-4</v>
      </c>
      <c r="D97" s="18" t="str">
        <f t="shared" si="18"/>
        <v>/</v>
      </c>
      <c r="E97" s="18">
        <f ca="1">IF(表2_367162629303810[[#This Row],[累计净值]]/MAX(INDIRECT("B21:B" &amp; ROW()))-1&lt;E96,表2_367162629303810[[#This Row],[累计净值]]/MAX(INDIRECT("B21:B" &amp; ROW()))-1,E96)</f>
        <v>-8.8860388420665126E-3</v>
      </c>
      <c r="F97" s="62">
        <f>表2_367162629303810[[#This Row],[累计净值]]-0.0727</f>
        <v>1.0185999999999999</v>
      </c>
      <c r="G97" s="20">
        <f>表2_367162629303810[[#This Row],[累计净值]]/$B$21-1</f>
        <v>1.1680726800778585E-2</v>
      </c>
    </row>
    <row r="98" spans="1:7" x14ac:dyDescent="0.2">
      <c r="A98" s="15">
        <v>43836</v>
      </c>
      <c r="B98" s="16">
        <v>1.0908</v>
      </c>
      <c r="C98" s="73">
        <f t="shared" si="17"/>
        <v>-4.9999999999994493E-4</v>
      </c>
      <c r="D98" s="18">
        <f t="shared" si="18"/>
        <v>-4.9999999999994493E-4</v>
      </c>
      <c r="E98" s="18">
        <f ca="1">IF(表2_367162629303810[[#This Row],[累计净值]]/MAX(INDIRECT("B21:B" &amp; ROW()))-1&lt;E97,表2_367162629303810[[#This Row],[累计净值]]/MAX(INDIRECT("B21:B" &amp; ROW()))-1,E97)</f>
        <v>-8.8860388420665126E-3</v>
      </c>
      <c r="F98" s="62">
        <f>表2_367162629303810[[#This Row],[累计净值]]-0.0727</f>
        <v>1.0181</v>
      </c>
      <c r="G98" s="20">
        <f>表2_367162629303810[[#This Row],[累计净值]]/$B$21-1</f>
        <v>1.1217205895985849E-2</v>
      </c>
    </row>
    <row r="99" spans="1:7" x14ac:dyDescent="0.2">
      <c r="A99" s="15">
        <v>43837</v>
      </c>
      <c r="B99" s="16">
        <v>1.0919000000000001</v>
      </c>
      <c r="C99" s="73">
        <f t="shared" si="17"/>
        <v>1.1000000000001009E-3</v>
      </c>
      <c r="D99" s="18" t="str">
        <f t="shared" si="18"/>
        <v>/</v>
      </c>
      <c r="E99" s="18">
        <f ca="1">IF(表2_367162629303810[[#This Row],[累计净值]]/MAX(INDIRECT("B21:B" &amp; ROW()))-1&lt;E98,表2_367162629303810[[#This Row],[累计净值]]/MAX(INDIRECT("B21:B" &amp; ROW()))-1,E98)</f>
        <v>-8.8860388420665126E-3</v>
      </c>
      <c r="F99" s="62">
        <f>表2_367162629303810[[#This Row],[累计净值]]-0.0727</f>
        <v>1.0192000000000001</v>
      </c>
      <c r="G99" s="20">
        <f>表2_367162629303810[[#This Row],[累计净值]]/$B$21-1</f>
        <v>1.2236951886530179E-2</v>
      </c>
    </row>
    <row r="100" spans="1:7" x14ac:dyDescent="0.2">
      <c r="A100" s="15">
        <v>43838</v>
      </c>
      <c r="B100" s="16">
        <v>1.0887</v>
      </c>
      <c r="C100" s="73">
        <f t="shared" si="17"/>
        <v>-3.2000000000000917E-3</v>
      </c>
      <c r="D100" s="18">
        <f t="shared" si="18"/>
        <v>-3.2000000000000917E-3</v>
      </c>
      <c r="E100" s="18">
        <f ca="1">IF(表2_367162629303810[[#This Row],[累计净值]]/MAX(INDIRECT("B21:B" &amp; ROW()))-1&lt;E99,表2_367162629303810[[#This Row],[累计净值]]/MAX(INDIRECT("B21:B" &amp; ROW()))-1,E99)</f>
        <v>-8.8860388420665126E-3</v>
      </c>
      <c r="F100" s="62">
        <f>表2_367162629303810[[#This Row],[累计净值]]-0.0727</f>
        <v>1.016</v>
      </c>
      <c r="G100" s="20">
        <f>表2_367162629303810[[#This Row],[累计净值]]/$B$21-1</f>
        <v>9.2704180958560478E-3</v>
      </c>
    </row>
    <row r="101" spans="1:7" x14ac:dyDescent="0.2">
      <c r="A101" s="15">
        <v>43839</v>
      </c>
      <c r="B101" s="16">
        <v>1.0966</v>
      </c>
      <c r="C101" s="73">
        <f t="shared" ref="C101:C106" si="19">IFERROR(B101-B100,0)</f>
        <v>7.9000000000000181E-3</v>
      </c>
      <c r="D101" s="18" t="str">
        <f t="shared" ref="D101:D106" si="20">IF(C101&lt;0,C101,"/")</f>
        <v>/</v>
      </c>
      <c r="E101" s="18">
        <f ca="1">IF(表2_367162629303810[[#This Row],[累计净值]]/MAX(INDIRECT("B21:B" &amp; ROW()))-1&lt;E100,表2_367162629303810[[#This Row],[累计净值]]/MAX(INDIRECT("B21:B" &amp; ROW()))-1,E100)</f>
        <v>-8.8860388420665126E-3</v>
      </c>
      <c r="F101" s="62">
        <f>表2_367162629303810[[#This Row],[累计净值]]-0.0727</f>
        <v>1.0239</v>
      </c>
      <c r="G101" s="20">
        <f>表2_367162629303810[[#This Row],[累计净值]]/$B$21-1</f>
        <v>1.6594048391582517E-2</v>
      </c>
    </row>
    <row r="102" spans="1:7" x14ac:dyDescent="0.2">
      <c r="A102" s="15">
        <v>43840</v>
      </c>
      <c r="B102" s="16">
        <v>1.0972</v>
      </c>
      <c r="C102" s="73">
        <f t="shared" si="19"/>
        <v>5.9999999999993392E-4</v>
      </c>
      <c r="D102" s="18" t="str">
        <f t="shared" si="20"/>
        <v>/</v>
      </c>
      <c r="E102" s="18">
        <f ca="1">IF(表2_367162629303810[[#This Row],[累计净值]]/MAX(INDIRECT("B21:B" &amp; ROW()))-1&lt;E101,表2_367162629303810[[#This Row],[累计净值]]/MAX(INDIRECT("B21:B" &amp; ROW()))-1,E101)</f>
        <v>-8.8860388420665126E-3</v>
      </c>
      <c r="F102" s="62">
        <f>表2_367162629303810[[#This Row],[累计净值]]-0.0727</f>
        <v>1.0245</v>
      </c>
      <c r="G102" s="20">
        <f>表2_367162629303810[[#This Row],[累计净值]]/$B$21-1</f>
        <v>1.7150273477333888E-2</v>
      </c>
    </row>
    <row r="103" spans="1:7" x14ac:dyDescent="0.2">
      <c r="A103" s="15">
        <v>43843</v>
      </c>
      <c r="B103" s="76">
        <v>1.0979000000000001</v>
      </c>
      <c r="C103" s="73">
        <f t="shared" si="19"/>
        <v>7.0000000000014495E-4</v>
      </c>
      <c r="D103" s="18" t="str">
        <f t="shared" si="20"/>
        <v>/</v>
      </c>
      <c r="E103" s="18">
        <f ca="1">IF(表2_367162629303810[[#This Row],[累计净值]]/MAX(INDIRECT("B21:B" &amp; ROW()))-1&lt;E102,表2_367162629303810[[#This Row],[累计净值]]/MAX(INDIRECT("B21:B" &amp; ROW()))-1,E102)</f>
        <v>-8.8860388420665126E-3</v>
      </c>
      <c r="F103" s="62">
        <f>表2_367162629303810[[#This Row],[累计净值]]-0.0727</f>
        <v>1.0252000000000001</v>
      </c>
      <c r="G103" s="20">
        <f>表2_367162629303810[[#This Row],[累计净值]]/$B$21-1</f>
        <v>1.7799202744043896E-2</v>
      </c>
    </row>
    <row r="104" spans="1:7" x14ac:dyDescent="0.2">
      <c r="A104" s="15">
        <v>43844</v>
      </c>
      <c r="B104" s="16">
        <v>1.0952999999999999</v>
      </c>
      <c r="C104" s="73">
        <f t="shared" si="19"/>
        <v>-2.6000000000001577E-3</v>
      </c>
      <c r="D104" s="18">
        <f t="shared" si="20"/>
        <v>-2.6000000000001577E-3</v>
      </c>
      <c r="E104" s="18">
        <f ca="1">IF(表2_367162629303810[[#This Row],[累计净值]]/MAX(INDIRECT("B21:B" &amp; ROW()))-1&lt;E103,表2_367162629303810[[#This Row],[累计净值]]/MAX(INDIRECT("B21:B" &amp; ROW()))-1,E103)</f>
        <v>-8.8860388420665126E-3</v>
      </c>
      <c r="F104" s="62">
        <f>表2_367162629303810[[#This Row],[累计净值]]-0.0727</f>
        <v>1.0226</v>
      </c>
      <c r="G104" s="20">
        <f>表2_367162629303810[[#This Row],[累计净值]]/$B$21-1</f>
        <v>1.5388894039121137E-2</v>
      </c>
    </row>
    <row r="105" spans="1:7" x14ac:dyDescent="0.2">
      <c r="A105" s="15">
        <v>43845</v>
      </c>
      <c r="B105" s="16">
        <v>1.0975999999999999</v>
      </c>
      <c r="C105" s="73">
        <f t="shared" si="19"/>
        <v>2.2999999999999687E-3</v>
      </c>
      <c r="D105" s="18" t="str">
        <f t="shared" si="20"/>
        <v>/</v>
      </c>
      <c r="E105" s="18">
        <f ca="1">IF(表2_367162629303810[[#This Row],[累计净值]]/MAX(INDIRECT("B21:B" &amp; ROW()))-1&lt;E104,表2_367162629303810[[#This Row],[累计净值]]/MAX(INDIRECT("B21:B" &amp; ROW()))-1,E104)</f>
        <v>-8.8860388420665126E-3</v>
      </c>
      <c r="F105" s="62">
        <f>表2_367162629303810[[#This Row],[累计净值]]-0.0727</f>
        <v>1.0248999999999999</v>
      </c>
      <c r="G105" s="20">
        <f>表2_367162629303810[[#This Row],[累计净值]]/$B$21-1</f>
        <v>1.7521090201167988E-2</v>
      </c>
    </row>
    <row r="106" spans="1:7" x14ac:dyDescent="0.2">
      <c r="A106" s="15">
        <v>43846</v>
      </c>
      <c r="B106" s="16">
        <v>1.0969</v>
      </c>
      <c r="C106" s="73">
        <f t="shared" si="19"/>
        <v>-6.9999999999992291E-4</v>
      </c>
      <c r="D106" s="18">
        <f t="shared" si="20"/>
        <v>-6.9999999999992291E-4</v>
      </c>
      <c r="E106" s="18">
        <f ca="1">IF(表2_367162629303810[[#This Row],[累计净值]]/MAX(INDIRECT("B21:B" &amp; ROW()))-1&lt;E105,表2_367162629303810[[#This Row],[累计净值]]/MAX(INDIRECT("B21:B" &amp; ROW()))-1,E105)</f>
        <v>-8.8860388420665126E-3</v>
      </c>
      <c r="F106" s="62">
        <f>表2_367162629303810[[#This Row],[累计净值]]-0.0727</f>
        <v>1.0242</v>
      </c>
      <c r="G106" s="20">
        <f>表2_367162629303810[[#This Row],[累计净值]]/$B$21-1</f>
        <v>1.6872160934458202E-2</v>
      </c>
    </row>
    <row r="107" spans="1:7" x14ac:dyDescent="0.2">
      <c r="A107" s="15">
        <v>43847</v>
      </c>
      <c r="B107" s="16">
        <v>1.0974999999999999</v>
      </c>
      <c r="C107" s="73">
        <f>IFERROR(B107-B106,0)</f>
        <v>5.9999999999993392E-4</v>
      </c>
      <c r="D107" s="18" t="str">
        <f>IF(C107&lt;0,C107,"/")</f>
        <v>/</v>
      </c>
      <c r="E107" s="18">
        <f ca="1">IF(表2_367162629303810[[#This Row],[累计净值]]/MAX(INDIRECT("B21:B" &amp; ROW()))-1&lt;E106,表2_367162629303810[[#This Row],[累计净值]]/MAX(INDIRECT("B21:B" &amp; ROW()))-1,E106)</f>
        <v>-8.8860388420665126E-3</v>
      </c>
      <c r="F107" s="62">
        <f>表2_367162629303810[[#This Row],[累计净值]]-0.0727</f>
        <v>1.0247999999999999</v>
      </c>
      <c r="G107" s="20">
        <f>表2_367162629303810[[#This Row],[累计净值]]/$B$21-1</f>
        <v>1.7428386020209352E-2</v>
      </c>
    </row>
    <row r="108" spans="1:7" x14ac:dyDescent="0.2">
      <c r="A108" s="15">
        <v>43850</v>
      </c>
      <c r="B108" s="16">
        <v>1.0972999999999999</v>
      </c>
      <c r="C108" s="73">
        <f>IFERROR(B108-B107,0)</f>
        <v>-1.9999999999997797E-4</v>
      </c>
      <c r="D108" s="18">
        <f>IF(C108&lt;0,C108,"/")</f>
        <v>-1.9999999999997797E-4</v>
      </c>
      <c r="E108" s="18">
        <f ca="1">IF(表2_367162629303810[[#This Row],[累计净值]]/MAX(INDIRECT("B21:B" &amp; ROW()))-1&lt;E107,表2_367162629303810[[#This Row],[累计净值]]/MAX(INDIRECT("B21:B" &amp; ROW()))-1,E107)</f>
        <v>-8.8860388420665126E-3</v>
      </c>
      <c r="F108" s="62">
        <f>表2_367162629303810[[#This Row],[累计净值]]-0.0727</f>
        <v>1.0246</v>
      </c>
      <c r="G108" s="20">
        <f>表2_367162629303810[[#This Row],[累计净值]]/$B$21-1</f>
        <v>1.7242977658292302E-2</v>
      </c>
    </row>
    <row r="109" spans="1:7" x14ac:dyDescent="0.2">
      <c r="A109" s="15">
        <v>43851</v>
      </c>
      <c r="B109" s="16">
        <v>1.0978000000000001</v>
      </c>
      <c r="C109" s="73">
        <f>IFERROR(B109-B108,0)</f>
        <v>5.0000000000016698E-4</v>
      </c>
      <c r="D109" s="18" t="str">
        <f>IF(C109&lt;0,C109,"/")</f>
        <v>/</v>
      </c>
      <c r="E109" s="18">
        <f ca="1">IF(表2_367162629303810[[#This Row],[累计净值]]/MAX(INDIRECT("B21:B" &amp; ROW()))-1&lt;E108,表2_367162629303810[[#This Row],[累计净值]]/MAX(INDIRECT("B21:B" &amp; ROW()))-1,E108)</f>
        <v>-8.8860388420665126E-3</v>
      </c>
      <c r="F109" s="62">
        <f>表2_367162629303810[[#This Row],[累计净值]]-0.0727</f>
        <v>1.0251000000000001</v>
      </c>
      <c r="G109" s="20">
        <f>表2_367162629303810[[#This Row],[累计净值]]/$B$21-1</f>
        <v>1.770649856308526E-2</v>
      </c>
    </row>
    <row r="110" spans="1:7" x14ac:dyDescent="0.2">
      <c r="A110" s="15">
        <v>43852</v>
      </c>
      <c r="B110" s="16">
        <v>1.0912999999999999</v>
      </c>
      <c r="C110" s="73">
        <f>IFERROR(B110-B109,0)</f>
        <v>-6.5000000000001723E-3</v>
      </c>
      <c r="D110" s="18">
        <f>IF(C110&lt;0,C110,"/")</f>
        <v>-6.5000000000001723E-3</v>
      </c>
      <c r="E110" s="18">
        <f ca="1">IF(表2_367162629303810[[#This Row],[累计净值]]/MAX(INDIRECT("B21:B" &amp; ROW()))-1&lt;E109,表2_367162629303810[[#This Row],[累计净值]]/MAX(INDIRECT("B21:B" &amp; ROW()))-1,E109)</f>
        <v>-8.8860388420665126E-3</v>
      </c>
      <c r="F110" s="62">
        <f>表2_367162629303810[[#This Row],[累计净值]]-0.0727</f>
        <v>1.0185999999999999</v>
      </c>
      <c r="G110" s="20">
        <f>表2_367162629303810[[#This Row],[累计净值]]/$B$21-1</f>
        <v>1.1680726800778585E-2</v>
      </c>
    </row>
    <row r="111" spans="1:7" x14ac:dyDescent="0.2">
      <c r="A111" s="15">
        <v>43853</v>
      </c>
      <c r="B111" s="16">
        <v>1.0987</v>
      </c>
      <c r="C111" s="73">
        <f>IFERROR(B111-B110,0)</f>
        <v>7.4000000000000732E-3</v>
      </c>
      <c r="D111" s="18" t="str">
        <f>IF(C111&lt;0,C111,"/")</f>
        <v>/</v>
      </c>
      <c r="E111" s="18">
        <f ca="1">IF(表2_367162629303810[[#This Row],[累计净值]]/MAX(INDIRECT("B21:B" &amp; ROW()))-1&lt;E110,表2_367162629303810[[#This Row],[累计净值]]/MAX(INDIRECT("B21:B" &amp; ROW()))-1,E110)</f>
        <v>-8.8860388420665126E-3</v>
      </c>
      <c r="F111" s="62">
        <f>表2_367162629303810[[#This Row],[累计净值]]-0.0727</f>
        <v>1.026</v>
      </c>
      <c r="G111" s="20">
        <f>表2_367162629303810[[#This Row],[累计净值]]/$B$21-1</f>
        <v>1.8540836191712318E-2</v>
      </c>
    </row>
    <row r="112" spans="1:7" x14ac:dyDescent="0.2">
      <c r="A112" s="15">
        <v>43864</v>
      </c>
      <c r="B112" s="76">
        <v>1.1065</v>
      </c>
      <c r="C112" s="73">
        <f t="shared" ref="C112:C117" si="21">IFERROR(B112-B111,0)</f>
        <v>7.8000000000000291E-3</v>
      </c>
      <c r="D112" s="18" t="str">
        <f t="shared" ref="D112:D117" si="22">IF(C112&lt;0,C112,"/")</f>
        <v>/</v>
      </c>
      <c r="E112" s="18">
        <f ca="1">IF(表2_367162629303810[[#This Row],[累计净值]]/MAX(INDIRECT("B21:B" &amp; ROW()))-1&lt;E111,表2_367162629303810[[#This Row],[累计净值]]/MAX(INDIRECT("B21:B" &amp; ROW()))-1,E111)</f>
        <v>-8.8860388420665126E-3</v>
      </c>
      <c r="F112" s="62">
        <f>表2_367162629303810[[#This Row],[累计净值]]-0.0727</f>
        <v>1.0338000000000001</v>
      </c>
      <c r="G112" s="20">
        <f>表2_367162629303810[[#This Row],[累计净值]]/$B$21-1</f>
        <v>2.577176230648015E-2</v>
      </c>
    </row>
    <row r="113" spans="1:9" x14ac:dyDescent="0.2">
      <c r="A113" s="15">
        <v>43865</v>
      </c>
      <c r="B113" s="16">
        <v>1.0931</v>
      </c>
      <c r="C113" s="73">
        <f t="shared" si="21"/>
        <v>-1.3400000000000079E-2</v>
      </c>
      <c r="D113" s="18">
        <f t="shared" si="22"/>
        <v>-1.3400000000000079E-2</v>
      </c>
      <c r="E113" s="18">
        <f ca="1">IF(表2_367162629303810[[#This Row],[累计净值]]/MAX(INDIRECT("B21:B" &amp; ROW()))-1&lt;E112,表2_367162629303810[[#This Row],[累计净值]]/MAX(INDIRECT("B21:B" &amp; ROW()))-1,E112)</f>
        <v>-1.2110257568911043E-2</v>
      </c>
      <c r="F113" s="62">
        <f>表2_367162629303810[[#This Row],[累计净值]]-0.0727</f>
        <v>1.0204</v>
      </c>
      <c r="G113" s="20">
        <f>表2_367162629303810[[#This Row],[累计净值]]/$B$21-1</f>
        <v>1.33494020580327E-2</v>
      </c>
      <c r="I113" s="1">
        <v>0</v>
      </c>
    </row>
    <row r="114" spans="1:9" x14ac:dyDescent="0.2">
      <c r="A114" s="15">
        <v>43866</v>
      </c>
      <c r="B114" s="16">
        <v>1.0952</v>
      </c>
      <c r="C114" s="73">
        <f t="shared" si="21"/>
        <v>2.0999999999999908E-3</v>
      </c>
      <c r="D114" s="18" t="str">
        <f t="shared" si="22"/>
        <v>/</v>
      </c>
      <c r="E114" s="18">
        <f ca="1">IF(表2_367162629303810[[#This Row],[累计净值]]/MAX(INDIRECT("B21:B" &amp; ROW()))-1&lt;E113,表2_367162629303810[[#This Row],[累计净值]]/MAX(INDIRECT("B21:B" &amp; ROW()))-1,E113)</f>
        <v>-1.2110257568911043E-2</v>
      </c>
      <c r="F114" s="62">
        <f>表2_367162629303810[[#This Row],[累计净值]]-0.0727</f>
        <v>1.0225</v>
      </c>
      <c r="G114" s="20">
        <f>表2_367162629303810[[#This Row],[累计净值]]/$B$21-1</f>
        <v>1.5296189858162501E-2</v>
      </c>
    </row>
    <row r="115" spans="1:9" x14ac:dyDescent="0.2">
      <c r="A115" s="15">
        <v>43867</v>
      </c>
      <c r="B115" s="16">
        <v>1.0926</v>
      </c>
      <c r="C115" s="73">
        <f t="shared" si="21"/>
        <v>-2.5999999999999357E-3</v>
      </c>
      <c r="D115" s="18">
        <f t="shared" si="22"/>
        <v>-2.5999999999999357E-3</v>
      </c>
      <c r="E115" s="18">
        <f ca="1">IF(表2_367162629303810[[#This Row],[累计净值]]/MAX(INDIRECT("B21:B" &amp; ROW()))-1&lt;E114,表2_367162629303810[[#This Row],[累计净值]]/MAX(INDIRECT("B21:B" &amp; ROW()))-1,E114)</f>
        <v>-1.2562132851333008E-2</v>
      </c>
      <c r="F115" s="62">
        <f>表2_367162629303810[[#This Row],[累计净值]]-0.0727</f>
        <v>1.0199</v>
      </c>
      <c r="G115" s="20">
        <f>表2_367162629303810[[#This Row],[累计净值]]/$B$21-1</f>
        <v>1.2885881153239964E-2</v>
      </c>
    </row>
    <row r="116" spans="1:9" x14ac:dyDescent="0.2">
      <c r="A116" s="15">
        <v>43868</v>
      </c>
      <c r="B116" s="16">
        <v>1.0939000000000001</v>
      </c>
      <c r="C116" s="73">
        <f t="shared" si="21"/>
        <v>1.3000000000000789E-3</v>
      </c>
      <c r="D116" s="18" t="str">
        <f t="shared" si="22"/>
        <v>/</v>
      </c>
      <c r="E116" s="18">
        <f ca="1">IF(表2_367162629303810[[#This Row],[累计净值]]/MAX(INDIRECT("B21:B" &amp; ROW()))-1&lt;E115,表2_367162629303810[[#This Row],[累计净值]]/MAX(INDIRECT("B21:B" &amp; ROW()))-1,E115)</f>
        <v>-1.2562132851333008E-2</v>
      </c>
      <c r="F116" s="62">
        <f>表2_367162629303810[[#This Row],[累计净值]]-0.0727</f>
        <v>1.0212000000000001</v>
      </c>
      <c r="G116" s="20">
        <f>表2_367162629303810[[#This Row],[累计净值]]/$B$21-1</f>
        <v>1.4091035505701344E-2</v>
      </c>
    </row>
    <row r="117" spans="1:9" x14ac:dyDescent="0.2">
      <c r="A117" s="15">
        <v>43871</v>
      </c>
      <c r="B117" s="16">
        <v>1.0959000000000001</v>
      </c>
      <c r="C117" s="73">
        <f t="shared" si="21"/>
        <v>2.0000000000000018E-3</v>
      </c>
      <c r="D117" s="18" t="str">
        <f t="shared" si="22"/>
        <v>/</v>
      </c>
      <c r="E117" s="18">
        <f ca="1">IF(表2_367162629303810[[#This Row],[累计净值]]/MAX(INDIRECT("B21:B" &amp; ROW()))-1&lt;E116,表2_367162629303810[[#This Row],[累计净值]]/MAX(INDIRECT("B21:B" &amp; ROW()))-1,E116)</f>
        <v>-1.2562132851333008E-2</v>
      </c>
      <c r="F117" s="62">
        <f>表2_367162629303810[[#This Row],[累计净值]]-0.0727</f>
        <v>1.0232000000000001</v>
      </c>
      <c r="G117" s="20">
        <f>表2_367162629303810[[#This Row],[累计净值]]/$B$21-1</f>
        <v>1.5945119124872731E-2</v>
      </c>
    </row>
    <row r="118" spans="1:9" x14ac:dyDescent="0.2">
      <c r="A118" s="15">
        <v>43872</v>
      </c>
      <c r="B118" s="16">
        <v>1.0949</v>
      </c>
      <c r="C118" s="73">
        <f t="shared" ref="C118:C123" si="23">IFERROR(B118-B117,0)</f>
        <v>-1.0000000000001119E-3</v>
      </c>
      <c r="D118" s="18">
        <f t="shared" ref="D118:D123" si="24">IF(C118&lt;0,C118,"/")</f>
        <v>-1.0000000000001119E-3</v>
      </c>
      <c r="E118" s="18">
        <f ca="1">IF(表2_367162629303810[[#This Row],[累计净值]]/MAX(INDIRECT("B21:B" &amp; ROW()))-1&lt;E117,表2_367162629303810[[#This Row],[累计净值]]/MAX(INDIRECT("B21:B" &amp; ROW()))-1,E117)</f>
        <v>-1.2562132851333008E-2</v>
      </c>
      <c r="F118" s="62">
        <f>表2_367162629303810[[#This Row],[累计净值]]-0.0727</f>
        <v>1.0222</v>
      </c>
      <c r="G118" s="20">
        <f>表2_367162629303810[[#This Row],[累计净值]]/$B$21-1</f>
        <v>1.5018077315286815E-2</v>
      </c>
    </row>
    <row r="119" spans="1:9" x14ac:dyDescent="0.2">
      <c r="A119" s="15">
        <v>43873</v>
      </c>
      <c r="B119" s="16">
        <v>1.0946</v>
      </c>
      <c r="C119" s="73">
        <f t="shared" si="23"/>
        <v>-2.9999999999996696E-4</v>
      </c>
      <c r="D119" s="18">
        <f t="shared" si="24"/>
        <v>-2.9999999999996696E-4</v>
      </c>
      <c r="E119" s="18">
        <f ca="1">IF(表2_367162629303810[[#This Row],[累计净值]]/MAX(INDIRECT("B21:B" &amp; ROW()))-1&lt;E118,表2_367162629303810[[#This Row],[累计净值]]/MAX(INDIRECT("B21:B" &amp; ROW()))-1,E118)</f>
        <v>-1.2562132851333008E-2</v>
      </c>
      <c r="F119" s="62">
        <f>表2_367162629303810[[#This Row],[累计净值]]-0.0727</f>
        <v>1.0219</v>
      </c>
      <c r="G119" s="20">
        <f>表2_367162629303810[[#This Row],[累计净值]]/$B$21-1</f>
        <v>1.4739964772411351E-2</v>
      </c>
    </row>
    <row r="120" spans="1:9" x14ac:dyDescent="0.2">
      <c r="A120" s="15">
        <v>43874</v>
      </c>
      <c r="B120" s="16">
        <v>1.0941000000000001</v>
      </c>
      <c r="C120" s="73">
        <f t="shared" si="23"/>
        <v>-4.9999999999994493E-4</v>
      </c>
      <c r="D120" s="18">
        <f t="shared" si="24"/>
        <v>-4.9999999999994493E-4</v>
      </c>
      <c r="E120" s="18">
        <f ca="1">IF(表2_367162629303810[[#This Row],[累计净值]]/MAX(INDIRECT("B21:B" &amp; ROW()))-1&lt;E119,表2_367162629303810[[#This Row],[累计净值]]/MAX(INDIRECT("B21:B" &amp; ROW()))-1,E119)</f>
        <v>-1.2562132851333008E-2</v>
      </c>
      <c r="F120" s="62">
        <f>表2_367162629303810[[#This Row],[累计净值]]-0.0727</f>
        <v>1.0214000000000001</v>
      </c>
      <c r="G120" s="20">
        <f>表2_367162629303810[[#This Row],[累计净值]]/$B$21-1</f>
        <v>1.4276443867618394E-2</v>
      </c>
    </row>
    <row r="121" spans="1:9" x14ac:dyDescent="0.2">
      <c r="A121" s="15">
        <v>43875</v>
      </c>
      <c r="B121" s="16">
        <v>1.0959000000000001</v>
      </c>
      <c r="C121" s="73">
        <f t="shared" si="23"/>
        <v>1.8000000000000238E-3</v>
      </c>
      <c r="D121" s="18" t="str">
        <f t="shared" si="24"/>
        <v>/</v>
      </c>
      <c r="E121" s="18">
        <f ca="1">IF(表2_367162629303810[[#This Row],[累计净值]]/MAX(INDIRECT("B21:B" &amp; ROW()))-1&lt;E120,表2_367162629303810[[#This Row],[累计净值]]/MAX(INDIRECT("B21:B" &amp; ROW()))-1,E120)</f>
        <v>-1.2562132851333008E-2</v>
      </c>
      <c r="F121" s="62">
        <f>表2_367162629303810[[#This Row],[累计净值]]-0.0727</f>
        <v>1.0232000000000001</v>
      </c>
      <c r="G121" s="20">
        <f>表2_367162629303810[[#This Row],[累计净值]]/$B$21-1</f>
        <v>1.5945119124872731E-2</v>
      </c>
    </row>
    <row r="122" spans="1:9" x14ac:dyDescent="0.2">
      <c r="A122" s="15">
        <v>43878</v>
      </c>
      <c r="B122" s="16">
        <v>1.0984</v>
      </c>
      <c r="C122" s="73">
        <f t="shared" si="23"/>
        <v>2.4999999999999467E-3</v>
      </c>
      <c r="D122" s="18" t="str">
        <f t="shared" si="24"/>
        <v>/</v>
      </c>
      <c r="E122" s="18">
        <f ca="1">IF(表2_367162629303810[[#This Row],[累计净值]]/MAX(INDIRECT("B21:B" &amp; ROW()))-1&lt;E121,表2_367162629303810[[#This Row],[累计净值]]/MAX(INDIRECT("B21:B" &amp; ROW()))-1,E121)</f>
        <v>-1.2562132851333008E-2</v>
      </c>
      <c r="F122" s="62">
        <f>表2_367162629303810[[#This Row],[累计净值]]-0.0727</f>
        <v>1.0257000000000001</v>
      </c>
      <c r="G122" s="20">
        <f>表2_367162629303810[[#This Row],[累计净值]]/$B$21-1</f>
        <v>1.8262723648836632E-2</v>
      </c>
    </row>
    <row r="123" spans="1:9" x14ac:dyDescent="0.2">
      <c r="A123" s="15">
        <v>43879</v>
      </c>
      <c r="B123" s="16">
        <v>1.1039000000000001</v>
      </c>
      <c r="C123" s="73">
        <f t="shared" si="23"/>
        <v>5.5000000000000604E-3</v>
      </c>
      <c r="D123" s="18" t="str">
        <f t="shared" si="24"/>
        <v>/</v>
      </c>
      <c r="E123" s="18">
        <f ca="1">IF(表2_367162629303810[[#This Row],[累计净值]]/MAX(INDIRECT("B21:B" &amp; ROW()))-1&lt;E122,表2_367162629303810[[#This Row],[累计净值]]/MAX(INDIRECT("B21:B" &amp; ROW()))-1,E122)</f>
        <v>-1.2562132851333008E-2</v>
      </c>
      <c r="F123" s="62">
        <f>表2_367162629303810[[#This Row],[累计净值]]-0.0727</f>
        <v>1.0312000000000001</v>
      </c>
      <c r="G123" s="20">
        <f>表2_367162629303810[[#This Row],[累计净值]]/$B$21-1</f>
        <v>2.3361453601557614E-2</v>
      </c>
    </row>
    <row r="124" spans="1:9" x14ac:dyDescent="0.2">
      <c r="A124" s="15">
        <v>43880</v>
      </c>
      <c r="B124" s="16">
        <v>1.1031</v>
      </c>
      <c r="C124" s="73">
        <f t="shared" ref="C124:C129" si="25">IFERROR(B124-B123,0)</f>
        <v>-8.0000000000013394E-4</v>
      </c>
      <c r="D124" s="18">
        <f t="shared" ref="D124:D129" si="26">IF(C124&lt;0,C124,"/")</f>
        <v>-8.0000000000013394E-4</v>
      </c>
      <c r="E124" s="18">
        <f ca="1">IF(表2_367162629303810[[#This Row],[累计净值]]/MAX(INDIRECT("B21:B" &amp; ROW()))-1&lt;E123,表2_367162629303810[[#This Row],[累计净值]]/MAX(INDIRECT("B21:B" &amp; ROW()))-1,E123)</f>
        <v>-1.2562132851333008E-2</v>
      </c>
      <c r="F124" s="62">
        <f>表2_367162629303810[[#This Row],[累计净值]]-0.0727</f>
        <v>1.0304</v>
      </c>
      <c r="G124" s="20">
        <f>表2_367162629303810[[#This Row],[累计净值]]/$B$21-1</f>
        <v>2.261982015388897E-2</v>
      </c>
    </row>
    <row r="125" spans="1:9" x14ac:dyDescent="0.2">
      <c r="A125" s="15">
        <v>43881</v>
      </c>
      <c r="B125" s="76">
        <v>1.1071</v>
      </c>
      <c r="C125" s="73">
        <f t="shared" si="25"/>
        <v>4.0000000000000036E-3</v>
      </c>
      <c r="D125" s="18" t="str">
        <f t="shared" si="26"/>
        <v>/</v>
      </c>
      <c r="E125" s="18">
        <f ca="1">IF(表2_367162629303810[[#This Row],[累计净值]]/MAX(INDIRECT("B21:B" &amp; ROW()))-1&lt;E124,表2_367162629303810[[#This Row],[累计净值]]/MAX(INDIRECT("B21:B" &amp; ROW()))-1,E124)</f>
        <v>-1.2562132851333008E-2</v>
      </c>
      <c r="F125" s="62">
        <f>表2_367162629303810[[#This Row],[累计净值]]-0.0727</f>
        <v>1.0344</v>
      </c>
      <c r="G125" s="20">
        <f>表2_367162629303810[[#This Row],[累计净值]]/$B$21-1</f>
        <v>2.63279873922313E-2</v>
      </c>
    </row>
    <row r="126" spans="1:9" x14ac:dyDescent="0.2">
      <c r="A126" s="15">
        <v>43882</v>
      </c>
      <c r="B126" s="16">
        <v>1.1059000000000001</v>
      </c>
      <c r="C126" s="73">
        <f t="shared" si="25"/>
        <v>-1.1999999999998678E-3</v>
      </c>
      <c r="D126" s="18">
        <f t="shared" si="26"/>
        <v>-1.1999999999998678E-3</v>
      </c>
      <c r="E126" s="18">
        <f ca="1">IF(表2_367162629303810[[#This Row],[累计净值]]/MAX(INDIRECT("B21:B" &amp; ROW()))-1&lt;E125,表2_367162629303810[[#This Row],[累计净值]]/MAX(INDIRECT("B21:B" &amp; ROW()))-1,E125)</f>
        <v>-1.2562132851333008E-2</v>
      </c>
      <c r="F126" s="62">
        <f>表2_367162629303810[[#This Row],[累计净值]]-0.0727</f>
        <v>1.0332000000000001</v>
      </c>
      <c r="G126" s="20">
        <f>表2_367162629303810[[#This Row],[累计净值]]/$B$21-1</f>
        <v>2.5215537220728779E-2</v>
      </c>
    </row>
    <row r="127" spans="1:9" x14ac:dyDescent="0.2">
      <c r="A127" s="15">
        <v>43885</v>
      </c>
      <c r="B127" s="16">
        <v>1.1051</v>
      </c>
      <c r="C127" s="73">
        <f t="shared" si="25"/>
        <v>-8.0000000000013394E-4</v>
      </c>
      <c r="D127" s="18">
        <f t="shared" si="26"/>
        <v>-8.0000000000013394E-4</v>
      </c>
      <c r="E127" s="18">
        <f ca="1">IF(表2_367162629303810[[#This Row],[累计净值]]/MAX(INDIRECT("B21:B" &amp; ROW()))-1&lt;E126,表2_367162629303810[[#This Row],[累计净值]]/MAX(INDIRECT("B21:B" &amp; ROW()))-1,E126)</f>
        <v>-1.2562132851333008E-2</v>
      </c>
      <c r="F127" s="62">
        <f>表2_367162629303810[[#This Row],[累计净值]]-0.0727</f>
        <v>1.0324</v>
      </c>
      <c r="G127" s="20">
        <f>表2_367162629303810[[#This Row],[累计净值]]/$B$21-1</f>
        <v>2.4473903773060135E-2</v>
      </c>
    </row>
    <row r="128" spans="1:9" x14ac:dyDescent="0.2">
      <c r="A128" s="15">
        <v>43886</v>
      </c>
      <c r="B128" s="16">
        <v>1.1019000000000001</v>
      </c>
      <c r="C128" s="73">
        <f t="shared" si="25"/>
        <v>-3.1999999999998696E-3</v>
      </c>
      <c r="D128" s="18">
        <f t="shared" si="26"/>
        <v>-3.1999999999998696E-3</v>
      </c>
      <c r="E128" s="18">
        <f ca="1">IF(表2_367162629303810[[#This Row],[累计净值]]/MAX(INDIRECT("B21:B" &amp; ROW()))-1&lt;E127,表2_367162629303810[[#This Row],[累计净值]]/MAX(INDIRECT("B21:B" &amp; ROW()))-1,E127)</f>
        <v>-1.2562132851333008E-2</v>
      </c>
      <c r="F128" s="62">
        <f>表2_367162629303810[[#This Row],[累计净值]]-0.0727</f>
        <v>1.0292000000000001</v>
      </c>
      <c r="G128" s="20">
        <f>表2_367162629303810[[#This Row],[累计净值]]/$B$21-1</f>
        <v>2.1507369982386226E-2</v>
      </c>
    </row>
    <row r="129" spans="1:7" x14ac:dyDescent="0.2">
      <c r="A129" s="15">
        <v>43887</v>
      </c>
      <c r="B129" s="16">
        <v>1.105</v>
      </c>
      <c r="C129" s="73">
        <f t="shared" si="25"/>
        <v>3.0999999999998806E-3</v>
      </c>
      <c r="D129" s="18" t="str">
        <f t="shared" si="26"/>
        <v>/</v>
      </c>
      <c r="E129" s="18">
        <f ca="1">IF(表2_367162629303810[[#This Row],[累计净值]]/MAX(INDIRECT("B21:B" &amp; ROW()))-1&lt;E128,表2_367162629303810[[#This Row],[累计净值]]/MAX(INDIRECT("B21:B" &amp; ROW()))-1,E128)</f>
        <v>-1.2562132851333008E-2</v>
      </c>
      <c r="F129" s="62">
        <f>表2_367162629303810[[#This Row],[累计净值]]-0.0727</f>
        <v>1.0323</v>
      </c>
      <c r="G129" s="20">
        <f>表2_367162629303810[[#This Row],[累计净值]]/$B$21-1</f>
        <v>2.4381199592101499E-2</v>
      </c>
    </row>
    <row r="130" spans="1:7" x14ac:dyDescent="0.2">
      <c r="A130" s="15">
        <v>43888</v>
      </c>
      <c r="B130" s="16">
        <v>1.1079000000000001</v>
      </c>
      <c r="C130" s="73">
        <f t="shared" ref="C130:C135" si="27">IFERROR(B130-B129,0)</f>
        <v>2.9000000000001247E-3</v>
      </c>
      <c r="D130" s="18" t="str">
        <f t="shared" ref="D130:D135" si="28">IF(C130&lt;0,C130,"/")</f>
        <v>/</v>
      </c>
      <c r="E130" s="18">
        <f ca="1">IF(表2_367162629303810[[#This Row],[累计净值]]/MAX(INDIRECT("B21:B" &amp; ROW()))-1&lt;E129,表2_367162629303810[[#This Row],[累计净值]]/MAX(INDIRECT("B21:B" &amp; ROW()))-1,E129)</f>
        <v>-1.2562132851333008E-2</v>
      </c>
      <c r="F130" s="62">
        <f>表2_367162629303810[[#This Row],[累计净值]]-0.0727</f>
        <v>1.0352000000000001</v>
      </c>
      <c r="G130" s="20">
        <f>表2_367162629303810[[#This Row],[累计净值]]/$B$21-1</f>
        <v>2.7069620839899944E-2</v>
      </c>
    </row>
    <row r="131" spans="1:7" x14ac:dyDescent="0.2">
      <c r="A131" s="15">
        <v>43889</v>
      </c>
      <c r="B131" s="16">
        <v>1.1060000000000001</v>
      </c>
      <c r="C131" s="73">
        <f t="shared" si="27"/>
        <v>-1.9000000000000128E-3</v>
      </c>
      <c r="D131" s="18">
        <f t="shared" si="28"/>
        <v>-1.9000000000000128E-3</v>
      </c>
      <c r="E131" s="18">
        <f ca="1">IF(表2_367162629303810[[#This Row],[累计净值]]/MAX(INDIRECT("B21:B" &amp; ROW()))-1&lt;E130,表2_367162629303810[[#This Row],[累计净值]]/MAX(INDIRECT("B21:B" &amp; ROW()))-1,E130)</f>
        <v>-1.2562132851333008E-2</v>
      </c>
      <c r="F131" s="62">
        <f>表2_367162629303810[[#This Row],[累计净值]]-0.0727</f>
        <v>1.0333000000000001</v>
      </c>
      <c r="G131" s="20">
        <f>表2_367162629303810[[#This Row],[累计净值]]/$B$21-1</f>
        <v>2.5308241401687415E-2</v>
      </c>
    </row>
    <row r="132" spans="1:7" x14ac:dyDescent="0.2">
      <c r="A132" s="15">
        <v>43892</v>
      </c>
      <c r="B132" s="16">
        <v>1.1082000000000001</v>
      </c>
      <c r="C132" s="73">
        <f t="shared" si="27"/>
        <v>2.1999999999999797E-3</v>
      </c>
      <c r="D132" s="18" t="str">
        <f t="shared" si="28"/>
        <v>/</v>
      </c>
      <c r="E132" s="18">
        <f ca="1">IF(表2_367162629303810[[#This Row],[累计净值]]/MAX(INDIRECT("B21:B" &amp; ROW()))-1&lt;E131,表2_367162629303810[[#This Row],[累计净值]]/MAX(INDIRECT("B21:B" &amp; ROW()))-1,E131)</f>
        <v>-1.2562132851333008E-2</v>
      </c>
      <c r="F132" s="62">
        <f>表2_367162629303810[[#This Row],[累计净值]]-0.0727</f>
        <v>1.0355000000000001</v>
      </c>
      <c r="G132" s="20">
        <f>表2_367162629303810[[#This Row],[累计净值]]/$B$21-1</f>
        <v>2.734773338277563E-2</v>
      </c>
    </row>
    <row r="133" spans="1:7" x14ac:dyDescent="0.2">
      <c r="A133" s="15">
        <v>43893</v>
      </c>
      <c r="B133" s="16">
        <v>1.1122000000000001</v>
      </c>
      <c r="C133" s="73">
        <f t="shared" si="27"/>
        <v>4.0000000000000036E-3</v>
      </c>
      <c r="D133" s="18" t="str">
        <f t="shared" si="28"/>
        <v>/</v>
      </c>
      <c r="E133" s="18">
        <f ca="1">IF(表2_367162629303810[[#This Row],[累计净值]]/MAX(INDIRECT("B21:B" &amp; ROW()))-1&lt;E132,表2_367162629303810[[#This Row],[累计净值]]/MAX(INDIRECT("B21:B" &amp; ROW()))-1,E132)</f>
        <v>-1.2562132851333008E-2</v>
      </c>
      <c r="F133" s="62">
        <f>表2_367162629303810[[#This Row],[累计净值]]-0.0727</f>
        <v>1.0395000000000001</v>
      </c>
      <c r="G133" s="20">
        <f>表2_367162629303810[[#This Row],[累计净值]]/$B$21-1</f>
        <v>3.1055900621118182E-2</v>
      </c>
    </row>
    <row r="134" spans="1:7" x14ac:dyDescent="0.2">
      <c r="A134" s="15">
        <v>43894</v>
      </c>
      <c r="B134" s="16">
        <v>1.1152</v>
      </c>
      <c r="C134" s="73">
        <f t="shared" si="27"/>
        <v>2.9999999999998916E-3</v>
      </c>
      <c r="D134" s="18" t="str">
        <f t="shared" si="28"/>
        <v>/</v>
      </c>
      <c r="E134" s="18">
        <f ca="1">IF(表2_367162629303810[[#This Row],[累计净值]]/MAX(INDIRECT("B21:B" &amp; ROW()))-1&lt;E133,表2_367162629303810[[#This Row],[累计净值]]/MAX(INDIRECT("B21:B" &amp; ROW()))-1,E133)</f>
        <v>-1.2562132851333008E-2</v>
      </c>
      <c r="F134" s="62">
        <f>表2_367162629303810[[#This Row],[累计净值]]-0.0727</f>
        <v>1.0425</v>
      </c>
      <c r="G134" s="20">
        <f>表2_367162629303810[[#This Row],[累计净值]]/$B$21-1</f>
        <v>3.3837026049874819E-2</v>
      </c>
    </row>
    <row r="135" spans="1:7" x14ac:dyDescent="0.2">
      <c r="A135" s="15">
        <v>43895</v>
      </c>
      <c r="B135" s="16">
        <v>1.1157999999999999</v>
      </c>
      <c r="C135" s="73">
        <f t="shared" si="27"/>
        <v>5.9999999999993392E-4</v>
      </c>
      <c r="D135" s="18" t="str">
        <f t="shared" si="28"/>
        <v>/</v>
      </c>
      <c r="E135" s="18">
        <f ca="1">IF(表2_367162629303810[[#This Row],[累计净值]]/MAX(INDIRECT("B21:B" &amp; ROW()))-1&lt;E134,表2_367162629303810[[#This Row],[累计净值]]/MAX(INDIRECT("B21:B" &amp; ROW()))-1,E134)</f>
        <v>-1.2562132851333008E-2</v>
      </c>
      <c r="F135" s="62">
        <f>表2_367162629303810[[#This Row],[累计净值]]-0.0727</f>
        <v>1.0430999999999999</v>
      </c>
      <c r="G135" s="20">
        <f>表2_367162629303810[[#This Row],[累计净值]]/$B$21-1</f>
        <v>3.4393251135626191E-2</v>
      </c>
    </row>
    <row r="136" spans="1:7" x14ac:dyDescent="0.2">
      <c r="A136" s="15">
        <v>43896</v>
      </c>
      <c r="B136" s="16">
        <v>1.1153</v>
      </c>
      <c r="C136" s="73">
        <f t="shared" ref="C136:C141" si="29">IFERROR(B136-B135,0)</f>
        <v>-4.9999999999994493E-4</v>
      </c>
      <c r="D136" s="18">
        <f t="shared" ref="D136:D141" si="30">IF(C136&lt;0,C136,"/")</f>
        <v>-4.9999999999994493E-4</v>
      </c>
      <c r="E136" s="18">
        <f ca="1">IF(表2_367162629303810[[#This Row],[累计净值]]/MAX(INDIRECT("B21:B" &amp; ROW()))-1&lt;E135,表2_367162629303810[[#This Row],[累计净值]]/MAX(INDIRECT("B21:B" &amp; ROW()))-1,E135)</f>
        <v>-1.2562132851333008E-2</v>
      </c>
      <c r="F136" s="62">
        <f>表2_367162629303810[[#This Row],[累计净值]]-0.0727</f>
        <v>1.0426</v>
      </c>
      <c r="G136" s="20">
        <f>表2_367162629303810[[#This Row],[累计净值]]/$B$21-1</f>
        <v>3.3929730230833455E-2</v>
      </c>
    </row>
    <row r="137" spans="1:7" x14ac:dyDescent="0.2">
      <c r="A137" s="15">
        <v>43899</v>
      </c>
      <c r="B137" s="16">
        <v>1.1134999999999999</v>
      </c>
      <c r="C137" s="73">
        <f t="shared" si="29"/>
        <v>-1.8000000000000238E-3</v>
      </c>
      <c r="D137" s="18">
        <f t="shared" si="30"/>
        <v>-1.8000000000000238E-3</v>
      </c>
      <c r="E137" s="18">
        <f ca="1">IF(表2_367162629303810[[#This Row],[累计净值]]/MAX(INDIRECT("B21:B" &amp; ROW()))-1&lt;E136,表2_367162629303810[[#This Row],[累计净值]]/MAX(INDIRECT("B21:B" &amp; ROW()))-1,E136)</f>
        <v>-1.2562132851333008E-2</v>
      </c>
      <c r="F137" s="62">
        <f>表2_367162629303810[[#This Row],[累计净值]]-0.0727</f>
        <v>1.0407999999999999</v>
      </c>
      <c r="G137" s="20">
        <f>表2_367162629303810[[#This Row],[累计净值]]/$B$21-1</f>
        <v>3.2261054973579339E-2</v>
      </c>
    </row>
    <row r="138" spans="1:7" x14ac:dyDescent="0.2">
      <c r="A138" s="15">
        <v>43900</v>
      </c>
      <c r="B138" s="16">
        <v>1.1194</v>
      </c>
      <c r="C138" s="73">
        <f t="shared" si="29"/>
        <v>5.9000000000000163E-3</v>
      </c>
      <c r="D138" s="18" t="str">
        <f t="shared" si="30"/>
        <v>/</v>
      </c>
      <c r="E138" s="18">
        <f ca="1">IF(表2_367162629303810[[#This Row],[累计净值]]/MAX(INDIRECT("B21:B" &amp; ROW()))-1&lt;E137,表2_367162629303810[[#This Row],[累计净值]]/MAX(INDIRECT("B21:B" &amp; ROW()))-1,E137)</f>
        <v>-1.2562132851333008E-2</v>
      </c>
      <c r="F138" s="62">
        <f>表2_367162629303810[[#This Row],[累计净值]]-0.0727</f>
        <v>1.0467</v>
      </c>
      <c r="G138" s="20">
        <f>表2_367162629303810[[#This Row],[累计净值]]/$B$21-1</f>
        <v>3.7730601650134421E-2</v>
      </c>
    </row>
    <row r="139" spans="1:7" x14ac:dyDescent="0.2">
      <c r="A139" s="15">
        <v>43901</v>
      </c>
      <c r="B139" s="16">
        <v>1.1191</v>
      </c>
      <c r="C139" s="73">
        <f t="shared" si="29"/>
        <v>-2.9999999999996696E-4</v>
      </c>
      <c r="D139" s="18">
        <f t="shared" si="30"/>
        <v>-2.9999999999996696E-4</v>
      </c>
      <c r="E139" s="18">
        <f ca="1">IF(表2_367162629303810[[#This Row],[累计净值]]/MAX(INDIRECT("B21:B" &amp; ROW()))-1&lt;E138,表2_367162629303810[[#This Row],[累计净值]]/MAX(INDIRECT("B21:B" &amp; ROW()))-1,E138)</f>
        <v>-1.2562132851333008E-2</v>
      </c>
      <c r="F139" s="62">
        <f>表2_367162629303810[[#This Row],[累计净值]]-0.0727</f>
        <v>1.0464</v>
      </c>
      <c r="G139" s="20">
        <f>表2_367162629303810[[#This Row],[累计净值]]/$B$21-1</f>
        <v>3.7452489107258735E-2</v>
      </c>
    </row>
    <row r="140" spans="1:7" x14ac:dyDescent="0.2">
      <c r="A140" s="15">
        <v>43902</v>
      </c>
      <c r="B140" s="16">
        <v>1.1183000000000001</v>
      </c>
      <c r="C140" s="73">
        <f t="shared" si="29"/>
        <v>-7.9999999999991189E-4</v>
      </c>
      <c r="D140" s="18">
        <f t="shared" si="30"/>
        <v>-7.9999999999991189E-4</v>
      </c>
      <c r="E140" s="18">
        <f ca="1">IF(表2_367162629303810[[#This Row],[累计净值]]/MAX(INDIRECT("B21:B" &amp; ROW()))-1&lt;E139,表2_367162629303810[[#This Row],[累计净值]]/MAX(INDIRECT("B21:B" &amp; ROW()))-1,E139)</f>
        <v>-1.2562132851333008E-2</v>
      </c>
      <c r="F140" s="62">
        <f>表2_367162629303810[[#This Row],[累计净值]]-0.0727</f>
        <v>1.0456000000000001</v>
      </c>
      <c r="G140" s="20">
        <f>表2_367162629303810[[#This Row],[累计净值]]/$B$21-1</f>
        <v>3.6710855659590313E-2</v>
      </c>
    </row>
    <row r="141" spans="1:7" x14ac:dyDescent="0.2">
      <c r="A141" s="15">
        <v>43903</v>
      </c>
      <c r="B141" s="16">
        <v>1.1164000000000001</v>
      </c>
      <c r="C141" s="73">
        <f t="shared" si="29"/>
        <v>-1.9000000000000128E-3</v>
      </c>
      <c r="D141" s="18">
        <f t="shared" si="30"/>
        <v>-1.9000000000000128E-3</v>
      </c>
      <c r="E141" s="18">
        <f ca="1">IF(表2_367162629303810[[#This Row],[累计净值]]/MAX(INDIRECT("B21:B" &amp; ROW()))-1&lt;E140,表2_367162629303810[[#This Row],[累计净值]]/MAX(INDIRECT("B21:B" &amp; ROW()))-1,E140)</f>
        <v>-1.2562132851333008E-2</v>
      </c>
      <c r="F141" s="62">
        <f>表2_367162629303810[[#This Row],[累计净值]]-0.0727</f>
        <v>1.0437000000000001</v>
      </c>
      <c r="G141" s="20">
        <f>表2_367162629303810[[#This Row],[累计净值]]/$B$21-1</f>
        <v>3.4949476221377562E-2</v>
      </c>
    </row>
    <row r="142" spans="1:7" x14ac:dyDescent="0.2">
      <c r="A142" s="15">
        <v>43906</v>
      </c>
      <c r="B142" s="16">
        <v>1.1151</v>
      </c>
      <c r="C142" s="73">
        <f>IFERROR(B142-B141,0)</f>
        <v>-1.3000000000000789E-3</v>
      </c>
      <c r="D142" s="18">
        <f>IF(C142&lt;0,C142,"/")</f>
        <v>-1.3000000000000789E-3</v>
      </c>
      <c r="E142" s="18">
        <f ca="1">IF(表2_367162629303810[[#This Row],[累计净值]]/MAX(INDIRECT("B21:B" &amp; ROW()))-1&lt;E141,表2_367162629303810[[#This Row],[累计净值]]/MAX(INDIRECT("B21:B" &amp; ROW()))-1,E141)</f>
        <v>-1.2562132851333008E-2</v>
      </c>
      <c r="F142" s="62">
        <f>表2_367162629303810[[#This Row],[累计净值]]-0.0727</f>
        <v>1.0424</v>
      </c>
      <c r="G142" s="20">
        <f>表2_367162629303810[[#This Row],[累计净值]]/$B$21-1</f>
        <v>3.3744321868916183E-2</v>
      </c>
    </row>
  </sheetData>
  <mergeCells count="1">
    <mergeCell ref="G2:G3"/>
  </mergeCells>
  <phoneticPr fontId="24" type="noConversion"/>
  <pageMargins left="0.7" right="0.7" top="0.75" bottom="0.75" header="0.3" footer="0.3"/>
  <pageSetup paperSize="9" orientation="portrait" horizontalDpi="200" verticalDpi="200" r:id="rId1"/>
  <drawing r:id="rId2"/>
  <tableParts count="1">
    <tablePart r:id="rId3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1"/>
  </sheetPr>
  <dimension ref="A1:G150"/>
  <sheetViews>
    <sheetView workbookViewId="0">
      <pane xSplit="1" ySplit="20" topLeftCell="B141" activePane="bottomRight" state="frozen"/>
      <selection pane="topRight" activeCell="B1" sqref="B1"/>
      <selection pane="bottomLeft" activeCell="A21" sqref="A21"/>
      <selection pane="bottomRight" activeCell="K149" sqref="K149"/>
    </sheetView>
  </sheetViews>
  <sheetFormatPr defaultColWidth="9" defaultRowHeight="14.25" x14ac:dyDescent="0.2"/>
  <cols>
    <col min="1" max="1" width="11.625" style="1" bestFit="1" customWidth="1"/>
    <col min="2" max="2" width="13" style="1" customWidth="1"/>
    <col min="3" max="4" width="13.5" style="1" bestFit="1" customWidth="1"/>
    <col min="5" max="5" width="10.75" style="1" customWidth="1"/>
    <col min="6" max="6" width="11.125" style="1" customWidth="1"/>
    <col min="7" max="7" width="18.875" style="2" customWidth="1"/>
    <col min="8" max="8" width="9" style="1"/>
    <col min="9" max="9" width="14.25" style="1" customWidth="1"/>
    <col min="10" max="10" width="12" style="1" bestFit="1" customWidth="1"/>
    <col min="11" max="16384" width="9" style="1"/>
  </cols>
  <sheetData>
    <row r="1" spans="1:7" ht="15" thickBot="1" x14ac:dyDescent="0.25"/>
    <row r="2" spans="1:7" ht="15" thickBot="1" x14ac:dyDescent="0.25">
      <c r="A2" s="23" t="s">
        <v>0</v>
      </c>
      <c r="B2" s="24">
        <f>COUNT(表2_3671626293038[每日盈亏])</f>
        <v>130</v>
      </c>
      <c r="C2" s="27"/>
      <c r="D2" s="3" t="s">
        <v>1</v>
      </c>
      <c r="E2" s="28"/>
      <c r="F2" s="1" t="s">
        <v>2</v>
      </c>
      <c r="G2" s="394" t="s">
        <v>3</v>
      </c>
    </row>
    <row r="3" spans="1:7" x14ac:dyDescent="0.2">
      <c r="A3" s="25" t="s">
        <v>4</v>
      </c>
      <c r="B3" s="26">
        <f>COUNTIF(表2_3671626293038[每日盈亏],"&gt;0")</f>
        <v>58</v>
      </c>
      <c r="C3" s="29"/>
      <c r="D3" s="30" t="s">
        <v>5</v>
      </c>
      <c r="E3" s="31">
        <f>245^0.5*(B10-0.025/365)/E10</f>
        <v>0.17746993378690901</v>
      </c>
      <c r="G3" s="394"/>
    </row>
    <row r="4" spans="1:7" x14ac:dyDescent="0.2">
      <c r="A4" s="25" t="s">
        <v>6</v>
      </c>
      <c r="B4" s="26">
        <f>COUNTIF(表2_3671626293038[每日盈亏],"&lt;0")</f>
        <v>57</v>
      </c>
      <c r="C4" s="29"/>
      <c r="D4" s="32" t="s">
        <v>7</v>
      </c>
      <c r="E4" s="31">
        <f ca="1">-B9/E8</f>
        <v>0.8899365321147491</v>
      </c>
      <c r="G4" s="2">
        <f>LOOKUP(999^10,表2_3671626293038[累计净值])</f>
        <v>1.024</v>
      </c>
    </row>
    <row r="5" spans="1:7" x14ac:dyDescent="0.2">
      <c r="A5" s="25" t="s">
        <v>8</v>
      </c>
      <c r="B5" s="26">
        <f>B2-B3-B4</f>
        <v>15</v>
      </c>
      <c r="C5" s="29"/>
      <c r="D5" s="33" t="s">
        <v>9</v>
      </c>
      <c r="E5" s="4">
        <f>245^0.5*(B10-0.025/365)/E9</f>
        <v>0.26565472934732476</v>
      </c>
    </row>
    <row r="6" spans="1:7" ht="15" thickBot="1" x14ac:dyDescent="0.25">
      <c r="A6" s="34"/>
      <c r="B6" s="35"/>
      <c r="C6" s="35"/>
      <c r="D6" s="35"/>
      <c r="E6" s="36"/>
    </row>
    <row r="7" spans="1:7" ht="15" thickBot="1" x14ac:dyDescent="0.25">
      <c r="A7" s="5" t="s">
        <v>10</v>
      </c>
      <c r="B7" s="35"/>
      <c r="C7" s="35"/>
      <c r="D7" s="3" t="s">
        <v>11</v>
      </c>
      <c r="E7" s="37"/>
    </row>
    <row r="8" spans="1:7" x14ac:dyDescent="0.2">
      <c r="A8" s="38" t="s">
        <v>12</v>
      </c>
      <c r="B8" s="39">
        <f>LOOKUP(999^10,表2_3671626293038[累计净值])/$B$21-1</f>
        <v>1.3861386138613874E-2</v>
      </c>
      <c r="C8" s="40"/>
      <c r="D8" s="30" t="s">
        <v>13</v>
      </c>
      <c r="E8" s="41">
        <f ca="1">MIN(表2_3671626293038[最大回撤])</f>
        <v>-2.9354207436399271E-2</v>
      </c>
    </row>
    <row r="9" spans="1:7" x14ac:dyDescent="0.2">
      <c r="A9" s="25" t="s">
        <v>14</v>
      </c>
      <c r="B9" s="32">
        <f>B8*245/B2</f>
        <v>2.6123381568926147E-2</v>
      </c>
      <c r="C9" s="40"/>
      <c r="D9" s="33" t="s">
        <v>15</v>
      </c>
      <c r="E9" s="6">
        <f>STDEV(表2_3671626293038[下跌幅度])</f>
        <v>2.3096289669365254E-3</v>
      </c>
    </row>
    <row r="10" spans="1:7" x14ac:dyDescent="0.2">
      <c r="A10" s="42" t="s">
        <v>16</v>
      </c>
      <c r="B10" s="43">
        <f>AVERAGE(表2_3671626293038[每日盈亏])</f>
        <v>1.0769230769230779E-4</v>
      </c>
      <c r="C10" s="44"/>
      <c r="D10" s="33" t="s">
        <v>17</v>
      </c>
      <c r="E10" s="6">
        <f>STDEV(表2_3671626293038[每日盈亏])</f>
        <v>3.4572834114029701E-3</v>
      </c>
    </row>
    <row r="11" spans="1:7" x14ac:dyDescent="0.2">
      <c r="A11" s="7" t="s">
        <v>18</v>
      </c>
      <c r="B11" s="32">
        <f>B3/B2</f>
        <v>0.44615384615384618</v>
      </c>
      <c r="C11" s="40"/>
      <c r="D11" s="32" t="s">
        <v>19</v>
      </c>
      <c r="E11" s="41">
        <f>245^0.5*E10</f>
        <v>5.4115045077655889E-2</v>
      </c>
    </row>
    <row r="12" spans="1:7" ht="15" thickBot="1" x14ac:dyDescent="0.25">
      <c r="A12" s="45" t="s">
        <v>20</v>
      </c>
      <c r="B12" s="46">
        <f>-(SUMIF(表2_3671626293038[每日盈亏],"&gt;=0")/B3)/(SUMIF(表2_3671626293038[每日盈亏],"&lt;0")/B4)</f>
        <v>1.0686962889573324</v>
      </c>
      <c r="C12" s="47"/>
      <c r="D12" s="48"/>
      <c r="E12" s="49"/>
    </row>
    <row r="14" spans="1:7" ht="28.5" x14ac:dyDescent="0.2">
      <c r="A14" s="50" t="s">
        <v>21</v>
      </c>
      <c r="B14" s="50" t="s">
        <v>14</v>
      </c>
      <c r="C14" s="51" t="s">
        <v>19</v>
      </c>
      <c r="D14" s="51" t="s">
        <v>13</v>
      </c>
      <c r="E14" s="51" t="s">
        <v>5</v>
      </c>
      <c r="F14" s="51" t="s">
        <v>7</v>
      </c>
    </row>
    <row r="15" spans="1:7" x14ac:dyDescent="0.2">
      <c r="A15" s="52">
        <f>B2</f>
        <v>130</v>
      </c>
      <c r="B15" s="53">
        <f>B9</f>
        <v>2.6123381568926147E-2</v>
      </c>
      <c r="C15" s="53">
        <f>E11</f>
        <v>5.4115045077655889E-2</v>
      </c>
      <c r="D15" s="53">
        <f ca="1">E8</f>
        <v>-2.9354207436399271E-2</v>
      </c>
      <c r="E15" s="54">
        <f>E3</f>
        <v>0.17746993378690901</v>
      </c>
      <c r="F15" s="54">
        <f ca="1">E4</f>
        <v>0.8899365321147491</v>
      </c>
    </row>
    <row r="19" spans="1:7" x14ac:dyDescent="0.2">
      <c r="A19" s="8"/>
      <c r="B19" s="1" t="s">
        <v>22</v>
      </c>
    </row>
    <row r="20" spans="1:7" ht="15.75" x14ac:dyDescent="0.2">
      <c r="A20" s="22" t="s">
        <v>23</v>
      </c>
      <c r="B20" s="22" t="s">
        <v>24</v>
      </c>
      <c r="C20" s="22" t="s">
        <v>25</v>
      </c>
      <c r="D20" s="22" t="s">
        <v>26</v>
      </c>
      <c r="E20" s="22" t="s">
        <v>27</v>
      </c>
      <c r="F20" s="22" t="s">
        <v>28</v>
      </c>
      <c r="G20" s="22" t="s">
        <v>29</v>
      </c>
    </row>
    <row r="21" spans="1:7" x14ac:dyDescent="0.2">
      <c r="A21" s="15">
        <v>43705</v>
      </c>
      <c r="B21" s="10">
        <v>1.01</v>
      </c>
      <c r="C21" s="11">
        <f>IFERROR(B21-B20,0)</f>
        <v>0</v>
      </c>
      <c r="D21" s="12" t="str">
        <f>IF(C21&lt;0,C21,"/")</f>
        <v>/</v>
      </c>
      <c r="E21" s="12">
        <f ca="1">IF(表2_3671626293038[[#This Row],[累计净值]]/MAX(INDIRECT("B21:B" &amp; ROW()))-1&lt;E20,表2_3671626293038[[#This Row],[累计净值]]/MAX(INDIRECT("B21:B" &amp; ROW()))-1,E20)</f>
        <v>0</v>
      </c>
      <c r="F21" s="13">
        <f>表2_3671626293038[[#This Row],[累计净值]]</f>
        <v>1.01</v>
      </c>
      <c r="G21" s="14" t="s">
        <v>30</v>
      </c>
    </row>
    <row r="22" spans="1:7" x14ac:dyDescent="0.2">
      <c r="A22" s="15">
        <v>43706</v>
      </c>
      <c r="B22" s="16">
        <v>1.01</v>
      </c>
      <c r="C22" s="17">
        <f>IFERROR(B22-B21,0)</f>
        <v>0</v>
      </c>
      <c r="D22" s="18" t="str">
        <f>IF(C22&lt;0,C22,"/")</f>
        <v>/</v>
      </c>
      <c r="E22" s="18">
        <f ca="1">IF(表2_3671626293038[[#This Row],[累计净值]]/MAX(INDIRECT("B21:B" &amp; ROW()))-1&lt;E21,表2_3671626293038[[#This Row],[累计净值]]/MAX(INDIRECT("B21:B" &amp; ROW()))-1,E21)</f>
        <v>0</v>
      </c>
      <c r="F22" s="21">
        <f>表2_3671626293038[[#This Row],[累计净值]]</f>
        <v>1.01</v>
      </c>
      <c r="G22" s="20">
        <f>表2_3671626293038[[#This Row],[累计净值]]/$B$21-1</f>
        <v>0</v>
      </c>
    </row>
    <row r="23" spans="1:7" x14ac:dyDescent="0.2">
      <c r="A23" s="15">
        <v>43707</v>
      </c>
      <c r="B23" s="16">
        <v>1.0049999999999999</v>
      </c>
      <c r="C23" s="17">
        <f>IFERROR(B23-B22,0)</f>
        <v>-5.0000000000001155E-3</v>
      </c>
      <c r="D23" s="18">
        <f>IF(C23&lt;0,C23,"/")</f>
        <v>-5.0000000000001155E-3</v>
      </c>
      <c r="E23" s="18">
        <f ca="1">IF(表2_3671626293038[[#This Row],[累计净值]]/MAX(INDIRECT("B21:B" &amp; ROW()))-1&lt;E22,表2_3671626293038[[#This Row],[累计净值]]/MAX(INDIRECT("B21:B" &amp; ROW()))-1,E22)</f>
        <v>-4.9504950495050659E-3</v>
      </c>
      <c r="F23" s="21">
        <f>表2_3671626293038[[#This Row],[累计净值]]</f>
        <v>1.0049999999999999</v>
      </c>
      <c r="G23" s="20">
        <f>表2_3671626293038[[#This Row],[累计净值]]/$B$21-1</f>
        <v>-4.9504950495050659E-3</v>
      </c>
    </row>
    <row r="24" spans="1:7" x14ac:dyDescent="0.2">
      <c r="A24" s="15">
        <v>43710</v>
      </c>
      <c r="B24" s="16">
        <v>1.008</v>
      </c>
      <c r="C24" s="61">
        <f t="shared" ref="C24:C29" si="0">IFERROR(B24-B23,0)</f>
        <v>3.0000000000001137E-3</v>
      </c>
      <c r="D24" s="18" t="str">
        <f t="shared" ref="D24:D29" si="1">IF(C24&lt;0,C24,"/")</f>
        <v>/</v>
      </c>
      <c r="E24" s="18">
        <f ca="1">IF(表2_3671626293038[[#This Row],[累计净值]]/MAX(INDIRECT("B21:B" &amp; ROW()))-1&lt;E23,表2_3671626293038[[#This Row],[累计净值]]/MAX(INDIRECT("B21:B" &amp; ROW()))-1,E23)</f>
        <v>-4.9504950495050659E-3</v>
      </c>
      <c r="F24" s="74">
        <f>表2_3671626293038[[#This Row],[累计净值]]</f>
        <v>1.008</v>
      </c>
      <c r="G24" s="20">
        <f>表2_3671626293038[[#This Row],[累计净值]]/$B$21-1</f>
        <v>-1.980198019801982E-3</v>
      </c>
    </row>
    <row r="25" spans="1:7" x14ac:dyDescent="0.2">
      <c r="A25" s="15">
        <v>43711</v>
      </c>
      <c r="B25" s="16">
        <v>1.0069999999999999</v>
      </c>
      <c r="C25" s="61">
        <f t="shared" si="0"/>
        <v>-1.0000000000001119E-3</v>
      </c>
      <c r="D25" s="18">
        <f t="shared" si="1"/>
        <v>-1.0000000000001119E-3</v>
      </c>
      <c r="E25" s="18">
        <f ca="1">IF(表2_3671626293038[[#This Row],[累计净值]]/MAX(INDIRECT("B21:B" &amp; ROW()))-1&lt;E24,表2_3671626293038[[#This Row],[累计净值]]/MAX(INDIRECT("B21:B" &amp; ROW()))-1,E24)</f>
        <v>-4.9504950495050659E-3</v>
      </c>
      <c r="F25" s="62">
        <f>表2_3671626293038[[#This Row],[累计净值]]</f>
        <v>1.0069999999999999</v>
      </c>
      <c r="G25" s="20">
        <f>表2_3671626293038[[#This Row],[累计净值]]/$B$21-1</f>
        <v>-2.970297029703084E-3</v>
      </c>
    </row>
    <row r="26" spans="1:7" x14ac:dyDescent="0.2">
      <c r="A26" s="15">
        <v>43712</v>
      </c>
      <c r="B26" s="16">
        <v>1.002</v>
      </c>
      <c r="C26" s="61">
        <f t="shared" si="0"/>
        <v>-4.9999999999998934E-3</v>
      </c>
      <c r="D26" s="18">
        <f t="shared" si="1"/>
        <v>-4.9999999999998934E-3</v>
      </c>
      <c r="E26" s="18">
        <f ca="1">IF(表2_3671626293038[[#This Row],[累计净值]]/MAX(INDIRECT("B21:B" &amp; ROW()))-1&lt;E25,表2_3671626293038[[#This Row],[累计净值]]/MAX(INDIRECT("B21:B" &amp; ROW()))-1,E25)</f>
        <v>-7.9207920792079278E-3</v>
      </c>
      <c r="F26" s="62">
        <f>表2_3671626293038[[#This Row],[累计净值]]</f>
        <v>1.002</v>
      </c>
      <c r="G26" s="20">
        <f>表2_3671626293038[[#This Row],[累计净值]]/$B$21-1</f>
        <v>-7.9207920792079278E-3</v>
      </c>
    </row>
    <row r="27" spans="1:7" x14ac:dyDescent="0.2">
      <c r="A27" s="15">
        <v>43713</v>
      </c>
      <c r="B27" s="16">
        <v>1.004</v>
      </c>
      <c r="C27" s="61">
        <f t="shared" si="0"/>
        <v>2.0000000000000018E-3</v>
      </c>
      <c r="D27" s="18" t="str">
        <f t="shared" si="1"/>
        <v>/</v>
      </c>
      <c r="E27" s="18">
        <f ca="1">IF(表2_3671626293038[[#This Row],[累计净值]]/MAX(INDIRECT("B21:B" &amp; ROW()))-1&lt;E26,表2_3671626293038[[#This Row],[累计净值]]/MAX(INDIRECT("B21:B" &amp; ROW()))-1,E26)</f>
        <v>-7.9207920792079278E-3</v>
      </c>
      <c r="F27" s="62">
        <f>表2_3671626293038[[#This Row],[累计净值]]</f>
        <v>1.004</v>
      </c>
      <c r="G27" s="20">
        <f>表2_3671626293038[[#This Row],[累计净值]]/$B$21-1</f>
        <v>-5.9405940594059459E-3</v>
      </c>
    </row>
    <row r="28" spans="1:7" x14ac:dyDescent="0.2">
      <c r="A28" s="15">
        <v>43714</v>
      </c>
      <c r="B28" s="16">
        <v>1.0049999999999999</v>
      </c>
      <c r="C28" s="61">
        <f t="shared" si="0"/>
        <v>9.9999999999988987E-4</v>
      </c>
      <c r="D28" s="18" t="str">
        <f t="shared" si="1"/>
        <v>/</v>
      </c>
      <c r="E28" s="18">
        <f ca="1">IF(表2_3671626293038[[#This Row],[累计净值]]/MAX(INDIRECT("B21:B" &amp; ROW()))-1&lt;E27,表2_3671626293038[[#This Row],[累计净值]]/MAX(INDIRECT("B21:B" &amp; ROW()))-1,E27)</f>
        <v>-7.9207920792079278E-3</v>
      </c>
      <c r="F28" s="62">
        <f>表2_3671626293038[[#This Row],[累计净值]]</f>
        <v>1.0049999999999999</v>
      </c>
      <c r="G28" s="20">
        <f>表2_3671626293038[[#This Row],[累计净值]]/$B$21-1</f>
        <v>-4.9504950495050659E-3</v>
      </c>
    </row>
    <row r="29" spans="1:7" x14ac:dyDescent="0.2">
      <c r="A29" s="15">
        <v>43717</v>
      </c>
      <c r="B29" s="16">
        <v>1.006</v>
      </c>
      <c r="C29" s="61">
        <f t="shared" si="0"/>
        <v>1.0000000000001119E-3</v>
      </c>
      <c r="D29" s="18" t="str">
        <f t="shared" si="1"/>
        <v>/</v>
      </c>
      <c r="E29" s="18">
        <f ca="1">IF(表2_3671626293038[[#This Row],[累计净值]]/MAX(INDIRECT("B21:B" &amp; ROW()))-1&lt;E28,表2_3671626293038[[#This Row],[累计净值]]/MAX(INDIRECT("B21:B" &amp; ROW()))-1,E28)</f>
        <v>-7.9207920792079278E-3</v>
      </c>
      <c r="F29" s="62">
        <f>表2_3671626293038[[#This Row],[累计净值]]</f>
        <v>1.006</v>
      </c>
      <c r="G29" s="20">
        <f>表2_3671626293038[[#This Row],[累计净值]]/$B$21-1</f>
        <v>-3.9603960396039639E-3</v>
      </c>
    </row>
    <row r="30" spans="1:7" x14ac:dyDescent="0.2">
      <c r="A30" s="15">
        <v>43718</v>
      </c>
      <c r="B30" s="16">
        <v>1.006</v>
      </c>
      <c r="C30" s="61">
        <f t="shared" ref="C30:C37" si="2">IFERROR(B30-B29,0)</f>
        <v>0</v>
      </c>
      <c r="D30" s="18" t="str">
        <f t="shared" ref="D30:D37" si="3">IF(C30&lt;0,C30,"/")</f>
        <v>/</v>
      </c>
      <c r="E30" s="18">
        <f ca="1">IF(表2_3671626293038[[#This Row],[累计净值]]/MAX(INDIRECT("B21:B" &amp; ROW()))-1&lt;E29,表2_3671626293038[[#This Row],[累计净值]]/MAX(INDIRECT("B21:B" &amp; ROW()))-1,E29)</f>
        <v>-7.9207920792079278E-3</v>
      </c>
      <c r="F30" s="62">
        <f>表2_3671626293038[[#This Row],[累计净值]]</f>
        <v>1.006</v>
      </c>
      <c r="G30" s="20">
        <f>表2_3671626293038[[#This Row],[累计净值]]/$B$21-1</f>
        <v>-3.9603960396039639E-3</v>
      </c>
    </row>
    <row r="31" spans="1:7" x14ac:dyDescent="0.2">
      <c r="A31" s="15">
        <v>43719</v>
      </c>
      <c r="B31" s="16">
        <v>1.004</v>
      </c>
      <c r="C31" s="61">
        <f t="shared" si="2"/>
        <v>-2.0000000000000018E-3</v>
      </c>
      <c r="D31" s="18">
        <f t="shared" si="3"/>
        <v>-2.0000000000000018E-3</v>
      </c>
      <c r="E31" s="18">
        <f ca="1">IF(表2_3671626293038[[#This Row],[累计净值]]/MAX(INDIRECT("B21:B" &amp; ROW()))-1&lt;E30,表2_3671626293038[[#This Row],[累计净值]]/MAX(INDIRECT("B21:B" &amp; ROW()))-1,E30)</f>
        <v>-7.9207920792079278E-3</v>
      </c>
      <c r="F31" s="62">
        <f>表2_3671626293038[[#This Row],[累计净值]]</f>
        <v>1.004</v>
      </c>
      <c r="G31" s="20">
        <f>表2_3671626293038[[#This Row],[累计净值]]/$B$21-1</f>
        <v>-5.9405940594059459E-3</v>
      </c>
    </row>
    <row r="32" spans="1:7" x14ac:dyDescent="0.2">
      <c r="A32" s="15">
        <v>43720</v>
      </c>
      <c r="B32" s="16">
        <v>1.006</v>
      </c>
      <c r="C32" s="61">
        <f t="shared" si="2"/>
        <v>2.0000000000000018E-3</v>
      </c>
      <c r="D32" s="18" t="str">
        <f t="shared" si="3"/>
        <v>/</v>
      </c>
      <c r="E32" s="18">
        <f ca="1">IF(表2_3671626293038[[#This Row],[累计净值]]/MAX(INDIRECT("B21:B" &amp; ROW()))-1&lt;E31,表2_3671626293038[[#This Row],[累计净值]]/MAX(INDIRECT("B21:B" &amp; ROW()))-1,E31)</f>
        <v>-7.9207920792079278E-3</v>
      </c>
      <c r="F32" s="62">
        <f>表2_3671626293038[[#This Row],[累计净值]]</f>
        <v>1.006</v>
      </c>
      <c r="G32" s="20">
        <f>表2_3671626293038[[#This Row],[累计净值]]/$B$21-1</f>
        <v>-3.9603960396039639E-3</v>
      </c>
    </row>
    <row r="33" spans="1:7" x14ac:dyDescent="0.2">
      <c r="A33" s="15">
        <v>43724</v>
      </c>
      <c r="B33" s="16">
        <v>1.008</v>
      </c>
      <c r="C33" s="61">
        <f t="shared" si="2"/>
        <v>2.0000000000000018E-3</v>
      </c>
      <c r="D33" s="18" t="str">
        <f t="shared" si="3"/>
        <v>/</v>
      </c>
      <c r="E33" s="18">
        <f ca="1">IF(表2_3671626293038[[#This Row],[累计净值]]/MAX(INDIRECT("B21:B" &amp; ROW()))-1&lt;E32,表2_3671626293038[[#This Row],[累计净值]]/MAX(INDIRECT("B21:B" &amp; ROW()))-1,E32)</f>
        <v>-7.9207920792079278E-3</v>
      </c>
      <c r="F33" s="62">
        <f>表2_3671626293038[[#This Row],[累计净值]]</f>
        <v>1.008</v>
      </c>
      <c r="G33" s="20">
        <f>表2_3671626293038[[#This Row],[累计净值]]/$B$21-1</f>
        <v>-1.980198019801982E-3</v>
      </c>
    </row>
    <row r="34" spans="1:7" x14ac:dyDescent="0.2">
      <c r="A34" s="15">
        <v>43725</v>
      </c>
      <c r="B34" s="16">
        <v>1.0069999999999999</v>
      </c>
      <c r="C34" s="61">
        <f t="shared" si="2"/>
        <v>-1.0000000000001119E-3</v>
      </c>
      <c r="D34" s="18">
        <f t="shared" si="3"/>
        <v>-1.0000000000001119E-3</v>
      </c>
      <c r="E34" s="18">
        <f ca="1">IF(表2_3671626293038[[#This Row],[累计净值]]/MAX(INDIRECT("B21:B" &amp; ROW()))-1&lt;E33,表2_3671626293038[[#This Row],[累计净值]]/MAX(INDIRECT("B21:B" &amp; ROW()))-1,E33)</f>
        <v>-7.9207920792079278E-3</v>
      </c>
      <c r="F34" s="62">
        <f>表2_3671626293038[[#This Row],[累计净值]]</f>
        <v>1.0069999999999999</v>
      </c>
      <c r="G34" s="20">
        <f>表2_3671626293038[[#This Row],[累计净值]]/$B$21-1</f>
        <v>-2.970297029703084E-3</v>
      </c>
    </row>
    <row r="35" spans="1:7" x14ac:dyDescent="0.2">
      <c r="A35" s="15">
        <v>43726</v>
      </c>
      <c r="B35" s="16">
        <v>1.01</v>
      </c>
      <c r="C35" s="61">
        <f t="shared" si="2"/>
        <v>3.0000000000001137E-3</v>
      </c>
      <c r="D35" s="18" t="str">
        <f t="shared" si="3"/>
        <v>/</v>
      </c>
      <c r="E35" s="18">
        <f ca="1">IF(表2_3671626293038[[#This Row],[累计净值]]/MAX(INDIRECT("B21:B" &amp; ROW()))-1&lt;E34,表2_3671626293038[[#This Row],[累计净值]]/MAX(INDIRECT("B21:B" &amp; ROW()))-1,E34)</f>
        <v>-7.9207920792079278E-3</v>
      </c>
      <c r="F35" s="62">
        <f>表2_3671626293038[[#This Row],[累计净值]]</f>
        <v>1.01</v>
      </c>
      <c r="G35" s="20">
        <f>表2_3671626293038[[#This Row],[累计净值]]/$B$21-1</f>
        <v>0</v>
      </c>
    </row>
    <row r="36" spans="1:7" x14ac:dyDescent="0.2">
      <c r="A36" s="15">
        <v>43727</v>
      </c>
      <c r="B36" s="16">
        <v>1.0109999999999999</v>
      </c>
      <c r="C36" s="61">
        <f t="shared" si="2"/>
        <v>9.9999999999988987E-4</v>
      </c>
      <c r="D36" s="18" t="str">
        <f t="shared" si="3"/>
        <v>/</v>
      </c>
      <c r="E36" s="18">
        <f ca="1">IF(表2_3671626293038[[#This Row],[累计净值]]/MAX(INDIRECT("B21:B" &amp; ROW()))-1&lt;E35,表2_3671626293038[[#This Row],[累计净值]]/MAX(INDIRECT("B21:B" &amp; ROW()))-1,E35)</f>
        <v>-7.9207920792079278E-3</v>
      </c>
      <c r="F36" s="62">
        <f>表2_3671626293038[[#This Row],[累计净值]]</f>
        <v>1.0109999999999999</v>
      </c>
      <c r="G36" s="20">
        <f>表2_3671626293038[[#This Row],[累计净值]]/$B$21-1</f>
        <v>9.9009900990099098E-4</v>
      </c>
    </row>
    <row r="37" spans="1:7" x14ac:dyDescent="0.2">
      <c r="A37" s="15">
        <v>43728</v>
      </c>
      <c r="B37" s="16">
        <v>1.0109999999999999</v>
      </c>
      <c r="C37" s="61">
        <f t="shared" si="2"/>
        <v>0</v>
      </c>
      <c r="D37" s="18" t="str">
        <f t="shared" si="3"/>
        <v>/</v>
      </c>
      <c r="E37" s="18">
        <f ca="1">IF(表2_3671626293038[[#This Row],[累计净值]]/MAX(INDIRECT("B21:B" &amp; ROW()))-1&lt;E36,表2_3671626293038[[#This Row],[累计净值]]/MAX(INDIRECT("B21:B" &amp; ROW()))-1,E36)</f>
        <v>-7.9207920792079278E-3</v>
      </c>
      <c r="F37" s="62">
        <f>表2_3671626293038[[#This Row],[累计净值]]</f>
        <v>1.0109999999999999</v>
      </c>
      <c r="G37" s="20">
        <f>表2_3671626293038[[#This Row],[累计净值]]/$B$21-1</f>
        <v>9.9009900990099098E-4</v>
      </c>
    </row>
    <row r="38" spans="1:7" x14ac:dyDescent="0.2">
      <c r="A38" s="15">
        <v>43731</v>
      </c>
      <c r="B38" s="16">
        <v>1.006</v>
      </c>
      <c r="C38" s="61">
        <f t="shared" ref="C38:C43" si="4">IFERROR(B38-B37,0)</f>
        <v>-4.9999999999998934E-3</v>
      </c>
      <c r="D38" s="18">
        <f t="shared" ref="D38:D43" si="5">IF(C38&lt;0,C38,"/")</f>
        <v>-4.9999999999998934E-3</v>
      </c>
      <c r="E38" s="18">
        <f ca="1">IF(表2_3671626293038[[#This Row],[累计净值]]/MAX(INDIRECT("B21:B" &amp; ROW()))-1&lt;E37,表2_3671626293038[[#This Row],[累计净值]]/MAX(INDIRECT("B21:B" &amp; ROW()))-1,E37)</f>
        <v>-7.9207920792079278E-3</v>
      </c>
      <c r="F38" s="62">
        <f>表2_3671626293038[[#This Row],[累计净值]]</f>
        <v>1.006</v>
      </c>
      <c r="G38" s="20">
        <f>表2_3671626293038[[#This Row],[累计净值]]/$B$21-1</f>
        <v>-3.9603960396039639E-3</v>
      </c>
    </row>
    <row r="39" spans="1:7" x14ac:dyDescent="0.2">
      <c r="A39" s="15">
        <v>43732</v>
      </c>
      <c r="B39" s="16">
        <v>1.01</v>
      </c>
      <c r="C39" s="61">
        <f t="shared" si="4"/>
        <v>4.0000000000000036E-3</v>
      </c>
      <c r="D39" s="18" t="str">
        <f t="shared" si="5"/>
        <v>/</v>
      </c>
      <c r="E39" s="18">
        <f ca="1">IF(表2_3671626293038[[#This Row],[累计净值]]/MAX(INDIRECT("B21:B" &amp; ROW()))-1&lt;E38,表2_3671626293038[[#This Row],[累计净值]]/MAX(INDIRECT("B21:B" &amp; ROW()))-1,E38)</f>
        <v>-7.9207920792079278E-3</v>
      </c>
      <c r="F39" s="62">
        <f>表2_3671626293038[[#This Row],[累计净值]]</f>
        <v>1.01</v>
      </c>
      <c r="G39" s="20">
        <f>表2_3671626293038[[#This Row],[累计净值]]/$B$21-1</f>
        <v>0</v>
      </c>
    </row>
    <row r="40" spans="1:7" x14ac:dyDescent="0.2">
      <c r="A40" s="15">
        <v>43733</v>
      </c>
      <c r="B40" s="16">
        <v>1.0089999999999999</v>
      </c>
      <c r="C40" s="61">
        <f t="shared" si="4"/>
        <v>-1.0000000000001119E-3</v>
      </c>
      <c r="D40" s="18">
        <f t="shared" si="5"/>
        <v>-1.0000000000001119E-3</v>
      </c>
      <c r="E40" s="18">
        <f ca="1">IF(表2_3671626293038[[#This Row],[累计净值]]/MAX(INDIRECT("B21:B" &amp; ROW()))-1&lt;E39,表2_3671626293038[[#This Row],[累计净值]]/MAX(INDIRECT("B21:B" &amp; ROW()))-1,E39)</f>
        <v>-7.9207920792079278E-3</v>
      </c>
      <c r="F40" s="62">
        <f>表2_3671626293038[[#This Row],[累计净值]]</f>
        <v>1.0089999999999999</v>
      </c>
      <c r="G40" s="20">
        <f>表2_3671626293038[[#This Row],[累计净值]]/$B$21-1</f>
        <v>-9.90099009901102E-4</v>
      </c>
    </row>
    <row r="41" spans="1:7" x14ac:dyDescent="0.2">
      <c r="A41" s="15">
        <v>43734</v>
      </c>
      <c r="B41" s="16">
        <v>1.0109999999999999</v>
      </c>
      <c r="C41" s="61">
        <f t="shared" si="4"/>
        <v>2.0000000000000018E-3</v>
      </c>
      <c r="D41" s="18" t="str">
        <f t="shared" si="5"/>
        <v>/</v>
      </c>
      <c r="E41" s="18">
        <f ca="1">IF(表2_3671626293038[[#This Row],[累计净值]]/MAX(INDIRECT("B21:B" &amp; ROW()))-1&lt;E40,表2_3671626293038[[#This Row],[累计净值]]/MAX(INDIRECT("B21:B" &amp; ROW()))-1,E40)</f>
        <v>-7.9207920792079278E-3</v>
      </c>
      <c r="F41" s="62">
        <f>表2_3671626293038[[#This Row],[累计净值]]</f>
        <v>1.0109999999999999</v>
      </c>
      <c r="G41" s="20">
        <f>表2_3671626293038[[#This Row],[累计净值]]/$B$21-1</f>
        <v>9.9009900990099098E-4</v>
      </c>
    </row>
    <row r="42" spans="1:7" x14ac:dyDescent="0.2">
      <c r="A42" s="15">
        <v>43735</v>
      </c>
      <c r="B42" s="16">
        <v>1.0129999999999999</v>
      </c>
      <c r="C42" s="61">
        <f t="shared" si="4"/>
        <v>2.0000000000000018E-3</v>
      </c>
      <c r="D42" s="18" t="str">
        <f t="shared" si="5"/>
        <v>/</v>
      </c>
      <c r="E42" s="18">
        <f ca="1">IF(表2_3671626293038[[#This Row],[累计净值]]/MAX(INDIRECT("B21:B" &amp; ROW()))-1&lt;E41,表2_3671626293038[[#This Row],[累计净值]]/MAX(INDIRECT("B21:B" &amp; ROW()))-1,E41)</f>
        <v>-7.9207920792079278E-3</v>
      </c>
      <c r="F42" s="62">
        <f>表2_3671626293038[[#This Row],[累计净值]]</f>
        <v>1.0129999999999999</v>
      </c>
      <c r="G42" s="20">
        <f>表2_3671626293038[[#This Row],[累计净值]]/$B$21-1</f>
        <v>2.9702970297029729E-3</v>
      </c>
    </row>
    <row r="43" spans="1:7" x14ac:dyDescent="0.2">
      <c r="A43" s="15">
        <v>43738</v>
      </c>
      <c r="B43" s="16">
        <v>1.016</v>
      </c>
      <c r="C43" s="61">
        <f t="shared" si="4"/>
        <v>3.0000000000001137E-3</v>
      </c>
      <c r="D43" s="18" t="str">
        <f t="shared" si="5"/>
        <v>/</v>
      </c>
      <c r="E43" s="18">
        <f ca="1">IF(表2_3671626293038[[#This Row],[累计净值]]/MAX(INDIRECT("B21:B" &amp; ROW()))-1&lt;E42,表2_3671626293038[[#This Row],[累计净值]]/MAX(INDIRECT("B21:B" &amp; ROW()))-1,E42)</f>
        <v>-7.9207920792079278E-3</v>
      </c>
      <c r="F43" s="62">
        <f>表2_3671626293038[[#This Row],[累计净值]]</f>
        <v>1.016</v>
      </c>
      <c r="G43" s="20">
        <f>表2_3671626293038[[#This Row],[累计净值]]/$B$21-1</f>
        <v>5.9405940594059459E-3</v>
      </c>
    </row>
    <row r="44" spans="1:7" x14ac:dyDescent="0.2">
      <c r="A44" s="15">
        <v>43746</v>
      </c>
      <c r="B44" s="16">
        <v>1.014</v>
      </c>
      <c r="C44" s="61">
        <f>IFERROR(B44-B43,0)</f>
        <v>-2.0000000000000018E-3</v>
      </c>
      <c r="D44" s="18">
        <f>IF(C44&lt;0,C44,"/")</f>
        <v>-2.0000000000000018E-3</v>
      </c>
      <c r="E44" s="18">
        <f ca="1">IF(表2_3671626293038[[#This Row],[累计净值]]/MAX(INDIRECT("B21:B" &amp; ROW()))-1&lt;E43,表2_3671626293038[[#This Row],[累计净值]]/MAX(INDIRECT("B21:B" &amp; ROW()))-1,E43)</f>
        <v>-7.9207920792079278E-3</v>
      </c>
      <c r="F44" s="62">
        <f>表2_3671626293038[[#This Row],[累计净值]]</f>
        <v>1.014</v>
      </c>
      <c r="G44" s="20">
        <f>表2_3671626293038[[#This Row],[累计净值]]/$B$21-1</f>
        <v>3.9603960396039639E-3</v>
      </c>
    </row>
    <row r="45" spans="1:7" x14ac:dyDescent="0.2">
      <c r="A45" s="15">
        <v>43747</v>
      </c>
      <c r="B45" s="16">
        <v>1.014</v>
      </c>
      <c r="C45" s="61">
        <f>IFERROR(B45-B44,0)</f>
        <v>0</v>
      </c>
      <c r="D45" s="18" t="str">
        <f>IF(C45&lt;0,C45,"/")</f>
        <v>/</v>
      </c>
      <c r="E45" s="18">
        <f ca="1">IF(表2_3671626293038[[#This Row],[累计净值]]/MAX(INDIRECT("B21:B" &amp; ROW()))-1&lt;E44,表2_3671626293038[[#This Row],[累计净值]]/MAX(INDIRECT("B21:B" &amp; ROW()))-1,E44)</f>
        <v>-7.9207920792079278E-3</v>
      </c>
      <c r="F45" s="62">
        <f>表2_3671626293038[[#This Row],[累计净值]]</f>
        <v>1.014</v>
      </c>
      <c r="G45" s="20">
        <f>表2_3671626293038[[#This Row],[累计净值]]/$B$21-1</f>
        <v>3.9603960396039639E-3</v>
      </c>
    </row>
    <row r="46" spans="1:7" x14ac:dyDescent="0.2">
      <c r="A46" s="15">
        <v>43748</v>
      </c>
      <c r="B46" s="16">
        <v>1.018</v>
      </c>
      <c r="C46" s="61">
        <f>IFERROR(B46-B45,0)</f>
        <v>4.0000000000000036E-3</v>
      </c>
      <c r="D46" s="18" t="str">
        <f>IF(C46&lt;0,C46,"/")</f>
        <v>/</v>
      </c>
      <c r="E46" s="18">
        <f ca="1">IF(表2_3671626293038[[#This Row],[累计净值]]/MAX(INDIRECT("B21:B" &amp; ROW()))-1&lt;E45,表2_3671626293038[[#This Row],[累计净值]]/MAX(INDIRECT("B21:B" &amp; ROW()))-1,E45)</f>
        <v>-7.9207920792079278E-3</v>
      </c>
      <c r="F46" s="62">
        <f>表2_3671626293038[[#This Row],[累计净值]]</f>
        <v>1.018</v>
      </c>
      <c r="G46" s="20">
        <f>表2_3671626293038[[#This Row],[累计净值]]/$B$21-1</f>
        <v>7.9207920792079278E-3</v>
      </c>
    </row>
    <row r="47" spans="1:7" x14ac:dyDescent="0.2">
      <c r="A47" s="15">
        <v>43749</v>
      </c>
      <c r="B47" s="16">
        <v>1.016</v>
      </c>
      <c r="C47" s="61">
        <f>IFERROR(B47-B46,0)</f>
        <v>-2.0000000000000018E-3</v>
      </c>
      <c r="D47" s="18">
        <f>IF(C47&lt;0,C47,"/")</f>
        <v>-2.0000000000000018E-3</v>
      </c>
      <c r="E47" s="18">
        <f ca="1">IF(表2_3671626293038[[#This Row],[累计净值]]/MAX(INDIRECT("B21:B" &amp; ROW()))-1&lt;E46,表2_3671626293038[[#This Row],[累计净值]]/MAX(INDIRECT("B21:B" &amp; ROW()))-1,E46)</f>
        <v>-7.9207920792079278E-3</v>
      </c>
      <c r="F47" s="62">
        <f>表2_3671626293038[[#This Row],[累计净值]]</f>
        <v>1.016</v>
      </c>
      <c r="G47" s="20">
        <f>表2_3671626293038[[#This Row],[累计净值]]/$B$21-1</f>
        <v>5.9405940594059459E-3</v>
      </c>
    </row>
    <row r="48" spans="1:7" x14ac:dyDescent="0.2">
      <c r="A48" s="15">
        <v>43752</v>
      </c>
      <c r="B48" s="16">
        <v>1.02</v>
      </c>
      <c r="C48" s="61">
        <f t="shared" ref="C48:C53" si="6">IFERROR(B48-B47,0)</f>
        <v>4.0000000000000036E-3</v>
      </c>
      <c r="D48" s="18" t="str">
        <f t="shared" ref="D48:D53" si="7">IF(C48&lt;0,C48,"/")</f>
        <v>/</v>
      </c>
      <c r="E48" s="18">
        <f ca="1">IF(表2_3671626293038[[#This Row],[累计净值]]/MAX(INDIRECT("B21:B" &amp; ROW()))-1&lt;E47,表2_3671626293038[[#This Row],[累计净值]]/MAX(INDIRECT("B21:B" &amp; ROW()))-1,E47)</f>
        <v>-7.9207920792079278E-3</v>
      </c>
      <c r="F48" s="62">
        <f>表2_3671626293038[[#This Row],[累计净值]]</f>
        <v>1.02</v>
      </c>
      <c r="G48" s="20">
        <f>表2_3671626293038[[#This Row],[累计净值]]/$B$21-1</f>
        <v>9.9009900990099098E-3</v>
      </c>
    </row>
    <row r="49" spans="1:7" x14ac:dyDescent="0.2">
      <c r="A49" s="15">
        <v>43753</v>
      </c>
      <c r="B49" s="16">
        <v>1.0209999999999999</v>
      </c>
      <c r="C49" s="61">
        <f t="shared" si="6"/>
        <v>9.9999999999988987E-4</v>
      </c>
      <c r="D49" s="18" t="str">
        <f t="shared" si="7"/>
        <v>/</v>
      </c>
      <c r="E49" s="18">
        <f ca="1">IF(表2_3671626293038[[#This Row],[累计净值]]/MAX(INDIRECT("B21:B" &amp; ROW()))-1&lt;E48,表2_3671626293038[[#This Row],[累计净值]]/MAX(INDIRECT("B21:B" &amp; ROW()))-1,E48)</f>
        <v>-7.9207920792079278E-3</v>
      </c>
      <c r="F49" s="62">
        <f>表2_3671626293038[[#This Row],[累计净值]]</f>
        <v>1.0209999999999999</v>
      </c>
      <c r="G49" s="20">
        <f>表2_3671626293038[[#This Row],[累计净值]]/$B$21-1</f>
        <v>1.0891089108910901E-2</v>
      </c>
    </row>
    <row r="50" spans="1:7" x14ac:dyDescent="0.2">
      <c r="A50" s="77">
        <v>43754</v>
      </c>
      <c r="B50" s="76">
        <v>1.022</v>
      </c>
      <c r="C50" s="61">
        <f t="shared" si="6"/>
        <v>1.0000000000001119E-3</v>
      </c>
      <c r="D50" s="18" t="str">
        <f t="shared" si="7"/>
        <v>/</v>
      </c>
      <c r="E50" s="18">
        <f ca="1">IF(表2_3671626293038[[#This Row],[累计净值]]/MAX(INDIRECT("B21:B" &amp; ROW()))-1&lt;E49,表2_3671626293038[[#This Row],[累计净值]]/MAX(INDIRECT("B21:B" &amp; ROW()))-1,E49)</f>
        <v>-7.9207920792079278E-3</v>
      </c>
      <c r="F50" s="62">
        <f>表2_3671626293038[[#This Row],[累计净值]]</f>
        <v>1.022</v>
      </c>
      <c r="G50" s="20">
        <f>表2_3671626293038[[#This Row],[累计净值]]/$B$21-1</f>
        <v>1.1881188118811892E-2</v>
      </c>
    </row>
    <row r="51" spans="1:7" x14ac:dyDescent="0.2">
      <c r="A51" s="15">
        <v>43755</v>
      </c>
      <c r="B51" s="16">
        <v>1.0209999999999999</v>
      </c>
      <c r="C51" s="61">
        <f t="shared" si="6"/>
        <v>-1.0000000000001119E-3</v>
      </c>
      <c r="D51" s="18">
        <f t="shared" si="7"/>
        <v>-1.0000000000001119E-3</v>
      </c>
      <c r="E51" s="18">
        <f ca="1">IF(表2_3671626293038[[#This Row],[累计净值]]/MAX(INDIRECT("B21:B" &amp; ROW()))-1&lt;E50,表2_3671626293038[[#This Row],[累计净值]]/MAX(INDIRECT("B21:B" &amp; ROW()))-1,E50)</f>
        <v>-7.9207920792079278E-3</v>
      </c>
      <c r="F51" s="62">
        <f>表2_3671626293038[[#This Row],[累计净值]]</f>
        <v>1.0209999999999999</v>
      </c>
      <c r="G51" s="20">
        <f>表2_3671626293038[[#This Row],[累计净值]]/$B$21-1</f>
        <v>1.0891089108910901E-2</v>
      </c>
    </row>
    <row r="52" spans="1:7" x14ac:dyDescent="0.2">
      <c r="A52" s="15">
        <v>43756</v>
      </c>
      <c r="B52" s="16">
        <v>1.0209999999999999</v>
      </c>
      <c r="C52" s="61">
        <f t="shared" si="6"/>
        <v>0</v>
      </c>
      <c r="D52" s="18" t="str">
        <f t="shared" si="7"/>
        <v>/</v>
      </c>
      <c r="E52" s="18">
        <f ca="1">IF(表2_3671626293038[[#This Row],[累计净值]]/MAX(INDIRECT("B21:B" &amp; ROW()))-1&lt;E51,表2_3671626293038[[#This Row],[累计净值]]/MAX(INDIRECT("B21:B" &amp; ROW()))-1,E51)</f>
        <v>-7.9207920792079278E-3</v>
      </c>
      <c r="F52" s="62">
        <f>表2_3671626293038[[#This Row],[累计净值]]</f>
        <v>1.0209999999999999</v>
      </c>
      <c r="G52" s="20">
        <f>表2_3671626293038[[#This Row],[累计净值]]/$B$21-1</f>
        <v>1.0891089108910901E-2</v>
      </c>
    </row>
    <row r="53" spans="1:7" x14ac:dyDescent="0.2">
      <c r="A53" s="15">
        <v>43759</v>
      </c>
      <c r="B53" s="16">
        <v>1.0189999999999999</v>
      </c>
      <c r="C53" s="73">
        <f t="shared" si="6"/>
        <v>-2.0000000000000018E-3</v>
      </c>
      <c r="D53" s="18">
        <f t="shared" si="7"/>
        <v>-2.0000000000000018E-3</v>
      </c>
      <c r="E53" s="18">
        <f ca="1">IF(表2_3671626293038[[#This Row],[累计净值]]/MAX(INDIRECT("B21:B" &amp; ROW()))-1&lt;E52,表2_3671626293038[[#This Row],[累计净值]]/MAX(INDIRECT("B21:B" &amp; ROW()))-1,E52)</f>
        <v>-7.9207920792079278E-3</v>
      </c>
      <c r="F53" s="62">
        <f>表2_3671626293038[[#This Row],[累计净值]]</f>
        <v>1.0189999999999999</v>
      </c>
      <c r="G53" s="20">
        <f>表2_3671626293038[[#This Row],[累计净值]]/$B$21-1</f>
        <v>8.9108910891089188E-3</v>
      </c>
    </row>
    <row r="54" spans="1:7" x14ac:dyDescent="0.2">
      <c r="A54" s="15">
        <v>43760</v>
      </c>
      <c r="B54" s="16">
        <v>1.0209999999999999</v>
      </c>
      <c r="C54" s="73">
        <f t="shared" ref="C54:C60" si="8">IFERROR(B54-B53,0)</f>
        <v>2.0000000000000018E-3</v>
      </c>
      <c r="D54" s="18" t="str">
        <f t="shared" ref="D54:D60" si="9">IF(C54&lt;0,C54,"/")</f>
        <v>/</v>
      </c>
      <c r="E54" s="18">
        <f ca="1">IF(表2_3671626293038[[#This Row],[累计净值]]/MAX(INDIRECT("B21:B" &amp; ROW()))-1&lt;E53,表2_3671626293038[[#This Row],[累计净值]]/MAX(INDIRECT("B21:B" &amp; ROW()))-1,E53)</f>
        <v>-7.9207920792079278E-3</v>
      </c>
      <c r="F54" s="62">
        <f>表2_3671626293038[[#This Row],[累计净值]]</f>
        <v>1.0209999999999999</v>
      </c>
      <c r="G54" s="20">
        <f>表2_3671626293038[[#This Row],[累计净值]]/$B$21-1</f>
        <v>1.0891089108910901E-2</v>
      </c>
    </row>
    <row r="55" spans="1:7" x14ac:dyDescent="0.2">
      <c r="A55" s="15">
        <v>43761</v>
      </c>
      <c r="B55" s="16">
        <v>1.018</v>
      </c>
      <c r="C55" s="73">
        <f t="shared" si="8"/>
        <v>-2.9999999999998916E-3</v>
      </c>
      <c r="D55" s="18">
        <f t="shared" si="9"/>
        <v>-2.9999999999998916E-3</v>
      </c>
      <c r="E55" s="18">
        <f ca="1">IF(表2_3671626293038[[#This Row],[累计净值]]/MAX(INDIRECT("B21:B" &amp; ROW()))-1&lt;E54,表2_3671626293038[[#This Row],[累计净值]]/MAX(INDIRECT("B21:B" &amp; ROW()))-1,E54)</f>
        <v>-7.9207920792079278E-3</v>
      </c>
      <c r="F55" s="62">
        <f>表2_3671626293038[[#This Row],[累计净值]]</f>
        <v>1.018</v>
      </c>
      <c r="G55" s="20">
        <f>表2_3671626293038[[#This Row],[累计净值]]/$B$21-1</f>
        <v>7.9207920792079278E-3</v>
      </c>
    </row>
    <row r="56" spans="1:7" x14ac:dyDescent="0.2">
      <c r="A56" s="15">
        <v>43762</v>
      </c>
      <c r="B56" s="16">
        <v>1.0169999999999999</v>
      </c>
      <c r="C56" s="73">
        <f t="shared" si="8"/>
        <v>-1.0000000000001119E-3</v>
      </c>
      <c r="D56" s="18">
        <f t="shared" si="9"/>
        <v>-1.0000000000001119E-3</v>
      </c>
      <c r="E56" s="18">
        <f ca="1">IF(表2_3671626293038[[#This Row],[累计净值]]/MAX(INDIRECT("B21:B" &amp; ROW()))-1&lt;E55,表2_3671626293038[[#This Row],[累计净值]]/MAX(INDIRECT("B21:B" &amp; ROW()))-1,E55)</f>
        <v>-7.9207920792079278E-3</v>
      </c>
      <c r="F56" s="62">
        <f>表2_3671626293038[[#This Row],[累计净值]]</f>
        <v>1.0169999999999999</v>
      </c>
      <c r="G56" s="20">
        <f>表2_3671626293038[[#This Row],[累计净值]]/$B$21-1</f>
        <v>6.9306930693069368E-3</v>
      </c>
    </row>
    <row r="57" spans="1:7" x14ac:dyDescent="0.2">
      <c r="A57" s="15">
        <v>43763</v>
      </c>
      <c r="B57" s="16">
        <v>1.0149999999999999</v>
      </c>
      <c r="C57" s="73">
        <f t="shared" si="8"/>
        <v>-2.0000000000000018E-3</v>
      </c>
      <c r="D57" s="18">
        <f t="shared" si="9"/>
        <v>-2.0000000000000018E-3</v>
      </c>
      <c r="E57" s="18">
        <f ca="1">IF(表2_3671626293038[[#This Row],[累计净值]]/MAX(INDIRECT("B21:B" &amp; ROW()))-1&lt;E56,表2_3671626293038[[#This Row],[累计净值]]/MAX(INDIRECT("B21:B" &amp; ROW()))-1,E56)</f>
        <v>-7.9207920792079278E-3</v>
      </c>
      <c r="F57" s="62">
        <f>表2_3671626293038[[#This Row],[累计净值]]</f>
        <v>1.0149999999999999</v>
      </c>
      <c r="G57" s="20">
        <f>表2_3671626293038[[#This Row],[累计净值]]/$B$21-1</f>
        <v>4.9504950495049549E-3</v>
      </c>
    </row>
    <row r="58" spans="1:7" x14ac:dyDescent="0.2">
      <c r="A58" s="15">
        <v>43766</v>
      </c>
      <c r="B58" s="16">
        <v>1.0169999999999999</v>
      </c>
      <c r="C58" s="73">
        <f t="shared" si="8"/>
        <v>2.0000000000000018E-3</v>
      </c>
      <c r="D58" s="18" t="str">
        <f t="shared" si="9"/>
        <v>/</v>
      </c>
      <c r="E58" s="18">
        <f ca="1">IF(表2_3671626293038[[#This Row],[累计净值]]/MAX(INDIRECT("B21:B" &amp; ROW()))-1&lt;E57,表2_3671626293038[[#This Row],[累计净值]]/MAX(INDIRECT("B21:B" &amp; ROW()))-1,E57)</f>
        <v>-7.9207920792079278E-3</v>
      </c>
      <c r="F58" s="62">
        <f>表2_3671626293038[[#This Row],[累计净值]]</f>
        <v>1.0169999999999999</v>
      </c>
      <c r="G58" s="20">
        <f>表2_3671626293038[[#This Row],[累计净值]]/$B$21-1</f>
        <v>6.9306930693069368E-3</v>
      </c>
    </row>
    <row r="59" spans="1:7" x14ac:dyDescent="0.2">
      <c r="A59" s="15">
        <v>43767</v>
      </c>
      <c r="B59" s="16">
        <v>1.016</v>
      </c>
      <c r="C59" s="73">
        <f t="shared" si="8"/>
        <v>-9.9999999999988987E-4</v>
      </c>
      <c r="D59" s="18">
        <f t="shared" si="9"/>
        <v>-9.9999999999988987E-4</v>
      </c>
      <c r="E59" s="18">
        <f ca="1">IF(表2_3671626293038[[#This Row],[累计净值]]/MAX(INDIRECT("B21:B" &amp; ROW()))-1&lt;E58,表2_3671626293038[[#This Row],[累计净值]]/MAX(INDIRECT("B21:B" &amp; ROW()))-1,E58)</f>
        <v>-7.9207920792079278E-3</v>
      </c>
      <c r="F59" s="62">
        <f>表2_3671626293038[[#This Row],[累计净值]]</f>
        <v>1.016</v>
      </c>
      <c r="G59" s="20">
        <f>表2_3671626293038[[#This Row],[累计净值]]/$B$21-1</f>
        <v>5.9405940594059459E-3</v>
      </c>
    </row>
    <row r="60" spans="1:7" x14ac:dyDescent="0.2">
      <c r="A60" s="15">
        <v>43768</v>
      </c>
      <c r="B60" s="16">
        <v>1.0169999999999999</v>
      </c>
      <c r="C60" s="73">
        <f t="shared" si="8"/>
        <v>9.9999999999988987E-4</v>
      </c>
      <c r="D60" s="18" t="str">
        <f t="shared" si="9"/>
        <v>/</v>
      </c>
      <c r="E60" s="18">
        <f ca="1">IF(表2_3671626293038[[#This Row],[累计净值]]/MAX(INDIRECT("B21:B" &amp; ROW()))-1&lt;E59,表2_3671626293038[[#This Row],[累计净值]]/MAX(INDIRECT("B21:B" &amp; ROW()))-1,E59)</f>
        <v>-7.9207920792079278E-3</v>
      </c>
      <c r="F60" s="62">
        <f>表2_3671626293038[[#This Row],[累计净值]]</f>
        <v>1.0169999999999999</v>
      </c>
      <c r="G60" s="20">
        <f>表2_3671626293038[[#This Row],[累计净值]]/$B$21-1</f>
        <v>6.9306930693069368E-3</v>
      </c>
    </row>
    <row r="61" spans="1:7" x14ac:dyDescent="0.2">
      <c r="A61" s="15">
        <v>43769</v>
      </c>
      <c r="B61" s="16">
        <v>1.016</v>
      </c>
      <c r="C61" s="73">
        <f t="shared" ref="C61:C68" si="10">IFERROR(B61-B60,0)</f>
        <v>-9.9999999999988987E-4</v>
      </c>
      <c r="D61" s="18">
        <f t="shared" ref="D61:D68" si="11">IF(C61&lt;0,C61,"/")</f>
        <v>-9.9999999999988987E-4</v>
      </c>
      <c r="E61" s="18">
        <f ca="1">IF(表2_3671626293038[[#This Row],[累计净值]]/MAX(INDIRECT("B21:B" &amp; ROW()))-1&lt;E60,表2_3671626293038[[#This Row],[累计净值]]/MAX(INDIRECT("B21:B" &amp; ROW()))-1,E60)</f>
        <v>-7.9207920792079278E-3</v>
      </c>
      <c r="F61" s="62">
        <f>表2_3671626293038[[#This Row],[累计净值]]</f>
        <v>1.016</v>
      </c>
      <c r="G61" s="20">
        <f>表2_3671626293038[[#This Row],[累计净值]]/$B$21-1</f>
        <v>5.9405940594059459E-3</v>
      </c>
    </row>
    <row r="62" spans="1:7" x14ac:dyDescent="0.2">
      <c r="A62" s="15">
        <v>43770</v>
      </c>
      <c r="B62" s="16">
        <v>1.0149999999999999</v>
      </c>
      <c r="C62" s="73">
        <f t="shared" si="10"/>
        <v>-1.0000000000001119E-3</v>
      </c>
      <c r="D62" s="18">
        <f t="shared" si="11"/>
        <v>-1.0000000000001119E-3</v>
      </c>
      <c r="E62" s="18">
        <f ca="1">IF(表2_3671626293038[[#This Row],[累计净值]]/MAX(INDIRECT("B21:B" &amp; ROW()))-1&lt;E61,表2_3671626293038[[#This Row],[累计净值]]/MAX(INDIRECT("B21:B" &amp; ROW()))-1,E61)</f>
        <v>-7.9207920792079278E-3</v>
      </c>
      <c r="F62" s="62">
        <f>表2_3671626293038[[#This Row],[累计净值]]</f>
        <v>1.0149999999999999</v>
      </c>
      <c r="G62" s="20">
        <f>表2_3671626293038[[#This Row],[累计净值]]/$B$21-1</f>
        <v>4.9504950495049549E-3</v>
      </c>
    </row>
    <row r="63" spans="1:7" x14ac:dyDescent="0.2">
      <c r="A63" s="15">
        <v>43773</v>
      </c>
      <c r="B63" s="16">
        <v>1.0169999999999999</v>
      </c>
      <c r="C63" s="73">
        <f t="shared" si="10"/>
        <v>2.0000000000000018E-3</v>
      </c>
      <c r="D63" s="18" t="str">
        <f t="shared" si="11"/>
        <v>/</v>
      </c>
      <c r="E63" s="18">
        <f ca="1">IF(表2_3671626293038[[#This Row],[累计净值]]/MAX(INDIRECT("B21:B" &amp; ROW()))-1&lt;E62,表2_3671626293038[[#This Row],[累计净值]]/MAX(INDIRECT("B21:B" &amp; ROW()))-1,E62)</f>
        <v>-7.9207920792079278E-3</v>
      </c>
      <c r="F63" s="62">
        <f>表2_3671626293038[[#This Row],[累计净值]]</f>
        <v>1.0169999999999999</v>
      </c>
      <c r="G63" s="20">
        <f>表2_3671626293038[[#This Row],[累计净值]]/$B$21-1</f>
        <v>6.9306930693069368E-3</v>
      </c>
    </row>
    <row r="64" spans="1:7" x14ac:dyDescent="0.2">
      <c r="A64" s="15">
        <v>43774</v>
      </c>
      <c r="B64" s="16">
        <v>1.014</v>
      </c>
      <c r="C64" s="73">
        <f t="shared" si="10"/>
        <v>-2.9999999999998916E-3</v>
      </c>
      <c r="D64" s="18">
        <f t="shared" si="11"/>
        <v>-2.9999999999998916E-3</v>
      </c>
      <c r="E64" s="18">
        <f ca="1">IF(表2_3671626293038[[#This Row],[累计净值]]/MAX(INDIRECT("B21:B" &amp; ROW()))-1&lt;E63,表2_3671626293038[[#This Row],[累计净值]]/MAX(INDIRECT("B21:B" &amp; ROW()))-1,E63)</f>
        <v>-7.9207920792079278E-3</v>
      </c>
      <c r="F64" s="62">
        <f>表2_3671626293038[[#This Row],[累计净值]]</f>
        <v>1.014</v>
      </c>
      <c r="G64" s="20">
        <f>表2_3671626293038[[#This Row],[累计净值]]/$B$21-1</f>
        <v>3.9603960396039639E-3</v>
      </c>
    </row>
    <row r="65" spans="1:7" x14ac:dyDescent="0.2">
      <c r="A65" s="15">
        <v>43775</v>
      </c>
      <c r="B65" s="16">
        <v>1.0149999999999999</v>
      </c>
      <c r="C65" s="73">
        <f t="shared" si="10"/>
        <v>9.9999999999988987E-4</v>
      </c>
      <c r="D65" s="18" t="str">
        <f t="shared" si="11"/>
        <v>/</v>
      </c>
      <c r="E65" s="18">
        <f ca="1">IF(表2_3671626293038[[#This Row],[累计净值]]/MAX(INDIRECT("B21:B" &amp; ROW()))-1&lt;E64,表2_3671626293038[[#This Row],[累计净值]]/MAX(INDIRECT("B21:B" &amp; ROW()))-1,E64)</f>
        <v>-7.9207920792079278E-3</v>
      </c>
      <c r="F65" s="62">
        <f>表2_3671626293038[[#This Row],[累计净值]]</f>
        <v>1.0149999999999999</v>
      </c>
      <c r="G65" s="20">
        <f>表2_3671626293038[[#This Row],[累计净值]]/$B$21-1</f>
        <v>4.9504950495049549E-3</v>
      </c>
    </row>
    <row r="66" spans="1:7" x14ac:dyDescent="0.2">
      <c r="A66" s="15">
        <v>43776</v>
      </c>
      <c r="B66" s="16">
        <v>1.0129999999999999</v>
      </c>
      <c r="C66" s="73">
        <f t="shared" si="10"/>
        <v>-2.0000000000000018E-3</v>
      </c>
      <c r="D66" s="18">
        <f t="shared" si="11"/>
        <v>-2.0000000000000018E-3</v>
      </c>
      <c r="E66" s="18">
        <f ca="1">IF(表2_3671626293038[[#This Row],[累计净值]]/MAX(INDIRECT("B21:B" &amp; ROW()))-1&lt;E65,表2_3671626293038[[#This Row],[累计净值]]/MAX(INDIRECT("B21:B" &amp; ROW()))-1,E65)</f>
        <v>-8.8062622309198479E-3</v>
      </c>
      <c r="F66" s="62">
        <f>表2_3671626293038[[#This Row],[累计净值]]</f>
        <v>1.0129999999999999</v>
      </c>
      <c r="G66" s="20">
        <f>表2_3671626293038[[#This Row],[累计净值]]/$B$21-1</f>
        <v>2.9702970297029729E-3</v>
      </c>
    </row>
    <row r="67" spans="1:7" x14ac:dyDescent="0.2">
      <c r="A67" s="15">
        <v>43777</v>
      </c>
      <c r="B67" s="16">
        <v>1.0149999999999999</v>
      </c>
      <c r="C67" s="73">
        <f t="shared" si="10"/>
        <v>2.0000000000000018E-3</v>
      </c>
      <c r="D67" s="18" t="str">
        <f t="shared" si="11"/>
        <v>/</v>
      </c>
      <c r="E67" s="18">
        <f ca="1">IF(表2_3671626293038[[#This Row],[累计净值]]/MAX(INDIRECT("B21:B" &amp; ROW()))-1&lt;E66,表2_3671626293038[[#This Row],[累计净值]]/MAX(INDIRECT("B21:B" &amp; ROW()))-1,E66)</f>
        <v>-8.8062622309198479E-3</v>
      </c>
      <c r="F67" s="62">
        <f>表2_3671626293038[[#This Row],[累计净值]]</f>
        <v>1.0149999999999999</v>
      </c>
      <c r="G67" s="20">
        <f>表2_3671626293038[[#This Row],[累计净值]]/$B$21-1</f>
        <v>4.9504950495049549E-3</v>
      </c>
    </row>
    <row r="68" spans="1:7" x14ac:dyDescent="0.2">
      <c r="A68" s="15">
        <v>43780</v>
      </c>
      <c r="B68" s="16">
        <v>1.012</v>
      </c>
      <c r="C68" s="73">
        <f t="shared" si="10"/>
        <v>-2.9999999999998916E-3</v>
      </c>
      <c r="D68" s="18">
        <f t="shared" si="11"/>
        <v>-2.9999999999998916E-3</v>
      </c>
      <c r="E68" s="18">
        <f ca="1">IF(表2_3671626293038[[#This Row],[累计净值]]/MAX(INDIRECT("B21:B" &amp; ROW()))-1&lt;E67,表2_3671626293038[[#This Row],[累计净值]]/MAX(INDIRECT("B21:B" &amp; ROW()))-1,E67)</f>
        <v>-9.7847358121331274E-3</v>
      </c>
      <c r="F68" s="62">
        <f>表2_3671626293038[[#This Row],[累计净值]]</f>
        <v>1.012</v>
      </c>
      <c r="G68" s="20">
        <f>表2_3671626293038[[#This Row],[累计净值]]/$B$21-1</f>
        <v>1.980198019801982E-3</v>
      </c>
    </row>
    <row r="69" spans="1:7" x14ac:dyDescent="0.2">
      <c r="A69" s="15">
        <v>43781</v>
      </c>
      <c r="B69" s="16">
        <v>1.0129999999999999</v>
      </c>
      <c r="C69" s="73">
        <f t="shared" ref="C69:C74" si="12">IFERROR(B69-B68,0)</f>
        <v>9.9999999999988987E-4</v>
      </c>
      <c r="D69" s="18" t="str">
        <f t="shared" ref="D69:D74" si="13">IF(C69&lt;0,C69,"/")</f>
        <v>/</v>
      </c>
      <c r="E69" s="18">
        <f ca="1">IF(表2_3671626293038[[#This Row],[累计净值]]/MAX(INDIRECT("B21:B" &amp; ROW()))-1&lt;E68,表2_3671626293038[[#This Row],[累计净值]]/MAX(INDIRECT("B21:B" &amp; ROW()))-1,E68)</f>
        <v>-9.7847358121331274E-3</v>
      </c>
      <c r="F69" s="62">
        <f>表2_3671626293038[[#This Row],[累计净值]]</f>
        <v>1.0129999999999999</v>
      </c>
      <c r="G69" s="20">
        <f>表2_3671626293038[[#This Row],[累计净值]]/$B$21-1</f>
        <v>2.9702970297029729E-3</v>
      </c>
    </row>
    <row r="70" spans="1:7" x14ac:dyDescent="0.2">
      <c r="A70" s="15">
        <v>43782</v>
      </c>
      <c r="B70" s="16">
        <v>1.012</v>
      </c>
      <c r="C70" s="73">
        <f t="shared" si="12"/>
        <v>-9.9999999999988987E-4</v>
      </c>
      <c r="D70" s="18">
        <f t="shared" si="13"/>
        <v>-9.9999999999988987E-4</v>
      </c>
      <c r="E70" s="18">
        <f ca="1">IF(表2_3671626293038[[#This Row],[累计净值]]/MAX(INDIRECT("B21:B" &amp; ROW()))-1&lt;E69,表2_3671626293038[[#This Row],[累计净值]]/MAX(INDIRECT("B21:B" &amp; ROW()))-1,E69)</f>
        <v>-9.7847358121331274E-3</v>
      </c>
      <c r="F70" s="62">
        <f>表2_3671626293038[[#This Row],[累计净值]]</f>
        <v>1.012</v>
      </c>
      <c r="G70" s="20">
        <f>表2_3671626293038[[#This Row],[累计净值]]/$B$21-1</f>
        <v>1.980198019801982E-3</v>
      </c>
    </row>
    <row r="71" spans="1:7" x14ac:dyDescent="0.2">
      <c r="A71" s="15">
        <v>43783</v>
      </c>
      <c r="B71" s="16">
        <v>1.0129999999999999</v>
      </c>
      <c r="C71" s="73">
        <f t="shared" si="12"/>
        <v>9.9999999999988987E-4</v>
      </c>
      <c r="D71" s="18" t="str">
        <f t="shared" si="13"/>
        <v>/</v>
      </c>
      <c r="E71" s="18">
        <f ca="1">IF(表2_3671626293038[[#This Row],[累计净值]]/MAX(INDIRECT("B21:B" &amp; ROW()))-1&lt;E70,表2_3671626293038[[#This Row],[累计净值]]/MAX(INDIRECT("B21:B" &amp; ROW()))-1,E70)</f>
        <v>-9.7847358121331274E-3</v>
      </c>
      <c r="F71" s="62">
        <f>表2_3671626293038[[#This Row],[累计净值]]</f>
        <v>1.0129999999999999</v>
      </c>
      <c r="G71" s="20">
        <f>表2_3671626293038[[#This Row],[累计净值]]/$B$21-1</f>
        <v>2.9702970297029729E-3</v>
      </c>
    </row>
    <row r="72" spans="1:7" x14ac:dyDescent="0.2">
      <c r="A72" s="15">
        <v>43784</v>
      </c>
      <c r="B72" s="16">
        <v>1.0089999999999999</v>
      </c>
      <c r="C72" s="73">
        <f t="shared" si="12"/>
        <v>-4.0000000000000036E-3</v>
      </c>
      <c r="D72" s="18">
        <f t="shared" si="13"/>
        <v>-4.0000000000000036E-3</v>
      </c>
      <c r="E72" s="18">
        <f ca="1">IF(表2_3671626293038[[#This Row],[累计净值]]/MAX(INDIRECT("B21:B" &amp; ROW()))-1&lt;E71,表2_3671626293038[[#This Row],[累计净值]]/MAX(INDIRECT("B21:B" &amp; ROW()))-1,E71)</f>
        <v>-1.2720156555773077E-2</v>
      </c>
      <c r="F72" s="62">
        <f>表2_3671626293038[[#This Row],[累计净值]]</f>
        <v>1.0089999999999999</v>
      </c>
      <c r="G72" s="20">
        <f>表2_3671626293038[[#This Row],[累计净值]]/$B$21-1</f>
        <v>-9.90099009901102E-4</v>
      </c>
    </row>
    <row r="73" spans="1:7" x14ac:dyDescent="0.2">
      <c r="A73" s="15">
        <v>43787</v>
      </c>
      <c r="B73" s="16">
        <v>1.014</v>
      </c>
      <c r="C73" s="73">
        <f t="shared" si="12"/>
        <v>5.0000000000001155E-3</v>
      </c>
      <c r="D73" s="18" t="str">
        <f t="shared" si="13"/>
        <v>/</v>
      </c>
      <c r="E73" s="18">
        <f ca="1">IF(表2_3671626293038[[#This Row],[累计净值]]/MAX(INDIRECT("B21:B" &amp; ROW()))-1&lt;E72,表2_3671626293038[[#This Row],[累计净值]]/MAX(INDIRECT("B21:B" &amp; ROW()))-1,E72)</f>
        <v>-1.2720156555773077E-2</v>
      </c>
      <c r="F73" s="62">
        <f>表2_3671626293038[[#This Row],[累计净值]]</f>
        <v>1.014</v>
      </c>
      <c r="G73" s="20">
        <f>表2_3671626293038[[#This Row],[累计净值]]/$B$21-1</f>
        <v>3.9603960396039639E-3</v>
      </c>
    </row>
    <row r="74" spans="1:7" x14ac:dyDescent="0.2">
      <c r="A74" s="15">
        <v>43788</v>
      </c>
      <c r="B74" s="16">
        <v>1.016</v>
      </c>
      <c r="C74" s="73">
        <f t="shared" si="12"/>
        <v>2.0000000000000018E-3</v>
      </c>
      <c r="D74" s="18" t="str">
        <f t="shared" si="13"/>
        <v>/</v>
      </c>
      <c r="E74" s="18">
        <f ca="1">IF(表2_3671626293038[[#This Row],[累计净值]]/MAX(INDIRECT("B21:B" &amp; ROW()))-1&lt;E73,表2_3671626293038[[#This Row],[累计净值]]/MAX(INDIRECT("B21:B" &amp; ROW()))-1,E73)</f>
        <v>-1.2720156555773077E-2</v>
      </c>
      <c r="F74" s="62">
        <f>表2_3671626293038[[#This Row],[累计净值]]</f>
        <v>1.016</v>
      </c>
      <c r="G74" s="20">
        <f>表2_3671626293038[[#This Row],[累计净值]]/$B$21-1</f>
        <v>5.9405940594059459E-3</v>
      </c>
    </row>
    <row r="75" spans="1:7" x14ac:dyDescent="0.2">
      <c r="A75" s="15">
        <v>43789</v>
      </c>
      <c r="B75" s="16">
        <v>1.0149999999999999</v>
      </c>
      <c r="C75" s="73">
        <f t="shared" ref="C75:C82" si="14">IFERROR(B75-B74,0)</f>
        <v>-1.0000000000001119E-3</v>
      </c>
      <c r="D75" s="18">
        <f t="shared" ref="D75:D82" si="15">IF(C75&lt;0,C75,"/")</f>
        <v>-1.0000000000001119E-3</v>
      </c>
      <c r="E75" s="18">
        <f ca="1">IF(表2_3671626293038[[#This Row],[累计净值]]/MAX(INDIRECT("B21:B" &amp; ROW()))-1&lt;E74,表2_3671626293038[[#This Row],[累计净值]]/MAX(INDIRECT("B21:B" &amp; ROW()))-1,E74)</f>
        <v>-1.2720156555773077E-2</v>
      </c>
      <c r="F75" s="62">
        <f>表2_3671626293038[[#This Row],[累计净值]]</f>
        <v>1.0149999999999999</v>
      </c>
      <c r="G75" s="20">
        <f>表2_3671626293038[[#This Row],[累计净值]]/$B$21-1</f>
        <v>4.9504950495049549E-3</v>
      </c>
    </row>
    <row r="76" spans="1:7" x14ac:dyDescent="0.2">
      <c r="A76" s="15">
        <v>43790</v>
      </c>
      <c r="B76" s="16">
        <v>1.0129999999999999</v>
      </c>
      <c r="C76" s="73">
        <f t="shared" si="14"/>
        <v>-2.0000000000000018E-3</v>
      </c>
      <c r="D76" s="18">
        <f t="shared" si="15"/>
        <v>-2.0000000000000018E-3</v>
      </c>
      <c r="E76" s="18">
        <f ca="1">IF(表2_3671626293038[[#This Row],[累计净值]]/MAX(INDIRECT("B21:B" &amp; ROW()))-1&lt;E75,表2_3671626293038[[#This Row],[累计净值]]/MAX(INDIRECT("B21:B" &amp; ROW()))-1,E75)</f>
        <v>-1.2720156555773077E-2</v>
      </c>
      <c r="F76" s="62">
        <f>表2_3671626293038[[#This Row],[累计净值]]</f>
        <v>1.0129999999999999</v>
      </c>
      <c r="G76" s="20">
        <f>表2_3671626293038[[#This Row],[累计净值]]/$B$21-1</f>
        <v>2.9702970297029729E-3</v>
      </c>
    </row>
    <row r="77" spans="1:7" x14ac:dyDescent="0.2">
      <c r="A77" s="15">
        <v>43791</v>
      </c>
      <c r="B77" s="16">
        <v>1.0129999999999999</v>
      </c>
      <c r="C77" s="73">
        <f t="shared" si="14"/>
        <v>0</v>
      </c>
      <c r="D77" s="18" t="str">
        <f t="shared" si="15"/>
        <v>/</v>
      </c>
      <c r="E77" s="18">
        <f ca="1">IF(表2_3671626293038[[#This Row],[累计净值]]/MAX(INDIRECT("B21:B" &amp; ROW()))-1&lt;E76,表2_3671626293038[[#This Row],[累计净值]]/MAX(INDIRECT("B21:B" &amp; ROW()))-1,E76)</f>
        <v>-1.2720156555773077E-2</v>
      </c>
      <c r="F77" s="62">
        <f>表2_3671626293038[[#This Row],[累计净值]]</f>
        <v>1.0129999999999999</v>
      </c>
      <c r="G77" s="20">
        <f>表2_3671626293038[[#This Row],[累计净值]]/$B$21-1</f>
        <v>2.9702970297029729E-3</v>
      </c>
    </row>
    <row r="78" spans="1:7" x14ac:dyDescent="0.2">
      <c r="A78" s="15">
        <v>43794</v>
      </c>
      <c r="B78" s="16">
        <v>1.014</v>
      </c>
      <c r="C78" s="73">
        <f t="shared" si="14"/>
        <v>1.0000000000001119E-3</v>
      </c>
      <c r="D78" s="18" t="str">
        <f t="shared" si="15"/>
        <v>/</v>
      </c>
      <c r="E78" s="18">
        <f ca="1">IF(表2_3671626293038[[#This Row],[累计净值]]/MAX(INDIRECT("B21:B" &amp; ROW()))-1&lt;E77,表2_3671626293038[[#This Row],[累计净值]]/MAX(INDIRECT("B21:B" &amp; ROW()))-1,E77)</f>
        <v>-1.2720156555773077E-2</v>
      </c>
      <c r="F78" s="62">
        <f>表2_3671626293038[[#This Row],[累计净值]]</f>
        <v>1.014</v>
      </c>
      <c r="G78" s="20">
        <f>表2_3671626293038[[#This Row],[累计净值]]/$B$21-1</f>
        <v>3.9603960396039639E-3</v>
      </c>
    </row>
    <row r="79" spans="1:7" x14ac:dyDescent="0.2">
      <c r="A79" s="15">
        <v>43795</v>
      </c>
      <c r="B79" s="16">
        <v>1.016</v>
      </c>
      <c r="C79" s="73">
        <f t="shared" si="14"/>
        <v>2.0000000000000018E-3</v>
      </c>
      <c r="D79" s="18" t="str">
        <f t="shared" si="15"/>
        <v>/</v>
      </c>
      <c r="E79" s="18">
        <f ca="1">IF(表2_3671626293038[[#This Row],[累计净值]]/MAX(INDIRECT("B21:B" &amp; ROW()))-1&lt;E78,表2_3671626293038[[#This Row],[累计净值]]/MAX(INDIRECT("B21:B" &amp; ROW()))-1,E78)</f>
        <v>-1.2720156555773077E-2</v>
      </c>
      <c r="F79" s="62">
        <f>表2_3671626293038[[#This Row],[累计净值]]</f>
        <v>1.016</v>
      </c>
      <c r="G79" s="20">
        <f>表2_3671626293038[[#This Row],[累计净值]]/$B$21-1</f>
        <v>5.9405940594059459E-3</v>
      </c>
    </row>
    <row r="80" spans="1:7" x14ac:dyDescent="0.2">
      <c r="A80" s="15">
        <v>43796</v>
      </c>
      <c r="B80" s="16">
        <v>1.0109999999999999</v>
      </c>
      <c r="C80" s="73">
        <f t="shared" si="14"/>
        <v>-5.0000000000001155E-3</v>
      </c>
      <c r="D80" s="18">
        <f t="shared" si="15"/>
        <v>-5.0000000000001155E-3</v>
      </c>
      <c r="E80" s="18">
        <f ca="1">IF(表2_3671626293038[[#This Row],[累计净值]]/MAX(INDIRECT("B21:B" &amp; ROW()))-1&lt;E79,表2_3671626293038[[#This Row],[累计净值]]/MAX(INDIRECT("B21:B" &amp; ROW()))-1,E79)</f>
        <v>-1.2720156555773077E-2</v>
      </c>
      <c r="F80" s="62">
        <f>表2_3671626293038[[#This Row],[累计净值]]</f>
        <v>1.0109999999999999</v>
      </c>
      <c r="G80" s="20">
        <f>表2_3671626293038[[#This Row],[累计净值]]/$B$21-1</f>
        <v>9.9009900990099098E-4</v>
      </c>
    </row>
    <row r="81" spans="1:7" x14ac:dyDescent="0.2">
      <c r="A81" s="15">
        <v>43797</v>
      </c>
      <c r="B81" s="16">
        <v>1.01</v>
      </c>
      <c r="C81" s="73">
        <f t="shared" si="14"/>
        <v>-9.9999999999988987E-4</v>
      </c>
      <c r="D81" s="18">
        <f t="shared" si="15"/>
        <v>-9.9999999999988987E-4</v>
      </c>
      <c r="E81" s="18">
        <f ca="1">IF(表2_3671626293038[[#This Row],[累计净值]]/MAX(INDIRECT("B21:B" &amp; ROW()))-1&lt;E80,表2_3671626293038[[#This Row],[累计净值]]/MAX(INDIRECT("B21:B" &amp; ROW()))-1,E80)</f>
        <v>-1.2720156555773077E-2</v>
      </c>
      <c r="F81" s="62">
        <f>表2_3671626293038[[#This Row],[累计净值]]</f>
        <v>1.01</v>
      </c>
      <c r="G81" s="20">
        <f>表2_3671626293038[[#This Row],[累计净值]]/$B$21-1</f>
        <v>0</v>
      </c>
    </row>
    <row r="82" spans="1:7" x14ac:dyDescent="0.2">
      <c r="A82" s="15">
        <v>43798</v>
      </c>
      <c r="B82" s="16">
        <v>1.008</v>
      </c>
      <c r="C82" s="73">
        <f t="shared" si="14"/>
        <v>-2.0000000000000018E-3</v>
      </c>
      <c r="D82" s="18">
        <f t="shared" si="15"/>
        <v>-2.0000000000000018E-3</v>
      </c>
      <c r="E82" s="18">
        <f ca="1">IF(表2_3671626293038[[#This Row],[累计净值]]/MAX(INDIRECT("B21:B" &amp; ROW()))-1&lt;E81,表2_3671626293038[[#This Row],[累计净值]]/MAX(INDIRECT("B21:B" &amp; ROW()))-1,E81)</f>
        <v>-1.3698630136986356E-2</v>
      </c>
      <c r="F82" s="62">
        <f>表2_3671626293038[[#This Row],[累计净值]]</f>
        <v>1.008</v>
      </c>
      <c r="G82" s="20">
        <f>表2_3671626293038[[#This Row],[累计净值]]/$B$21-1</f>
        <v>-1.980198019801982E-3</v>
      </c>
    </row>
    <row r="83" spans="1:7" x14ac:dyDescent="0.2">
      <c r="A83" s="15">
        <v>43801</v>
      </c>
      <c r="B83" s="16">
        <v>1.0069999999999999</v>
      </c>
      <c r="C83" s="73">
        <f t="shared" ref="C83:C89" si="16">IFERROR(B83-B82,0)</f>
        <v>-1.0000000000001119E-3</v>
      </c>
      <c r="D83" s="18">
        <f t="shared" ref="D83:D89" si="17">IF(C83&lt;0,C83,"/")</f>
        <v>-1.0000000000001119E-3</v>
      </c>
      <c r="E83" s="18">
        <f ca="1">IF(表2_3671626293038[[#This Row],[累计净值]]/MAX(INDIRECT("B21:B" &amp; ROW()))-1&lt;E82,表2_3671626293038[[#This Row],[累计净值]]/MAX(INDIRECT("B21:B" &amp; ROW()))-1,E82)</f>
        <v>-1.4677103718199747E-2</v>
      </c>
      <c r="F83" s="62">
        <f>表2_3671626293038[[#This Row],[累计净值]]</f>
        <v>1.0069999999999999</v>
      </c>
      <c r="G83" s="20">
        <f>表2_3671626293038[[#This Row],[累计净值]]/$B$21-1</f>
        <v>-2.970297029703084E-3</v>
      </c>
    </row>
    <row r="84" spans="1:7" x14ac:dyDescent="0.2">
      <c r="A84" s="15">
        <v>43802</v>
      </c>
      <c r="B84" s="16">
        <v>1.0069999999999999</v>
      </c>
      <c r="C84" s="73">
        <f t="shared" si="16"/>
        <v>0</v>
      </c>
      <c r="D84" s="18" t="str">
        <f t="shared" si="17"/>
        <v>/</v>
      </c>
      <c r="E84" s="18">
        <f ca="1">IF(表2_3671626293038[[#This Row],[累计净值]]/MAX(INDIRECT("B21:B" &amp; ROW()))-1&lt;E83,表2_3671626293038[[#This Row],[累计净值]]/MAX(INDIRECT("B21:B" &amp; ROW()))-1,E83)</f>
        <v>-1.4677103718199747E-2</v>
      </c>
      <c r="F84" s="62">
        <f>表2_3671626293038[[#This Row],[累计净值]]</f>
        <v>1.0069999999999999</v>
      </c>
      <c r="G84" s="20">
        <f>表2_3671626293038[[#This Row],[累计净值]]/$B$21-1</f>
        <v>-2.970297029703084E-3</v>
      </c>
    </row>
    <row r="85" spans="1:7" x14ac:dyDescent="0.2">
      <c r="A85" s="15">
        <v>43803</v>
      </c>
      <c r="B85" s="16">
        <v>1.0089999999999999</v>
      </c>
      <c r="C85" s="73">
        <f t="shared" si="16"/>
        <v>2.0000000000000018E-3</v>
      </c>
      <c r="D85" s="18" t="str">
        <f t="shared" si="17"/>
        <v>/</v>
      </c>
      <c r="E85" s="18">
        <f ca="1">IF(表2_3671626293038[[#This Row],[累计净值]]/MAX(INDIRECT("B21:B" &amp; ROW()))-1&lt;E84,表2_3671626293038[[#This Row],[累计净值]]/MAX(INDIRECT("B21:B" &amp; ROW()))-1,E84)</f>
        <v>-1.4677103718199747E-2</v>
      </c>
      <c r="F85" s="62">
        <f>表2_3671626293038[[#This Row],[累计净值]]</f>
        <v>1.0089999999999999</v>
      </c>
      <c r="G85" s="20">
        <f>表2_3671626293038[[#This Row],[累计净值]]/$B$21-1</f>
        <v>-9.90099009901102E-4</v>
      </c>
    </row>
    <row r="86" spans="1:7" x14ac:dyDescent="0.2">
      <c r="A86" s="15">
        <v>43804</v>
      </c>
      <c r="B86" s="16">
        <v>1.0109999999999999</v>
      </c>
      <c r="C86" s="73">
        <f t="shared" si="16"/>
        <v>2.0000000000000018E-3</v>
      </c>
      <c r="D86" s="18" t="str">
        <f t="shared" si="17"/>
        <v>/</v>
      </c>
      <c r="E86" s="18">
        <f ca="1">IF(表2_3671626293038[[#This Row],[累计净值]]/MAX(INDIRECT("B21:B" &amp; ROW()))-1&lt;E85,表2_3671626293038[[#This Row],[累计净值]]/MAX(INDIRECT("B21:B" &amp; ROW()))-1,E85)</f>
        <v>-1.4677103718199747E-2</v>
      </c>
      <c r="F86" s="62">
        <f>表2_3671626293038[[#This Row],[累计净值]]</f>
        <v>1.0109999999999999</v>
      </c>
      <c r="G86" s="20">
        <f>表2_3671626293038[[#This Row],[累计净值]]/$B$21-1</f>
        <v>9.9009900990099098E-4</v>
      </c>
    </row>
    <row r="87" spans="1:7" x14ac:dyDescent="0.2">
      <c r="A87" s="15">
        <v>43805</v>
      </c>
      <c r="B87" s="16">
        <v>1.01</v>
      </c>
      <c r="C87" s="73">
        <f t="shared" si="16"/>
        <v>-9.9999999999988987E-4</v>
      </c>
      <c r="D87" s="18">
        <f t="shared" si="17"/>
        <v>-9.9999999999988987E-4</v>
      </c>
      <c r="E87" s="18">
        <f ca="1">IF(表2_3671626293038[[#This Row],[累计净值]]/MAX(INDIRECT("B21:B" &amp; ROW()))-1&lt;E86,表2_3671626293038[[#This Row],[累计净值]]/MAX(INDIRECT("B21:B" &amp; ROW()))-1,E86)</f>
        <v>-1.4677103718199747E-2</v>
      </c>
      <c r="F87" s="62">
        <f>表2_3671626293038[[#This Row],[累计净值]]</f>
        <v>1.01</v>
      </c>
      <c r="G87" s="20">
        <f>表2_3671626293038[[#This Row],[累计净值]]/$B$21-1</f>
        <v>0</v>
      </c>
    </row>
    <row r="88" spans="1:7" x14ac:dyDescent="0.2">
      <c r="A88" s="15">
        <v>43808</v>
      </c>
      <c r="B88" s="16">
        <v>1.0089999999999999</v>
      </c>
      <c r="C88" s="73">
        <f t="shared" si="16"/>
        <v>-1.0000000000001119E-3</v>
      </c>
      <c r="D88" s="18">
        <f t="shared" si="17"/>
        <v>-1.0000000000001119E-3</v>
      </c>
      <c r="E88" s="18">
        <f ca="1">IF(表2_3671626293038[[#This Row],[累计净值]]/MAX(INDIRECT("B21:B" &amp; ROW()))-1&lt;E87,表2_3671626293038[[#This Row],[累计净值]]/MAX(INDIRECT("B21:B" &amp; ROW()))-1,E87)</f>
        <v>-1.4677103718199747E-2</v>
      </c>
      <c r="F88" s="62">
        <f>表2_3671626293038[[#This Row],[累计净值]]</f>
        <v>1.0089999999999999</v>
      </c>
      <c r="G88" s="20">
        <f>表2_3671626293038[[#This Row],[累计净值]]/$B$21-1</f>
        <v>-9.90099009901102E-4</v>
      </c>
    </row>
    <row r="89" spans="1:7" x14ac:dyDescent="0.2">
      <c r="A89" s="15">
        <v>43809</v>
      </c>
      <c r="B89" s="16">
        <v>1.008</v>
      </c>
      <c r="C89" s="73">
        <f t="shared" si="16"/>
        <v>-9.9999999999988987E-4</v>
      </c>
      <c r="D89" s="18">
        <f t="shared" si="17"/>
        <v>-9.9999999999988987E-4</v>
      </c>
      <c r="E89" s="18">
        <f ca="1">IF(表2_3671626293038[[#This Row],[累计净值]]/MAX(INDIRECT("B21:B" &amp; ROW()))-1&lt;E88,表2_3671626293038[[#This Row],[累计净值]]/MAX(INDIRECT("B21:B" &amp; ROW()))-1,E88)</f>
        <v>-1.4677103718199747E-2</v>
      </c>
      <c r="F89" s="62">
        <f>表2_3671626293038[[#This Row],[累计净值]]</f>
        <v>1.008</v>
      </c>
      <c r="G89" s="20">
        <f>表2_3671626293038[[#This Row],[累计净值]]/$B$21-1</f>
        <v>-1.980198019801982E-3</v>
      </c>
    </row>
    <row r="90" spans="1:7" x14ac:dyDescent="0.2">
      <c r="A90" s="15">
        <v>43810</v>
      </c>
      <c r="B90" s="16">
        <v>1.01</v>
      </c>
      <c r="C90" s="73">
        <f t="shared" ref="C90:C102" si="18">IFERROR(B90-B89,0)</f>
        <v>2.0000000000000018E-3</v>
      </c>
      <c r="D90" s="18" t="str">
        <f t="shared" ref="D90:D102" si="19">IF(C90&lt;0,C90,"/")</f>
        <v>/</v>
      </c>
      <c r="E90" s="18">
        <f ca="1">IF(表2_3671626293038[[#This Row],[累计净值]]/MAX(INDIRECT("B21:B" &amp; ROW()))-1&lt;E89,表2_3671626293038[[#This Row],[累计净值]]/MAX(INDIRECT("B21:B" &amp; ROW()))-1,E89)</f>
        <v>-1.4677103718199747E-2</v>
      </c>
      <c r="F90" s="62">
        <f>表2_3671626293038[[#This Row],[累计净值]]</f>
        <v>1.01</v>
      </c>
      <c r="G90" s="20">
        <f>表2_3671626293038[[#This Row],[累计净值]]/$B$21-1</f>
        <v>0</v>
      </c>
    </row>
    <row r="91" spans="1:7" x14ac:dyDescent="0.2">
      <c r="A91" s="15">
        <v>43811</v>
      </c>
      <c r="B91" s="16">
        <v>1.01</v>
      </c>
      <c r="C91" s="73">
        <f t="shared" si="18"/>
        <v>0</v>
      </c>
      <c r="D91" s="18" t="str">
        <f t="shared" si="19"/>
        <v>/</v>
      </c>
      <c r="E91" s="18">
        <f ca="1">IF(表2_3671626293038[[#This Row],[累计净值]]/MAX(INDIRECT("B21:B" &amp; ROW()))-1&lt;E90,表2_3671626293038[[#This Row],[累计净值]]/MAX(INDIRECT("B21:B" &amp; ROW()))-1,E90)</f>
        <v>-1.4677103718199747E-2</v>
      </c>
      <c r="F91" s="62">
        <f>表2_3671626293038[[#This Row],[累计净值]]</f>
        <v>1.01</v>
      </c>
      <c r="G91" s="20">
        <f>表2_3671626293038[[#This Row],[累计净值]]/$B$21-1</f>
        <v>0</v>
      </c>
    </row>
    <row r="92" spans="1:7" x14ac:dyDescent="0.2">
      <c r="A92" s="15">
        <v>43812</v>
      </c>
      <c r="B92" s="16">
        <v>1.012</v>
      </c>
      <c r="C92" s="73">
        <f t="shared" si="18"/>
        <v>2.0000000000000018E-3</v>
      </c>
      <c r="D92" s="18" t="str">
        <f t="shared" si="19"/>
        <v>/</v>
      </c>
      <c r="E92" s="18">
        <f ca="1">IF(表2_3671626293038[[#This Row],[累计净值]]/MAX(INDIRECT("B21:B" &amp; ROW()))-1&lt;E91,表2_3671626293038[[#This Row],[累计净值]]/MAX(INDIRECT("B21:B" &amp; ROW()))-1,E91)</f>
        <v>-1.4677103718199747E-2</v>
      </c>
      <c r="F92" s="62">
        <f>表2_3671626293038[[#This Row],[累计净值]]</f>
        <v>1.012</v>
      </c>
      <c r="G92" s="20">
        <f>表2_3671626293038[[#This Row],[累计净值]]/$B$21-1</f>
        <v>1.980198019801982E-3</v>
      </c>
    </row>
    <row r="93" spans="1:7" x14ac:dyDescent="0.2">
      <c r="A93" s="15">
        <v>43815</v>
      </c>
      <c r="B93" s="16">
        <v>1.0089999999999999</v>
      </c>
      <c r="C93" s="73">
        <f t="shared" si="18"/>
        <v>-3.0000000000001137E-3</v>
      </c>
      <c r="D93" s="18">
        <f t="shared" si="19"/>
        <v>-3.0000000000001137E-3</v>
      </c>
      <c r="E93" s="18">
        <f ca="1">IF(表2_3671626293038[[#This Row],[累计净值]]/MAX(INDIRECT("B21:B" &amp; ROW()))-1&lt;E92,表2_3671626293038[[#This Row],[累计净值]]/MAX(INDIRECT("B21:B" &amp; ROW()))-1,E92)</f>
        <v>-1.4677103718199747E-2</v>
      </c>
      <c r="F93" s="62">
        <f>表2_3671626293038[[#This Row],[累计净值]]</f>
        <v>1.0089999999999999</v>
      </c>
      <c r="G93" s="20">
        <f>表2_3671626293038[[#This Row],[累计净值]]/$B$21-1</f>
        <v>-9.90099009901102E-4</v>
      </c>
    </row>
    <row r="94" spans="1:7" x14ac:dyDescent="0.2">
      <c r="A94" s="15">
        <v>43816</v>
      </c>
      <c r="B94" s="16">
        <v>1.0049999999999999</v>
      </c>
      <c r="C94" s="73">
        <f t="shared" si="18"/>
        <v>-4.0000000000000036E-3</v>
      </c>
      <c r="D94" s="18">
        <f t="shared" si="19"/>
        <v>-4.0000000000000036E-3</v>
      </c>
      <c r="E94" s="18">
        <f ca="1">IF(表2_3671626293038[[#This Row],[累计净值]]/MAX(INDIRECT("B21:B" &amp; ROW()))-1&lt;E93,表2_3671626293038[[#This Row],[累计净值]]/MAX(INDIRECT("B21:B" &amp; ROW()))-1,E93)</f>
        <v>-1.6634050880626305E-2</v>
      </c>
      <c r="F94" s="62">
        <f>表2_3671626293038[[#This Row],[累计净值]]</f>
        <v>1.0049999999999999</v>
      </c>
      <c r="G94" s="20">
        <f>表2_3671626293038[[#This Row],[累计净值]]/$B$21-1</f>
        <v>-4.9504950495050659E-3</v>
      </c>
    </row>
    <row r="95" spans="1:7" x14ac:dyDescent="0.2">
      <c r="A95" s="15">
        <v>43817</v>
      </c>
      <c r="B95" s="16">
        <v>1.002</v>
      </c>
      <c r="C95" s="73">
        <f t="shared" si="18"/>
        <v>-2.9999999999998916E-3</v>
      </c>
      <c r="D95" s="18">
        <f t="shared" si="19"/>
        <v>-2.9999999999998916E-3</v>
      </c>
      <c r="E95" s="18">
        <f ca="1">IF(表2_3671626293038[[#This Row],[累计净值]]/MAX(INDIRECT("B21:B" &amp; ROW()))-1&lt;E94,表2_3671626293038[[#This Row],[累计净值]]/MAX(INDIRECT("B21:B" &amp; ROW()))-1,E94)</f>
        <v>-1.9569471624266144E-2</v>
      </c>
      <c r="F95" s="62">
        <f>表2_3671626293038[[#This Row],[累计净值]]</f>
        <v>1.002</v>
      </c>
      <c r="G95" s="20">
        <f>表2_3671626293038[[#This Row],[累计净值]]/$B$21-1</f>
        <v>-7.9207920792079278E-3</v>
      </c>
    </row>
    <row r="96" spans="1:7" x14ac:dyDescent="0.2">
      <c r="A96" s="15">
        <v>43818</v>
      </c>
      <c r="B96" s="16">
        <v>1.0009999999999999</v>
      </c>
      <c r="C96" s="73">
        <f t="shared" si="18"/>
        <v>-1.0000000000001119E-3</v>
      </c>
      <c r="D96" s="18">
        <f t="shared" si="19"/>
        <v>-1.0000000000001119E-3</v>
      </c>
      <c r="E96" s="18">
        <f ca="1">IF(表2_3671626293038[[#This Row],[累计净值]]/MAX(INDIRECT("B21:B" &amp; ROW()))-1&lt;E95,表2_3671626293038[[#This Row],[累计净值]]/MAX(INDIRECT("B21:B" &amp; ROW()))-1,E95)</f>
        <v>-2.0547945205479534E-2</v>
      </c>
      <c r="F96" s="62">
        <f>表2_3671626293038[[#This Row],[累计净值]]</f>
        <v>1.0009999999999999</v>
      </c>
      <c r="G96" s="20">
        <f>表2_3671626293038[[#This Row],[累计净值]]/$B$21-1</f>
        <v>-8.9108910891090298E-3</v>
      </c>
    </row>
    <row r="97" spans="1:7" x14ac:dyDescent="0.2">
      <c r="A97" s="15">
        <v>43819</v>
      </c>
      <c r="B97" s="16">
        <v>1</v>
      </c>
      <c r="C97" s="73">
        <f t="shared" si="18"/>
        <v>-9.9999999999988987E-4</v>
      </c>
      <c r="D97" s="18">
        <f t="shared" si="19"/>
        <v>-9.9999999999988987E-4</v>
      </c>
      <c r="E97" s="18">
        <f ca="1">IF(表2_3671626293038[[#This Row],[累计净值]]/MAX(INDIRECT("B21:B" &amp; ROW()))-1&lt;E96,表2_3671626293038[[#This Row],[累计净值]]/MAX(INDIRECT("B21:B" &amp; ROW()))-1,E96)</f>
        <v>-2.1526418786692814E-2</v>
      </c>
      <c r="F97" s="62">
        <f>表2_3671626293038[[#This Row],[累计净值]]</f>
        <v>1</v>
      </c>
      <c r="G97" s="20">
        <f>表2_3671626293038[[#This Row],[累计净值]]/$B$21-1</f>
        <v>-9.9009900990099098E-3</v>
      </c>
    </row>
    <row r="98" spans="1:7" x14ac:dyDescent="0.2">
      <c r="A98" s="15">
        <v>43822</v>
      </c>
      <c r="B98" s="16">
        <v>1.0049999999999999</v>
      </c>
      <c r="C98" s="73">
        <f t="shared" si="18"/>
        <v>4.9999999999998934E-3</v>
      </c>
      <c r="D98" s="18" t="str">
        <f t="shared" si="19"/>
        <v>/</v>
      </c>
      <c r="E98" s="18">
        <f ca="1">IF(表2_3671626293038[[#This Row],[累计净值]]/MAX(INDIRECT("B21:B" &amp; ROW()))-1&lt;E97,表2_3671626293038[[#This Row],[累计净值]]/MAX(INDIRECT("B21:B" &amp; ROW()))-1,E97)</f>
        <v>-2.1526418786692814E-2</v>
      </c>
      <c r="F98" s="62">
        <f>表2_3671626293038[[#This Row],[累计净值]]</f>
        <v>1.0049999999999999</v>
      </c>
      <c r="G98" s="20">
        <f>表2_3671626293038[[#This Row],[累计净值]]/$B$21-1</f>
        <v>-4.9504950495050659E-3</v>
      </c>
    </row>
    <row r="99" spans="1:7" x14ac:dyDescent="0.2">
      <c r="A99" s="15">
        <v>43823</v>
      </c>
      <c r="B99" s="16">
        <v>1.006</v>
      </c>
      <c r="C99" s="73">
        <f t="shared" si="18"/>
        <v>1.0000000000001119E-3</v>
      </c>
      <c r="D99" s="18" t="str">
        <f t="shared" si="19"/>
        <v>/</v>
      </c>
      <c r="E99" s="18">
        <f ca="1">IF(表2_3671626293038[[#This Row],[累计净值]]/MAX(INDIRECT("B21:B" &amp; ROW()))-1&lt;E98,表2_3671626293038[[#This Row],[累计净值]]/MAX(INDIRECT("B21:B" &amp; ROW()))-1,E98)</f>
        <v>-2.1526418786692814E-2</v>
      </c>
      <c r="F99" s="62">
        <f>表2_3671626293038[[#This Row],[累计净值]]</f>
        <v>1.006</v>
      </c>
      <c r="G99" s="20">
        <f>表2_3671626293038[[#This Row],[累计净值]]/$B$21-1</f>
        <v>-3.9603960396039639E-3</v>
      </c>
    </row>
    <row r="100" spans="1:7" x14ac:dyDescent="0.2">
      <c r="A100" s="15">
        <v>43824</v>
      </c>
      <c r="B100" s="16">
        <v>1.006</v>
      </c>
      <c r="C100" s="73">
        <f t="shared" si="18"/>
        <v>0</v>
      </c>
      <c r="D100" s="18" t="str">
        <f t="shared" si="19"/>
        <v>/</v>
      </c>
      <c r="E100" s="18">
        <f ca="1">IF(表2_3671626293038[[#This Row],[累计净值]]/MAX(INDIRECT("B21:B" &amp; ROW()))-1&lt;E99,表2_3671626293038[[#This Row],[累计净值]]/MAX(INDIRECT("B21:B" &amp; ROW()))-1,E99)</f>
        <v>-2.1526418786692814E-2</v>
      </c>
      <c r="F100" s="62">
        <f>表2_3671626293038[[#This Row],[累计净值]]</f>
        <v>1.006</v>
      </c>
      <c r="G100" s="20">
        <f>表2_3671626293038[[#This Row],[累计净值]]/$B$21-1</f>
        <v>-3.9603960396039639E-3</v>
      </c>
    </row>
    <row r="101" spans="1:7" x14ac:dyDescent="0.2">
      <c r="A101" s="15">
        <v>43825</v>
      </c>
      <c r="B101" s="16">
        <v>1.0049999999999999</v>
      </c>
      <c r="C101" s="73">
        <f t="shared" si="18"/>
        <v>-1.0000000000001119E-3</v>
      </c>
      <c r="D101" s="18">
        <f t="shared" si="19"/>
        <v>-1.0000000000001119E-3</v>
      </c>
      <c r="E101" s="18">
        <f ca="1">IF(表2_3671626293038[[#This Row],[累计净值]]/MAX(INDIRECT("B21:B" &amp; ROW()))-1&lt;E100,表2_3671626293038[[#This Row],[累计净值]]/MAX(INDIRECT("B21:B" &amp; ROW()))-1,E100)</f>
        <v>-2.1526418786692814E-2</v>
      </c>
      <c r="F101" s="62">
        <f>表2_3671626293038[[#This Row],[累计净值]]</f>
        <v>1.0049999999999999</v>
      </c>
      <c r="G101" s="20">
        <f>表2_3671626293038[[#This Row],[累计净值]]/$B$21-1</f>
        <v>-4.9504950495050659E-3</v>
      </c>
    </row>
    <row r="102" spans="1:7" x14ac:dyDescent="0.2">
      <c r="A102" s="15">
        <v>43826</v>
      </c>
      <c r="B102" s="16">
        <v>1.006</v>
      </c>
      <c r="C102" s="73">
        <f t="shared" si="18"/>
        <v>1.0000000000001119E-3</v>
      </c>
      <c r="D102" s="18" t="str">
        <f t="shared" si="19"/>
        <v>/</v>
      </c>
      <c r="E102" s="18">
        <f ca="1">IF(表2_3671626293038[[#This Row],[累计净值]]/MAX(INDIRECT("B21:B" &amp; ROW()))-1&lt;E101,表2_3671626293038[[#This Row],[累计净值]]/MAX(INDIRECT("B21:B" &amp; ROW()))-1,E101)</f>
        <v>-2.1526418786692814E-2</v>
      </c>
      <c r="F102" s="62">
        <f>表2_3671626293038[[#This Row],[累计净值]]</f>
        <v>1.006</v>
      </c>
      <c r="G102" s="20">
        <f>表2_3671626293038[[#This Row],[累计净值]]/$B$21-1</f>
        <v>-3.9603960396039639E-3</v>
      </c>
    </row>
    <row r="103" spans="1:7" x14ac:dyDescent="0.2">
      <c r="A103" s="15">
        <v>43829</v>
      </c>
      <c r="B103" s="16">
        <v>1.0049999999999999</v>
      </c>
      <c r="C103" s="73">
        <f t="shared" ref="C103:C108" si="20">IFERROR(B103-B102,0)</f>
        <v>-1.0000000000001119E-3</v>
      </c>
      <c r="D103" s="18">
        <f t="shared" ref="D103:D108" si="21">IF(C103&lt;0,C103,"/")</f>
        <v>-1.0000000000001119E-3</v>
      </c>
      <c r="E103" s="18">
        <f ca="1">IF(表2_3671626293038[[#This Row],[累计净值]]/MAX(INDIRECT("B21:B" &amp; ROW()))-1&lt;E102,表2_3671626293038[[#This Row],[累计净值]]/MAX(INDIRECT("B21:B" &amp; ROW()))-1,E102)</f>
        <v>-2.1526418786692814E-2</v>
      </c>
      <c r="F103" s="62">
        <f>表2_3671626293038[[#This Row],[累计净值]]</f>
        <v>1.0049999999999999</v>
      </c>
      <c r="G103" s="20">
        <f>表2_3671626293038[[#This Row],[累计净值]]/$B$21-1</f>
        <v>-4.9504950495050659E-3</v>
      </c>
    </row>
    <row r="104" spans="1:7" x14ac:dyDescent="0.2">
      <c r="A104" s="15">
        <v>43830</v>
      </c>
      <c r="B104" s="16">
        <v>1.008</v>
      </c>
      <c r="C104" s="73">
        <f t="shared" si="20"/>
        <v>3.0000000000001137E-3</v>
      </c>
      <c r="D104" s="18" t="str">
        <f t="shared" si="21"/>
        <v>/</v>
      </c>
      <c r="E104" s="18">
        <f ca="1">IF(表2_3671626293038[[#This Row],[累计净值]]/MAX(INDIRECT("B21:B" &amp; ROW()))-1&lt;E103,表2_3671626293038[[#This Row],[累计净值]]/MAX(INDIRECT("B21:B" &amp; ROW()))-1,E103)</f>
        <v>-2.1526418786692814E-2</v>
      </c>
      <c r="F104" s="62">
        <f>表2_3671626293038[[#This Row],[累计净值]]</f>
        <v>1.008</v>
      </c>
      <c r="G104" s="20">
        <f>表2_3671626293038[[#This Row],[累计净值]]/$B$21-1</f>
        <v>-1.980198019801982E-3</v>
      </c>
    </row>
    <row r="105" spans="1:7" x14ac:dyDescent="0.2">
      <c r="A105" s="15">
        <v>43832</v>
      </c>
      <c r="B105" s="16">
        <v>1.008</v>
      </c>
      <c r="C105" s="73">
        <f t="shared" si="20"/>
        <v>0</v>
      </c>
      <c r="D105" s="18" t="str">
        <f t="shared" si="21"/>
        <v>/</v>
      </c>
      <c r="E105" s="18">
        <f ca="1">IF(表2_3671626293038[[#This Row],[累计净值]]/MAX(INDIRECT("B21:B" &amp; ROW()))-1&lt;E104,表2_3671626293038[[#This Row],[累计净值]]/MAX(INDIRECT("B21:B" &amp; ROW()))-1,E104)</f>
        <v>-2.1526418786692814E-2</v>
      </c>
      <c r="F105" s="62">
        <f>表2_3671626293038[[#This Row],[累计净值]]</f>
        <v>1.008</v>
      </c>
      <c r="G105" s="20">
        <f>表2_3671626293038[[#This Row],[累计净值]]/$B$21-1</f>
        <v>-1.980198019801982E-3</v>
      </c>
    </row>
    <row r="106" spans="1:7" x14ac:dyDescent="0.2">
      <c r="A106" s="15">
        <v>43833</v>
      </c>
      <c r="B106" s="16">
        <v>1.0069999999999999</v>
      </c>
      <c r="C106" s="73">
        <f t="shared" si="20"/>
        <v>-1.0000000000001119E-3</v>
      </c>
      <c r="D106" s="18">
        <f t="shared" si="21"/>
        <v>-1.0000000000001119E-3</v>
      </c>
      <c r="E106" s="18">
        <f ca="1">IF(表2_3671626293038[[#This Row],[累计净值]]/MAX(INDIRECT("B21:B" &amp; ROW()))-1&lt;E105,表2_3671626293038[[#This Row],[累计净值]]/MAX(INDIRECT("B21:B" &amp; ROW()))-1,E105)</f>
        <v>-2.1526418786692814E-2</v>
      </c>
      <c r="F106" s="62">
        <f>表2_3671626293038[[#This Row],[累计净值]]</f>
        <v>1.0069999999999999</v>
      </c>
      <c r="G106" s="20">
        <f>表2_3671626293038[[#This Row],[累计净值]]/$B$21-1</f>
        <v>-2.970297029703084E-3</v>
      </c>
    </row>
    <row r="107" spans="1:7" x14ac:dyDescent="0.2">
      <c r="A107" s="15">
        <v>43836</v>
      </c>
      <c r="B107" s="16">
        <v>1.0009999999999999</v>
      </c>
      <c r="C107" s="73">
        <f t="shared" si="20"/>
        <v>-6.0000000000000053E-3</v>
      </c>
      <c r="D107" s="18">
        <f t="shared" si="21"/>
        <v>-6.0000000000000053E-3</v>
      </c>
      <c r="E107" s="18">
        <f ca="1">IF(表2_3671626293038[[#This Row],[累计净值]]/MAX(INDIRECT("B21:B" &amp; ROW()))-1&lt;E106,表2_3671626293038[[#This Row],[累计净值]]/MAX(INDIRECT("B21:B" &amp; ROW()))-1,E106)</f>
        <v>-2.1526418786692814E-2</v>
      </c>
      <c r="F107" s="62">
        <f>表2_3671626293038[[#This Row],[累计净值]]</f>
        <v>1.0009999999999999</v>
      </c>
      <c r="G107" s="20">
        <f>表2_3671626293038[[#This Row],[累计净值]]/$B$21-1</f>
        <v>-8.9108910891090298E-3</v>
      </c>
    </row>
    <row r="108" spans="1:7" x14ac:dyDescent="0.2">
      <c r="A108" s="15">
        <v>43837</v>
      </c>
      <c r="B108" s="16">
        <v>1.002</v>
      </c>
      <c r="C108" s="73">
        <f t="shared" si="20"/>
        <v>1.0000000000001119E-3</v>
      </c>
      <c r="D108" s="18" t="str">
        <f t="shared" si="21"/>
        <v>/</v>
      </c>
      <c r="E108" s="18">
        <f ca="1">IF(表2_3671626293038[[#This Row],[累计净值]]/MAX(INDIRECT("B21:B" &amp; ROW()))-1&lt;E107,表2_3671626293038[[#This Row],[累计净值]]/MAX(INDIRECT("B21:B" &amp; ROW()))-1,E107)</f>
        <v>-2.1526418786692814E-2</v>
      </c>
      <c r="F108" s="62">
        <f>表2_3671626293038[[#This Row],[累计净值]]</f>
        <v>1.002</v>
      </c>
      <c r="G108" s="20">
        <f>表2_3671626293038[[#This Row],[累计净值]]/$B$21-1</f>
        <v>-7.9207920792079278E-3</v>
      </c>
    </row>
    <row r="109" spans="1:7" x14ac:dyDescent="0.2">
      <c r="A109" s="15">
        <v>43838</v>
      </c>
      <c r="B109" s="16">
        <v>1</v>
      </c>
      <c r="C109" s="73">
        <f t="shared" ref="C109:C114" si="22">IFERROR(B109-B108,0)</f>
        <v>-2.0000000000000018E-3</v>
      </c>
      <c r="D109" s="18">
        <f t="shared" ref="D109:D114" si="23">IF(C109&lt;0,C109,"/")</f>
        <v>-2.0000000000000018E-3</v>
      </c>
      <c r="E109" s="18">
        <f ca="1">IF(表2_3671626293038[[#This Row],[累计净值]]/MAX(INDIRECT("B21:B" &amp; ROW()))-1&lt;E108,表2_3671626293038[[#This Row],[累计净值]]/MAX(INDIRECT("B21:B" &amp; ROW()))-1,E108)</f>
        <v>-2.1526418786692814E-2</v>
      </c>
      <c r="F109" s="62">
        <f>表2_3671626293038[[#This Row],[累计净值]]</f>
        <v>1</v>
      </c>
      <c r="G109" s="20">
        <f>表2_3671626293038[[#This Row],[累计净值]]/$B$21-1</f>
        <v>-9.9009900990099098E-3</v>
      </c>
    </row>
    <row r="110" spans="1:7" x14ac:dyDescent="0.2">
      <c r="A110" s="15">
        <v>43839</v>
      </c>
      <c r="B110" s="16">
        <v>1.008</v>
      </c>
      <c r="C110" s="73">
        <f t="shared" si="22"/>
        <v>8.0000000000000071E-3</v>
      </c>
      <c r="D110" s="18" t="str">
        <f t="shared" si="23"/>
        <v>/</v>
      </c>
      <c r="E110" s="18">
        <f ca="1">IF(表2_3671626293038[[#This Row],[累计净值]]/MAX(INDIRECT("B21:B" &amp; ROW()))-1&lt;E109,表2_3671626293038[[#This Row],[累计净值]]/MAX(INDIRECT("B21:B" &amp; ROW()))-1,E109)</f>
        <v>-2.1526418786692814E-2</v>
      </c>
      <c r="F110" s="62">
        <f>表2_3671626293038[[#This Row],[累计净值]]</f>
        <v>1.008</v>
      </c>
      <c r="G110" s="20">
        <f>表2_3671626293038[[#This Row],[累计净值]]/$B$21-1</f>
        <v>-1.980198019801982E-3</v>
      </c>
    </row>
    <row r="111" spans="1:7" x14ac:dyDescent="0.2">
      <c r="A111" s="15">
        <v>43840</v>
      </c>
      <c r="B111" s="16">
        <v>1.0109999999999999</v>
      </c>
      <c r="C111" s="73">
        <f t="shared" si="22"/>
        <v>2.9999999999998916E-3</v>
      </c>
      <c r="D111" s="18" t="str">
        <f t="shared" si="23"/>
        <v>/</v>
      </c>
      <c r="E111" s="18">
        <f ca="1">IF(表2_3671626293038[[#This Row],[累计净值]]/MAX(INDIRECT("B21:B" &amp; ROW()))-1&lt;E110,表2_3671626293038[[#This Row],[累计净值]]/MAX(INDIRECT("B21:B" &amp; ROW()))-1,E110)</f>
        <v>-2.1526418786692814E-2</v>
      </c>
      <c r="F111" s="62">
        <f>表2_3671626293038[[#This Row],[累计净值]]</f>
        <v>1.0109999999999999</v>
      </c>
      <c r="G111" s="20">
        <f>表2_3671626293038[[#This Row],[累计净值]]/$B$21-1</f>
        <v>9.9009900990099098E-4</v>
      </c>
    </row>
    <row r="112" spans="1:7" x14ac:dyDescent="0.2">
      <c r="A112" s="15">
        <v>43843</v>
      </c>
      <c r="B112" s="16">
        <v>1.0089999999999999</v>
      </c>
      <c r="C112" s="73">
        <f t="shared" si="22"/>
        <v>-2.0000000000000018E-3</v>
      </c>
      <c r="D112" s="18">
        <f t="shared" si="23"/>
        <v>-2.0000000000000018E-3</v>
      </c>
      <c r="E112" s="18">
        <f ca="1">IF(表2_3671626293038[[#This Row],[累计净值]]/MAX(INDIRECT("B21:B" &amp; ROW()))-1&lt;E111,表2_3671626293038[[#This Row],[累计净值]]/MAX(INDIRECT("B21:B" &amp; ROW()))-1,E111)</f>
        <v>-2.1526418786692814E-2</v>
      </c>
      <c r="F112" s="62">
        <f>表2_3671626293038[[#This Row],[累计净值]]</f>
        <v>1.0089999999999999</v>
      </c>
      <c r="G112" s="20">
        <f>表2_3671626293038[[#This Row],[累计净值]]/$B$21-1</f>
        <v>-9.90099009901102E-4</v>
      </c>
    </row>
    <row r="113" spans="1:7" x14ac:dyDescent="0.2">
      <c r="A113" s="15">
        <v>43844</v>
      </c>
      <c r="B113" s="16">
        <v>1.0109999999999999</v>
      </c>
      <c r="C113" s="73">
        <f t="shared" si="22"/>
        <v>2.0000000000000018E-3</v>
      </c>
      <c r="D113" s="18" t="str">
        <f t="shared" si="23"/>
        <v>/</v>
      </c>
      <c r="E113" s="18">
        <f ca="1">IF(表2_3671626293038[[#This Row],[累计净值]]/MAX(INDIRECT("B21:B" &amp; ROW()))-1&lt;E112,表2_3671626293038[[#This Row],[累计净值]]/MAX(INDIRECT("B21:B" &amp; ROW()))-1,E112)</f>
        <v>-2.1526418786692814E-2</v>
      </c>
      <c r="F113" s="62">
        <f>表2_3671626293038[[#This Row],[累计净值]]</f>
        <v>1.0109999999999999</v>
      </c>
      <c r="G113" s="20">
        <f>表2_3671626293038[[#This Row],[累计净值]]/$B$21-1</f>
        <v>9.9009900990099098E-4</v>
      </c>
    </row>
    <row r="114" spans="1:7" x14ac:dyDescent="0.2">
      <c r="A114" s="15">
        <v>43845</v>
      </c>
      <c r="B114" s="16">
        <v>1.0129999999999999</v>
      </c>
      <c r="C114" s="73">
        <f t="shared" si="22"/>
        <v>2.0000000000000018E-3</v>
      </c>
      <c r="D114" s="18" t="str">
        <f t="shared" si="23"/>
        <v>/</v>
      </c>
      <c r="E114" s="18">
        <f ca="1">IF(表2_3671626293038[[#This Row],[累计净值]]/MAX(INDIRECT("B21:B" &amp; ROW()))-1&lt;E113,表2_3671626293038[[#This Row],[累计净值]]/MAX(INDIRECT("B21:B" &amp; ROW()))-1,E113)</f>
        <v>-2.1526418786692814E-2</v>
      </c>
      <c r="F114" s="62">
        <f>表2_3671626293038[[#This Row],[累计净值]]</f>
        <v>1.0129999999999999</v>
      </c>
      <c r="G114" s="20">
        <f>表2_3671626293038[[#This Row],[累计净值]]/$B$21-1</f>
        <v>2.9702970297029729E-3</v>
      </c>
    </row>
    <row r="115" spans="1:7" x14ac:dyDescent="0.2">
      <c r="A115" s="15">
        <v>43846</v>
      </c>
      <c r="B115" s="16">
        <v>1.012</v>
      </c>
      <c r="C115" s="73">
        <f t="shared" ref="C115:C125" si="24">IFERROR(B115-B114,0)</f>
        <v>-9.9999999999988987E-4</v>
      </c>
      <c r="D115" s="18">
        <f t="shared" ref="D115:D125" si="25">IF(C115&lt;0,C115,"/")</f>
        <v>-9.9999999999988987E-4</v>
      </c>
      <c r="E115" s="18">
        <f ca="1">IF(表2_3671626293038[[#This Row],[累计净值]]/MAX(INDIRECT("B21:B" &amp; ROW()))-1&lt;E114,表2_3671626293038[[#This Row],[累计净值]]/MAX(INDIRECT("B21:B" &amp; ROW()))-1,E114)</f>
        <v>-2.1526418786692814E-2</v>
      </c>
      <c r="F115" s="62">
        <f>表2_3671626293038[[#This Row],[累计净值]]</f>
        <v>1.012</v>
      </c>
      <c r="G115" s="20">
        <f>表2_3671626293038[[#This Row],[累计净值]]/$B$21-1</f>
        <v>1.980198019801982E-3</v>
      </c>
    </row>
    <row r="116" spans="1:7" x14ac:dyDescent="0.2">
      <c r="A116" s="15">
        <v>43847</v>
      </c>
      <c r="B116" s="16">
        <v>1.016</v>
      </c>
      <c r="C116" s="73">
        <f t="shared" si="24"/>
        <v>4.0000000000000036E-3</v>
      </c>
      <c r="D116" s="18" t="str">
        <f t="shared" si="25"/>
        <v>/</v>
      </c>
      <c r="E116" s="18">
        <f ca="1">IF(表2_3671626293038[[#This Row],[累计净值]]/MAX(INDIRECT("B21:B" &amp; ROW()))-1&lt;E115,表2_3671626293038[[#This Row],[累计净值]]/MAX(INDIRECT("B21:B" &amp; ROW()))-1,E115)</f>
        <v>-2.1526418786692814E-2</v>
      </c>
      <c r="F116" s="62">
        <f>表2_3671626293038[[#This Row],[累计净值]]</f>
        <v>1.016</v>
      </c>
      <c r="G116" s="20">
        <f>表2_3671626293038[[#This Row],[累计净值]]/$B$21-1</f>
        <v>5.9405940594059459E-3</v>
      </c>
    </row>
    <row r="117" spans="1:7" x14ac:dyDescent="0.2">
      <c r="A117" s="15">
        <v>43850</v>
      </c>
      <c r="B117" s="16">
        <v>1.0129999999999999</v>
      </c>
      <c r="C117" s="73">
        <f t="shared" si="24"/>
        <v>-3.0000000000001137E-3</v>
      </c>
      <c r="D117" s="18">
        <f t="shared" si="25"/>
        <v>-3.0000000000001137E-3</v>
      </c>
      <c r="E117" s="18">
        <f ca="1">IF(表2_3671626293038[[#This Row],[累计净值]]/MAX(INDIRECT("B21:B" &amp; ROW()))-1&lt;E116,表2_3671626293038[[#This Row],[累计净值]]/MAX(INDIRECT("B21:B" &amp; ROW()))-1,E116)</f>
        <v>-2.1526418786692814E-2</v>
      </c>
      <c r="F117" s="62">
        <f>表2_3671626293038[[#This Row],[累计净值]]</f>
        <v>1.0129999999999999</v>
      </c>
      <c r="G117" s="20">
        <f>表2_3671626293038[[#This Row],[累计净值]]/$B$21-1</f>
        <v>2.9702970297029729E-3</v>
      </c>
    </row>
    <row r="118" spans="1:7" x14ac:dyDescent="0.2">
      <c r="A118" s="15">
        <v>43851</v>
      </c>
      <c r="B118" s="16">
        <v>1.0129999999999999</v>
      </c>
      <c r="C118" s="73">
        <f t="shared" si="24"/>
        <v>0</v>
      </c>
      <c r="D118" s="18" t="str">
        <f t="shared" si="25"/>
        <v>/</v>
      </c>
      <c r="E118" s="18">
        <f ca="1">IF(表2_3671626293038[[#This Row],[累计净值]]/MAX(INDIRECT("B21:B" &amp; ROW()))-1&lt;E117,表2_3671626293038[[#This Row],[累计净值]]/MAX(INDIRECT("B21:B" &amp; ROW()))-1,E117)</f>
        <v>-2.1526418786692814E-2</v>
      </c>
      <c r="F118" s="62">
        <f>表2_3671626293038[[#This Row],[累计净值]]</f>
        <v>1.0129999999999999</v>
      </c>
      <c r="G118" s="20">
        <f>表2_3671626293038[[#This Row],[累计净值]]/$B$21-1</f>
        <v>2.9702970297029729E-3</v>
      </c>
    </row>
    <row r="119" spans="1:7" x14ac:dyDescent="0.2">
      <c r="A119" s="15">
        <v>43852</v>
      </c>
      <c r="B119" s="16">
        <v>1.0008999999999999</v>
      </c>
      <c r="C119" s="73">
        <f t="shared" si="24"/>
        <v>-1.21E-2</v>
      </c>
      <c r="D119" s="18">
        <f t="shared" si="25"/>
        <v>-1.21E-2</v>
      </c>
      <c r="E119" s="18">
        <f ca="1">IF(表2_3671626293038[[#This Row],[累计净值]]/MAX(INDIRECT("B21:B" &amp; ROW()))-1&lt;E118,表2_3671626293038[[#This Row],[累计净值]]/MAX(INDIRECT("B21:B" &amp; ROW()))-1,E118)</f>
        <v>-2.1526418786692814E-2</v>
      </c>
      <c r="F119" s="62">
        <f>表2_3671626293038[[#This Row],[累计净值]]</f>
        <v>1.0008999999999999</v>
      </c>
      <c r="G119" s="20">
        <f>表2_3671626293038[[#This Row],[累计净值]]/$B$21-1</f>
        <v>-9.0099009900991289E-3</v>
      </c>
    </row>
    <row r="120" spans="1:7" x14ac:dyDescent="0.2">
      <c r="A120" s="15">
        <v>43853</v>
      </c>
      <c r="B120" s="16">
        <v>1.006</v>
      </c>
      <c r="C120" s="73">
        <f t="shared" si="24"/>
        <v>5.1000000000001044E-3</v>
      </c>
      <c r="D120" s="18" t="str">
        <f t="shared" si="25"/>
        <v>/</v>
      </c>
      <c r="E120" s="18">
        <f ca="1">IF(表2_3671626293038[[#This Row],[累计净值]]/MAX(INDIRECT("B21:B" &amp; ROW()))-1&lt;E119,表2_3671626293038[[#This Row],[累计净值]]/MAX(INDIRECT("B21:B" &amp; ROW()))-1,E119)</f>
        <v>-2.1526418786692814E-2</v>
      </c>
      <c r="F120" s="62">
        <f>表2_3671626293038[[#This Row],[累计净值]]</f>
        <v>1.006</v>
      </c>
      <c r="G120" s="20">
        <f>表2_3671626293038[[#This Row],[累计净值]]/$B$21-1</f>
        <v>-3.9603960396039639E-3</v>
      </c>
    </row>
    <row r="121" spans="1:7" x14ac:dyDescent="0.2">
      <c r="A121" s="15">
        <v>43864</v>
      </c>
      <c r="B121" s="16">
        <v>0.998</v>
      </c>
      <c r="C121" s="73">
        <f t="shared" si="24"/>
        <v>-8.0000000000000071E-3</v>
      </c>
      <c r="D121" s="18">
        <f t="shared" si="25"/>
        <v>-8.0000000000000071E-3</v>
      </c>
      <c r="E121" s="18">
        <f ca="1">IF(表2_3671626293038[[#This Row],[累计净值]]/MAX(INDIRECT("B21:B" &amp; ROW()))-1&lt;E120,表2_3671626293038[[#This Row],[累计净值]]/MAX(INDIRECT("B21:B" &amp; ROW()))-1,E120)</f>
        <v>-2.3483365949119372E-2</v>
      </c>
      <c r="F121" s="62">
        <f>表2_3671626293038[[#This Row],[累计净值]]</f>
        <v>0.998</v>
      </c>
      <c r="G121" s="20">
        <f>表2_3671626293038[[#This Row],[累计净值]]/$B$21-1</f>
        <v>-1.1881188118811892E-2</v>
      </c>
    </row>
    <row r="122" spans="1:7" x14ac:dyDescent="0.2">
      <c r="A122" s="15">
        <v>43865</v>
      </c>
      <c r="B122" s="16">
        <v>0.997</v>
      </c>
      <c r="C122" s="73">
        <f t="shared" si="24"/>
        <v>-1.0000000000000009E-3</v>
      </c>
      <c r="D122" s="18">
        <f t="shared" si="25"/>
        <v>-1.0000000000000009E-3</v>
      </c>
      <c r="E122" s="18">
        <f ca="1">IF(表2_3671626293038[[#This Row],[累计净值]]/MAX(INDIRECT("B21:B" &amp; ROW()))-1&lt;E121,表2_3671626293038[[#This Row],[累计净值]]/MAX(INDIRECT("B21:B" &amp; ROW()))-1,E121)</f>
        <v>-2.4461839530332652E-2</v>
      </c>
      <c r="F122" s="62">
        <f>表2_3671626293038[[#This Row],[累计净值]]</f>
        <v>0.997</v>
      </c>
      <c r="G122" s="20">
        <f>表2_3671626293038[[#This Row],[累计净值]]/$B$21-1</f>
        <v>-1.2871287128712883E-2</v>
      </c>
    </row>
    <row r="123" spans="1:7" x14ac:dyDescent="0.2">
      <c r="A123" s="15">
        <v>43866</v>
      </c>
      <c r="B123" s="16">
        <v>0.99399999999999999</v>
      </c>
      <c r="C123" s="73">
        <f t="shared" si="24"/>
        <v>-3.0000000000000027E-3</v>
      </c>
      <c r="D123" s="18">
        <f t="shared" si="25"/>
        <v>-3.0000000000000027E-3</v>
      </c>
      <c r="E123" s="18">
        <f ca="1">IF(表2_3671626293038[[#This Row],[累计净值]]/MAX(INDIRECT("B21:B" &amp; ROW()))-1&lt;E122,表2_3671626293038[[#This Row],[累计净值]]/MAX(INDIRECT("B21:B" &amp; ROW()))-1,E122)</f>
        <v>-2.7397260273972601E-2</v>
      </c>
      <c r="F123" s="62">
        <f>表2_3671626293038[[#This Row],[累计净值]]</f>
        <v>0.99399999999999999</v>
      </c>
      <c r="G123" s="20">
        <f>表2_3671626293038[[#This Row],[累计净值]]/$B$21-1</f>
        <v>-1.5841584158415856E-2</v>
      </c>
    </row>
    <row r="124" spans="1:7" x14ac:dyDescent="0.2">
      <c r="A124" s="15">
        <v>43867</v>
      </c>
      <c r="B124" s="16">
        <v>0.99199999999999999</v>
      </c>
      <c r="C124" s="73">
        <f t="shared" si="24"/>
        <v>-2.0000000000000018E-3</v>
      </c>
      <c r="D124" s="18">
        <f t="shared" si="25"/>
        <v>-2.0000000000000018E-3</v>
      </c>
      <c r="E124" s="18">
        <f ca="1">IF(表2_3671626293038[[#This Row],[累计净值]]/MAX(INDIRECT("B21:B" &amp; ROW()))-1&lt;E123,表2_3671626293038[[#This Row],[累计净值]]/MAX(INDIRECT("B21:B" &amp; ROW()))-1,E123)</f>
        <v>-2.9354207436399271E-2</v>
      </c>
      <c r="F124" s="62">
        <f>表2_3671626293038[[#This Row],[累计净值]]</f>
        <v>0.99199999999999999</v>
      </c>
      <c r="G124" s="20">
        <f>表2_3671626293038[[#This Row],[累计净值]]/$B$21-1</f>
        <v>-1.7821782178217838E-2</v>
      </c>
    </row>
    <row r="125" spans="1:7" x14ac:dyDescent="0.2">
      <c r="A125" s="15">
        <v>43868</v>
      </c>
      <c r="B125" s="16">
        <v>0.99199999999999999</v>
      </c>
      <c r="C125" s="73">
        <f t="shared" si="24"/>
        <v>0</v>
      </c>
      <c r="D125" s="18" t="str">
        <f t="shared" si="25"/>
        <v>/</v>
      </c>
      <c r="E125" s="18">
        <f ca="1">IF(表2_3671626293038[[#This Row],[累计净值]]/MAX(INDIRECT("B21:B" &amp; ROW()))-1&lt;E124,表2_3671626293038[[#This Row],[累计净值]]/MAX(INDIRECT("B21:B" &amp; ROW()))-1,E124)</f>
        <v>-2.9354207436399271E-2</v>
      </c>
      <c r="F125" s="62">
        <f>表2_3671626293038[[#This Row],[累计净值]]</f>
        <v>0.99199999999999999</v>
      </c>
      <c r="G125" s="20">
        <f>表2_3671626293038[[#This Row],[累计净值]]/$B$21-1</f>
        <v>-1.7821782178217838E-2</v>
      </c>
    </row>
    <row r="126" spans="1:7" x14ac:dyDescent="0.2">
      <c r="A126" s="15">
        <v>43871</v>
      </c>
      <c r="B126" s="16">
        <v>1.0009999999999999</v>
      </c>
      <c r="C126" s="73">
        <f t="shared" ref="C126:C131" si="26">IFERROR(B126-B125,0)</f>
        <v>8.999999999999897E-3</v>
      </c>
      <c r="D126" s="18" t="str">
        <f t="shared" ref="D126:D131" si="27">IF(C126&lt;0,C126,"/")</f>
        <v>/</v>
      </c>
      <c r="E126" s="18">
        <f ca="1">IF(表2_3671626293038[[#This Row],[累计净值]]/MAX(INDIRECT("B21:B" &amp; ROW()))-1&lt;E125,表2_3671626293038[[#This Row],[累计净值]]/MAX(INDIRECT("B21:B" &amp; ROW()))-1,E125)</f>
        <v>-2.9354207436399271E-2</v>
      </c>
      <c r="F126" s="62">
        <f>表2_3671626293038[[#This Row],[累计净值]]</f>
        <v>1.0009999999999999</v>
      </c>
      <c r="G126" s="20">
        <f>表2_3671626293038[[#This Row],[累计净值]]/$B$21-1</f>
        <v>-8.9108910891090298E-3</v>
      </c>
    </row>
    <row r="127" spans="1:7" x14ac:dyDescent="0.2">
      <c r="A127" s="15">
        <v>43872</v>
      </c>
      <c r="B127" s="16">
        <v>1.006</v>
      </c>
      <c r="C127" s="73">
        <f t="shared" si="26"/>
        <v>5.0000000000001155E-3</v>
      </c>
      <c r="D127" s="18" t="str">
        <f t="shared" si="27"/>
        <v>/</v>
      </c>
      <c r="E127" s="18">
        <f ca="1">IF(表2_3671626293038[[#This Row],[累计净值]]/MAX(INDIRECT("B21:B" &amp; ROW()))-1&lt;E126,表2_3671626293038[[#This Row],[累计净值]]/MAX(INDIRECT("B21:B" &amp; ROW()))-1,E126)</f>
        <v>-2.9354207436399271E-2</v>
      </c>
      <c r="F127" s="62">
        <f>表2_3671626293038[[#This Row],[累计净值]]</f>
        <v>1.006</v>
      </c>
      <c r="G127" s="20">
        <f>表2_3671626293038[[#This Row],[累计净值]]/$B$21-1</f>
        <v>-3.9603960396039639E-3</v>
      </c>
    </row>
    <row r="128" spans="1:7" x14ac:dyDescent="0.2">
      <c r="A128" s="15">
        <v>43873</v>
      </c>
      <c r="B128" s="16">
        <v>1.0029999999999999</v>
      </c>
      <c r="C128" s="73">
        <f t="shared" si="26"/>
        <v>-3.0000000000001137E-3</v>
      </c>
      <c r="D128" s="18">
        <f t="shared" si="27"/>
        <v>-3.0000000000001137E-3</v>
      </c>
      <c r="E128" s="18">
        <f ca="1">IF(表2_3671626293038[[#This Row],[累计净值]]/MAX(INDIRECT("B21:B" &amp; ROW()))-1&lt;E127,表2_3671626293038[[#This Row],[累计净值]]/MAX(INDIRECT("B21:B" &amp; ROW()))-1,E127)</f>
        <v>-2.9354207436399271E-2</v>
      </c>
      <c r="F128" s="62">
        <f>表2_3671626293038[[#This Row],[累计净值]]</f>
        <v>1.0029999999999999</v>
      </c>
      <c r="G128" s="20">
        <f>表2_3671626293038[[#This Row],[累计净值]]/$B$21-1</f>
        <v>-6.9306930693070479E-3</v>
      </c>
    </row>
    <row r="129" spans="1:7" x14ac:dyDescent="0.2">
      <c r="A129" s="15">
        <v>43874</v>
      </c>
      <c r="B129" s="16">
        <v>1.0029999999999999</v>
      </c>
      <c r="C129" s="73">
        <f t="shared" si="26"/>
        <v>0</v>
      </c>
      <c r="D129" s="18" t="str">
        <f t="shared" si="27"/>
        <v>/</v>
      </c>
      <c r="E129" s="18">
        <f ca="1">IF(表2_3671626293038[[#This Row],[累计净值]]/MAX(INDIRECT("B21:B" &amp; ROW()))-1&lt;E128,表2_3671626293038[[#This Row],[累计净值]]/MAX(INDIRECT("B21:B" &amp; ROW()))-1,E128)</f>
        <v>-2.9354207436399271E-2</v>
      </c>
      <c r="F129" s="62">
        <f>表2_3671626293038[[#This Row],[累计净值]]</f>
        <v>1.0029999999999999</v>
      </c>
      <c r="G129" s="20">
        <f>表2_3671626293038[[#This Row],[累计净值]]/$B$21-1</f>
        <v>-6.9306930693070479E-3</v>
      </c>
    </row>
    <row r="130" spans="1:7" x14ac:dyDescent="0.2">
      <c r="A130" s="15">
        <v>43875</v>
      </c>
      <c r="B130" s="16">
        <v>1.0049999999999999</v>
      </c>
      <c r="C130" s="73">
        <f t="shared" si="26"/>
        <v>2.0000000000000018E-3</v>
      </c>
      <c r="D130" s="18" t="str">
        <f t="shared" si="27"/>
        <v>/</v>
      </c>
      <c r="E130" s="18">
        <f ca="1">IF(表2_3671626293038[[#This Row],[累计净值]]/MAX(INDIRECT("B21:B" &amp; ROW()))-1&lt;E129,表2_3671626293038[[#This Row],[累计净值]]/MAX(INDIRECT("B21:B" &amp; ROW()))-1,E129)</f>
        <v>-2.9354207436399271E-2</v>
      </c>
      <c r="F130" s="62">
        <f>表2_3671626293038[[#This Row],[累计净值]]</f>
        <v>1.0049999999999999</v>
      </c>
      <c r="G130" s="20">
        <f>表2_3671626293038[[#This Row],[累计净值]]/$B$21-1</f>
        <v>-4.9504950495050659E-3</v>
      </c>
    </row>
    <row r="131" spans="1:7" x14ac:dyDescent="0.2">
      <c r="A131" s="15">
        <v>43878</v>
      </c>
      <c r="B131" s="16">
        <v>1.0069999999999999</v>
      </c>
      <c r="C131" s="73">
        <f t="shared" si="26"/>
        <v>2.0000000000000018E-3</v>
      </c>
      <c r="D131" s="18" t="str">
        <f t="shared" si="27"/>
        <v>/</v>
      </c>
      <c r="E131" s="18">
        <f ca="1">IF(表2_3671626293038[[#This Row],[累计净值]]/MAX(INDIRECT("B21:B" &amp; ROW()))-1&lt;E130,表2_3671626293038[[#This Row],[累计净值]]/MAX(INDIRECT("B21:B" &amp; ROW()))-1,E130)</f>
        <v>-2.9354207436399271E-2</v>
      </c>
      <c r="F131" s="62">
        <f>表2_3671626293038[[#This Row],[累计净值]]</f>
        <v>1.0069999999999999</v>
      </c>
      <c r="G131" s="20">
        <f>表2_3671626293038[[#This Row],[累计净值]]/$B$21-1</f>
        <v>-2.970297029703084E-3</v>
      </c>
    </row>
    <row r="132" spans="1:7" x14ac:dyDescent="0.2">
      <c r="A132" s="15">
        <v>43879</v>
      </c>
      <c r="B132" s="16">
        <v>1.0089999999999999</v>
      </c>
      <c r="C132" s="73">
        <f t="shared" ref="C132:C137" si="28">IFERROR(B132-B131,0)</f>
        <v>2.0000000000000018E-3</v>
      </c>
      <c r="D132" s="18" t="str">
        <f t="shared" ref="D132:D137" si="29">IF(C132&lt;0,C132,"/")</f>
        <v>/</v>
      </c>
      <c r="E132" s="18">
        <f ca="1">IF(表2_3671626293038[[#This Row],[累计净值]]/MAX(INDIRECT("B21:B" &amp; ROW()))-1&lt;E131,表2_3671626293038[[#This Row],[累计净值]]/MAX(INDIRECT("B21:B" &amp; ROW()))-1,E131)</f>
        <v>-2.9354207436399271E-2</v>
      </c>
      <c r="F132" s="62">
        <f>表2_3671626293038[[#This Row],[累计净值]]</f>
        <v>1.0089999999999999</v>
      </c>
      <c r="G132" s="20">
        <f>表2_3671626293038[[#This Row],[累计净值]]/$B$21-1</f>
        <v>-9.90099009901102E-4</v>
      </c>
    </row>
    <row r="133" spans="1:7" x14ac:dyDescent="0.2">
      <c r="A133" s="15">
        <v>43880</v>
      </c>
      <c r="B133" s="16">
        <v>1.0129999999999999</v>
      </c>
      <c r="C133" s="73">
        <f t="shared" si="28"/>
        <v>4.0000000000000036E-3</v>
      </c>
      <c r="D133" s="18" t="str">
        <f t="shared" si="29"/>
        <v>/</v>
      </c>
      <c r="E133" s="18">
        <f ca="1">IF(表2_3671626293038[[#This Row],[累计净值]]/MAX(INDIRECT("B21:B" &amp; ROW()))-1&lt;E132,表2_3671626293038[[#This Row],[累计净值]]/MAX(INDIRECT("B21:B" &amp; ROW()))-1,E132)</f>
        <v>-2.9354207436399271E-2</v>
      </c>
      <c r="F133" s="62">
        <f>表2_3671626293038[[#This Row],[累计净值]]</f>
        <v>1.0129999999999999</v>
      </c>
      <c r="G133" s="20">
        <f>表2_3671626293038[[#This Row],[累计净值]]/$B$21-1</f>
        <v>2.9702970297029729E-3</v>
      </c>
    </row>
    <row r="134" spans="1:7" x14ac:dyDescent="0.2">
      <c r="A134" s="15">
        <v>43881</v>
      </c>
      <c r="B134" s="16">
        <v>1.0189999999999999</v>
      </c>
      <c r="C134" s="73">
        <f t="shared" si="28"/>
        <v>6.0000000000000053E-3</v>
      </c>
      <c r="D134" s="18" t="str">
        <f t="shared" si="29"/>
        <v>/</v>
      </c>
      <c r="E134" s="18">
        <f ca="1">IF(表2_3671626293038[[#This Row],[累计净值]]/MAX(INDIRECT("B21:B" &amp; ROW()))-1&lt;E133,表2_3671626293038[[#This Row],[累计净值]]/MAX(INDIRECT("B21:B" &amp; ROW()))-1,E133)</f>
        <v>-2.9354207436399271E-2</v>
      </c>
      <c r="F134" s="62">
        <f>表2_3671626293038[[#This Row],[累计净值]]</f>
        <v>1.0189999999999999</v>
      </c>
      <c r="G134" s="20">
        <f>表2_3671626293038[[#This Row],[累计净值]]/$B$21-1</f>
        <v>8.9108910891089188E-3</v>
      </c>
    </row>
    <row r="135" spans="1:7" x14ac:dyDescent="0.2">
      <c r="A135" s="15">
        <v>43882</v>
      </c>
      <c r="B135" s="16">
        <v>1.0149999999999999</v>
      </c>
      <c r="C135" s="73">
        <f t="shared" si="28"/>
        <v>-4.0000000000000036E-3</v>
      </c>
      <c r="D135" s="18">
        <f t="shared" si="29"/>
        <v>-4.0000000000000036E-3</v>
      </c>
      <c r="E135" s="18">
        <f ca="1">IF(表2_3671626293038[[#This Row],[累计净值]]/MAX(INDIRECT("B21:B" &amp; ROW()))-1&lt;E134,表2_3671626293038[[#This Row],[累计净值]]/MAX(INDIRECT("B21:B" &amp; ROW()))-1,E134)</f>
        <v>-2.9354207436399271E-2</v>
      </c>
      <c r="F135" s="62">
        <f>表2_3671626293038[[#This Row],[累计净值]]</f>
        <v>1.0149999999999999</v>
      </c>
      <c r="G135" s="20">
        <f>表2_3671626293038[[#This Row],[累计净值]]/$B$21-1</f>
        <v>4.9504950495049549E-3</v>
      </c>
    </row>
    <row r="136" spans="1:7" x14ac:dyDescent="0.2">
      <c r="A136" s="15">
        <v>43885</v>
      </c>
      <c r="B136" s="16">
        <v>1.018</v>
      </c>
      <c r="C136" s="73">
        <f t="shared" si="28"/>
        <v>3.0000000000001137E-3</v>
      </c>
      <c r="D136" s="18" t="str">
        <f t="shared" si="29"/>
        <v>/</v>
      </c>
      <c r="E136" s="18">
        <f ca="1">IF(表2_3671626293038[[#This Row],[累计净值]]/MAX(INDIRECT("B21:B" &amp; ROW()))-1&lt;E135,表2_3671626293038[[#This Row],[累计净值]]/MAX(INDIRECT("B21:B" &amp; ROW()))-1,E135)</f>
        <v>-2.9354207436399271E-2</v>
      </c>
      <c r="F136" s="62">
        <f>表2_3671626293038[[#This Row],[累计净值]]</f>
        <v>1.018</v>
      </c>
      <c r="G136" s="20">
        <f>表2_3671626293038[[#This Row],[累计净值]]/$B$21-1</f>
        <v>7.9207920792079278E-3</v>
      </c>
    </row>
    <row r="137" spans="1:7" x14ac:dyDescent="0.2">
      <c r="A137" s="15">
        <v>43886</v>
      </c>
      <c r="B137" s="16">
        <v>1.0109999999999999</v>
      </c>
      <c r="C137" s="73">
        <f t="shared" si="28"/>
        <v>-7.0000000000001172E-3</v>
      </c>
      <c r="D137" s="18">
        <f t="shared" si="29"/>
        <v>-7.0000000000001172E-3</v>
      </c>
      <c r="E137" s="18">
        <f ca="1">IF(表2_3671626293038[[#This Row],[累计净值]]/MAX(INDIRECT("B21:B" &amp; ROW()))-1&lt;E136,表2_3671626293038[[#This Row],[累计净值]]/MAX(INDIRECT("B21:B" &amp; ROW()))-1,E136)</f>
        <v>-2.9354207436399271E-2</v>
      </c>
      <c r="F137" s="62">
        <f>表2_3671626293038[[#This Row],[累计净值]]</f>
        <v>1.0109999999999999</v>
      </c>
      <c r="G137" s="20">
        <f>表2_3671626293038[[#This Row],[累计净值]]/$B$21-1</f>
        <v>9.9009900990099098E-4</v>
      </c>
    </row>
    <row r="138" spans="1:7" x14ac:dyDescent="0.2">
      <c r="A138" s="15">
        <v>43887</v>
      </c>
      <c r="B138" s="16">
        <v>1.0129999999999999</v>
      </c>
      <c r="C138" s="73">
        <f t="shared" ref="C138:C144" si="30">IFERROR(B138-B137,0)</f>
        <v>2.0000000000000018E-3</v>
      </c>
      <c r="D138" s="18" t="str">
        <f t="shared" ref="D138:D144" si="31">IF(C138&lt;0,C138,"/")</f>
        <v>/</v>
      </c>
      <c r="E138" s="18">
        <f ca="1">IF(表2_3671626293038[[#This Row],[累计净值]]/MAX(INDIRECT("B21:B" &amp; ROW()))-1&lt;E137,表2_3671626293038[[#This Row],[累计净值]]/MAX(INDIRECT("B21:B" &amp; ROW()))-1,E137)</f>
        <v>-2.9354207436399271E-2</v>
      </c>
      <c r="F138" s="62">
        <f>表2_3671626293038[[#This Row],[累计净值]]</f>
        <v>1.0129999999999999</v>
      </c>
      <c r="G138" s="20">
        <f>表2_3671626293038[[#This Row],[累计净值]]/$B$21-1</f>
        <v>2.9702970297029729E-3</v>
      </c>
    </row>
    <row r="139" spans="1:7" x14ac:dyDescent="0.2">
      <c r="A139" s="15">
        <v>43888</v>
      </c>
      <c r="B139" s="16">
        <v>1.022</v>
      </c>
      <c r="C139" s="73">
        <f t="shared" si="30"/>
        <v>9.000000000000119E-3</v>
      </c>
      <c r="D139" s="18" t="str">
        <f t="shared" si="31"/>
        <v>/</v>
      </c>
      <c r="E139" s="18">
        <f ca="1">IF(表2_3671626293038[[#This Row],[累计净值]]/MAX(INDIRECT("B21:B" &amp; ROW()))-1&lt;E138,表2_3671626293038[[#This Row],[累计净值]]/MAX(INDIRECT("B21:B" &amp; ROW()))-1,E138)</f>
        <v>-2.9354207436399271E-2</v>
      </c>
      <c r="F139" s="62">
        <f>表2_3671626293038[[#This Row],[累计净值]]</f>
        <v>1.022</v>
      </c>
      <c r="G139" s="20">
        <f>表2_3671626293038[[#This Row],[累计净值]]/$B$21-1</f>
        <v>1.1881188118811892E-2</v>
      </c>
    </row>
    <row r="140" spans="1:7" x14ac:dyDescent="0.2">
      <c r="A140" s="15">
        <v>43889</v>
      </c>
      <c r="B140" s="16">
        <v>1.0169999999999999</v>
      </c>
      <c r="C140" s="73">
        <f t="shared" si="30"/>
        <v>-5.0000000000001155E-3</v>
      </c>
      <c r="D140" s="18">
        <f t="shared" si="31"/>
        <v>-5.0000000000001155E-3</v>
      </c>
      <c r="E140" s="18">
        <f ca="1">IF(表2_3671626293038[[#This Row],[累计净值]]/MAX(INDIRECT("B21:B" &amp; ROW()))-1&lt;E139,表2_3671626293038[[#This Row],[累计净值]]/MAX(INDIRECT("B21:B" &amp; ROW()))-1,E139)</f>
        <v>-2.9354207436399271E-2</v>
      </c>
      <c r="F140" s="62">
        <f>表2_3671626293038[[#This Row],[累计净值]]</f>
        <v>1.0169999999999999</v>
      </c>
      <c r="G140" s="20">
        <f>表2_3671626293038[[#This Row],[累计净值]]/$B$21-1</f>
        <v>6.9306930693069368E-3</v>
      </c>
    </row>
    <row r="141" spans="1:7" x14ac:dyDescent="0.2">
      <c r="A141" s="15">
        <v>43892</v>
      </c>
      <c r="B141" s="16">
        <v>1.0249999999999999</v>
      </c>
      <c r="C141" s="73">
        <f t="shared" si="30"/>
        <v>8.0000000000000071E-3</v>
      </c>
      <c r="D141" s="18" t="str">
        <f t="shared" si="31"/>
        <v>/</v>
      </c>
      <c r="E141" s="18">
        <f ca="1">IF(表2_3671626293038[[#This Row],[累计净值]]/MAX(INDIRECT("B21:B" &amp; ROW()))-1&lt;E140,表2_3671626293038[[#This Row],[累计净值]]/MAX(INDIRECT("B21:B" &amp; ROW()))-1,E140)</f>
        <v>-2.9354207436399271E-2</v>
      </c>
      <c r="F141" s="62">
        <f>表2_3671626293038[[#This Row],[累计净值]]</f>
        <v>1.0249999999999999</v>
      </c>
      <c r="G141" s="20">
        <f>表2_3671626293038[[#This Row],[累计净值]]/$B$21-1</f>
        <v>1.4851485148514865E-2</v>
      </c>
    </row>
    <row r="142" spans="1:7" x14ac:dyDescent="0.2">
      <c r="A142" s="15">
        <v>43893</v>
      </c>
      <c r="B142" s="16">
        <v>1.026</v>
      </c>
      <c r="C142" s="73">
        <f t="shared" si="30"/>
        <v>1.0000000000001119E-3</v>
      </c>
      <c r="D142" s="18" t="str">
        <f t="shared" si="31"/>
        <v>/</v>
      </c>
      <c r="E142" s="18">
        <f ca="1">IF(表2_3671626293038[[#This Row],[累计净值]]/MAX(INDIRECT("B21:B" &amp; ROW()))-1&lt;E141,表2_3671626293038[[#This Row],[累计净值]]/MAX(INDIRECT("B21:B" &amp; ROW()))-1,E141)</f>
        <v>-2.9354207436399271E-2</v>
      </c>
      <c r="F142" s="62">
        <f>表2_3671626293038[[#This Row],[累计净值]]</f>
        <v>1.026</v>
      </c>
      <c r="G142" s="20">
        <f>表2_3671626293038[[#This Row],[累计净值]]/$B$21-1</f>
        <v>1.5841584158415856E-2</v>
      </c>
    </row>
    <row r="143" spans="1:7" x14ac:dyDescent="0.2">
      <c r="A143" s="15">
        <v>43894</v>
      </c>
      <c r="B143" s="16">
        <v>1.032</v>
      </c>
      <c r="C143" s="73">
        <f t="shared" si="30"/>
        <v>6.0000000000000053E-3</v>
      </c>
      <c r="D143" s="18" t="str">
        <f t="shared" si="31"/>
        <v>/</v>
      </c>
      <c r="E143" s="18">
        <f ca="1">IF(表2_3671626293038[[#This Row],[累计净值]]/MAX(INDIRECT("B21:B" &amp; ROW()))-1&lt;E142,表2_3671626293038[[#This Row],[累计净值]]/MAX(INDIRECT("B21:B" &amp; ROW()))-1,E142)</f>
        <v>-2.9354207436399271E-2</v>
      </c>
      <c r="F143" s="62">
        <f>表2_3671626293038[[#This Row],[累计净值]]</f>
        <v>1.032</v>
      </c>
      <c r="G143" s="20">
        <f>表2_3671626293038[[#This Row],[累计净值]]/$B$21-1</f>
        <v>2.1782178217821802E-2</v>
      </c>
    </row>
    <row r="144" spans="1:7" x14ac:dyDescent="0.2">
      <c r="A144" s="15">
        <v>43895</v>
      </c>
      <c r="B144" s="16">
        <v>1.04</v>
      </c>
      <c r="C144" s="73">
        <f t="shared" si="30"/>
        <v>8.0000000000000071E-3</v>
      </c>
      <c r="D144" s="18" t="str">
        <f t="shared" si="31"/>
        <v>/</v>
      </c>
      <c r="E144" s="18">
        <f ca="1">IF(表2_3671626293038[[#This Row],[累计净值]]/MAX(INDIRECT("B21:B" &amp; ROW()))-1&lt;E143,表2_3671626293038[[#This Row],[累计净值]]/MAX(INDIRECT("B21:B" &amp; ROW()))-1,E143)</f>
        <v>-2.9354207436399271E-2</v>
      </c>
      <c r="F144" s="62">
        <f>表2_3671626293038[[#This Row],[累计净值]]</f>
        <v>1.04</v>
      </c>
      <c r="G144" s="20">
        <f>表2_3671626293038[[#This Row],[累计净值]]/$B$21-1</f>
        <v>2.9702970297029729E-2</v>
      </c>
    </row>
    <row r="145" spans="1:7" x14ac:dyDescent="0.2">
      <c r="A145" s="15">
        <v>43896</v>
      </c>
      <c r="B145" s="16">
        <v>1.038</v>
      </c>
      <c r="C145" s="73">
        <f t="shared" ref="C145:C150" si="32">IFERROR(B145-B144,0)</f>
        <v>-2.0000000000000018E-3</v>
      </c>
      <c r="D145" s="18">
        <f t="shared" ref="D145:D150" si="33">IF(C145&lt;0,C145,"/")</f>
        <v>-2.0000000000000018E-3</v>
      </c>
      <c r="E145" s="18">
        <f ca="1">IF(表2_3671626293038[[#This Row],[累计净值]]/MAX(INDIRECT("B21:B" &amp; ROW()))-1&lt;E144,表2_3671626293038[[#This Row],[累计净值]]/MAX(INDIRECT("B21:B" &amp; ROW()))-1,E144)</f>
        <v>-2.9354207436399271E-2</v>
      </c>
      <c r="F145" s="62">
        <f>表2_3671626293038[[#This Row],[累计净值]]</f>
        <v>1.038</v>
      </c>
      <c r="G145" s="20">
        <f>表2_3671626293038[[#This Row],[累计净值]]/$B$21-1</f>
        <v>2.7722772277227747E-2</v>
      </c>
    </row>
    <row r="146" spans="1:7" x14ac:dyDescent="0.2">
      <c r="A146" s="15">
        <v>43899</v>
      </c>
      <c r="B146" s="16">
        <v>1.0309999999999999</v>
      </c>
      <c r="C146" s="73">
        <f t="shared" si="32"/>
        <v>-7.0000000000001172E-3</v>
      </c>
      <c r="D146" s="18">
        <f t="shared" si="33"/>
        <v>-7.0000000000001172E-3</v>
      </c>
      <c r="E146" s="18">
        <f ca="1">IF(表2_3671626293038[[#This Row],[累计净值]]/MAX(INDIRECT("B21:B" &amp; ROW()))-1&lt;E145,表2_3671626293038[[#This Row],[累计净值]]/MAX(INDIRECT("B21:B" &amp; ROW()))-1,E145)</f>
        <v>-2.9354207436399271E-2</v>
      </c>
      <c r="F146" s="62">
        <f>表2_3671626293038[[#This Row],[累计净值]]</f>
        <v>1.0309999999999999</v>
      </c>
      <c r="G146" s="20">
        <f>表2_3671626293038[[#This Row],[累计净值]]/$B$21-1</f>
        <v>2.0792079207920811E-2</v>
      </c>
    </row>
    <row r="147" spans="1:7" x14ac:dyDescent="0.2">
      <c r="A147" s="15">
        <v>43900</v>
      </c>
      <c r="B147" s="16">
        <v>1.0369999999999999</v>
      </c>
      <c r="C147" s="73">
        <f t="shared" si="32"/>
        <v>6.0000000000000053E-3</v>
      </c>
      <c r="D147" s="18" t="str">
        <f t="shared" si="33"/>
        <v>/</v>
      </c>
      <c r="E147" s="18">
        <f ca="1">IF(表2_3671626293038[[#This Row],[累计净值]]/MAX(INDIRECT("B21:B" &amp; ROW()))-1&lt;E146,表2_3671626293038[[#This Row],[累计净值]]/MAX(INDIRECT("B21:B" &amp; ROW()))-1,E146)</f>
        <v>-2.9354207436399271E-2</v>
      </c>
      <c r="F147" s="62">
        <f>表2_3671626293038[[#This Row],[累计净值]]</f>
        <v>1.0369999999999999</v>
      </c>
      <c r="G147" s="20">
        <f>表2_3671626293038[[#This Row],[累计净值]]/$B$21-1</f>
        <v>2.6732673267326756E-2</v>
      </c>
    </row>
    <row r="148" spans="1:7" x14ac:dyDescent="0.2">
      <c r="A148" s="15">
        <v>43901</v>
      </c>
      <c r="B148" s="16">
        <v>1.0369999999999999</v>
      </c>
      <c r="C148" s="73">
        <f t="shared" si="32"/>
        <v>0</v>
      </c>
      <c r="D148" s="18" t="str">
        <f t="shared" si="33"/>
        <v>/</v>
      </c>
      <c r="E148" s="18">
        <f ca="1">IF(表2_3671626293038[[#This Row],[累计净值]]/MAX(INDIRECT("B21:B" &amp; ROW()))-1&lt;E147,表2_3671626293038[[#This Row],[累计净值]]/MAX(INDIRECT("B21:B" &amp; ROW()))-1,E147)</f>
        <v>-2.9354207436399271E-2</v>
      </c>
      <c r="F148" s="62">
        <f>表2_3671626293038[[#This Row],[累计净值]]</f>
        <v>1.0369999999999999</v>
      </c>
      <c r="G148" s="20">
        <f>表2_3671626293038[[#This Row],[累计净值]]/$B$21-1</f>
        <v>2.6732673267326756E-2</v>
      </c>
    </row>
    <row r="149" spans="1:7" x14ac:dyDescent="0.2">
      <c r="A149" s="15">
        <v>43902</v>
      </c>
      <c r="B149" s="16">
        <v>1.0289999999999999</v>
      </c>
      <c r="C149" s="73">
        <f t="shared" si="32"/>
        <v>-8.0000000000000071E-3</v>
      </c>
      <c r="D149" s="18">
        <f t="shared" si="33"/>
        <v>-8.0000000000000071E-3</v>
      </c>
      <c r="E149" s="18">
        <f ca="1">IF(表2_3671626293038[[#This Row],[累计净值]]/MAX(INDIRECT("B21:B" &amp; ROW()))-1&lt;E148,表2_3671626293038[[#This Row],[累计净值]]/MAX(INDIRECT("B21:B" &amp; ROW()))-1,E148)</f>
        <v>-2.9354207436399271E-2</v>
      </c>
      <c r="F149" s="62">
        <f>表2_3671626293038[[#This Row],[累计净值]]</f>
        <v>1.0289999999999999</v>
      </c>
      <c r="G149" s="20">
        <f>表2_3671626293038[[#This Row],[累计净值]]/$B$21-1</f>
        <v>1.8811881188118829E-2</v>
      </c>
    </row>
    <row r="150" spans="1:7" x14ac:dyDescent="0.2">
      <c r="A150" s="15">
        <v>43903</v>
      </c>
      <c r="B150" s="16">
        <v>1.024</v>
      </c>
      <c r="C150" s="73">
        <f t="shared" si="32"/>
        <v>-4.9999999999998934E-3</v>
      </c>
      <c r="D150" s="18">
        <f t="shared" si="33"/>
        <v>-4.9999999999998934E-3</v>
      </c>
      <c r="E150" s="18">
        <f ca="1">IF(表2_3671626293038[[#This Row],[累计净值]]/MAX(INDIRECT("B21:B" &amp; ROW()))-1&lt;E149,表2_3671626293038[[#This Row],[累计净值]]/MAX(INDIRECT("B21:B" &amp; ROW()))-1,E149)</f>
        <v>-2.9354207436399271E-2</v>
      </c>
      <c r="F150" s="62">
        <f>表2_3671626293038[[#This Row],[累计净值]]</f>
        <v>1.024</v>
      </c>
      <c r="G150" s="20">
        <f>表2_3671626293038[[#This Row],[累计净值]]/$B$21-1</f>
        <v>1.3861386138613874E-2</v>
      </c>
    </row>
  </sheetData>
  <mergeCells count="1">
    <mergeCell ref="G2:G3"/>
  </mergeCells>
  <phoneticPr fontId="24" type="noConversion"/>
  <pageMargins left="0.7" right="0.7" top="0.75" bottom="0.75" header="0.3" footer="0.3"/>
  <pageSetup paperSize="9" orientation="portrait" horizontalDpi="200" verticalDpi="200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45</vt:i4>
      </vt:variant>
    </vt:vector>
  </HeadingPairs>
  <TitlesOfParts>
    <vt:vector size="45" baseType="lpstr">
      <vt:lpstr>爱凡哲六号</vt:lpstr>
      <vt:lpstr>新视野1号</vt:lpstr>
      <vt:lpstr>社润悟林二号</vt:lpstr>
      <vt:lpstr>纯享CTA三期</vt:lpstr>
      <vt:lpstr>塑造者2号</vt:lpstr>
      <vt:lpstr>爱凡哲八号</vt:lpstr>
      <vt:lpstr>爱凡哲九号</vt:lpstr>
      <vt:lpstr>琅琊一号</vt:lpstr>
      <vt:lpstr>琅琊二号</vt:lpstr>
      <vt:lpstr>海纳一号</vt:lpstr>
      <vt:lpstr>蒙玺分形3号</vt:lpstr>
      <vt:lpstr>蒙玺中证500指增</vt:lpstr>
      <vt:lpstr>爱凡哲英安一号</vt:lpstr>
      <vt:lpstr>因诺聚配500指增</vt:lpstr>
      <vt:lpstr>衍复聚砾一号</vt:lpstr>
      <vt:lpstr>量派500增强8号</vt:lpstr>
      <vt:lpstr>量客卓宇一号</vt:lpstr>
      <vt:lpstr>银杏1号</vt:lpstr>
      <vt:lpstr>玉数聚配专享2号</vt:lpstr>
      <vt:lpstr>燧石聚配专享一号</vt:lpstr>
      <vt:lpstr>华云瑾尚二号</vt:lpstr>
      <vt:lpstr>量客长阳一号</vt:lpstr>
      <vt:lpstr>爱凡哲睿哲二号</vt:lpstr>
      <vt:lpstr>均泰衡山量化一号</vt:lpstr>
      <vt:lpstr>鼎一精粹</vt:lpstr>
      <vt:lpstr>知睿一号</vt:lpstr>
      <vt:lpstr>鼎一超越</vt:lpstr>
      <vt:lpstr>鹏鑫二号</vt:lpstr>
      <vt:lpstr>同余1号</vt:lpstr>
      <vt:lpstr>合绎塑造者三号</vt:lpstr>
      <vt:lpstr>集微投资2期</vt:lpstr>
      <vt:lpstr>量典长青二号</vt:lpstr>
      <vt:lpstr>筹优量化</vt:lpstr>
      <vt:lpstr>洛书瑞乾元封</vt:lpstr>
      <vt:lpstr>品赋赤霄</vt:lpstr>
      <vt:lpstr>龙珠聚配 </vt:lpstr>
      <vt:lpstr>鼎一兑弈</vt:lpstr>
      <vt:lpstr>抱朴聚配</vt:lpstr>
      <vt:lpstr>沪深300单利宝1号</vt:lpstr>
      <vt:lpstr>格量稳健1号</vt:lpstr>
      <vt:lpstr>银极启航</vt:lpstr>
      <vt:lpstr>思博量道十五号</vt:lpstr>
      <vt:lpstr>顽岩烽火</vt:lpstr>
      <vt:lpstr>拉普拉斯一号</vt:lpstr>
      <vt:lpstr>千朔量化六号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hwqh</cp:lastModifiedBy>
  <dcterms:created xsi:type="dcterms:W3CDTF">2015-06-05T18:17:20Z</dcterms:created>
  <dcterms:modified xsi:type="dcterms:W3CDTF">2021-05-19T08:16:16Z</dcterms:modified>
</cp:coreProperties>
</file>